
<file path=[Content_Types].xml><?xml version="1.0" encoding="utf-8"?>
<Types xmlns="http://schemas.openxmlformats.org/package/2006/content-types">
  <Default Extension="xml" ContentType="application/xml"/>
  <Default Extension="jpeg" ContentType="image/jpeg"/>
  <Default Extension="bin" ContentType="application/vnd.ms-office.vbaProject"/>
  <Default Extension="vml" ContentType="application/vnd.openxmlformats-officedocument.vmlDrawing"/>
  <Default Extension="rels" ContentType="application/vnd.openxmlformats-package.relationships+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8125" codeName="{00000000-0000-0000-0000-000000000000}"/>
  <workbookPr showInkAnnotation="0" codeName="ThisWorkbook" autoCompressPictures="0"/>
  <bookViews>
    <workbookView xWindow="0" yWindow="0" windowWidth="26860" windowHeight="14900" tabRatio="500"/>
  </bookViews>
  <sheets>
    <sheet name="Blatt1" sheetId="1" r:id="rId1"/>
    <sheet name="Archiv" sheetId="2" r:id="rId2"/>
    <sheet name="Hilfsblatt" sheetId="3" r:id="rId3"/>
  </sheets>
  <definedNames>
    <definedName name="AnzEindeutige">Blatt1!$AN$71</definedName>
    <definedName name="AnzEinsame">Blatt1!$BR$71</definedName>
    <definedName name="Aufgabe">Blatt1!$AH$6:$AP$14</definedName>
    <definedName name="Beispielaufgabe" localSheetId="2">Hilfsblatt!#REF!</definedName>
    <definedName name="Beispielaufgabe">Archiv!$B$2:$AB$28</definedName>
    <definedName name="_xlnm.Print_Area" localSheetId="0">Archiv!$BG$173:$BO$181</definedName>
    <definedName name="Feld1">Blatt1!$B$77:$J$85</definedName>
    <definedName name="Feld2">Blatt1!$K$77:$S$85</definedName>
    <definedName name="Feld3">Blatt1!$T$77:$AB$85</definedName>
    <definedName name="Feld4">Blatt1!$B$86:$J$94</definedName>
    <definedName name="Feld5">Blatt1!$K$86:$S$94</definedName>
    <definedName name="Feld6">Blatt1!$T$86:$AB$94</definedName>
    <definedName name="Feld7">Blatt1!$B$95:$J$103</definedName>
    <definedName name="Feld8">Blatt1!$K$95:$S$103</definedName>
    <definedName name="Feld9">Blatt1!$T$95:$AB$103</definedName>
    <definedName name="Gegeben">Blatt1!$B$6:$AB$32</definedName>
    <definedName name="Hilfsbereich">Hilfsblatt!#REF!</definedName>
    <definedName name="Kompaktspielfeld">Blatt1!$CP$44:$CX$52</definedName>
    <definedName name="KonFeld1">Blatt1!$CK$95:$CS$95</definedName>
    <definedName name="KonFeld2">Blatt1!$CK$96:$CS$96</definedName>
    <definedName name="KonFeld3">Blatt1!$CK$97:$CS$97</definedName>
    <definedName name="KonFeld4">Blatt1!$CK$98:$CS$98</definedName>
    <definedName name="KonFeld5">Blatt1!$CK$99:$CS$99</definedName>
    <definedName name="KonFeld6">Blatt1!$CK$100:$CS$100</definedName>
    <definedName name="KonFeld7">Blatt1!$CK$101:$CS$101</definedName>
    <definedName name="KonFeld8">Blatt1!$CK$102:$CS$102</definedName>
    <definedName name="KonFeld9">Blatt1!$CK$103:$CS$103</definedName>
    <definedName name="KonSpalte1">Blatt1!$CK$86:$CS$86</definedName>
    <definedName name="KonSpalte2">Blatt1!$CK$87:$CS$87</definedName>
    <definedName name="KonSpalte3">Blatt1!$CK$88:$CS$88</definedName>
    <definedName name="KonSpalte4">Blatt1!$CK$89:$CS$89</definedName>
    <definedName name="KonSpalte5">Blatt1!$CK$90:$CS$90</definedName>
    <definedName name="KonSpalte6">Blatt1!$CK$91:$CS$91</definedName>
    <definedName name="KonSpalte7">Blatt1!$CK$92:$CS$92</definedName>
    <definedName name="KonSpalte8">Blatt1!$CK$93:$CS$93</definedName>
    <definedName name="KonSpalte9">Blatt1!$CK$94:$CS$94</definedName>
    <definedName name="Kontrolle">Blatt1!$CK$77:$CS$103</definedName>
    <definedName name="KonZeile1">Blatt1!$CK$77:$CS$77</definedName>
    <definedName name="KonZeile2">Blatt1!$CK$78:$CS$78</definedName>
    <definedName name="KonZeile3">Blatt1!$CK$79:$CS$79</definedName>
    <definedName name="KonZeile4">Blatt1!$CK$80:$CS$80</definedName>
    <definedName name="KonZeile5">Blatt1!$CK$81:$CS$81</definedName>
    <definedName name="KonZeile6">Blatt1!$CK$82:$CS$82</definedName>
    <definedName name="KonZeile7">Blatt1!$CK$83:$CS$83</definedName>
    <definedName name="KonZeile8">Blatt1!$CK$84:$CS$84</definedName>
    <definedName name="KonZeile9">Blatt1!$CK$85:$CS$85</definedName>
    <definedName name="Leerbereich">Hilfsblatt!$B$2:$AB$28</definedName>
    <definedName name="Paare">Blatt1!$FM$107:$GM$133</definedName>
    <definedName name="Spalte1">Blatt1!$B$77:$B$157</definedName>
    <definedName name="Spalte2">Blatt1!$C$77:$C$157</definedName>
    <definedName name="Spalte3">Blatt1!$D$77:$D$157</definedName>
    <definedName name="Spalte4">Blatt1!$E$77:$E$157</definedName>
    <definedName name="Spalte5">Blatt1!$F$77:$F$157</definedName>
    <definedName name="Spalte6">Blatt1!$G$77:$G$157</definedName>
    <definedName name="Spalte7">Blatt1!$H$77:$H$157</definedName>
    <definedName name="Spalte8">Blatt1!$I$77:$I$157</definedName>
    <definedName name="Spalte9">Blatt1!$J$77:$J$157</definedName>
    <definedName name="Spielfeld">Blatt1!$B$44:$AB$70</definedName>
    <definedName name="Test">Blatt1!$CX$77</definedName>
    <definedName name="Zeile1">Blatt1!$B$77:$CD$77</definedName>
    <definedName name="Zeile2">Blatt1!$B$78:$CD$78</definedName>
    <definedName name="Zeile3">Blatt1!$B$79:$CD$79</definedName>
    <definedName name="Zeile4">Blatt1!$B$80:$CD$80</definedName>
    <definedName name="Zeile5">Blatt1!$B$81:$CD$81</definedName>
    <definedName name="Zeile6">Blatt1!$B$82:$CD$82</definedName>
    <definedName name="Zeile7">Blatt1!$B$83:$CD$83</definedName>
    <definedName name="Zeile8">Blatt1!$B$84:$CD$84</definedName>
    <definedName name="Zeile9">Blatt1!$B$85:$CD$85</definedName>
  </definedNames>
  <calcPr calcId="140001" refMode="R1C1" concurrentCalc="0"/>
  <extLst>
    <ext xmlns:mx="http://schemas.microsoft.com/office/mac/excel/2008/main" uri="{7523E5D3-25F3-A5E0-1632-64F254C22452}">
      <mx:ArchID Flags="2"/>
    </ext>
  </extLst>
</workbook>
</file>

<file path=xl/calcChain.xml><?xml version="1.0" encoding="utf-8"?>
<calcChain xmlns="http://schemas.openxmlformats.org/spreadsheetml/2006/main">
  <c r="AQ5" i="1" l="1"/>
  <c r="AS5"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P77" i="1"/>
  <c r="G104" i="1"/>
  <c r="P78" i="1"/>
  <c r="G105" i="1"/>
  <c r="P79" i="1"/>
  <c r="G106" i="1"/>
  <c r="P80" i="1"/>
  <c r="G107" i="1"/>
  <c r="P81" i="1"/>
  <c r="G108" i="1"/>
  <c r="P82" i="1"/>
  <c r="G109" i="1"/>
  <c r="P83" i="1"/>
  <c r="G110" i="1"/>
  <c r="P84" i="1"/>
  <c r="G111" i="1"/>
  <c r="P85" i="1"/>
  <c r="G112" i="1"/>
  <c r="P86" i="1"/>
  <c r="G113" i="1"/>
  <c r="P87" i="1"/>
  <c r="G114" i="1"/>
  <c r="P88" i="1"/>
  <c r="G115" i="1"/>
  <c r="P89" i="1"/>
  <c r="G116" i="1"/>
  <c r="P90" i="1"/>
  <c r="G117" i="1"/>
  <c r="P91" i="1"/>
  <c r="G118" i="1"/>
  <c r="P92" i="1"/>
  <c r="G119" i="1"/>
  <c r="P93" i="1"/>
  <c r="G120" i="1"/>
  <c r="P94" i="1"/>
  <c r="G121" i="1"/>
  <c r="P95" i="1"/>
  <c r="G122" i="1"/>
  <c r="P96" i="1"/>
  <c r="G123" i="1"/>
  <c r="P97" i="1"/>
  <c r="G124" i="1"/>
  <c r="P98" i="1"/>
  <c r="G125" i="1"/>
  <c r="P99" i="1"/>
  <c r="G126" i="1"/>
  <c r="P100" i="1"/>
  <c r="G127" i="1"/>
  <c r="P101" i="1"/>
  <c r="G128" i="1"/>
  <c r="P102" i="1"/>
  <c r="G129" i="1"/>
  <c r="P103" i="1"/>
  <c r="G130" i="1"/>
  <c r="Y77" i="1"/>
  <c r="G131" i="1"/>
  <c r="Y78" i="1"/>
  <c r="G132" i="1"/>
  <c r="Y79" i="1"/>
  <c r="G133" i="1"/>
  <c r="Y80" i="1"/>
  <c r="G134" i="1"/>
  <c r="Y81" i="1"/>
  <c r="G135" i="1"/>
  <c r="Y82" i="1"/>
  <c r="G136" i="1"/>
  <c r="Y83" i="1"/>
  <c r="G137" i="1"/>
  <c r="Y84" i="1"/>
  <c r="G138" i="1"/>
  <c r="Y85" i="1"/>
  <c r="G139" i="1"/>
  <c r="Y86" i="1"/>
  <c r="G140" i="1"/>
  <c r="Y87" i="1"/>
  <c r="G141" i="1"/>
  <c r="Y88" i="1"/>
  <c r="G142" i="1"/>
  <c r="Y89" i="1"/>
  <c r="G143" i="1"/>
  <c r="Y90" i="1"/>
  <c r="G144" i="1"/>
  <c r="Y91" i="1"/>
  <c r="G145" i="1"/>
  <c r="Y92" i="1"/>
  <c r="G146" i="1"/>
  <c r="Y93" i="1"/>
  <c r="G147" i="1"/>
  <c r="Y94" i="1"/>
  <c r="G148" i="1"/>
  <c r="Y95" i="1"/>
  <c r="G149" i="1"/>
  <c r="Y96" i="1"/>
  <c r="G150" i="1"/>
  <c r="Y97" i="1"/>
  <c r="G151" i="1"/>
  <c r="Y98" i="1"/>
  <c r="G152" i="1"/>
  <c r="Y99" i="1"/>
  <c r="G153" i="1"/>
  <c r="Y100" i="1"/>
  <c r="G154" i="1"/>
  <c r="Y101" i="1"/>
  <c r="G155" i="1"/>
  <c r="Y102" i="1"/>
  <c r="G156" i="1"/>
  <c r="Y103" i="1"/>
  <c r="G157" i="1"/>
  <c r="CN91" i="1"/>
  <c r="B77" i="1"/>
  <c r="C77" i="1"/>
  <c r="D77" i="1"/>
  <c r="E77" i="1"/>
  <c r="F77" i="1"/>
  <c r="H77" i="1"/>
  <c r="I77" i="1"/>
  <c r="J77" i="1"/>
  <c r="K77" i="1"/>
  <c r="L77" i="1"/>
  <c r="M77" i="1"/>
  <c r="N77" i="1"/>
  <c r="O77" i="1"/>
  <c r="Q77" i="1"/>
  <c r="R77" i="1"/>
  <c r="S77" i="1"/>
  <c r="T77" i="1"/>
  <c r="U77" i="1"/>
  <c r="V77" i="1"/>
  <c r="W77" i="1"/>
  <c r="X77" i="1"/>
  <c r="Z77" i="1"/>
  <c r="AA77" i="1"/>
  <c r="AB77" i="1"/>
  <c r="B86" i="1"/>
  <c r="AC77" i="1"/>
  <c r="C86" i="1"/>
  <c r="AD77" i="1"/>
  <c r="D86" i="1"/>
  <c r="AE77" i="1"/>
  <c r="E86" i="1"/>
  <c r="AF77" i="1"/>
  <c r="F86" i="1"/>
  <c r="AG77" i="1"/>
  <c r="AH77" i="1"/>
  <c r="H86" i="1"/>
  <c r="AI77" i="1"/>
  <c r="I86" i="1"/>
  <c r="AJ77" i="1"/>
  <c r="J86" i="1"/>
  <c r="AK77" i="1"/>
  <c r="K86" i="1"/>
  <c r="AL77" i="1"/>
  <c r="L86" i="1"/>
  <c r="AM77" i="1"/>
  <c r="M86" i="1"/>
  <c r="AN77" i="1"/>
  <c r="N86" i="1"/>
  <c r="AO77" i="1"/>
  <c r="O86" i="1"/>
  <c r="AP77" i="1"/>
  <c r="AQ77" i="1"/>
  <c r="Q86" i="1"/>
  <c r="AR77" i="1"/>
  <c r="R86" i="1"/>
  <c r="AS77" i="1"/>
  <c r="S86" i="1"/>
  <c r="AT77" i="1"/>
  <c r="T86" i="1"/>
  <c r="AU77" i="1"/>
  <c r="U86" i="1"/>
  <c r="AV77" i="1"/>
  <c r="V86" i="1"/>
  <c r="AW77" i="1"/>
  <c r="W86" i="1"/>
  <c r="AX77" i="1"/>
  <c r="X86" i="1"/>
  <c r="AY77" i="1"/>
  <c r="AZ77" i="1"/>
  <c r="Z86" i="1"/>
  <c r="BA77" i="1"/>
  <c r="AA86" i="1"/>
  <c r="BB77" i="1"/>
  <c r="AB86" i="1"/>
  <c r="BC77" i="1"/>
  <c r="B95" i="1"/>
  <c r="BD77" i="1"/>
  <c r="C95" i="1"/>
  <c r="BE77" i="1"/>
  <c r="D95" i="1"/>
  <c r="BF77" i="1"/>
  <c r="E95" i="1"/>
  <c r="BG77" i="1"/>
  <c r="F95" i="1"/>
  <c r="BH77" i="1"/>
  <c r="BI77" i="1"/>
  <c r="H95" i="1"/>
  <c r="BJ77" i="1"/>
  <c r="I95" i="1"/>
  <c r="BK77" i="1"/>
  <c r="J95" i="1"/>
  <c r="BL77" i="1"/>
  <c r="K95" i="1"/>
  <c r="BM77" i="1"/>
  <c r="L95" i="1"/>
  <c r="BN77" i="1"/>
  <c r="M95" i="1"/>
  <c r="BO77" i="1"/>
  <c r="N95" i="1"/>
  <c r="BP77" i="1"/>
  <c r="O95" i="1"/>
  <c r="BQ77" i="1"/>
  <c r="BR77" i="1"/>
  <c r="Q95" i="1"/>
  <c r="BS77" i="1"/>
  <c r="R95" i="1"/>
  <c r="BT77" i="1"/>
  <c r="S95" i="1"/>
  <c r="BU77" i="1"/>
  <c r="T95" i="1"/>
  <c r="BV77" i="1"/>
  <c r="U95" i="1"/>
  <c r="BW77" i="1"/>
  <c r="V95" i="1"/>
  <c r="BX77" i="1"/>
  <c r="W95" i="1"/>
  <c r="BY77" i="1"/>
  <c r="X95" i="1"/>
  <c r="BZ77" i="1"/>
  <c r="CA77" i="1"/>
  <c r="Z95" i="1"/>
  <c r="CB77" i="1"/>
  <c r="AA95" i="1"/>
  <c r="CC77" i="1"/>
  <c r="AB95" i="1"/>
  <c r="CD77" i="1"/>
  <c r="CM77" i="1"/>
  <c r="CM91" i="1"/>
  <c r="K78" i="1"/>
  <c r="L78" i="1"/>
  <c r="M78" i="1"/>
  <c r="N78" i="1"/>
  <c r="O78" i="1"/>
  <c r="Q78" i="1"/>
  <c r="R78" i="1"/>
  <c r="S78" i="1"/>
  <c r="K79" i="1"/>
  <c r="L79" i="1"/>
  <c r="M79" i="1"/>
  <c r="N79" i="1"/>
  <c r="O79" i="1"/>
  <c r="Q79" i="1"/>
  <c r="R79" i="1"/>
  <c r="S79" i="1"/>
  <c r="K80" i="1"/>
  <c r="L80" i="1"/>
  <c r="M80" i="1"/>
  <c r="N80" i="1"/>
  <c r="O80" i="1"/>
  <c r="Q80" i="1"/>
  <c r="R80" i="1"/>
  <c r="S80" i="1"/>
  <c r="K81" i="1"/>
  <c r="L81" i="1"/>
  <c r="M81" i="1"/>
  <c r="N81" i="1"/>
  <c r="O81" i="1"/>
  <c r="Q81" i="1"/>
  <c r="R81" i="1"/>
  <c r="S81" i="1"/>
  <c r="K82" i="1"/>
  <c r="L82" i="1"/>
  <c r="M82" i="1"/>
  <c r="N82" i="1"/>
  <c r="O82" i="1"/>
  <c r="Q82" i="1"/>
  <c r="R82" i="1"/>
  <c r="S82" i="1"/>
  <c r="K83" i="1"/>
  <c r="L83" i="1"/>
  <c r="M83" i="1"/>
  <c r="N83" i="1"/>
  <c r="O83" i="1"/>
  <c r="Q83" i="1"/>
  <c r="R83" i="1"/>
  <c r="S83" i="1"/>
  <c r="K84" i="1"/>
  <c r="L84" i="1"/>
  <c r="M84" i="1"/>
  <c r="N84" i="1"/>
  <c r="O84" i="1"/>
  <c r="Q84" i="1"/>
  <c r="R84" i="1"/>
  <c r="S84" i="1"/>
  <c r="K85" i="1"/>
  <c r="L85" i="1"/>
  <c r="M85" i="1"/>
  <c r="N85" i="1"/>
  <c r="O85" i="1"/>
  <c r="Q85" i="1"/>
  <c r="R85" i="1"/>
  <c r="S85" i="1"/>
  <c r="CM96" i="1"/>
  <c r="BF107" i="1"/>
  <c r="H78" i="1"/>
  <c r="H79" i="1"/>
  <c r="H80" i="1"/>
  <c r="H81" i="1"/>
  <c r="H82" i="1"/>
  <c r="H83" i="1"/>
  <c r="H84" i="1"/>
  <c r="H85" i="1"/>
  <c r="H87" i="1"/>
  <c r="H88" i="1"/>
  <c r="H89" i="1"/>
  <c r="H90" i="1"/>
  <c r="H91" i="1"/>
  <c r="H92" i="1"/>
  <c r="H93" i="1"/>
  <c r="H94" i="1"/>
  <c r="H96" i="1"/>
  <c r="H97" i="1"/>
  <c r="H98" i="1"/>
  <c r="H99" i="1"/>
  <c r="H100" i="1"/>
  <c r="H101" i="1"/>
  <c r="H102" i="1"/>
  <c r="H103" i="1"/>
  <c r="H104" i="1"/>
  <c r="H105" i="1"/>
  <c r="H106" i="1"/>
  <c r="H107" i="1"/>
  <c r="H108" i="1"/>
  <c r="H109" i="1"/>
  <c r="H110" i="1"/>
  <c r="H111" i="1"/>
  <c r="H112" i="1"/>
  <c r="H113" i="1"/>
  <c r="Q87" i="1"/>
  <c r="H114" i="1"/>
  <c r="Q88" i="1"/>
  <c r="H115" i="1"/>
  <c r="Q89" i="1"/>
  <c r="H116" i="1"/>
  <c r="Q90" i="1"/>
  <c r="H117" i="1"/>
  <c r="Q91" i="1"/>
  <c r="H118" i="1"/>
  <c r="Q92" i="1"/>
  <c r="H119" i="1"/>
  <c r="Q93" i="1"/>
  <c r="H120" i="1"/>
  <c r="Q94" i="1"/>
  <c r="H121" i="1"/>
  <c r="H122" i="1"/>
  <c r="Q96" i="1"/>
  <c r="H123" i="1"/>
  <c r="Q97" i="1"/>
  <c r="H124" i="1"/>
  <c r="Q98" i="1"/>
  <c r="H125" i="1"/>
  <c r="Q99" i="1"/>
  <c r="H126" i="1"/>
  <c r="Q100" i="1"/>
  <c r="H127" i="1"/>
  <c r="Q101" i="1"/>
  <c r="H128" i="1"/>
  <c r="Q102" i="1"/>
  <c r="H129" i="1"/>
  <c r="Q103" i="1"/>
  <c r="H130" i="1"/>
  <c r="H131" i="1"/>
  <c r="Z78" i="1"/>
  <c r="H132" i="1"/>
  <c r="Z79" i="1"/>
  <c r="H133" i="1"/>
  <c r="Z80" i="1"/>
  <c r="H134" i="1"/>
  <c r="Z81" i="1"/>
  <c r="H135" i="1"/>
  <c r="Z82" i="1"/>
  <c r="H136" i="1"/>
  <c r="Z83" i="1"/>
  <c r="H137" i="1"/>
  <c r="Z84" i="1"/>
  <c r="H138" i="1"/>
  <c r="Z85" i="1"/>
  <c r="H139" i="1"/>
  <c r="H140" i="1"/>
  <c r="Z87" i="1"/>
  <c r="H141" i="1"/>
  <c r="Z88" i="1"/>
  <c r="H142" i="1"/>
  <c r="Z89" i="1"/>
  <c r="H143" i="1"/>
  <c r="Z90" i="1"/>
  <c r="H144" i="1"/>
  <c r="Z91" i="1"/>
  <c r="H145" i="1"/>
  <c r="Z92" i="1"/>
  <c r="H146" i="1"/>
  <c r="Z93" i="1"/>
  <c r="H147" i="1"/>
  <c r="Z94" i="1"/>
  <c r="H148" i="1"/>
  <c r="H149" i="1"/>
  <c r="Z96" i="1"/>
  <c r="H150" i="1"/>
  <c r="Z97" i="1"/>
  <c r="H151" i="1"/>
  <c r="Z98" i="1"/>
  <c r="H152" i="1"/>
  <c r="Z99" i="1"/>
  <c r="H153" i="1"/>
  <c r="Z100" i="1"/>
  <c r="H154" i="1"/>
  <c r="Z101" i="1"/>
  <c r="H155" i="1"/>
  <c r="Z102" i="1"/>
  <c r="H156" i="1"/>
  <c r="Z103" i="1"/>
  <c r="H157" i="1"/>
  <c r="CM92" i="1"/>
  <c r="BI107" i="1"/>
  <c r="CK77" i="1"/>
  <c r="CK92" i="1"/>
  <c r="CK96" i="1"/>
  <c r="BG107" i="1"/>
  <c r="E71" i="1"/>
  <c r="EM134" i="1"/>
  <c r="AB103" i="1"/>
  <c r="B85" i="1"/>
  <c r="C85" i="1"/>
  <c r="D85" i="1"/>
  <c r="E85" i="1"/>
  <c r="F85" i="1"/>
  <c r="I85" i="1"/>
  <c r="J85" i="1"/>
  <c r="T85" i="1"/>
  <c r="U85" i="1"/>
  <c r="V85" i="1"/>
  <c r="W85" i="1"/>
  <c r="X85" i="1"/>
  <c r="AA85" i="1"/>
  <c r="AB85" i="1"/>
  <c r="B94" i="1"/>
  <c r="AC85" i="1"/>
  <c r="C94" i="1"/>
  <c r="AD85" i="1"/>
  <c r="D94" i="1"/>
  <c r="AE85" i="1"/>
  <c r="E94" i="1"/>
  <c r="AF85" i="1"/>
  <c r="F94" i="1"/>
  <c r="AG85" i="1"/>
  <c r="AH85" i="1"/>
  <c r="AI85" i="1"/>
  <c r="I94" i="1"/>
  <c r="AJ85" i="1"/>
  <c r="J94" i="1"/>
  <c r="AK85" i="1"/>
  <c r="K94" i="1"/>
  <c r="AL85" i="1"/>
  <c r="L94" i="1"/>
  <c r="AM85" i="1"/>
  <c r="M94" i="1"/>
  <c r="AN85" i="1"/>
  <c r="N94" i="1"/>
  <c r="AO85" i="1"/>
  <c r="O94" i="1"/>
  <c r="AP85" i="1"/>
  <c r="AQ85" i="1"/>
  <c r="AR85" i="1"/>
  <c r="R94" i="1"/>
  <c r="AS85" i="1"/>
  <c r="S94" i="1"/>
  <c r="AT85" i="1"/>
  <c r="T94" i="1"/>
  <c r="AU85" i="1"/>
  <c r="U94" i="1"/>
  <c r="AV85" i="1"/>
  <c r="V94" i="1"/>
  <c r="AW85" i="1"/>
  <c r="W94" i="1"/>
  <c r="AX85" i="1"/>
  <c r="X94" i="1"/>
  <c r="AY85" i="1"/>
  <c r="AZ85" i="1"/>
  <c r="BA85" i="1"/>
  <c r="AA94" i="1"/>
  <c r="BB85" i="1"/>
  <c r="AB94" i="1"/>
  <c r="BC85" i="1"/>
  <c r="B103" i="1"/>
  <c r="BD85" i="1"/>
  <c r="C103" i="1"/>
  <c r="BE85" i="1"/>
  <c r="D103" i="1"/>
  <c r="BF85" i="1"/>
  <c r="E103" i="1"/>
  <c r="BG85" i="1"/>
  <c r="F103" i="1"/>
  <c r="BH85" i="1"/>
  <c r="BI85" i="1"/>
  <c r="BJ85" i="1"/>
  <c r="I103" i="1"/>
  <c r="BK85" i="1"/>
  <c r="J103" i="1"/>
  <c r="BL85" i="1"/>
  <c r="K103" i="1"/>
  <c r="BM85" i="1"/>
  <c r="L103" i="1"/>
  <c r="BN85" i="1"/>
  <c r="M103" i="1"/>
  <c r="BO85" i="1"/>
  <c r="N103" i="1"/>
  <c r="BP85" i="1"/>
  <c r="O103" i="1"/>
  <c r="BQ85" i="1"/>
  <c r="BR85" i="1"/>
  <c r="BS85" i="1"/>
  <c r="R103" i="1"/>
  <c r="BT85" i="1"/>
  <c r="S103" i="1"/>
  <c r="BU85" i="1"/>
  <c r="T103" i="1"/>
  <c r="BV85" i="1"/>
  <c r="U103" i="1"/>
  <c r="BW85" i="1"/>
  <c r="V103" i="1"/>
  <c r="BX85" i="1"/>
  <c r="W103" i="1"/>
  <c r="BY85" i="1"/>
  <c r="X103" i="1"/>
  <c r="BZ85" i="1"/>
  <c r="CA85" i="1"/>
  <c r="CB85" i="1"/>
  <c r="AA103" i="1"/>
  <c r="CC85" i="1"/>
  <c r="CD85" i="1"/>
  <c r="CS85" i="1"/>
  <c r="J78" i="1"/>
  <c r="J79" i="1"/>
  <c r="J80" i="1"/>
  <c r="J81" i="1"/>
  <c r="J82" i="1"/>
  <c r="J83" i="1"/>
  <c r="J84" i="1"/>
  <c r="J87" i="1"/>
  <c r="J88" i="1"/>
  <c r="J89" i="1"/>
  <c r="J90" i="1"/>
  <c r="J91" i="1"/>
  <c r="J92" i="1"/>
  <c r="J93" i="1"/>
  <c r="J96" i="1"/>
  <c r="J97" i="1"/>
  <c r="J98" i="1"/>
  <c r="J99" i="1"/>
  <c r="J100" i="1"/>
  <c r="J101" i="1"/>
  <c r="J102" i="1"/>
  <c r="J104" i="1"/>
  <c r="J105" i="1"/>
  <c r="J106" i="1"/>
  <c r="J107" i="1"/>
  <c r="J108" i="1"/>
  <c r="J109" i="1"/>
  <c r="J110" i="1"/>
  <c r="J111" i="1"/>
  <c r="J112" i="1"/>
  <c r="J113" i="1"/>
  <c r="S87" i="1"/>
  <c r="J114" i="1"/>
  <c r="S88" i="1"/>
  <c r="J115" i="1"/>
  <c r="S89" i="1"/>
  <c r="J116" i="1"/>
  <c r="S90" i="1"/>
  <c r="J117" i="1"/>
  <c r="S91" i="1"/>
  <c r="J118" i="1"/>
  <c r="S92" i="1"/>
  <c r="J119" i="1"/>
  <c r="S93" i="1"/>
  <c r="J120" i="1"/>
  <c r="J121" i="1"/>
  <c r="J122" i="1"/>
  <c r="S96" i="1"/>
  <c r="J123" i="1"/>
  <c r="S97" i="1"/>
  <c r="J124" i="1"/>
  <c r="S98" i="1"/>
  <c r="J125" i="1"/>
  <c r="S99" i="1"/>
  <c r="J126" i="1"/>
  <c r="S100" i="1"/>
  <c r="J127" i="1"/>
  <c r="S101" i="1"/>
  <c r="J128" i="1"/>
  <c r="S102" i="1"/>
  <c r="J129" i="1"/>
  <c r="J130" i="1"/>
  <c r="J131" i="1"/>
  <c r="AB78" i="1"/>
  <c r="J132" i="1"/>
  <c r="AB79" i="1"/>
  <c r="J133" i="1"/>
  <c r="AB80" i="1"/>
  <c r="J134" i="1"/>
  <c r="AB81" i="1"/>
  <c r="J135" i="1"/>
  <c r="AB82" i="1"/>
  <c r="J136" i="1"/>
  <c r="AB83" i="1"/>
  <c r="J137" i="1"/>
  <c r="AB84" i="1"/>
  <c r="J138" i="1"/>
  <c r="J139" i="1"/>
  <c r="J140" i="1"/>
  <c r="AB87" i="1"/>
  <c r="J141" i="1"/>
  <c r="AB88" i="1"/>
  <c r="J142" i="1"/>
  <c r="AB89" i="1"/>
  <c r="J143" i="1"/>
  <c r="AB90" i="1"/>
  <c r="J144" i="1"/>
  <c r="AB91" i="1"/>
  <c r="J145" i="1"/>
  <c r="AB92" i="1"/>
  <c r="J146" i="1"/>
  <c r="AB93" i="1"/>
  <c r="J147" i="1"/>
  <c r="J148" i="1"/>
  <c r="J149" i="1"/>
  <c r="AB96" i="1"/>
  <c r="J150" i="1"/>
  <c r="AB97" i="1"/>
  <c r="J151" i="1"/>
  <c r="AB98" i="1"/>
  <c r="J152" i="1"/>
  <c r="AB99" i="1"/>
  <c r="J153" i="1"/>
  <c r="AB100" i="1"/>
  <c r="J154" i="1"/>
  <c r="AB101" i="1"/>
  <c r="J155" i="1"/>
  <c r="AB102" i="1"/>
  <c r="J156" i="1"/>
  <c r="J157" i="1"/>
  <c r="CS94" i="1"/>
  <c r="T96" i="1"/>
  <c r="U96" i="1"/>
  <c r="V96" i="1"/>
  <c r="W96" i="1"/>
  <c r="X96" i="1"/>
  <c r="AA96" i="1"/>
  <c r="T97" i="1"/>
  <c r="U97" i="1"/>
  <c r="V97" i="1"/>
  <c r="W97" i="1"/>
  <c r="X97" i="1"/>
  <c r="AA97" i="1"/>
  <c r="T98" i="1"/>
  <c r="U98" i="1"/>
  <c r="V98" i="1"/>
  <c r="W98" i="1"/>
  <c r="X98" i="1"/>
  <c r="AA98" i="1"/>
  <c r="T99" i="1"/>
  <c r="U99" i="1"/>
  <c r="V99" i="1"/>
  <c r="W99" i="1"/>
  <c r="X99" i="1"/>
  <c r="AA99" i="1"/>
  <c r="T100" i="1"/>
  <c r="U100" i="1"/>
  <c r="V100" i="1"/>
  <c r="W100" i="1"/>
  <c r="X100" i="1"/>
  <c r="AA100" i="1"/>
  <c r="T101" i="1"/>
  <c r="U101" i="1"/>
  <c r="V101" i="1"/>
  <c r="W101" i="1"/>
  <c r="X101" i="1"/>
  <c r="AA101" i="1"/>
  <c r="T102" i="1"/>
  <c r="U102" i="1"/>
  <c r="V102" i="1"/>
  <c r="W102" i="1"/>
  <c r="X102" i="1"/>
  <c r="AA102" i="1"/>
  <c r="CS103" i="1"/>
  <c r="CP187" i="1"/>
  <c r="GL220" i="1"/>
  <c r="BP161" i="1"/>
  <c r="FL194" i="1"/>
  <c r="BQ161" i="1"/>
  <c r="FM194" i="1"/>
  <c r="BR161" i="1"/>
  <c r="FN194" i="1"/>
  <c r="BS161" i="1"/>
  <c r="FO194" i="1"/>
  <c r="BT161" i="1"/>
  <c r="FP194" i="1"/>
  <c r="BU161" i="1"/>
  <c r="FQ194" i="1"/>
  <c r="BV161" i="1"/>
  <c r="FR194" i="1"/>
  <c r="BW161" i="1"/>
  <c r="FS194" i="1"/>
  <c r="BX161" i="1"/>
  <c r="FT194" i="1"/>
  <c r="BY161" i="1"/>
  <c r="FU194" i="1"/>
  <c r="BZ161" i="1"/>
  <c r="FV194" i="1"/>
  <c r="CA161" i="1"/>
  <c r="FW194" i="1"/>
  <c r="CB161" i="1"/>
  <c r="FX194" i="1"/>
  <c r="CC161" i="1"/>
  <c r="FY194" i="1"/>
  <c r="CD161" i="1"/>
  <c r="FZ194" i="1"/>
  <c r="CE161" i="1"/>
  <c r="GA194" i="1"/>
  <c r="CF161" i="1"/>
  <c r="GB194" i="1"/>
  <c r="CG161" i="1"/>
  <c r="GC194" i="1"/>
  <c r="CH161" i="1"/>
  <c r="GD194" i="1"/>
  <c r="CI161" i="1"/>
  <c r="GE194" i="1"/>
  <c r="CJ161" i="1"/>
  <c r="GF194" i="1"/>
  <c r="CK161" i="1"/>
  <c r="GG194" i="1"/>
  <c r="CL161" i="1"/>
  <c r="GH194" i="1"/>
  <c r="CM161" i="1"/>
  <c r="GI194" i="1"/>
  <c r="CN161" i="1"/>
  <c r="GJ194" i="1"/>
  <c r="CO161" i="1"/>
  <c r="GK194" i="1"/>
  <c r="CP161" i="1"/>
  <c r="GL194" i="1"/>
  <c r="BP162" i="1"/>
  <c r="FL195" i="1"/>
  <c r="BQ162" i="1"/>
  <c r="FM195" i="1"/>
  <c r="BR162" i="1"/>
  <c r="FN195" i="1"/>
  <c r="BS162" i="1"/>
  <c r="FO195" i="1"/>
  <c r="BT162" i="1"/>
  <c r="FP195" i="1"/>
  <c r="BU162" i="1"/>
  <c r="FQ195" i="1"/>
  <c r="BV162" i="1"/>
  <c r="FR195" i="1"/>
  <c r="BW162" i="1"/>
  <c r="FS195" i="1"/>
  <c r="BX162" i="1"/>
  <c r="FT195" i="1"/>
  <c r="BY162" i="1"/>
  <c r="FU195" i="1"/>
  <c r="BZ162" i="1"/>
  <c r="FV195" i="1"/>
  <c r="CA162" i="1"/>
  <c r="FW195" i="1"/>
  <c r="CB162" i="1"/>
  <c r="FX195" i="1"/>
  <c r="CC162" i="1"/>
  <c r="FY195" i="1"/>
  <c r="CD162" i="1"/>
  <c r="FZ195" i="1"/>
  <c r="CE162" i="1"/>
  <c r="GA195" i="1"/>
  <c r="CF162" i="1"/>
  <c r="GB195" i="1"/>
  <c r="CG162" i="1"/>
  <c r="GC195" i="1"/>
  <c r="CH162" i="1"/>
  <c r="GD195" i="1"/>
  <c r="CI162" i="1"/>
  <c r="GE195" i="1"/>
  <c r="CJ162" i="1"/>
  <c r="GF195" i="1"/>
  <c r="CK162" i="1"/>
  <c r="GG195" i="1"/>
  <c r="CL162" i="1"/>
  <c r="GH195" i="1"/>
  <c r="CM162" i="1"/>
  <c r="GI195" i="1"/>
  <c r="CN162" i="1"/>
  <c r="GJ195" i="1"/>
  <c r="CO162" i="1"/>
  <c r="GK195" i="1"/>
  <c r="CP162" i="1"/>
  <c r="GL195" i="1"/>
  <c r="BP163" i="1"/>
  <c r="FL196" i="1"/>
  <c r="BQ163" i="1"/>
  <c r="FM196" i="1"/>
  <c r="BR163" i="1"/>
  <c r="FN196" i="1"/>
  <c r="BS163" i="1"/>
  <c r="FO196" i="1"/>
  <c r="BT163" i="1"/>
  <c r="FP196" i="1"/>
  <c r="BU163" i="1"/>
  <c r="FQ196" i="1"/>
  <c r="BV163" i="1"/>
  <c r="FR196" i="1"/>
  <c r="BW163" i="1"/>
  <c r="FS196" i="1"/>
  <c r="BX163" i="1"/>
  <c r="FT196" i="1"/>
  <c r="BY163" i="1"/>
  <c r="FU196" i="1"/>
  <c r="BZ163" i="1"/>
  <c r="FV196" i="1"/>
  <c r="CA163" i="1"/>
  <c r="FW196" i="1"/>
  <c r="CB163" i="1"/>
  <c r="FX196" i="1"/>
  <c r="CC163" i="1"/>
  <c r="FY196" i="1"/>
  <c r="CD163" i="1"/>
  <c r="FZ196" i="1"/>
  <c r="CE163" i="1"/>
  <c r="GA196" i="1"/>
  <c r="CF163" i="1"/>
  <c r="GB196" i="1"/>
  <c r="CG163" i="1"/>
  <c r="GC196" i="1"/>
  <c r="CH163" i="1"/>
  <c r="GD196" i="1"/>
  <c r="CI163" i="1"/>
  <c r="GE196" i="1"/>
  <c r="CJ163" i="1"/>
  <c r="GF196" i="1"/>
  <c r="CK163" i="1"/>
  <c r="GG196" i="1"/>
  <c r="CL163" i="1"/>
  <c r="GH196" i="1"/>
  <c r="CM163" i="1"/>
  <c r="GI196" i="1"/>
  <c r="CN163" i="1"/>
  <c r="GJ196" i="1"/>
  <c r="CO163" i="1"/>
  <c r="GK196" i="1"/>
  <c r="CP163" i="1"/>
  <c r="GL196" i="1"/>
  <c r="BP164" i="1"/>
  <c r="FL197" i="1"/>
  <c r="BQ164" i="1"/>
  <c r="FM197" i="1"/>
  <c r="BR164" i="1"/>
  <c r="FN197" i="1"/>
  <c r="BS164" i="1"/>
  <c r="FO197" i="1"/>
  <c r="BT164" i="1"/>
  <c r="FP197" i="1"/>
  <c r="BU164" i="1"/>
  <c r="FQ197" i="1"/>
  <c r="BV164" i="1"/>
  <c r="FR197" i="1"/>
  <c r="BW164" i="1"/>
  <c r="FS197" i="1"/>
  <c r="BX164" i="1"/>
  <c r="FT197" i="1"/>
  <c r="BY164" i="1"/>
  <c r="FU197" i="1"/>
  <c r="BZ164" i="1"/>
  <c r="FV197" i="1"/>
  <c r="CA164" i="1"/>
  <c r="FW197" i="1"/>
  <c r="CB164" i="1"/>
  <c r="FX197" i="1"/>
  <c r="CC164" i="1"/>
  <c r="FY197" i="1"/>
  <c r="CD164" i="1"/>
  <c r="FZ197" i="1"/>
  <c r="CE164" i="1"/>
  <c r="GA197" i="1"/>
  <c r="CF164" i="1"/>
  <c r="GB197" i="1"/>
  <c r="CG164" i="1"/>
  <c r="GC197" i="1"/>
  <c r="CH164" i="1"/>
  <c r="GD197" i="1"/>
  <c r="CI164" i="1"/>
  <c r="GE197" i="1"/>
  <c r="CJ164" i="1"/>
  <c r="GF197" i="1"/>
  <c r="CK164" i="1"/>
  <c r="GG197" i="1"/>
  <c r="CL164" i="1"/>
  <c r="GH197" i="1"/>
  <c r="CM164" i="1"/>
  <c r="GI197" i="1"/>
  <c r="CN164" i="1"/>
  <c r="GJ197" i="1"/>
  <c r="CO164" i="1"/>
  <c r="GK197" i="1"/>
  <c r="CP164" i="1"/>
  <c r="GL197" i="1"/>
  <c r="BP165" i="1"/>
  <c r="FL198" i="1"/>
  <c r="BQ165" i="1"/>
  <c r="FM198" i="1"/>
  <c r="BR165" i="1"/>
  <c r="FN198" i="1"/>
  <c r="BS165" i="1"/>
  <c r="FO198" i="1"/>
  <c r="BT165" i="1"/>
  <c r="FP198" i="1"/>
  <c r="BU165" i="1"/>
  <c r="FQ198" i="1"/>
  <c r="BV165" i="1"/>
  <c r="FR198" i="1"/>
  <c r="BW165" i="1"/>
  <c r="FS198" i="1"/>
  <c r="BX165" i="1"/>
  <c r="FT198" i="1"/>
  <c r="BY165" i="1"/>
  <c r="FU198" i="1"/>
  <c r="BZ165" i="1"/>
  <c r="FV198" i="1"/>
  <c r="CA165" i="1"/>
  <c r="FW198" i="1"/>
  <c r="CB165" i="1"/>
  <c r="FX198" i="1"/>
  <c r="CC165" i="1"/>
  <c r="FY198" i="1"/>
  <c r="CD165" i="1"/>
  <c r="FZ198" i="1"/>
  <c r="CE165" i="1"/>
  <c r="GA198" i="1"/>
  <c r="CF165" i="1"/>
  <c r="GB198" i="1"/>
  <c r="CG165" i="1"/>
  <c r="GC198" i="1"/>
  <c r="CH165" i="1"/>
  <c r="GD198" i="1"/>
  <c r="CI165" i="1"/>
  <c r="GE198" i="1"/>
  <c r="CJ165" i="1"/>
  <c r="GF198" i="1"/>
  <c r="CK165" i="1"/>
  <c r="GG198" i="1"/>
  <c r="CL165" i="1"/>
  <c r="GH198" i="1"/>
  <c r="CM165" i="1"/>
  <c r="GI198" i="1"/>
  <c r="CN165" i="1"/>
  <c r="GJ198" i="1"/>
  <c r="CO165" i="1"/>
  <c r="GK198" i="1"/>
  <c r="CP165" i="1"/>
  <c r="GL198" i="1"/>
  <c r="BP166" i="1"/>
  <c r="FL199" i="1"/>
  <c r="BQ166" i="1"/>
  <c r="FM199" i="1"/>
  <c r="BR166" i="1"/>
  <c r="FN199" i="1"/>
  <c r="BS166" i="1"/>
  <c r="FO199" i="1"/>
  <c r="BT166" i="1"/>
  <c r="FP199" i="1"/>
  <c r="BU166" i="1"/>
  <c r="FQ199" i="1"/>
  <c r="BV166" i="1"/>
  <c r="FR199" i="1"/>
  <c r="BW166" i="1"/>
  <c r="FS199" i="1"/>
  <c r="BX166" i="1"/>
  <c r="FT199" i="1"/>
  <c r="BY166" i="1"/>
  <c r="FU199" i="1"/>
  <c r="BZ166" i="1"/>
  <c r="FV199" i="1"/>
  <c r="CA166" i="1"/>
  <c r="FW199" i="1"/>
  <c r="CB166" i="1"/>
  <c r="FX199" i="1"/>
  <c r="CC166" i="1"/>
  <c r="FY199" i="1"/>
  <c r="CD166" i="1"/>
  <c r="FZ199" i="1"/>
  <c r="CE166" i="1"/>
  <c r="GA199" i="1"/>
  <c r="CF166" i="1"/>
  <c r="GB199" i="1"/>
  <c r="CG166" i="1"/>
  <c r="GC199" i="1"/>
  <c r="CH166" i="1"/>
  <c r="GD199" i="1"/>
  <c r="CI166" i="1"/>
  <c r="GE199" i="1"/>
  <c r="CJ166" i="1"/>
  <c r="GF199" i="1"/>
  <c r="CK166" i="1"/>
  <c r="GG199" i="1"/>
  <c r="CL166" i="1"/>
  <c r="GH199" i="1"/>
  <c r="CM166" i="1"/>
  <c r="GI199" i="1"/>
  <c r="CN166" i="1"/>
  <c r="GJ199" i="1"/>
  <c r="CO166" i="1"/>
  <c r="GK199" i="1"/>
  <c r="CP166" i="1"/>
  <c r="GL199" i="1"/>
  <c r="BP167" i="1"/>
  <c r="FL200" i="1"/>
  <c r="BQ167" i="1"/>
  <c r="FM200" i="1"/>
  <c r="BR167" i="1"/>
  <c r="FN200" i="1"/>
  <c r="BS167" i="1"/>
  <c r="FO200" i="1"/>
  <c r="BT167" i="1"/>
  <c r="FP200" i="1"/>
  <c r="BU167" i="1"/>
  <c r="FQ200" i="1"/>
  <c r="BV167" i="1"/>
  <c r="FR200" i="1"/>
  <c r="BW167" i="1"/>
  <c r="FS200" i="1"/>
  <c r="BX167" i="1"/>
  <c r="FT200" i="1"/>
  <c r="BY167" i="1"/>
  <c r="FU200" i="1"/>
  <c r="BZ167" i="1"/>
  <c r="FV200" i="1"/>
  <c r="CA167" i="1"/>
  <c r="FW200" i="1"/>
  <c r="CB167" i="1"/>
  <c r="FX200" i="1"/>
  <c r="CC167" i="1"/>
  <c r="FY200" i="1"/>
  <c r="CD167" i="1"/>
  <c r="FZ200" i="1"/>
  <c r="CE167" i="1"/>
  <c r="GA200" i="1"/>
  <c r="CF167" i="1"/>
  <c r="GB200" i="1"/>
  <c r="CG167" i="1"/>
  <c r="GC200" i="1"/>
  <c r="CH167" i="1"/>
  <c r="GD200" i="1"/>
  <c r="CI167" i="1"/>
  <c r="GE200" i="1"/>
  <c r="CJ167" i="1"/>
  <c r="GF200" i="1"/>
  <c r="CK167" i="1"/>
  <c r="GG200" i="1"/>
  <c r="CL167" i="1"/>
  <c r="GH200" i="1"/>
  <c r="CM167" i="1"/>
  <c r="GI200" i="1"/>
  <c r="CN167" i="1"/>
  <c r="GJ200" i="1"/>
  <c r="CO167" i="1"/>
  <c r="GK200" i="1"/>
  <c r="CP167" i="1"/>
  <c r="GL200" i="1"/>
  <c r="BP168" i="1"/>
  <c r="FL201" i="1"/>
  <c r="BQ168" i="1"/>
  <c r="FM201" i="1"/>
  <c r="BR168" i="1"/>
  <c r="FN201" i="1"/>
  <c r="BS168" i="1"/>
  <c r="FO201" i="1"/>
  <c r="BT168" i="1"/>
  <c r="FP201" i="1"/>
  <c r="BU168" i="1"/>
  <c r="FQ201" i="1"/>
  <c r="BV168" i="1"/>
  <c r="FR201" i="1"/>
  <c r="BW168" i="1"/>
  <c r="FS201" i="1"/>
  <c r="BX168" i="1"/>
  <c r="FT201" i="1"/>
  <c r="BY168" i="1"/>
  <c r="FU201" i="1"/>
  <c r="BZ168" i="1"/>
  <c r="FV201" i="1"/>
  <c r="CA168" i="1"/>
  <c r="FW201" i="1"/>
  <c r="CB168" i="1"/>
  <c r="FX201" i="1"/>
  <c r="CC168" i="1"/>
  <c r="FY201" i="1"/>
  <c r="CD168" i="1"/>
  <c r="FZ201" i="1"/>
  <c r="CE168" i="1"/>
  <c r="GA201" i="1"/>
  <c r="CF168" i="1"/>
  <c r="GB201" i="1"/>
  <c r="CG168" i="1"/>
  <c r="GC201" i="1"/>
  <c r="CH168" i="1"/>
  <c r="GD201" i="1"/>
  <c r="CI168" i="1"/>
  <c r="GE201" i="1"/>
  <c r="CJ168" i="1"/>
  <c r="GF201" i="1"/>
  <c r="CK168" i="1"/>
  <c r="GG201" i="1"/>
  <c r="CL168" i="1"/>
  <c r="GH201" i="1"/>
  <c r="CM168" i="1"/>
  <c r="GI201" i="1"/>
  <c r="CN168" i="1"/>
  <c r="GJ201" i="1"/>
  <c r="CO168" i="1"/>
  <c r="GK201" i="1"/>
  <c r="CP168" i="1"/>
  <c r="GL201" i="1"/>
  <c r="BP169" i="1"/>
  <c r="FL202" i="1"/>
  <c r="BQ169" i="1"/>
  <c r="FM202" i="1"/>
  <c r="BR169" i="1"/>
  <c r="FN202" i="1"/>
  <c r="BS169" i="1"/>
  <c r="FO202" i="1"/>
  <c r="BT169" i="1"/>
  <c r="FP202" i="1"/>
  <c r="BU169" i="1"/>
  <c r="FQ202" i="1"/>
  <c r="BV169" i="1"/>
  <c r="FR202" i="1"/>
  <c r="BW169" i="1"/>
  <c r="FS202" i="1"/>
  <c r="BX169" i="1"/>
  <c r="FT202" i="1"/>
  <c r="BY169" i="1"/>
  <c r="FU202" i="1"/>
  <c r="BZ169" i="1"/>
  <c r="FV202" i="1"/>
  <c r="CA169" i="1"/>
  <c r="FW202" i="1"/>
  <c r="CB169" i="1"/>
  <c r="FX202" i="1"/>
  <c r="CC169" i="1"/>
  <c r="FY202" i="1"/>
  <c r="CD169" i="1"/>
  <c r="FZ202" i="1"/>
  <c r="CE169" i="1"/>
  <c r="GA202" i="1"/>
  <c r="CF169" i="1"/>
  <c r="GB202" i="1"/>
  <c r="CG169" i="1"/>
  <c r="GC202" i="1"/>
  <c r="CH169" i="1"/>
  <c r="GD202" i="1"/>
  <c r="CI169" i="1"/>
  <c r="GE202" i="1"/>
  <c r="CJ169" i="1"/>
  <c r="GF202" i="1"/>
  <c r="CK169" i="1"/>
  <c r="GG202" i="1"/>
  <c r="CL169" i="1"/>
  <c r="GH202" i="1"/>
  <c r="CM169" i="1"/>
  <c r="GI202" i="1"/>
  <c r="CN169" i="1"/>
  <c r="GJ202" i="1"/>
  <c r="CO169" i="1"/>
  <c r="GK202" i="1"/>
  <c r="CP169" i="1"/>
  <c r="GL202" i="1"/>
  <c r="BP170" i="1"/>
  <c r="FL203" i="1"/>
  <c r="BQ170" i="1"/>
  <c r="FM203" i="1"/>
  <c r="BR170" i="1"/>
  <c r="FN203" i="1"/>
  <c r="BS170" i="1"/>
  <c r="FO203" i="1"/>
  <c r="BT170" i="1"/>
  <c r="FP203" i="1"/>
  <c r="BU170" i="1"/>
  <c r="FQ203" i="1"/>
  <c r="BV170" i="1"/>
  <c r="FR203" i="1"/>
  <c r="BW170" i="1"/>
  <c r="FS203" i="1"/>
  <c r="BX170" i="1"/>
  <c r="FT203" i="1"/>
  <c r="BY170" i="1"/>
  <c r="FU203" i="1"/>
  <c r="BZ170" i="1"/>
  <c r="FV203" i="1"/>
  <c r="CA170" i="1"/>
  <c r="FW203" i="1"/>
  <c r="CB170" i="1"/>
  <c r="FX203" i="1"/>
  <c r="CC170" i="1"/>
  <c r="FY203" i="1"/>
  <c r="CD170" i="1"/>
  <c r="FZ203" i="1"/>
  <c r="CE170" i="1"/>
  <c r="GA203" i="1"/>
  <c r="CF170" i="1"/>
  <c r="GB203" i="1"/>
  <c r="CG170" i="1"/>
  <c r="GC203" i="1"/>
  <c r="B80" i="1"/>
  <c r="C80" i="1"/>
  <c r="D80" i="1"/>
  <c r="E80" i="1"/>
  <c r="F80" i="1"/>
  <c r="I80" i="1"/>
  <c r="T80" i="1"/>
  <c r="U80" i="1"/>
  <c r="V80" i="1"/>
  <c r="W80" i="1"/>
  <c r="X80" i="1"/>
  <c r="AA80" i="1"/>
  <c r="B89" i="1"/>
  <c r="AC80" i="1"/>
  <c r="C89" i="1"/>
  <c r="AD80" i="1"/>
  <c r="D89" i="1"/>
  <c r="AE80" i="1"/>
  <c r="E89" i="1"/>
  <c r="AF80" i="1"/>
  <c r="F89" i="1"/>
  <c r="AG80" i="1"/>
  <c r="AH80" i="1"/>
  <c r="AI80" i="1"/>
  <c r="I89" i="1"/>
  <c r="AJ80" i="1"/>
  <c r="AK80" i="1"/>
  <c r="K89" i="1"/>
  <c r="AL80" i="1"/>
  <c r="L89" i="1"/>
  <c r="AM80" i="1"/>
  <c r="M89" i="1"/>
  <c r="AN80" i="1"/>
  <c r="N89" i="1"/>
  <c r="AO80" i="1"/>
  <c r="O89" i="1"/>
  <c r="AP80" i="1"/>
  <c r="AQ80" i="1"/>
  <c r="AR80" i="1"/>
  <c r="R89" i="1"/>
  <c r="AS80" i="1"/>
  <c r="AT80" i="1"/>
  <c r="T89" i="1"/>
  <c r="AU80" i="1"/>
  <c r="U89" i="1"/>
  <c r="AV80" i="1"/>
  <c r="V89" i="1"/>
  <c r="AW80" i="1"/>
  <c r="W89" i="1"/>
  <c r="AX80" i="1"/>
  <c r="X89" i="1"/>
  <c r="AY80" i="1"/>
  <c r="AZ80" i="1"/>
  <c r="BA80" i="1"/>
  <c r="AA89" i="1"/>
  <c r="BB80" i="1"/>
  <c r="BC80" i="1"/>
  <c r="B98" i="1"/>
  <c r="BD80" i="1"/>
  <c r="C98" i="1"/>
  <c r="BE80" i="1"/>
  <c r="D98" i="1"/>
  <c r="BF80" i="1"/>
  <c r="E98" i="1"/>
  <c r="BG80" i="1"/>
  <c r="F98" i="1"/>
  <c r="BH80" i="1"/>
  <c r="BI80" i="1"/>
  <c r="BJ80" i="1"/>
  <c r="I98" i="1"/>
  <c r="BK80" i="1"/>
  <c r="BL80" i="1"/>
  <c r="K98" i="1"/>
  <c r="BM80" i="1"/>
  <c r="L98" i="1"/>
  <c r="BN80" i="1"/>
  <c r="M98" i="1"/>
  <c r="BO80" i="1"/>
  <c r="N98" i="1"/>
  <c r="BP80" i="1"/>
  <c r="O98" i="1"/>
  <c r="BQ80" i="1"/>
  <c r="BR80" i="1"/>
  <c r="BS80" i="1"/>
  <c r="R98" i="1"/>
  <c r="BT80" i="1"/>
  <c r="BU80" i="1"/>
  <c r="BV80" i="1"/>
  <c r="BW80" i="1"/>
  <c r="BX80" i="1"/>
  <c r="BY80" i="1"/>
  <c r="BZ80" i="1"/>
  <c r="CA80" i="1"/>
  <c r="CB80" i="1"/>
  <c r="CC80" i="1"/>
  <c r="CD80" i="1"/>
  <c r="CK80" i="1"/>
  <c r="CK103" i="1"/>
  <c r="CH170" i="1"/>
  <c r="GD203" i="1"/>
  <c r="CL80" i="1"/>
  <c r="CL92" i="1"/>
  <c r="CL103" i="1"/>
  <c r="CI170" i="1"/>
  <c r="GE203" i="1"/>
  <c r="CM80" i="1"/>
  <c r="CM103" i="1"/>
  <c r="CJ170" i="1"/>
  <c r="GF203" i="1"/>
  <c r="CK170" i="1"/>
  <c r="GG203" i="1"/>
  <c r="CL170" i="1"/>
  <c r="GH203" i="1"/>
  <c r="CM170" i="1"/>
  <c r="GI203" i="1"/>
  <c r="CN170" i="1"/>
  <c r="GJ203" i="1"/>
  <c r="CO170" i="1"/>
  <c r="GK203" i="1"/>
  <c r="CP170" i="1"/>
  <c r="GL203" i="1"/>
  <c r="BP171" i="1"/>
  <c r="FL204" i="1"/>
  <c r="BQ171" i="1"/>
  <c r="FM204" i="1"/>
  <c r="BR171" i="1"/>
  <c r="FN204" i="1"/>
  <c r="BS171" i="1"/>
  <c r="FO204" i="1"/>
  <c r="BT171" i="1"/>
  <c r="FP204" i="1"/>
  <c r="BU171" i="1"/>
  <c r="FQ204" i="1"/>
  <c r="BV171" i="1"/>
  <c r="FR204" i="1"/>
  <c r="BW171" i="1"/>
  <c r="FS204" i="1"/>
  <c r="BX171" i="1"/>
  <c r="FT204" i="1"/>
  <c r="BY171" i="1"/>
  <c r="FU204" i="1"/>
  <c r="BZ171" i="1"/>
  <c r="FV204" i="1"/>
  <c r="CA171" i="1"/>
  <c r="FW204" i="1"/>
  <c r="CB171" i="1"/>
  <c r="FX204" i="1"/>
  <c r="CC171" i="1"/>
  <c r="FY204" i="1"/>
  <c r="CD171" i="1"/>
  <c r="FZ204" i="1"/>
  <c r="CE171" i="1"/>
  <c r="GA204" i="1"/>
  <c r="CF171" i="1"/>
  <c r="GB204" i="1"/>
  <c r="CG171" i="1"/>
  <c r="GC204" i="1"/>
  <c r="CN80" i="1"/>
  <c r="CN92" i="1"/>
  <c r="CN103" i="1"/>
  <c r="CH171" i="1"/>
  <c r="GD204" i="1"/>
  <c r="CO80" i="1"/>
  <c r="CO92" i="1"/>
  <c r="CO103" i="1"/>
  <c r="CI171" i="1"/>
  <c r="GE204" i="1"/>
  <c r="CP80" i="1"/>
  <c r="CP92" i="1"/>
  <c r="CP103" i="1"/>
  <c r="CJ171" i="1"/>
  <c r="GF204" i="1"/>
  <c r="CK171" i="1"/>
  <c r="GG204" i="1"/>
  <c r="CL171" i="1"/>
  <c r="GH204" i="1"/>
  <c r="CM171" i="1"/>
  <c r="GI204" i="1"/>
  <c r="CN171" i="1"/>
  <c r="GJ204" i="1"/>
  <c r="CO171" i="1"/>
  <c r="GK204" i="1"/>
  <c r="CP171" i="1"/>
  <c r="GL204" i="1"/>
  <c r="BP172" i="1"/>
  <c r="FL205" i="1"/>
  <c r="BQ172" i="1"/>
  <c r="FM205" i="1"/>
  <c r="BR172" i="1"/>
  <c r="FN205" i="1"/>
  <c r="BS172" i="1"/>
  <c r="FO205" i="1"/>
  <c r="BT172" i="1"/>
  <c r="FP205" i="1"/>
  <c r="BU172" i="1"/>
  <c r="FQ205" i="1"/>
  <c r="BV172" i="1"/>
  <c r="FR205" i="1"/>
  <c r="BW172" i="1"/>
  <c r="FS205" i="1"/>
  <c r="BX172" i="1"/>
  <c r="FT205" i="1"/>
  <c r="BY172" i="1"/>
  <c r="FU205" i="1"/>
  <c r="BZ172" i="1"/>
  <c r="FV205" i="1"/>
  <c r="CA172" i="1"/>
  <c r="FW205" i="1"/>
  <c r="CB172" i="1"/>
  <c r="FX205" i="1"/>
  <c r="CC172" i="1"/>
  <c r="FY205" i="1"/>
  <c r="CD172" i="1"/>
  <c r="FZ205" i="1"/>
  <c r="CE172" i="1"/>
  <c r="GA205" i="1"/>
  <c r="CF172" i="1"/>
  <c r="GB205" i="1"/>
  <c r="CG172" i="1"/>
  <c r="GC205" i="1"/>
  <c r="CQ80" i="1"/>
  <c r="CQ92" i="1"/>
  <c r="CQ103" i="1"/>
  <c r="CH172" i="1"/>
  <c r="GD205" i="1"/>
  <c r="CR80" i="1"/>
  <c r="CR92" i="1"/>
  <c r="CR103" i="1"/>
  <c r="CI172" i="1"/>
  <c r="GE205" i="1"/>
  <c r="CS80" i="1"/>
  <c r="CS92" i="1"/>
  <c r="CJ172" i="1"/>
  <c r="GF205" i="1"/>
  <c r="CK172" i="1"/>
  <c r="GG205" i="1"/>
  <c r="CL172" i="1"/>
  <c r="GH205" i="1"/>
  <c r="CM172" i="1"/>
  <c r="GI205" i="1"/>
  <c r="CN172" i="1"/>
  <c r="GJ205" i="1"/>
  <c r="CO172" i="1"/>
  <c r="GK205" i="1"/>
  <c r="CP172" i="1"/>
  <c r="GL205" i="1"/>
  <c r="BP173" i="1"/>
  <c r="FL206" i="1"/>
  <c r="BQ173" i="1"/>
  <c r="FM206" i="1"/>
  <c r="BR173" i="1"/>
  <c r="FN206" i="1"/>
  <c r="BS173" i="1"/>
  <c r="FO206" i="1"/>
  <c r="BT173" i="1"/>
  <c r="FP206" i="1"/>
  <c r="BU173" i="1"/>
  <c r="FQ206" i="1"/>
  <c r="BV173" i="1"/>
  <c r="FR206" i="1"/>
  <c r="BW173" i="1"/>
  <c r="FS206" i="1"/>
  <c r="BX173" i="1"/>
  <c r="FT206" i="1"/>
  <c r="BY173" i="1"/>
  <c r="FU206" i="1"/>
  <c r="BZ173" i="1"/>
  <c r="FV206" i="1"/>
  <c r="CA173" i="1"/>
  <c r="FW206" i="1"/>
  <c r="CB173" i="1"/>
  <c r="FX206" i="1"/>
  <c r="CC173" i="1"/>
  <c r="FY206" i="1"/>
  <c r="CD173" i="1"/>
  <c r="FZ206" i="1"/>
  <c r="B81" i="1"/>
  <c r="C81" i="1"/>
  <c r="D81" i="1"/>
  <c r="E81" i="1"/>
  <c r="F81" i="1"/>
  <c r="I81" i="1"/>
  <c r="T81" i="1"/>
  <c r="U81" i="1"/>
  <c r="V81" i="1"/>
  <c r="W81" i="1"/>
  <c r="X81" i="1"/>
  <c r="AA81" i="1"/>
  <c r="B90" i="1"/>
  <c r="AC81" i="1"/>
  <c r="C90" i="1"/>
  <c r="AD81" i="1"/>
  <c r="D90" i="1"/>
  <c r="AE81" i="1"/>
  <c r="E90" i="1"/>
  <c r="AF81" i="1"/>
  <c r="F90" i="1"/>
  <c r="AG81" i="1"/>
  <c r="AH81" i="1"/>
  <c r="AI81" i="1"/>
  <c r="I90" i="1"/>
  <c r="AJ81" i="1"/>
  <c r="AK81" i="1"/>
  <c r="K90" i="1"/>
  <c r="AL81" i="1"/>
  <c r="L90" i="1"/>
  <c r="AM81" i="1"/>
  <c r="M90" i="1"/>
  <c r="AN81" i="1"/>
  <c r="N90" i="1"/>
  <c r="AO81" i="1"/>
  <c r="O90" i="1"/>
  <c r="AP81" i="1"/>
  <c r="AQ81" i="1"/>
  <c r="AR81" i="1"/>
  <c r="R90" i="1"/>
  <c r="AS81" i="1"/>
  <c r="AT81" i="1"/>
  <c r="T90" i="1"/>
  <c r="AU81" i="1"/>
  <c r="U90" i="1"/>
  <c r="AV81" i="1"/>
  <c r="V90" i="1"/>
  <c r="AW81" i="1"/>
  <c r="W90" i="1"/>
  <c r="AX81" i="1"/>
  <c r="X90" i="1"/>
  <c r="AY81" i="1"/>
  <c r="AZ81" i="1"/>
  <c r="BA81" i="1"/>
  <c r="AA90" i="1"/>
  <c r="BB81" i="1"/>
  <c r="BC81" i="1"/>
  <c r="B99" i="1"/>
  <c r="BD81" i="1"/>
  <c r="C99" i="1"/>
  <c r="BE81" i="1"/>
  <c r="D99" i="1"/>
  <c r="BF81" i="1"/>
  <c r="E99" i="1"/>
  <c r="BG81" i="1"/>
  <c r="F99" i="1"/>
  <c r="BH81" i="1"/>
  <c r="BI81" i="1"/>
  <c r="BJ81" i="1"/>
  <c r="I99" i="1"/>
  <c r="BK81" i="1"/>
  <c r="BL81" i="1"/>
  <c r="K99" i="1"/>
  <c r="BM81" i="1"/>
  <c r="L99" i="1"/>
  <c r="BN81" i="1"/>
  <c r="M99" i="1"/>
  <c r="BO81" i="1"/>
  <c r="N99" i="1"/>
  <c r="BP81" i="1"/>
  <c r="O99" i="1"/>
  <c r="BQ81" i="1"/>
  <c r="BR81" i="1"/>
  <c r="BS81" i="1"/>
  <c r="R99" i="1"/>
  <c r="BT81" i="1"/>
  <c r="BU81" i="1"/>
  <c r="BV81" i="1"/>
  <c r="BW81" i="1"/>
  <c r="BX81" i="1"/>
  <c r="BY81" i="1"/>
  <c r="BZ81" i="1"/>
  <c r="CA81" i="1"/>
  <c r="CB81" i="1"/>
  <c r="CC81" i="1"/>
  <c r="CD81" i="1"/>
  <c r="CK81" i="1"/>
  <c r="CK91" i="1"/>
  <c r="CE173" i="1"/>
  <c r="GA206" i="1"/>
  <c r="CL81" i="1"/>
  <c r="CL91" i="1"/>
  <c r="CF173" i="1"/>
  <c r="GB206" i="1"/>
  <c r="CM81" i="1"/>
  <c r="CG173" i="1"/>
  <c r="GC206" i="1"/>
  <c r="CH173" i="1"/>
  <c r="GD206" i="1"/>
  <c r="CI173" i="1"/>
  <c r="GE206" i="1"/>
  <c r="CJ173" i="1"/>
  <c r="GF206" i="1"/>
  <c r="CK173" i="1"/>
  <c r="GG206" i="1"/>
  <c r="CL173" i="1"/>
  <c r="GH206" i="1"/>
  <c r="CM173" i="1"/>
  <c r="GI206" i="1"/>
  <c r="CK94" i="1"/>
  <c r="CN173" i="1"/>
  <c r="GJ206" i="1"/>
  <c r="CL94" i="1"/>
  <c r="CO173" i="1"/>
  <c r="GK206" i="1"/>
  <c r="CM94" i="1"/>
  <c r="CP173" i="1"/>
  <c r="GL206" i="1"/>
  <c r="BP174" i="1"/>
  <c r="FL207" i="1"/>
  <c r="BQ174" i="1"/>
  <c r="FM207" i="1"/>
  <c r="BR174" i="1"/>
  <c r="FN207" i="1"/>
  <c r="BS174" i="1"/>
  <c r="FO207" i="1"/>
  <c r="BT174" i="1"/>
  <c r="FP207" i="1"/>
  <c r="BU174" i="1"/>
  <c r="FQ207" i="1"/>
  <c r="BV174" i="1"/>
  <c r="FR207" i="1"/>
  <c r="BW174" i="1"/>
  <c r="FS207" i="1"/>
  <c r="BX174" i="1"/>
  <c r="FT207" i="1"/>
  <c r="BY174" i="1"/>
  <c r="FU207" i="1"/>
  <c r="BZ174" i="1"/>
  <c r="FV207" i="1"/>
  <c r="CA174" i="1"/>
  <c r="FW207" i="1"/>
  <c r="CB174" i="1"/>
  <c r="FX207" i="1"/>
  <c r="CC174" i="1"/>
  <c r="FY207" i="1"/>
  <c r="CD174" i="1"/>
  <c r="FZ207" i="1"/>
  <c r="CN81" i="1"/>
  <c r="CE174" i="1"/>
  <c r="GA207" i="1"/>
  <c r="CO81" i="1"/>
  <c r="CO91" i="1"/>
  <c r="CF174" i="1"/>
  <c r="GB207" i="1"/>
  <c r="CP81" i="1"/>
  <c r="CP91" i="1"/>
  <c r="CG174" i="1"/>
  <c r="GC207" i="1"/>
  <c r="CH174" i="1"/>
  <c r="GD207" i="1"/>
  <c r="CI174" i="1"/>
  <c r="GE207" i="1"/>
  <c r="CJ174" i="1"/>
  <c r="GF207" i="1"/>
  <c r="CK174" i="1"/>
  <c r="GG207" i="1"/>
  <c r="CL174" i="1"/>
  <c r="GH207" i="1"/>
  <c r="CM174" i="1"/>
  <c r="GI207" i="1"/>
  <c r="CN94" i="1"/>
  <c r="CN174" i="1"/>
  <c r="GJ207" i="1"/>
  <c r="CO94" i="1"/>
  <c r="CO174" i="1"/>
  <c r="GK207" i="1"/>
  <c r="CP94" i="1"/>
  <c r="CP174" i="1"/>
  <c r="GL207" i="1"/>
  <c r="BP175" i="1"/>
  <c r="FL208" i="1"/>
  <c r="BQ175" i="1"/>
  <c r="FM208" i="1"/>
  <c r="BR175" i="1"/>
  <c r="FN208" i="1"/>
  <c r="BS175" i="1"/>
  <c r="FO208" i="1"/>
  <c r="BT175" i="1"/>
  <c r="FP208" i="1"/>
  <c r="BU175" i="1"/>
  <c r="FQ208" i="1"/>
  <c r="BV175" i="1"/>
  <c r="FR208" i="1"/>
  <c r="BW175" i="1"/>
  <c r="FS208" i="1"/>
  <c r="BX175" i="1"/>
  <c r="FT208" i="1"/>
  <c r="BY175" i="1"/>
  <c r="FU208" i="1"/>
  <c r="BZ175" i="1"/>
  <c r="FV208" i="1"/>
  <c r="CA175" i="1"/>
  <c r="FW208" i="1"/>
  <c r="CB175" i="1"/>
  <c r="FX208" i="1"/>
  <c r="CC175" i="1"/>
  <c r="FY208" i="1"/>
  <c r="CD175" i="1"/>
  <c r="FZ208" i="1"/>
  <c r="CQ81" i="1"/>
  <c r="CQ91" i="1"/>
  <c r="CE175" i="1"/>
  <c r="GA208" i="1"/>
  <c r="CR81" i="1"/>
  <c r="CR91" i="1"/>
  <c r="CF175" i="1"/>
  <c r="GB208" i="1"/>
  <c r="CS81" i="1"/>
  <c r="CS91" i="1"/>
  <c r="CG175" i="1"/>
  <c r="GC208" i="1"/>
  <c r="CH175" i="1"/>
  <c r="GD208" i="1"/>
  <c r="CI175" i="1"/>
  <c r="GE208" i="1"/>
  <c r="CJ175" i="1"/>
  <c r="GF208" i="1"/>
  <c r="CK175" i="1"/>
  <c r="GG208" i="1"/>
  <c r="CL175" i="1"/>
  <c r="GH208" i="1"/>
  <c r="CM175" i="1"/>
  <c r="GI208" i="1"/>
  <c r="CQ94" i="1"/>
  <c r="CN175" i="1"/>
  <c r="GJ208" i="1"/>
  <c r="CR94" i="1"/>
  <c r="CO175" i="1"/>
  <c r="GK208" i="1"/>
  <c r="CP175" i="1"/>
  <c r="GL208" i="1"/>
  <c r="BP176" i="1"/>
  <c r="FL209" i="1"/>
  <c r="BQ176" i="1"/>
  <c r="FM209" i="1"/>
  <c r="BR176" i="1"/>
  <c r="FN209" i="1"/>
  <c r="BS176" i="1"/>
  <c r="FO209" i="1"/>
  <c r="BT176" i="1"/>
  <c r="FP209" i="1"/>
  <c r="BU176" i="1"/>
  <c r="FQ209" i="1"/>
  <c r="BV176" i="1"/>
  <c r="FR209" i="1"/>
  <c r="BW176" i="1"/>
  <c r="FS209" i="1"/>
  <c r="BX176" i="1"/>
  <c r="FT209" i="1"/>
  <c r="BY176" i="1"/>
  <c r="FU209" i="1"/>
  <c r="BZ176" i="1"/>
  <c r="FV209" i="1"/>
  <c r="CA176" i="1"/>
  <c r="FW209" i="1"/>
  <c r="CB176" i="1"/>
  <c r="FX209" i="1"/>
  <c r="CC176" i="1"/>
  <c r="FY209" i="1"/>
  <c r="CD176" i="1"/>
  <c r="FZ209" i="1"/>
  <c r="B82" i="1"/>
  <c r="C82" i="1"/>
  <c r="D82" i="1"/>
  <c r="E82" i="1"/>
  <c r="F82" i="1"/>
  <c r="I82" i="1"/>
  <c r="T82" i="1"/>
  <c r="U82" i="1"/>
  <c r="V82" i="1"/>
  <c r="W82" i="1"/>
  <c r="X82" i="1"/>
  <c r="AA82" i="1"/>
  <c r="B91" i="1"/>
  <c r="AC82" i="1"/>
  <c r="C91" i="1"/>
  <c r="AD82" i="1"/>
  <c r="D91" i="1"/>
  <c r="AE82" i="1"/>
  <c r="E91" i="1"/>
  <c r="AF82" i="1"/>
  <c r="F91" i="1"/>
  <c r="AG82" i="1"/>
  <c r="AH82" i="1"/>
  <c r="AI82" i="1"/>
  <c r="I91" i="1"/>
  <c r="AJ82" i="1"/>
  <c r="AK82" i="1"/>
  <c r="K91" i="1"/>
  <c r="AL82" i="1"/>
  <c r="L91" i="1"/>
  <c r="AM82" i="1"/>
  <c r="M91" i="1"/>
  <c r="AN82" i="1"/>
  <c r="N91" i="1"/>
  <c r="AO82" i="1"/>
  <c r="O91" i="1"/>
  <c r="AP82" i="1"/>
  <c r="AQ82" i="1"/>
  <c r="AR82" i="1"/>
  <c r="R91" i="1"/>
  <c r="AS82" i="1"/>
  <c r="AT82" i="1"/>
  <c r="T91" i="1"/>
  <c r="AU82" i="1"/>
  <c r="U91" i="1"/>
  <c r="AV82" i="1"/>
  <c r="V91" i="1"/>
  <c r="AW82" i="1"/>
  <c r="W91" i="1"/>
  <c r="AX82" i="1"/>
  <c r="X91" i="1"/>
  <c r="AY82" i="1"/>
  <c r="AZ82" i="1"/>
  <c r="BA82" i="1"/>
  <c r="AA91" i="1"/>
  <c r="BB82" i="1"/>
  <c r="BC82" i="1"/>
  <c r="B100" i="1"/>
  <c r="BD82" i="1"/>
  <c r="C100" i="1"/>
  <c r="BE82" i="1"/>
  <c r="D100" i="1"/>
  <c r="BF82" i="1"/>
  <c r="E100" i="1"/>
  <c r="BG82" i="1"/>
  <c r="F100" i="1"/>
  <c r="BH82" i="1"/>
  <c r="BI82" i="1"/>
  <c r="BJ82" i="1"/>
  <c r="I100" i="1"/>
  <c r="BK82" i="1"/>
  <c r="BL82" i="1"/>
  <c r="K100" i="1"/>
  <c r="BM82" i="1"/>
  <c r="L100" i="1"/>
  <c r="BN82" i="1"/>
  <c r="M100" i="1"/>
  <c r="BO82" i="1"/>
  <c r="N100" i="1"/>
  <c r="BP82" i="1"/>
  <c r="O100" i="1"/>
  <c r="BQ82" i="1"/>
  <c r="BR82" i="1"/>
  <c r="BS82" i="1"/>
  <c r="R100" i="1"/>
  <c r="BT82" i="1"/>
  <c r="BU82" i="1"/>
  <c r="BV82" i="1"/>
  <c r="BW82" i="1"/>
  <c r="BX82" i="1"/>
  <c r="BY82" i="1"/>
  <c r="BZ82" i="1"/>
  <c r="CA82" i="1"/>
  <c r="CB82" i="1"/>
  <c r="CC82" i="1"/>
  <c r="CD82" i="1"/>
  <c r="CK82" i="1"/>
  <c r="CE176" i="1"/>
  <c r="GA209" i="1"/>
  <c r="CL82" i="1"/>
  <c r="CF176" i="1"/>
  <c r="GB209" i="1"/>
  <c r="CM82" i="1"/>
  <c r="CG176" i="1"/>
  <c r="GC209" i="1"/>
  <c r="CH176" i="1"/>
  <c r="GD209" i="1"/>
  <c r="CI176" i="1"/>
  <c r="GE209" i="1"/>
  <c r="CJ176" i="1"/>
  <c r="GF209" i="1"/>
  <c r="I78" i="1"/>
  <c r="I79" i="1"/>
  <c r="I83" i="1"/>
  <c r="I84" i="1"/>
  <c r="I87" i="1"/>
  <c r="I88" i="1"/>
  <c r="I92" i="1"/>
  <c r="I93" i="1"/>
  <c r="I96" i="1"/>
  <c r="I97" i="1"/>
  <c r="I101" i="1"/>
  <c r="I102" i="1"/>
  <c r="I104" i="1"/>
  <c r="I105" i="1"/>
  <c r="I106" i="1"/>
  <c r="I107" i="1"/>
  <c r="I108" i="1"/>
  <c r="I109" i="1"/>
  <c r="I110" i="1"/>
  <c r="I111" i="1"/>
  <c r="I112" i="1"/>
  <c r="I113" i="1"/>
  <c r="R87" i="1"/>
  <c r="I114" i="1"/>
  <c r="R88" i="1"/>
  <c r="I115" i="1"/>
  <c r="I116" i="1"/>
  <c r="I117" i="1"/>
  <c r="I118" i="1"/>
  <c r="R92" i="1"/>
  <c r="I119" i="1"/>
  <c r="R93" i="1"/>
  <c r="I120" i="1"/>
  <c r="I121" i="1"/>
  <c r="I122" i="1"/>
  <c r="R96" i="1"/>
  <c r="I123" i="1"/>
  <c r="R97" i="1"/>
  <c r="I124" i="1"/>
  <c r="I125" i="1"/>
  <c r="I126" i="1"/>
  <c r="I127" i="1"/>
  <c r="R101" i="1"/>
  <c r="I128" i="1"/>
  <c r="R102" i="1"/>
  <c r="I129" i="1"/>
  <c r="I130" i="1"/>
  <c r="I131" i="1"/>
  <c r="AA78" i="1"/>
  <c r="I132" i="1"/>
  <c r="AA79" i="1"/>
  <c r="I133" i="1"/>
  <c r="I134" i="1"/>
  <c r="I135" i="1"/>
  <c r="I136" i="1"/>
  <c r="AA83" i="1"/>
  <c r="I137" i="1"/>
  <c r="AA84" i="1"/>
  <c r="I138" i="1"/>
  <c r="I139" i="1"/>
  <c r="I140" i="1"/>
  <c r="AA87" i="1"/>
  <c r="I141" i="1"/>
  <c r="AA88" i="1"/>
  <c r="I142" i="1"/>
  <c r="I143" i="1"/>
  <c r="I144" i="1"/>
  <c r="I145" i="1"/>
  <c r="AA92" i="1"/>
  <c r="I146" i="1"/>
  <c r="AA93" i="1"/>
  <c r="I147" i="1"/>
  <c r="I148" i="1"/>
  <c r="I149" i="1"/>
  <c r="I150" i="1"/>
  <c r="I151" i="1"/>
  <c r="I152" i="1"/>
  <c r="I153" i="1"/>
  <c r="I154" i="1"/>
  <c r="I155" i="1"/>
  <c r="I156" i="1"/>
  <c r="I157" i="1"/>
  <c r="CK93" i="1"/>
  <c r="CK176" i="1"/>
  <c r="GG209" i="1"/>
  <c r="CL93" i="1"/>
  <c r="CL176" i="1"/>
  <c r="GH209" i="1"/>
  <c r="CM93" i="1"/>
  <c r="CM176" i="1"/>
  <c r="GI209" i="1"/>
  <c r="CN176" i="1"/>
  <c r="GJ209" i="1"/>
  <c r="CO176" i="1"/>
  <c r="GK209" i="1"/>
  <c r="CP176" i="1"/>
  <c r="GL209" i="1"/>
  <c r="BP177" i="1"/>
  <c r="FL210" i="1"/>
  <c r="BQ177" i="1"/>
  <c r="FM210" i="1"/>
  <c r="BR177" i="1"/>
  <c r="FN210" i="1"/>
  <c r="BS177" i="1"/>
  <c r="FO210" i="1"/>
  <c r="BT177" i="1"/>
  <c r="FP210" i="1"/>
  <c r="BU177" i="1"/>
  <c r="FQ210" i="1"/>
  <c r="BV177" i="1"/>
  <c r="FR210" i="1"/>
  <c r="BW177" i="1"/>
  <c r="FS210" i="1"/>
  <c r="BX177" i="1"/>
  <c r="FT210" i="1"/>
  <c r="BY177" i="1"/>
  <c r="FU210" i="1"/>
  <c r="BZ177" i="1"/>
  <c r="FV210" i="1"/>
  <c r="CA177" i="1"/>
  <c r="FW210" i="1"/>
  <c r="CB177" i="1"/>
  <c r="FX210" i="1"/>
  <c r="CC177" i="1"/>
  <c r="FY210" i="1"/>
  <c r="CD177" i="1"/>
  <c r="FZ210" i="1"/>
  <c r="CN82" i="1"/>
  <c r="CE177" i="1"/>
  <c r="GA210" i="1"/>
  <c r="CO82" i="1"/>
  <c r="CF177" i="1"/>
  <c r="GB210" i="1"/>
  <c r="CP82" i="1"/>
  <c r="CG177" i="1"/>
  <c r="GC210" i="1"/>
  <c r="CH177" i="1"/>
  <c r="GD210" i="1"/>
  <c r="CI177" i="1"/>
  <c r="GE210" i="1"/>
  <c r="CJ177" i="1"/>
  <c r="GF210" i="1"/>
  <c r="CN93" i="1"/>
  <c r="CK177" i="1"/>
  <c r="GG210" i="1"/>
  <c r="CO93" i="1"/>
  <c r="CL177" i="1"/>
  <c r="GH210" i="1"/>
  <c r="CP93" i="1"/>
  <c r="CM177" i="1"/>
  <c r="GI210" i="1"/>
  <c r="CN177" i="1"/>
  <c r="GJ210" i="1"/>
  <c r="CO177" i="1"/>
  <c r="GK210" i="1"/>
  <c r="CP177" i="1"/>
  <c r="GL210" i="1"/>
  <c r="BP178" i="1"/>
  <c r="FL211" i="1"/>
  <c r="BQ178" i="1"/>
  <c r="FM211" i="1"/>
  <c r="BR178" i="1"/>
  <c r="FN211" i="1"/>
  <c r="BS178" i="1"/>
  <c r="FO211" i="1"/>
  <c r="BT178" i="1"/>
  <c r="FP211" i="1"/>
  <c r="BU178" i="1"/>
  <c r="FQ211" i="1"/>
  <c r="BV178" i="1"/>
  <c r="FR211" i="1"/>
  <c r="BW178" i="1"/>
  <c r="FS211" i="1"/>
  <c r="BX178" i="1"/>
  <c r="FT211" i="1"/>
  <c r="BY178" i="1"/>
  <c r="FU211" i="1"/>
  <c r="BZ178" i="1"/>
  <c r="FV211" i="1"/>
  <c r="CA178" i="1"/>
  <c r="FW211" i="1"/>
  <c r="CB178" i="1"/>
  <c r="FX211" i="1"/>
  <c r="CC178" i="1"/>
  <c r="FY211" i="1"/>
  <c r="CD178" i="1"/>
  <c r="FZ211" i="1"/>
  <c r="CQ82" i="1"/>
  <c r="CE178" i="1"/>
  <c r="GA211" i="1"/>
  <c r="CR82" i="1"/>
  <c r="CF178" i="1"/>
  <c r="GB211" i="1"/>
  <c r="CS82" i="1"/>
  <c r="CG178" i="1"/>
  <c r="GC211" i="1"/>
  <c r="CH178" i="1"/>
  <c r="GD211" i="1"/>
  <c r="CI178" i="1"/>
  <c r="GE211" i="1"/>
  <c r="CJ178" i="1"/>
  <c r="GF211" i="1"/>
  <c r="CQ93" i="1"/>
  <c r="CK178" i="1"/>
  <c r="GG211" i="1"/>
  <c r="CR93" i="1"/>
  <c r="CL178" i="1"/>
  <c r="GH211" i="1"/>
  <c r="CS93" i="1"/>
  <c r="CM178" i="1"/>
  <c r="GI211" i="1"/>
  <c r="CN178" i="1"/>
  <c r="GJ211" i="1"/>
  <c r="CO178" i="1"/>
  <c r="GK211" i="1"/>
  <c r="CP178" i="1"/>
  <c r="GL211" i="1"/>
  <c r="BP179" i="1"/>
  <c r="FL212" i="1"/>
  <c r="BQ179" i="1"/>
  <c r="FM212" i="1"/>
  <c r="BR179" i="1"/>
  <c r="FN212" i="1"/>
  <c r="BS179" i="1"/>
  <c r="FO212" i="1"/>
  <c r="BT179" i="1"/>
  <c r="FP212" i="1"/>
  <c r="BU179" i="1"/>
  <c r="FQ212" i="1"/>
  <c r="BV179" i="1"/>
  <c r="FR212" i="1"/>
  <c r="BW179" i="1"/>
  <c r="FS212" i="1"/>
  <c r="BX179" i="1"/>
  <c r="FT212" i="1"/>
  <c r="B83" i="1"/>
  <c r="C83" i="1"/>
  <c r="D83" i="1"/>
  <c r="E83" i="1"/>
  <c r="F83" i="1"/>
  <c r="T83" i="1"/>
  <c r="U83" i="1"/>
  <c r="V83" i="1"/>
  <c r="W83" i="1"/>
  <c r="X83" i="1"/>
  <c r="B92" i="1"/>
  <c r="AC83" i="1"/>
  <c r="C92" i="1"/>
  <c r="AD83" i="1"/>
  <c r="D92" i="1"/>
  <c r="AE83" i="1"/>
  <c r="E92" i="1"/>
  <c r="AF83" i="1"/>
  <c r="F92" i="1"/>
  <c r="AG83" i="1"/>
  <c r="AH83" i="1"/>
  <c r="AI83" i="1"/>
  <c r="AJ83" i="1"/>
  <c r="AK83" i="1"/>
  <c r="K92" i="1"/>
  <c r="AL83" i="1"/>
  <c r="L92" i="1"/>
  <c r="AM83" i="1"/>
  <c r="M92" i="1"/>
  <c r="AN83" i="1"/>
  <c r="N92" i="1"/>
  <c r="AO83" i="1"/>
  <c r="O92" i="1"/>
  <c r="AP83" i="1"/>
  <c r="AQ83" i="1"/>
  <c r="AR83" i="1"/>
  <c r="AS83" i="1"/>
  <c r="AT83" i="1"/>
  <c r="T92" i="1"/>
  <c r="AU83" i="1"/>
  <c r="U92" i="1"/>
  <c r="AV83" i="1"/>
  <c r="V92" i="1"/>
  <c r="AW83" i="1"/>
  <c r="W92" i="1"/>
  <c r="AX83" i="1"/>
  <c r="X92" i="1"/>
  <c r="AY83" i="1"/>
  <c r="AZ83" i="1"/>
  <c r="BA83" i="1"/>
  <c r="BB83" i="1"/>
  <c r="BC83" i="1"/>
  <c r="B101" i="1"/>
  <c r="BD83" i="1"/>
  <c r="C101" i="1"/>
  <c r="BE83" i="1"/>
  <c r="D101" i="1"/>
  <c r="BF83" i="1"/>
  <c r="E101" i="1"/>
  <c r="BG83" i="1"/>
  <c r="F101" i="1"/>
  <c r="BH83" i="1"/>
  <c r="BI83" i="1"/>
  <c r="BJ83" i="1"/>
  <c r="BK83" i="1"/>
  <c r="BL83" i="1"/>
  <c r="K101" i="1"/>
  <c r="BM83" i="1"/>
  <c r="L101" i="1"/>
  <c r="BN83" i="1"/>
  <c r="M101" i="1"/>
  <c r="BO83" i="1"/>
  <c r="N101" i="1"/>
  <c r="BP83" i="1"/>
  <c r="O101" i="1"/>
  <c r="BQ83" i="1"/>
  <c r="BR83" i="1"/>
  <c r="BS83" i="1"/>
  <c r="BT83" i="1"/>
  <c r="BU83" i="1"/>
  <c r="BV83" i="1"/>
  <c r="BW83" i="1"/>
  <c r="BX83" i="1"/>
  <c r="BY83" i="1"/>
  <c r="BZ83" i="1"/>
  <c r="CA83" i="1"/>
  <c r="CB83" i="1"/>
  <c r="CC83" i="1"/>
  <c r="CD83" i="1"/>
  <c r="CK83" i="1"/>
  <c r="E78" i="1"/>
  <c r="E79" i="1"/>
  <c r="E84" i="1"/>
  <c r="E87" i="1"/>
  <c r="E88" i="1"/>
  <c r="E93" i="1"/>
  <c r="E96" i="1"/>
  <c r="E97" i="1"/>
  <c r="E102" i="1"/>
  <c r="E104" i="1"/>
  <c r="E105" i="1"/>
  <c r="E106" i="1"/>
  <c r="E107" i="1"/>
  <c r="E108" i="1"/>
  <c r="E109" i="1"/>
  <c r="E110" i="1"/>
  <c r="E111" i="1"/>
  <c r="E112" i="1"/>
  <c r="E113" i="1"/>
  <c r="N87" i="1"/>
  <c r="E114" i="1"/>
  <c r="N88" i="1"/>
  <c r="E115" i="1"/>
  <c r="E116" i="1"/>
  <c r="E117" i="1"/>
  <c r="E118" i="1"/>
  <c r="E119" i="1"/>
  <c r="N93" i="1"/>
  <c r="E120" i="1"/>
  <c r="E121" i="1"/>
  <c r="E122" i="1"/>
  <c r="N96" i="1"/>
  <c r="E123" i="1"/>
  <c r="N97" i="1"/>
  <c r="E124" i="1"/>
  <c r="E125" i="1"/>
  <c r="E126" i="1"/>
  <c r="E127" i="1"/>
  <c r="E128" i="1"/>
  <c r="N102" i="1"/>
  <c r="E129" i="1"/>
  <c r="E130" i="1"/>
  <c r="E131" i="1"/>
  <c r="W78" i="1"/>
  <c r="E132" i="1"/>
  <c r="W79" i="1"/>
  <c r="E133" i="1"/>
  <c r="E134" i="1"/>
  <c r="E135" i="1"/>
  <c r="E136" i="1"/>
  <c r="E137" i="1"/>
  <c r="W84" i="1"/>
  <c r="E138" i="1"/>
  <c r="E139" i="1"/>
  <c r="E140" i="1"/>
  <c r="W87" i="1"/>
  <c r="E141" i="1"/>
  <c r="W88" i="1"/>
  <c r="E142" i="1"/>
  <c r="E143" i="1"/>
  <c r="E144" i="1"/>
  <c r="E145" i="1"/>
  <c r="E146" i="1"/>
  <c r="W93" i="1"/>
  <c r="E147" i="1"/>
  <c r="E148" i="1"/>
  <c r="E149" i="1"/>
  <c r="E150" i="1"/>
  <c r="E151" i="1"/>
  <c r="E152" i="1"/>
  <c r="E153" i="1"/>
  <c r="E154" i="1"/>
  <c r="E155" i="1"/>
  <c r="E156" i="1"/>
  <c r="E157" i="1"/>
  <c r="CK89" i="1"/>
  <c r="BY179" i="1"/>
  <c r="FU212" i="1"/>
  <c r="CL83" i="1"/>
  <c r="CL89" i="1"/>
  <c r="BZ179" i="1"/>
  <c r="FV212" i="1"/>
  <c r="CM83" i="1"/>
  <c r="CM89" i="1"/>
  <c r="CA179" i="1"/>
  <c r="FW212" i="1"/>
  <c r="F78" i="1"/>
  <c r="F79" i="1"/>
  <c r="F84" i="1"/>
  <c r="F87" i="1"/>
  <c r="F88" i="1"/>
  <c r="F93" i="1"/>
  <c r="F96" i="1"/>
  <c r="F97" i="1"/>
  <c r="F102" i="1"/>
  <c r="F104" i="1"/>
  <c r="F105" i="1"/>
  <c r="F106" i="1"/>
  <c r="F107" i="1"/>
  <c r="F108" i="1"/>
  <c r="F109" i="1"/>
  <c r="F110" i="1"/>
  <c r="F111" i="1"/>
  <c r="F112" i="1"/>
  <c r="F113" i="1"/>
  <c r="O87" i="1"/>
  <c r="F114" i="1"/>
  <c r="O88" i="1"/>
  <c r="F115" i="1"/>
  <c r="F116" i="1"/>
  <c r="F117" i="1"/>
  <c r="F118" i="1"/>
  <c r="F119" i="1"/>
  <c r="O93" i="1"/>
  <c r="F120" i="1"/>
  <c r="F121" i="1"/>
  <c r="F122" i="1"/>
  <c r="O96" i="1"/>
  <c r="F123" i="1"/>
  <c r="O97" i="1"/>
  <c r="F124" i="1"/>
  <c r="F125" i="1"/>
  <c r="F126" i="1"/>
  <c r="F127" i="1"/>
  <c r="F128" i="1"/>
  <c r="O102" i="1"/>
  <c r="F129" i="1"/>
  <c r="F130" i="1"/>
  <c r="F131" i="1"/>
  <c r="X78" i="1"/>
  <c r="F132" i="1"/>
  <c r="X79" i="1"/>
  <c r="F133" i="1"/>
  <c r="F134" i="1"/>
  <c r="F135" i="1"/>
  <c r="F136" i="1"/>
  <c r="F137" i="1"/>
  <c r="X84" i="1"/>
  <c r="F138" i="1"/>
  <c r="F139" i="1"/>
  <c r="F140" i="1"/>
  <c r="X87" i="1"/>
  <c r="F141" i="1"/>
  <c r="X88" i="1"/>
  <c r="F142" i="1"/>
  <c r="F143" i="1"/>
  <c r="F144" i="1"/>
  <c r="F145" i="1"/>
  <c r="F146" i="1"/>
  <c r="X93" i="1"/>
  <c r="F147" i="1"/>
  <c r="F148" i="1"/>
  <c r="F149" i="1"/>
  <c r="F150" i="1"/>
  <c r="F151" i="1"/>
  <c r="F152" i="1"/>
  <c r="F153" i="1"/>
  <c r="F154" i="1"/>
  <c r="F155" i="1"/>
  <c r="F156" i="1"/>
  <c r="F157" i="1"/>
  <c r="CK90" i="1"/>
  <c r="CB179" i="1"/>
  <c r="FX212" i="1"/>
  <c r="CL90" i="1"/>
  <c r="CC179" i="1"/>
  <c r="FY212" i="1"/>
  <c r="CM90" i="1"/>
  <c r="CD179" i="1"/>
  <c r="FZ212" i="1"/>
  <c r="CE179" i="1"/>
  <c r="GA212" i="1"/>
  <c r="CF179" i="1"/>
  <c r="GB212" i="1"/>
  <c r="CG179" i="1"/>
  <c r="GC212" i="1"/>
  <c r="CH179" i="1"/>
  <c r="GD212" i="1"/>
  <c r="CI179" i="1"/>
  <c r="GE212" i="1"/>
  <c r="CJ179" i="1"/>
  <c r="GF212" i="1"/>
  <c r="CK179" i="1"/>
  <c r="GG212" i="1"/>
  <c r="CL179" i="1"/>
  <c r="GH212" i="1"/>
  <c r="CM179" i="1"/>
  <c r="GI212" i="1"/>
  <c r="CN179" i="1"/>
  <c r="GJ212" i="1"/>
  <c r="CO179" i="1"/>
  <c r="GK212" i="1"/>
  <c r="CP179" i="1"/>
  <c r="GL212" i="1"/>
  <c r="BP180" i="1"/>
  <c r="FL213" i="1"/>
  <c r="BQ180" i="1"/>
  <c r="FM213" i="1"/>
  <c r="BR180" i="1"/>
  <c r="FN213" i="1"/>
  <c r="BS180" i="1"/>
  <c r="FO213" i="1"/>
  <c r="BT180" i="1"/>
  <c r="FP213" i="1"/>
  <c r="BU180" i="1"/>
  <c r="FQ213" i="1"/>
  <c r="BV180" i="1"/>
  <c r="FR213" i="1"/>
  <c r="BW180" i="1"/>
  <c r="FS213" i="1"/>
  <c r="BX180" i="1"/>
  <c r="FT213" i="1"/>
  <c r="CN83" i="1"/>
  <c r="CN89" i="1"/>
  <c r="BY180" i="1"/>
  <c r="FU213" i="1"/>
  <c r="CO83" i="1"/>
  <c r="CO89" i="1"/>
  <c r="BZ180" i="1"/>
  <c r="FV213" i="1"/>
  <c r="CP83" i="1"/>
  <c r="CP89" i="1"/>
  <c r="CA180" i="1"/>
  <c r="FW213" i="1"/>
  <c r="CN90" i="1"/>
  <c r="CB180" i="1"/>
  <c r="FX213" i="1"/>
  <c r="CO90" i="1"/>
  <c r="CC180" i="1"/>
  <c r="FY213" i="1"/>
  <c r="CP90" i="1"/>
  <c r="CD180" i="1"/>
  <c r="FZ213" i="1"/>
  <c r="CE180" i="1"/>
  <c r="GA213" i="1"/>
  <c r="CF180" i="1"/>
  <c r="GB213" i="1"/>
  <c r="CG180" i="1"/>
  <c r="GC213" i="1"/>
  <c r="CH180" i="1"/>
  <c r="GD213" i="1"/>
  <c r="CI180" i="1"/>
  <c r="GE213" i="1"/>
  <c r="CJ180" i="1"/>
  <c r="GF213" i="1"/>
  <c r="CK180" i="1"/>
  <c r="GG213" i="1"/>
  <c r="CL180" i="1"/>
  <c r="GH213" i="1"/>
  <c r="CM180" i="1"/>
  <c r="GI213" i="1"/>
  <c r="CN180" i="1"/>
  <c r="GJ213" i="1"/>
  <c r="CO180" i="1"/>
  <c r="GK213" i="1"/>
  <c r="CP180" i="1"/>
  <c r="GL213" i="1"/>
  <c r="BP181" i="1"/>
  <c r="FL214" i="1"/>
  <c r="BQ181" i="1"/>
  <c r="FM214" i="1"/>
  <c r="BR181" i="1"/>
  <c r="FN214" i="1"/>
  <c r="BS181" i="1"/>
  <c r="FO214" i="1"/>
  <c r="BT181" i="1"/>
  <c r="FP214" i="1"/>
  <c r="BU181" i="1"/>
  <c r="FQ214" i="1"/>
  <c r="BV181" i="1"/>
  <c r="FR214" i="1"/>
  <c r="BW181" i="1"/>
  <c r="FS214" i="1"/>
  <c r="BX181" i="1"/>
  <c r="FT214" i="1"/>
  <c r="CQ83" i="1"/>
  <c r="CQ89" i="1"/>
  <c r="BY181" i="1"/>
  <c r="FU214" i="1"/>
  <c r="CR83" i="1"/>
  <c r="CR89" i="1"/>
  <c r="BZ181" i="1"/>
  <c r="FV214" i="1"/>
  <c r="CS83" i="1"/>
  <c r="CS89" i="1"/>
  <c r="CA181" i="1"/>
  <c r="FW214" i="1"/>
  <c r="CQ90" i="1"/>
  <c r="CB181" i="1"/>
  <c r="FX214" i="1"/>
  <c r="CR90" i="1"/>
  <c r="CC181" i="1"/>
  <c r="FY214" i="1"/>
  <c r="CS90" i="1"/>
  <c r="CD181" i="1"/>
  <c r="FZ214" i="1"/>
  <c r="CE181" i="1"/>
  <c r="GA214" i="1"/>
  <c r="CF181" i="1"/>
  <c r="GB214" i="1"/>
  <c r="CG181" i="1"/>
  <c r="GC214" i="1"/>
  <c r="CH181" i="1"/>
  <c r="GD214" i="1"/>
  <c r="CI181" i="1"/>
  <c r="GE214" i="1"/>
  <c r="CJ181" i="1"/>
  <c r="GF214" i="1"/>
  <c r="CK181" i="1"/>
  <c r="GG214" i="1"/>
  <c r="CL181" i="1"/>
  <c r="GH214" i="1"/>
  <c r="CM181" i="1"/>
  <c r="GI214" i="1"/>
  <c r="CN181" i="1"/>
  <c r="GJ214" i="1"/>
  <c r="CO181" i="1"/>
  <c r="GK214" i="1"/>
  <c r="CP181" i="1"/>
  <c r="GL214" i="1"/>
  <c r="BP182" i="1"/>
  <c r="FL215" i="1"/>
  <c r="BQ182" i="1"/>
  <c r="FM215" i="1"/>
  <c r="BR182" i="1"/>
  <c r="FN215" i="1"/>
  <c r="BS182" i="1"/>
  <c r="FO215" i="1"/>
  <c r="BT182" i="1"/>
  <c r="FP215" i="1"/>
  <c r="BU182" i="1"/>
  <c r="FQ215" i="1"/>
  <c r="BV182" i="1"/>
  <c r="FR215" i="1"/>
  <c r="BW182" i="1"/>
  <c r="FS215" i="1"/>
  <c r="BX182" i="1"/>
  <c r="FT215" i="1"/>
  <c r="B84" i="1"/>
  <c r="C84" i="1"/>
  <c r="D84" i="1"/>
  <c r="T84" i="1"/>
  <c r="U84" i="1"/>
  <c r="V84" i="1"/>
  <c r="B93" i="1"/>
  <c r="AC84" i="1"/>
  <c r="C93" i="1"/>
  <c r="AD84" i="1"/>
  <c r="D93" i="1"/>
  <c r="AE84" i="1"/>
  <c r="AF84" i="1"/>
  <c r="AG84" i="1"/>
  <c r="AH84" i="1"/>
  <c r="AI84" i="1"/>
  <c r="AJ84" i="1"/>
  <c r="AK84" i="1"/>
  <c r="K93" i="1"/>
  <c r="AL84" i="1"/>
  <c r="L93" i="1"/>
  <c r="AM84" i="1"/>
  <c r="M93" i="1"/>
  <c r="AN84" i="1"/>
  <c r="AO84" i="1"/>
  <c r="AP84" i="1"/>
  <c r="AQ84" i="1"/>
  <c r="AR84" i="1"/>
  <c r="AS84" i="1"/>
  <c r="AT84" i="1"/>
  <c r="T93" i="1"/>
  <c r="AU84" i="1"/>
  <c r="U93" i="1"/>
  <c r="AV84" i="1"/>
  <c r="V93" i="1"/>
  <c r="AW84" i="1"/>
  <c r="AX84" i="1"/>
  <c r="AY84" i="1"/>
  <c r="AZ84" i="1"/>
  <c r="BA84" i="1"/>
  <c r="BB84" i="1"/>
  <c r="BC84" i="1"/>
  <c r="B102" i="1"/>
  <c r="BD84" i="1"/>
  <c r="C102" i="1"/>
  <c r="BE84" i="1"/>
  <c r="D102" i="1"/>
  <c r="BF84" i="1"/>
  <c r="BG84" i="1"/>
  <c r="BH84" i="1"/>
  <c r="BI84" i="1"/>
  <c r="BJ84" i="1"/>
  <c r="BK84" i="1"/>
  <c r="BL84" i="1"/>
  <c r="K102" i="1"/>
  <c r="BM84" i="1"/>
  <c r="L102" i="1"/>
  <c r="BN84" i="1"/>
  <c r="M102" i="1"/>
  <c r="BO84" i="1"/>
  <c r="BP84" i="1"/>
  <c r="BQ84" i="1"/>
  <c r="BR84" i="1"/>
  <c r="BS84" i="1"/>
  <c r="BT84" i="1"/>
  <c r="BU84" i="1"/>
  <c r="BV84" i="1"/>
  <c r="BW84" i="1"/>
  <c r="BX84" i="1"/>
  <c r="BY84" i="1"/>
  <c r="BZ84" i="1"/>
  <c r="CA84" i="1"/>
  <c r="CB84" i="1"/>
  <c r="CC84" i="1"/>
  <c r="CD84" i="1"/>
  <c r="CK84" i="1"/>
  <c r="BY182" i="1"/>
  <c r="FU215" i="1"/>
  <c r="CL84" i="1"/>
  <c r="BZ182" i="1"/>
  <c r="FV215" i="1"/>
  <c r="CM84" i="1"/>
  <c r="CA182" i="1"/>
  <c r="FW215" i="1"/>
  <c r="CB182" i="1"/>
  <c r="FX215" i="1"/>
  <c r="CC182" i="1"/>
  <c r="FY215" i="1"/>
  <c r="CD182" i="1"/>
  <c r="FZ215" i="1"/>
  <c r="CE182" i="1"/>
  <c r="GA215" i="1"/>
  <c r="CF182" i="1"/>
  <c r="GB215" i="1"/>
  <c r="CG182" i="1"/>
  <c r="GC215" i="1"/>
  <c r="CH182" i="1"/>
  <c r="GD215" i="1"/>
  <c r="CI182" i="1"/>
  <c r="GE215" i="1"/>
  <c r="CJ182" i="1"/>
  <c r="GF215" i="1"/>
  <c r="CK182" i="1"/>
  <c r="GG215" i="1"/>
  <c r="CL182" i="1"/>
  <c r="GH215" i="1"/>
  <c r="CM182" i="1"/>
  <c r="GI215" i="1"/>
  <c r="CN182" i="1"/>
  <c r="GJ215" i="1"/>
  <c r="CO182" i="1"/>
  <c r="GK215" i="1"/>
  <c r="CP182" i="1"/>
  <c r="GL215" i="1"/>
  <c r="BP183" i="1"/>
  <c r="FL216" i="1"/>
  <c r="BQ183" i="1"/>
  <c r="FM216" i="1"/>
  <c r="BR183" i="1"/>
  <c r="FN216" i="1"/>
  <c r="BS183" i="1"/>
  <c r="FO216" i="1"/>
  <c r="BT183" i="1"/>
  <c r="FP216" i="1"/>
  <c r="BU183" i="1"/>
  <c r="FQ216" i="1"/>
  <c r="BV183" i="1"/>
  <c r="FR216" i="1"/>
  <c r="BW183" i="1"/>
  <c r="FS216" i="1"/>
  <c r="BX183" i="1"/>
  <c r="FT216" i="1"/>
  <c r="CN84" i="1"/>
  <c r="BY183" i="1"/>
  <c r="FU216" i="1"/>
  <c r="CO84" i="1"/>
  <c r="BZ183" i="1"/>
  <c r="FV216" i="1"/>
  <c r="CP84" i="1"/>
  <c r="CA183" i="1"/>
  <c r="FW216" i="1"/>
  <c r="CB183" i="1"/>
  <c r="FX216" i="1"/>
  <c r="CC183" i="1"/>
  <c r="FY216" i="1"/>
  <c r="CD183" i="1"/>
  <c r="FZ216" i="1"/>
  <c r="CE183" i="1"/>
  <c r="GA216" i="1"/>
  <c r="CF183" i="1"/>
  <c r="GB216" i="1"/>
  <c r="CG183" i="1"/>
  <c r="GC216" i="1"/>
  <c r="CH183" i="1"/>
  <c r="GD216" i="1"/>
  <c r="CI183" i="1"/>
  <c r="GE216" i="1"/>
  <c r="CJ183" i="1"/>
  <c r="GF216" i="1"/>
  <c r="CK183" i="1"/>
  <c r="GG216" i="1"/>
  <c r="CL183" i="1"/>
  <c r="GH216" i="1"/>
  <c r="CM183" i="1"/>
  <c r="GI216" i="1"/>
  <c r="CN183" i="1"/>
  <c r="GJ216" i="1"/>
  <c r="CO183" i="1"/>
  <c r="GK216" i="1"/>
  <c r="CP183" i="1"/>
  <c r="GL216" i="1"/>
  <c r="BP184" i="1"/>
  <c r="FL217" i="1"/>
  <c r="BQ184" i="1"/>
  <c r="FM217" i="1"/>
  <c r="BR184" i="1"/>
  <c r="FN217" i="1"/>
  <c r="BS184" i="1"/>
  <c r="FO217" i="1"/>
  <c r="BT184" i="1"/>
  <c r="FP217" i="1"/>
  <c r="BU184" i="1"/>
  <c r="FQ217" i="1"/>
  <c r="BV184" i="1"/>
  <c r="FR217" i="1"/>
  <c r="BW184" i="1"/>
  <c r="FS217" i="1"/>
  <c r="BX184" i="1"/>
  <c r="FT217" i="1"/>
  <c r="CQ84" i="1"/>
  <c r="BY184" i="1"/>
  <c r="FU217" i="1"/>
  <c r="CR84" i="1"/>
  <c r="BZ184" i="1"/>
  <c r="FV217" i="1"/>
  <c r="CS84" i="1"/>
  <c r="CA184" i="1"/>
  <c r="FW217" i="1"/>
  <c r="CB184" i="1"/>
  <c r="FX217" i="1"/>
  <c r="CC184" i="1"/>
  <c r="FY217" i="1"/>
  <c r="CD184" i="1"/>
  <c r="FZ217" i="1"/>
  <c r="CE184" i="1"/>
  <c r="GA217" i="1"/>
  <c r="CF184" i="1"/>
  <c r="GB217" i="1"/>
  <c r="CG184" i="1"/>
  <c r="GC217" i="1"/>
  <c r="CH184" i="1"/>
  <c r="GD217" i="1"/>
  <c r="CI184" i="1"/>
  <c r="GE217" i="1"/>
  <c r="CJ184" i="1"/>
  <c r="GF217" i="1"/>
  <c r="CK184" i="1"/>
  <c r="GG217" i="1"/>
  <c r="CL184" i="1"/>
  <c r="GH217" i="1"/>
  <c r="CM184" i="1"/>
  <c r="GI217" i="1"/>
  <c r="CN184" i="1"/>
  <c r="GJ217" i="1"/>
  <c r="CO184" i="1"/>
  <c r="GK217" i="1"/>
  <c r="CP184" i="1"/>
  <c r="GL217" i="1"/>
  <c r="BP185" i="1"/>
  <c r="FL218" i="1"/>
  <c r="BQ185" i="1"/>
  <c r="FM218" i="1"/>
  <c r="BR185" i="1"/>
  <c r="FN218" i="1"/>
  <c r="BS185" i="1"/>
  <c r="FO218" i="1"/>
  <c r="BT185" i="1"/>
  <c r="FP218" i="1"/>
  <c r="BU185" i="1"/>
  <c r="FQ218" i="1"/>
  <c r="CK85" i="1"/>
  <c r="D78" i="1"/>
  <c r="D79" i="1"/>
  <c r="D87" i="1"/>
  <c r="D88" i="1"/>
  <c r="D96" i="1"/>
  <c r="D97" i="1"/>
  <c r="D104" i="1"/>
  <c r="D105" i="1"/>
  <c r="D106" i="1"/>
  <c r="D107" i="1"/>
  <c r="D108" i="1"/>
  <c r="D109" i="1"/>
  <c r="D110" i="1"/>
  <c r="D111" i="1"/>
  <c r="D112" i="1"/>
  <c r="D113" i="1"/>
  <c r="M87" i="1"/>
  <c r="D114" i="1"/>
  <c r="M88" i="1"/>
  <c r="D115" i="1"/>
  <c r="D116" i="1"/>
  <c r="D117" i="1"/>
  <c r="D118" i="1"/>
  <c r="D119" i="1"/>
  <c r="D120" i="1"/>
  <c r="D121" i="1"/>
  <c r="D122" i="1"/>
  <c r="M96" i="1"/>
  <c r="D123" i="1"/>
  <c r="M97" i="1"/>
  <c r="D124" i="1"/>
  <c r="D125" i="1"/>
  <c r="D126" i="1"/>
  <c r="D127" i="1"/>
  <c r="D128" i="1"/>
  <c r="D129" i="1"/>
  <c r="D130" i="1"/>
  <c r="D131" i="1"/>
  <c r="V78" i="1"/>
  <c r="D132" i="1"/>
  <c r="V79" i="1"/>
  <c r="D133" i="1"/>
  <c r="D134" i="1"/>
  <c r="D135" i="1"/>
  <c r="D136" i="1"/>
  <c r="D137" i="1"/>
  <c r="D138" i="1"/>
  <c r="D139" i="1"/>
  <c r="D140" i="1"/>
  <c r="V87" i="1"/>
  <c r="D141" i="1"/>
  <c r="V88" i="1"/>
  <c r="D142" i="1"/>
  <c r="D143" i="1"/>
  <c r="D144" i="1"/>
  <c r="D145" i="1"/>
  <c r="D146" i="1"/>
  <c r="D147" i="1"/>
  <c r="D148" i="1"/>
  <c r="D149" i="1"/>
  <c r="D150" i="1"/>
  <c r="D151" i="1"/>
  <c r="D152" i="1"/>
  <c r="D153" i="1"/>
  <c r="D154" i="1"/>
  <c r="D155" i="1"/>
  <c r="D156" i="1"/>
  <c r="D157" i="1"/>
  <c r="CK88" i="1"/>
  <c r="BV185" i="1"/>
  <c r="FR218" i="1"/>
  <c r="CL85" i="1"/>
  <c r="CL88" i="1"/>
  <c r="BW185" i="1"/>
  <c r="FS218" i="1"/>
  <c r="CM85" i="1"/>
  <c r="CM88" i="1"/>
  <c r="BX185" i="1"/>
  <c r="FT218" i="1"/>
  <c r="BY185" i="1"/>
  <c r="FU218" i="1"/>
  <c r="BZ185" i="1"/>
  <c r="FV218" i="1"/>
  <c r="CA185" i="1"/>
  <c r="FW218" i="1"/>
  <c r="CB185" i="1"/>
  <c r="FX218" i="1"/>
  <c r="CC185" i="1"/>
  <c r="FY218" i="1"/>
  <c r="CD185" i="1"/>
  <c r="FZ218" i="1"/>
  <c r="CE185" i="1"/>
  <c r="GA218" i="1"/>
  <c r="CF185" i="1"/>
  <c r="GB218" i="1"/>
  <c r="CG185" i="1"/>
  <c r="GC218" i="1"/>
  <c r="CH185" i="1"/>
  <c r="GD218" i="1"/>
  <c r="CI185" i="1"/>
  <c r="GE218" i="1"/>
  <c r="CJ185" i="1"/>
  <c r="GF218" i="1"/>
  <c r="CK185" i="1"/>
  <c r="GG218" i="1"/>
  <c r="CL185" i="1"/>
  <c r="GH218" i="1"/>
  <c r="CM185" i="1"/>
  <c r="GI218" i="1"/>
  <c r="CN185" i="1"/>
  <c r="GJ218" i="1"/>
  <c r="CO185" i="1"/>
  <c r="GK218" i="1"/>
  <c r="CP185" i="1"/>
  <c r="GL218" i="1"/>
  <c r="BP186" i="1"/>
  <c r="FL219" i="1"/>
  <c r="BQ186" i="1"/>
  <c r="FM219" i="1"/>
  <c r="BR186" i="1"/>
  <c r="FN219" i="1"/>
  <c r="BS186" i="1"/>
  <c r="FO219" i="1"/>
  <c r="BT186" i="1"/>
  <c r="FP219" i="1"/>
  <c r="BU186" i="1"/>
  <c r="FQ219" i="1"/>
  <c r="CN85" i="1"/>
  <c r="CN88" i="1"/>
  <c r="BV186" i="1"/>
  <c r="FR219" i="1"/>
  <c r="CO85" i="1"/>
  <c r="CO88" i="1"/>
  <c r="BW186" i="1"/>
  <c r="FS219" i="1"/>
  <c r="CP85" i="1"/>
  <c r="CP88" i="1"/>
  <c r="BX186" i="1"/>
  <c r="FT219" i="1"/>
  <c r="BY186" i="1"/>
  <c r="FU219" i="1"/>
  <c r="BZ186" i="1"/>
  <c r="FV219" i="1"/>
  <c r="CA186" i="1"/>
  <c r="FW219" i="1"/>
  <c r="CB186" i="1"/>
  <c r="FX219" i="1"/>
  <c r="CC186" i="1"/>
  <c r="FY219" i="1"/>
  <c r="CD186" i="1"/>
  <c r="FZ219" i="1"/>
  <c r="CE186" i="1"/>
  <c r="GA219" i="1"/>
  <c r="CF186" i="1"/>
  <c r="GB219" i="1"/>
  <c r="CG186" i="1"/>
  <c r="GC219" i="1"/>
  <c r="CH186" i="1"/>
  <c r="GD219" i="1"/>
  <c r="CI186" i="1"/>
  <c r="GE219" i="1"/>
  <c r="CJ186" i="1"/>
  <c r="GF219" i="1"/>
  <c r="CK186" i="1"/>
  <c r="GG219" i="1"/>
  <c r="CL186" i="1"/>
  <c r="GH219" i="1"/>
  <c r="CM186" i="1"/>
  <c r="GI219" i="1"/>
  <c r="CN186" i="1"/>
  <c r="GJ219" i="1"/>
  <c r="CO186" i="1"/>
  <c r="GK219" i="1"/>
  <c r="CP186" i="1"/>
  <c r="GL219" i="1"/>
  <c r="BP187" i="1"/>
  <c r="FL220" i="1"/>
  <c r="BQ187" i="1"/>
  <c r="FM220" i="1"/>
  <c r="BR187" i="1"/>
  <c r="FN220" i="1"/>
  <c r="BS187" i="1"/>
  <c r="FO220" i="1"/>
  <c r="BT187" i="1"/>
  <c r="FP220" i="1"/>
  <c r="BU187" i="1"/>
  <c r="FQ220" i="1"/>
  <c r="CQ85" i="1"/>
  <c r="CQ88" i="1"/>
  <c r="BV187" i="1"/>
  <c r="FR220" i="1"/>
  <c r="CR85" i="1"/>
  <c r="CR88" i="1"/>
  <c r="BW187" i="1"/>
  <c r="FS220" i="1"/>
  <c r="CS88" i="1"/>
  <c r="BX187" i="1"/>
  <c r="FT220" i="1"/>
  <c r="BY187" i="1"/>
  <c r="FU220" i="1"/>
  <c r="BZ187" i="1"/>
  <c r="FV220" i="1"/>
  <c r="CA187" i="1"/>
  <c r="FW220" i="1"/>
  <c r="CB187" i="1"/>
  <c r="FX220" i="1"/>
  <c r="CC187" i="1"/>
  <c r="FY220" i="1"/>
  <c r="CD187" i="1"/>
  <c r="FZ220" i="1"/>
  <c r="CE187" i="1"/>
  <c r="GA220" i="1"/>
  <c r="CF187" i="1"/>
  <c r="GB220" i="1"/>
  <c r="CG187" i="1"/>
  <c r="GC220" i="1"/>
  <c r="CH187" i="1"/>
  <c r="GD220" i="1"/>
  <c r="CI187" i="1"/>
  <c r="GE220" i="1"/>
  <c r="CJ187" i="1"/>
  <c r="GF220" i="1"/>
  <c r="CK187" i="1"/>
  <c r="GG220" i="1"/>
  <c r="CL187" i="1"/>
  <c r="GH220" i="1"/>
  <c r="CM187" i="1"/>
  <c r="GI220" i="1"/>
  <c r="CN187" i="1"/>
  <c r="GJ220" i="1"/>
  <c r="CO187" i="1"/>
  <c r="GK220" i="1"/>
  <c r="FN294" i="1"/>
  <c r="FQ294" i="1"/>
  <c r="FT294" i="1"/>
  <c r="FW294" i="1"/>
  <c r="FZ294" i="1"/>
  <c r="GC294" i="1"/>
  <c r="GF294" i="1"/>
  <c r="GI294" i="1"/>
  <c r="GL294" i="1"/>
  <c r="GL297" i="1"/>
  <c r="GL300" i="1"/>
  <c r="GL303" i="1"/>
  <c r="GL306" i="1"/>
  <c r="GL309" i="1"/>
  <c r="GL312" i="1"/>
  <c r="GL315" i="1"/>
  <c r="GL318" i="1"/>
  <c r="AN107" i="1"/>
  <c r="EJ140" i="1"/>
  <c r="AN108" i="1"/>
  <c r="EJ141" i="1"/>
  <c r="AN109" i="1"/>
  <c r="EJ142" i="1"/>
  <c r="AN110" i="1"/>
  <c r="EJ143" i="1"/>
  <c r="AN111" i="1"/>
  <c r="EJ144" i="1"/>
  <c r="AN112" i="1"/>
  <c r="EJ145" i="1"/>
  <c r="AN113" i="1"/>
  <c r="EJ146" i="1"/>
  <c r="AN114" i="1"/>
  <c r="EJ147" i="1"/>
  <c r="AN115" i="1"/>
  <c r="EJ148" i="1"/>
  <c r="AN116" i="1"/>
  <c r="EJ149" i="1"/>
  <c r="AN117" i="1"/>
  <c r="EJ150" i="1"/>
  <c r="AN118" i="1"/>
  <c r="EJ151" i="1"/>
  <c r="AN119" i="1"/>
  <c r="EJ152" i="1"/>
  <c r="AN120" i="1"/>
  <c r="EJ153" i="1"/>
  <c r="AN121" i="1"/>
  <c r="EJ154" i="1"/>
  <c r="AN122" i="1"/>
  <c r="EJ155" i="1"/>
  <c r="AN123" i="1"/>
  <c r="EJ156" i="1"/>
  <c r="AN124" i="1"/>
  <c r="EJ157" i="1"/>
  <c r="AN125" i="1"/>
  <c r="EJ158" i="1"/>
  <c r="AN126" i="1"/>
  <c r="EJ159" i="1"/>
  <c r="AN127" i="1"/>
  <c r="EJ160" i="1"/>
  <c r="AN128" i="1"/>
  <c r="EJ161" i="1"/>
  <c r="AN129" i="1"/>
  <c r="EJ162" i="1"/>
  <c r="AN130" i="1"/>
  <c r="EJ163" i="1"/>
  <c r="AN131" i="1"/>
  <c r="EJ164" i="1"/>
  <c r="AN132" i="1"/>
  <c r="EJ165" i="1"/>
  <c r="AN133" i="1"/>
  <c r="EJ166" i="1"/>
  <c r="AN134" i="1"/>
  <c r="EJ167" i="1"/>
  <c r="AN135" i="1"/>
  <c r="EJ168" i="1"/>
  <c r="AN136" i="1"/>
  <c r="EJ169" i="1"/>
  <c r="AN137" i="1"/>
  <c r="EJ170" i="1"/>
  <c r="AN138" i="1"/>
  <c r="EJ171" i="1"/>
  <c r="AN139" i="1"/>
  <c r="EJ172" i="1"/>
  <c r="AN140" i="1"/>
  <c r="EJ173" i="1"/>
  <c r="AN141" i="1"/>
  <c r="EJ174" i="1"/>
  <c r="AN142" i="1"/>
  <c r="EJ175" i="1"/>
  <c r="AN143" i="1"/>
  <c r="EJ176" i="1"/>
  <c r="AN144" i="1"/>
  <c r="EJ177" i="1"/>
  <c r="AN145" i="1"/>
  <c r="EJ178" i="1"/>
  <c r="AN146" i="1"/>
  <c r="EJ179" i="1"/>
  <c r="AN147" i="1"/>
  <c r="EJ180" i="1"/>
  <c r="AN148" i="1"/>
  <c r="EJ181" i="1"/>
  <c r="AN149" i="1"/>
  <c r="EJ182" i="1"/>
  <c r="AN150" i="1"/>
  <c r="EJ183" i="1"/>
  <c r="AN151" i="1"/>
  <c r="EJ184" i="1"/>
  <c r="AN152" i="1"/>
  <c r="EJ185" i="1"/>
  <c r="AN153" i="1"/>
  <c r="EJ186" i="1"/>
  <c r="AN154" i="1"/>
  <c r="EJ187" i="1"/>
  <c r="AN155" i="1"/>
  <c r="EJ188" i="1"/>
  <c r="AN156" i="1"/>
  <c r="EJ189" i="1"/>
  <c r="AN157" i="1"/>
  <c r="EJ190" i="1"/>
  <c r="AN158" i="1"/>
  <c r="EJ191" i="1"/>
  <c r="AN159" i="1"/>
  <c r="EJ192" i="1"/>
  <c r="AN160" i="1"/>
  <c r="EJ193" i="1"/>
  <c r="AN161" i="1"/>
  <c r="EJ194" i="1"/>
  <c r="AN162" i="1"/>
  <c r="EJ195" i="1"/>
  <c r="AN163" i="1"/>
  <c r="EJ196" i="1"/>
  <c r="AN164" i="1"/>
  <c r="EJ197" i="1"/>
  <c r="AN165" i="1"/>
  <c r="EJ198" i="1"/>
  <c r="AN166" i="1"/>
  <c r="EJ199" i="1"/>
  <c r="AN167" i="1"/>
  <c r="EJ200" i="1"/>
  <c r="AN168" i="1"/>
  <c r="EJ201" i="1"/>
  <c r="AN169" i="1"/>
  <c r="EJ202" i="1"/>
  <c r="AN170" i="1"/>
  <c r="EJ203" i="1"/>
  <c r="AN171" i="1"/>
  <c r="EJ204" i="1"/>
  <c r="AN172" i="1"/>
  <c r="EJ205" i="1"/>
  <c r="AN173" i="1"/>
  <c r="EJ206" i="1"/>
  <c r="AN174" i="1"/>
  <c r="EJ207" i="1"/>
  <c r="AN175" i="1"/>
  <c r="EJ208" i="1"/>
  <c r="AN176" i="1"/>
  <c r="EJ209" i="1"/>
  <c r="AN177" i="1"/>
  <c r="EJ210" i="1"/>
  <c r="AN178" i="1"/>
  <c r="EJ211" i="1"/>
  <c r="AN179" i="1"/>
  <c r="EJ212" i="1"/>
  <c r="AN180" i="1"/>
  <c r="EJ213" i="1"/>
  <c r="AN181" i="1"/>
  <c r="EJ214" i="1"/>
  <c r="AN182" i="1"/>
  <c r="EJ215" i="1"/>
  <c r="AN183" i="1"/>
  <c r="EJ216" i="1"/>
  <c r="AN184" i="1"/>
  <c r="EJ217" i="1"/>
  <c r="AN185" i="1"/>
  <c r="EJ218" i="1"/>
  <c r="AN186" i="1"/>
  <c r="EJ219" i="1"/>
  <c r="AN187" i="1"/>
  <c r="EJ220" i="1"/>
  <c r="EJ224" i="1"/>
  <c r="BO107" i="1"/>
  <c r="FK140" i="1"/>
  <c r="BO108" i="1"/>
  <c r="FK141" i="1"/>
  <c r="BO109" i="1"/>
  <c r="FK142" i="1"/>
  <c r="BO110" i="1"/>
  <c r="FK143" i="1"/>
  <c r="BO111" i="1"/>
  <c r="FK144" i="1"/>
  <c r="BO112" i="1"/>
  <c r="FK145" i="1"/>
  <c r="B79" i="1"/>
  <c r="C79" i="1"/>
  <c r="T79" i="1"/>
  <c r="U79" i="1"/>
  <c r="B88" i="1"/>
  <c r="AC79" i="1"/>
  <c r="C88" i="1"/>
  <c r="AD79" i="1"/>
  <c r="AE79" i="1"/>
  <c r="AF79" i="1"/>
  <c r="AG79" i="1"/>
  <c r="AH79" i="1"/>
  <c r="AI79" i="1"/>
  <c r="AJ79" i="1"/>
  <c r="AK79" i="1"/>
  <c r="K88" i="1"/>
  <c r="AL79" i="1"/>
  <c r="L88" i="1"/>
  <c r="AM79" i="1"/>
  <c r="AN79" i="1"/>
  <c r="AO79" i="1"/>
  <c r="AP79" i="1"/>
  <c r="AQ79" i="1"/>
  <c r="AR79" i="1"/>
  <c r="AS79" i="1"/>
  <c r="AT79" i="1"/>
  <c r="T88" i="1"/>
  <c r="AU79" i="1"/>
  <c r="U88" i="1"/>
  <c r="AV79" i="1"/>
  <c r="AW79" i="1"/>
  <c r="AX79" i="1"/>
  <c r="AY79" i="1"/>
  <c r="AZ79" i="1"/>
  <c r="BA79" i="1"/>
  <c r="BB79" i="1"/>
  <c r="BC79" i="1"/>
  <c r="B97" i="1"/>
  <c r="BD79" i="1"/>
  <c r="C97" i="1"/>
  <c r="BE79" i="1"/>
  <c r="BF79" i="1"/>
  <c r="BG79" i="1"/>
  <c r="BH79" i="1"/>
  <c r="BI79" i="1"/>
  <c r="BJ79" i="1"/>
  <c r="BK79" i="1"/>
  <c r="BL79" i="1"/>
  <c r="K97" i="1"/>
  <c r="BM79" i="1"/>
  <c r="L97" i="1"/>
  <c r="BN79" i="1"/>
  <c r="BO79" i="1"/>
  <c r="BP79" i="1"/>
  <c r="BQ79" i="1"/>
  <c r="BR79" i="1"/>
  <c r="BS79" i="1"/>
  <c r="BT79" i="1"/>
  <c r="BU79" i="1"/>
  <c r="BV79" i="1"/>
  <c r="BW79" i="1"/>
  <c r="BX79" i="1"/>
  <c r="BY79" i="1"/>
  <c r="BZ79" i="1"/>
  <c r="CA79" i="1"/>
  <c r="CB79" i="1"/>
  <c r="CC79" i="1"/>
  <c r="CD79" i="1"/>
  <c r="CM79" i="1"/>
  <c r="BO113" i="1"/>
  <c r="FK146" i="1"/>
  <c r="CP79" i="1"/>
  <c r="CP96" i="1"/>
  <c r="BO114" i="1"/>
  <c r="FK147" i="1"/>
  <c r="CS79" i="1"/>
  <c r="CS96" i="1"/>
  <c r="BO115" i="1"/>
  <c r="FK148" i="1"/>
  <c r="BO116" i="1"/>
  <c r="FK149" i="1"/>
  <c r="BO117" i="1"/>
  <c r="FK150" i="1"/>
  <c r="BO118" i="1"/>
  <c r="FK151" i="1"/>
  <c r="BO119" i="1"/>
  <c r="FK152" i="1"/>
  <c r="BO120" i="1"/>
  <c r="FK153" i="1"/>
  <c r="BO121" i="1"/>
  <c r="FK154" i="1"/>
  <c r="BO122" i="1"/>
  <c r="FK155" i="1"/>
  <c r="BO123" i="1"/>
  <c r="FK156" i="1"/>
  <c r="BO124" i="1"/>
  <c r="FK157" i="1"/>
  <c r="BO125" i="1"/>
  <c r="FK158" i="1"/>
  <c r="BO126" i="1"/>
  <c r="FK159" i="1"/>
  <c r="BO127" i="1"/>
  <c r="FK160" i="1"/>
  <c r="BO128" i="1"/>
  <c r="FK161" i="1"/>
  <c r="BO129" i="1"/>
  <c r="FK162" i="1"/>
  <c r="BO130" i="1"/>
  <c r="FK163" i="1"/>
  <c r="BO131" i="1"/>
  <c r="FK164" i="1"/>
  <c r="BO132" i="1"/>
  <c r="FK165" i="1"/>
  <c r="BO133" i="1"/>
  <c r="FK166" i="1"/>
  <c r="BO134" i="1"/>
  <c r="FK167" i="1"/>
  <c r="BO135" i="1"/>
  <c r="FK168" i="1"/>
  <c r="BO136" i="1"/>
  <c r="FK169" i="1"/>
  <c r="BO137" i="1"/>
  <c r="FK170" i="1"/>
  <c r="BO138" i="1"/>
  <c r="FK171" i="1"/>
  <c r="BO139" i="1"/>
  <c r="FK172" i="1"/>
  <c r="BO140" i="1"/>
  <c r="FK173" i="1"/>
  <c r="BO141" i="1"/>
  <c r="FK174" i="1"/>
  <c r="BO142" i="1"/>
  <c r="FK175" i="1"/>
  <c r="BO143" i="1"/>
  <c r="FK176" i="1"/>
  <c r="BO144" i="1"/>
  <c r="FK177" i="1"/>
  <c r="BO145" i="1"/>
  <c r="FK178" i="1"/>
  <c r="K87" i="1"/>
  <c r="L87" i="1"/>
  <c r="CM99" i="1"/>
  <c r="BO146" i="1"/>
  <c r="FK179" i="1"/>
  <c r="CP99" i="1"/>
  <c r="BO147" i="1"/>
  <c r="FK180" i="1"/>
  <c r="CS99" i="1"/>
  <c r="BO148" i="1"/>
  <c r="FK181" i="1"/>
  <c r="BO149" i="1"/>
  <c r="FK182" i="1"/>
  <c r="BO150" i="1"/>
  <c r="FK183" i="1"/>
  <c r="BO151" i="1"/>
  <c r="FK184" i="1"/>
  <c r="BO152" i="1"/>
  <c r="FK185" i="1"/>
  <c r="BO153" i="1"/>
  <c r="FK186" i="1"/>
  <c r="BO154" i="1"/>
  <c r="FK187" i="1"/>
  <c r="BO155" i="1"/>
  <c r="FK188" i="1"/>
  <c r="BO156" i="1"/>
  <c r="FK189" i="1"/>
  <c r="BO157" i="1"/>
  <c r="FK190" i="1"/>
  <c r="BO158" i="1"/>
  <c r="FK191" i="1"/>
  <c r="BO159" i="1"/>
  <c r="FK192" i="1"/>
  <c r="BO160" i="1"/>
  <c r="FK193" i="1"/>
  <c r="BO161" i="1"/>
  <c r="FK194" i="1"/>
  <c r="BO162" i="1"/>
  <c r="FK195" i="1"/>
  <c r="BO163" i="1"/>
  <c r="FK196" i="1"/>
  <c r="BO164" i="1"/>
  <c r="FK197" i="1"/>
  <c r="BO165" i="1"/>
  <c r="FK198" i="1"/>
  <c r="BO166" i="1"/>
  <c r="FK199" i="1"/>
  <c r="BO167" i="1"/>
  <c r="FK200" i="1"/>
  <c r="BO168" i="1"/>
  <c r="FK201" i="1"/>
  <c r="BO169" i="1"/>
  <c r="FK202" i="1"/>
  <c r="BO170" i="1"/>
  <c r="FK203" i="1"/>
  <c r="BO171" i="1"/>
  <c r="FK204" i="1"/>
  <c r="BO172" i="1"/>
  <c r="FK205" i="1"/>
  <c r="BO173" i="1"/>
  <c r="FK206" i="1"/>
  <c r="BO174" i="1"/>
  <c r="FK207" i="1"/>
  <c r="BO175" i="1"/>
  <c r="FK208" i="1"/>
  <c r="K96" i="1"/>
  <c r="L96" i="1"/>
  <c r="CM102" i="1"/>
  <c r="BO176" i="1"/>
  <c r="FK209" i="1"/>
  <c r="CP102" i="1"/>
  <c r="BO177" i="1"/>
  <c r="FK210" i="1"/>
  <c r="CS102" i="1"/>
  <c r="BO178" i="1"/>
  <c r="FK211" i="1"/>
  <c r="BO179" i="1"/>
  <c r="FK212" i="1"/>
  <c r="BO180" i="1"/>
  <c r="FK213" i="1"/>
  <c r="BO181" i="1"/>
  <c r="FK214" i="1"/>
  <c r="BO182" i="1"/>
  <c r="FK215" i="1"/>
  <c r="BO183" i="1"/>
  <c r="FK216" i="1"/>
  <c r="BO184" i="1"/>
  <c r="FK217" i="1"/>
  <c r="BO185" i="1"/>
  <c r="FK218" i="1"/>
  <c r="BO186" i="1"/>
  <c r="FK219" i="1"/>
  <c r="BO187" i="1"/>
  <c r="FK220" i="1"/>
  <c r="FK224" i="1"/>
  <c r="T78" i="1"/>
  <c r="U78" i="1"/>
  <c r="CM97" i="1"/>
  <c r="CP107" i="1"/>
  <c r="GL140" i="1"/>
  <c r="CP77" i="1"/>
  <c r="CP97" i="1"/>
  <c r="CP108" i="1"/>
  <c r="GL141" i="1"/>
  <c r="CS77" i="1"/>
  <c r="CS97" i="1"/>
  <c r="CP109" i="1"/>
  <c r="GL142" i="1"/>
  <c r="B78" i="1"/>
  <c r="C78" i="1"/>
  <c r="B87" i="1"/>
  <c r="AC78" i="1"/>
  <c r="C87" i="1"/>
  <c r="AD78" i="1"/>
  <c r="AE78" i="1"/>
  <c r="AF78" i="1"/>
  <c r="AG78" i="1"/>
  <c r="AH78" i="1"/>
  <c r="AI78" i="1"/>
  <c r="AJ78" i="1"/>
  <c r="AK78" i="1"/>
  <c r="AL78" i="1"/>
  <c r="AM78" i="1"/>
  <c r="AN78" i="1"/>
  <c r="AO78" i="1"/>
  <c r="AP78" i="1"/>
  <c r="AQ78" i="1"/>
  <c r="AR78" i="1"/>
  <c r="AS78" i="1"/>
  <c r="AT78" i="1"/>
  <c r="T87" i="1"/>
  <c r="AU78" i="1"/>
  <c r="U87" i="1"/>
  <c r="AV78" i="1"/>
  <c r="AW78" i="1"/>
  <c r="AX78" i="1"/>
  <c r="AY78" i="1"/>
  <c r="AZ78" i="1"/>
  <c r="BA78" i="1"/>
  <c r="BB78" i="1"/>
  <c r="BC78" i="1"/>
  <c r="B96" i="1"/>
  <c r="BD78" i="1"/>
  <c r="C96" i="1"/>
  <c r="BE78" i="1"/>
  <c r="BF78" i="1"/>
  <c r="BG78" i="1"/>
  <c r="BH78" i="1"/>
  <c r="BI78" i="1"/>
  <c r="BJ78" i="1"/>
  <c r="BK78" i="1"/>
  <c r="BL78" i="1"/>
  <c r="BM78" i="1"/>
  <c r="BN78" i="1"/>
  <c r="BO78" i="1"/>
  <c r="BP78" i="1"/>
  <c r="BQ78" i="1"/>
  <c r="BR78" i="1"/>
  <c r="BS78" i="1"/>
  <c r="BT78" i="1"/>
  <c r="BU78" i="1"/>
  <c r="BV78" i="1"/>
  <c r="BW78" i="1"/>
  <c r="BX78" i="1"/>
  <c r="BY78" i="1"/>
  <c r="BZ78" i="1"/>
  <c r="CA78" i="1"/>
  <c r="CB78" i="1"/>
  <c r="CC78" i="1"/>
  <c r="CD78" i="1"/>
  <c r="CM78" i="1"/>
  <c r="CP110" i="1"/>
  <c r="GL143" i="1"/>
  <c r="CP78" i="1"/>
  <c r="CP111" i="1"/>
  <c r="GL144" i="1"/>
  <c r="CS78" i="1"/>
  <c r="CP112" i="1"/>
  <c r="GL145" i="1"/>
  <c r="CP113" i="1"/>
  <c r="GL146" i="1"/>
  <c r="CP114" i="1"/>
  <c r="GL147" i="1"/>
  <c r="CP115" i="1"/>
  <c r="GL148" i="1"/>
  <c r="CP116" i="1"/>
  <c r="GL149" i="1"/>
  <c r="CP117" i="1"/>
  <c r="GL150" i="1"/>
  <c r="CP118" i="1"/>
  <c r="GL151" i="1"/>
  <c r="CP119" i="1"/>
  <c r="GL152" i="1"/>
  <c r="CP120" i="1"/>
  <c r="GL153" i="1"/>
  <c r="CP121" i="1"/>
  <c r="GL154" i="1"/>
  <c r="CP122" i="1"/>
  <c r="GL155" i="1"/>
  <c r="CP123" i="1"/>
  <c r="GL156" i="1"/>
  <c r="CP124" i="1"/>
  <c r="GL157" i="1"/>
  <c r="CP125" i="1"/>
  <c r="GL158" i="1"/>
  <c r="CP126" i="1"/>
  <c r="GL159" i="1"/>
  <c r="CP127" i="1"/>
  <c r="GL160" i="1"/>
  <c r="CP128" i="1"/>
  <c r="GL161" i="1"/>
  <c r="CP129" i="1"/>
  <c r="GL162" i="1"/>
  <c r="CP130" i="1"/>
  <c r="GL163" i="1"/>
  <c r="CP131" i="1"/>
  <c r="GL164" i="1"/>
  <c r="CP132" i="1"/>
  <c r="GL165" i="1"/>
  <c r="CP133" i="1"/>
  <c r="GL166" i="1"/>
  <c r="CM100" i="1"/>
  <c r="CP134" i="1"/>
  <c r="GL167" i="1"/>
  <c r="CP100" i="1"/>
  <c r="CP135" i="1"/>
  <c r="GL168" i="1"/>
  <c r="CS100" i="1"/>
  <c r="CP136" i="1"/>
  <c r="GL169" i="1"/>
  <c r="CP137" i="1"/>
  <c r="GL170" i="1"/>
  <c r="CP138" i="1"/>
  <c r="GL171" i="1"/>
  <c r="CP139" i="1"/>
  <c r="GL172" i="1"/>
  <c r="CP140" i="1"/>
  <c r="GL173" i="1"/>
  <c r="CP141" i="1"/>
  <c r="GL174" i="1"/>
  <c r="CP142" i="1"/>
  <c r="GL175" i="1"/>
  <c r="CP143" i="1"/>
  <c r="GL176" i="1"/>
  <c r="CP144" i="1"/>
  <c r="GL177" i="1"/>
  <c r="CP145" i="1"/>
  <c r="GL178" i="1"/>
  <c r="CP146" i="1"/>
  <c r="GL179" i="1"/>
  <c r="CP147" i="1"/>
  <c r="GL180" i="1"/>
  <c r="CP148" i="1"/>
  <c r="GL181" i="1"/>
  <c r="CP149" i="1"/>
  <c r="GL182" i="1"/>
  <c r="CP150" i="1"/>
  <c r="GL183" i="1"/>
  <c r="CP151" i="1"/>
  <c r="GL184" i="1"/>
  <c r="CP152" i="1"/>
  <c r="GL185" i="1"/>
  <c r="CP153" i="1"/>
  <c r="GL186" i="1"/>
  <c r="CP154" i="1"/>
  <c r="GL187" i="1"/>
  <c r="CP155" i="1"/>
  <c r="GL188" i="1"/>
  <c r="CP156" i="1"/>
  <c r="GL189" i="1"/>
  <c r="CP157" i="1"/>
  <c r="GL190" i="1"/>
  <c r="CP158" i="1"/>
  <c r="GL191" i="1"/>
  <c r="CP159" i="1"/>
  <c r="GL192" i="1"/>
  <c r="CP160" i="1"/>
  <c r="GL193" i="1"/>
  <c r="GL224" i="1"/>
  <c r="EJ230" i="1"/>
  <c r="FK230" i="1"/>
  <c r="GL230" i="1"/>
  <c r="N133" i="1"/>
  <c r="DJ166" i="1"/>
  <c r="O133" i="1"/>
  <c r="DK166" i="1"/>
  <c r="P133" i="1"/>
  <c r="DL166" i="1"/>
  <c r="Q133" i="1"/>
  <c r="DM166" i="1"/>
  <c r="R133" i="1"/>
  <c r="DN166" i="1"/>
  <c r="S133" i="1"/>
  <c r="DO166" i="1"/>
  <c r="T133" i="1"/>
  <c r="DP166" i="1"/>
  <c r="U133" i="1"/>
  <c r="DQ166" i="1"/>
  <c r="V133" i="1"/>
  <c r="DR166" i="1"/>
  <c r="W133" i="1"/>
  <c r="DS166" i="1"/>
  <c r="X133" i="1"/>
  <c r="DT166" i="1"/>
  <c r="Y133" i="1"/>
  <c r="DU166" i="1"/>
  <c r="Z133" i="1"/>
  <c r="DV166" i="1"/>
  <c r="AA133" i="1"/>
  <c r="DW166" i="1"/>
  <c r="AB133" i="1"/>
  <c r="DX166" i="1"/>
  <c r="AC133" i="1"/>
  <c r="DY166" i="1"/>
  <c r="AD133" i="1"/>
  <c r="DZ166" i="1"/>
  <c r="AE133" i="1"/>
  <c r="EA166" i="1"/>
  <c r="AF133" i="1"/>
  <c r="EB166" i="1"/>
  <c r="AG133" i="1"/>
  <c r="EC166" i="1"/>
  <c r="AH133" i="1"/>
  <c r="ED166" i="1"/>
  <c r="AI133" i="1"/>
  <c r="EE166" i="1"/>
  <c r="AJ133" i="1"/>
  <c r="EF166" i="1"/>
  <c r="AK133" i="1"/>
  <c r="EG166" i="1"/>
  <c r="AL133" i="1"/>
  <c r="EH166" i="1"/>
  <c r="AM133" i="1"/>
  <c r="EI166" i="1"/>
  <c r="AO133" i="1"/>
  <c r="EK166" i="1"/>
  <c r="AP133" i="1"/>
  <c r="EL166" i="1"/>
  <c r="AQ133" i="1"/>
  <c r="EM166" i="1"/>
  <c r="AR133" i="1"/>
  <c r="EN166" i="1"/>
  <c r="AS133" i="1"/>
  <c r="EO166" i="1"/>
  <c r="AT133" i="1"/>
  <c r="EP166" i="1"/>
  <c r="AU133" i="1"/>
  <c r="EQ166" i="1"/>
  <c r="AV133" i="1"/>
  <c r="ER166" i="1"/>
  <c r="AW133" i="1"/>
  <c r="ES166" i="1"/>
  <c r="AX133" i="1"/>
  <c r="ET166" i="1"/>
  <c r="AY133" i="1"/>
  <c r="EU166" i="1"/>
  <c r="AZ133" i="1"/>
  <c r="EV166" i="1"/>
  <c r="BA133" i="1"/>
  <c r="EW166" i="1"/>
  <c r="BB133" i="1"/>
  <c r="EX166" i="1"/>
  <c r="BC133" i="1"/>
  <c r="EY166" i="1"/>
  <c r="BD133" i="1"/>
  <c r="EZ166" i="1"/>
  <c r="BE133" i="1"/>
  <c r="FA166" i="1"/>
  <c r="BF133" i="1"/>
  <c r="FB166" i="1"/>
  <c r="BG133" i="1"/>
  <c r="FC166" i="1"/>
  <c r="BH133" i="1"/>
  <c r="FD166" i="1"/>
  <c r="BI133" i="1"/>
  <c r="FE166" i="1"/>
  <c r="BJ133" i="1"/>
  <c r="FF166" i="1"/>
  <c r="BK133" i="1"/>
  <c r="FG166" i="1"/>
  <c r="BL133" i="1"/>
  <c r="FH166" i="1"/>
  <c r="BM133" i="1"/>
  <c r="FI166" i="1"/>
  <c r="BN133" i="1"/>
  <c r="FJ166" i="1"/>
  <c r="BP133" i="1"/>
  <c r="FL166" i="1"/>
  <c r="BQ133" i="1"/>
  <c r="FM166" i="1"/>
  <c r="BR133" i="1"/>
  <c r="FN166" i="1"/>
  <c r="BS133" i="1"/>
  <c r="FO166" i="1"/>
  <c r="BT133" i="1"/>
  <c r="FP166" i="1"/>
  <c r="BU133" i="1"/>
  <c r="FQ166" i="1"/>
  <c r="BV133" i="1"/>
  <c r="FR166" i="1"/>
  <c r="BW133" i="1"/>
  <c r="FS166" i="1"/>
  <c r="BX133" i="1"/>
  <c r="FT166" i="1"/>
  <c r="BY133" i="1"/>
  <c r="FU166" i="1"/>
  <c r="BZ133" i="1"/>
  <c r="FV166" i="1"/>
  <c r="CA133" i="1"/>
  <c r="FW166" i="1"/>
  <c r="CB133" i="1"/>
  <c r="FX166" i="1"/>
  <c r="CC133" i="1"/>
  <c r="FY166" i="1"/>
  <c r="CD133" i="1"/>
  <c r="FZ166" i="1"/>
  <c r="CE133" i="1"/>
  <c r="GA166" i="1"/>
  <c r="CF133" i="1"/>
  <c r="GB166" i="1"/>
  <c r="CG133" i="1"/>
  <c r="GC166" i="1"/>
  <c r="CH133" i="1"/>
  <c r="GD166" i="1"/>
  <c r="CI133" i="1"/>
  <c r="GE166" i="1"/>
  <c r="CJ133" i="1"/>
  <c r="GF166" i="1"/>
  <c r="CK133" i="1"/>
  <c r="GG166" i="1"/>
  <c r="CL133" i="1"/>
  <c r="GH166" i="1"/>
  <c r="CM133" i="1"/>
  <c r="GI166" i="1"/>
  <c r="CQ97" i="1"/>
  <c r="CN133" i="1"/>
  <c r="GJ166" i="1"/>
  <c r="CR97" i="1"/>
  <c r="CO133" i="1"/>
  <c r="GK166" i="1"/>
  <c r="GP166" i="1"/>
  <c r="N160" i="1"/>
  <c r="DJ193" i="1"/>
  <c r="O160" i="1"/>
  <c r="DK193" i="1"/>
  <c r="P160" i="1"/>
  <c r="DL19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Q87" i="1"/>
  <c r="CQ98" i="1"/>
  <c r="Q160" i="1"/>
  <c r="DM193" i="1"/>
  <c r="CR87" i="1"/>
  <c r="CR98" i="1"/>
  <c r="R160" i="1"/>
  <c r="DN193" i="1"/>
  <c r="CS87" i="1"/>
  <c r="CS98" i="1"/>
  <c r="S160" i="1"/>
  <c r="DO193" i="1"/>
  <c r="T160" i="1"/>
  <c r="DP193" i="1"/>
  <c r="U160" i="1"/>
  <c r="DQ193" i="1"/>
  <c r="V160" i="1"/>
  <c r="DR193" i="1"/>
  <c r="W160" i="1"/>
  <c r="DS193" i="1"/>
  <c r="X160" i="1"/>
  <c r="DT193" i="1"/>
  <c r="Y160" i="1"/>
  <c r="DU193" i="1"/>
  <c r="Z160" i="1"/>
  <c r="DV193" i="1"/>
  <c r="AA160" i="1"/>
  <c r="DW193" i="1"/>
  <c r="AB160" i="1"/>
  <c r="DX193" i="1"/>
  <c r="AC160" i="1"/>
  <c r="DY193" i="1"/>
  <c r="AD160" i="1"/>
  <c r="DZ193" i="1"/>
  <c r="AE160" i="1"/>
  <c r="EA193" i="1"/>
  <c r="AF160" i="1"/>
  <c r="EB193" i="1"/>
  <c r="AG160" i="1"/>
  <c r="EC193" i="1"/>
  <c r="AH160" i="1"/>
  <c r="ED193" i="1"/>
  <c r="AI160" i="1"/>
  <c r="EE193" i="1"/>
  <c r="AJ160" i="1"/>
  <c r="EF193" i="1"/>
  <c r="AK160" i="1"/>
  <c r="EG193" i="1"/>
  <c r="AL160" i="1"/>
  <c r="EH193" i="1"/>
  <c r="AM160" i="1"/>
  <c r="EI193" i="1"/>
  <c r="AO160" i="1"/>
  <c r="EK193" i="1"/>
  <c r="AP160" i="1"/>
  <c r="EL193" i="1"/>
  <c r="AQ160" i="1"/>
  <c r="EM193" i="1"/>
  <c r="AR160" i="1"/>
  <c r="EN193" i="1"/>
  <c r="AS160" i="1"/>
  <c r="EO193" i="1"/>
  <c r="AT160" i="1"/>
  <c r="EP193" i="1"/>
  <c r="AU160" i="1"/>
  <c r="EQ193" i="1"/>
  <c r="AV160" i="1"/>
  <c r="ER193" i="1"/>
  <c r="AW160" i="1"/>
  <c r="ES193" i="1"/>
  <c r="AX160" i="1"/>
  <c r="ET193" i="1"/>
  <c r="AY160" i="1"/>
  <c r="EU193" i="1"/>
  <c r="AZ160" i="1"/>
  <c r="EV193" i="1"/>
  <c r="BA160" i="1"/>
  <c r="EW193" i="1"/>
  <c r="BB160" i="1"/>
  <c r="EX193" i="1"/>
  <c r="BC160" i="1"/>
  <c r="EY193" i="1"/>
  <c r="CQ99" i="1"/>
  <c r="BD160" i="1"/>
  <c r="EZ193" i="1"/>
  <c r="CR99" i="1"/>
  <c r="BE160" i="1"/>
  <c r="FA193" i="1"/>
  <c r="BF160" i="1"/>
  <c r="FB193" i="1"/>
  <c r="BG160" i="1"/>
  <c r="FC193" i="1"/>
  <c r="BH160" i="1"/>
  <c r="FD193" i="1"/>
  <c r="BI160" i="1"/>
  <c r="FE193" i="1"/>
  <c r="BJ160" i="1"/>
  <c r="FF193" i="1"/>
  <c r="BK160" i="1"/>
  <c r="FG193" i="1"/>
  <c r="BL160" i="1"/>
  <c r="FH193" i="1"/>
  <c r="BM160" i="1"/>
  <c r="FI193" i="1"/>
  <c r="BN160" i="1"/>
  <c r="FJ193" i="1"/>
  <c r="BP160" i="1"/>
  <c r="FL193" i="1"/>
  <c r="BQ160" i="1"/>
  <c r="FM193" i="1"/>
  <c r="BR160" i="1"/>
  <c r="FN193" i="1"/>
  <c r="BS160" i="1"/>
  <c r="FO193" i="1"/>
  <c r="BT160" i="1"/>
  <c r="FP193" i="1"/>
  <c r="BU160" i="1"/>
  <c r="FQ193" i="1"/>
  <c r="BV160" i="1"/>
  <c r="FR193" i="1"/>
  <c r="BW160" i="1"/>
  <c r="FS193" i="1"/>
  <c r="BX160" i="1"/>
  <c r="FT193" i="1"/>
  <c r="BY160" i="1"/>
  <c r="FU193" i="1"/>
  <c r="BZ160" i="1"/>
  <c r="FV193" i="1"/>
  <c r="CA160" i="1"/>
  <c r="FW193" i="1"/>
  <c r="CB160" i="1"/>
  <c r="FX193" i="1"/>
  <c r="CC160" i="1"/>
  <c r="FY193" i="1"/>
  <c r="CD160" i="1"/>
  <c r="FZ193" i="1"/>
  <c r="CE160" i="1"/>
  <c r="GA193" i="1"/>
  <c r="CF160" i="1"/>
  <c r="GB193" i="1"/>
  <c r="CG160" i="1"/>
  <c r="GC193" i="1"/>
  <c r="CH160" i="1"/>
  <c r="GD193" i="1"/>
  <c r="CI160" i="1"/>
  <c r="GE193" i="1"/>
  <c r="CJ160" i="1"/>
  <c r="GF193" i="1"/>
  <c r="CQ100" i="1"/>
  <c r="CK160" i="1"/>
  <c r="GG193" i="1"/>
  <c r="CR100" i="1"/>
  <c r="CL160" i="1"/>
  <c r="GH193" i="1"/>
  <c r="CM160" i="1"/>
  <c r="GI193" i="1"/>
  <c r="CN160" i="1"/>
  <c r="GJ193" i="1"/>
  <c r="CO160" i="1"/>
  <c r="GK193" i="1"/>
  <c r="GP19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CQ86" i="1"/>
  <c r="CQ101" i="1"/>
  <c r="N187" i="1"/>
  <c r="DJ220" i="1"/>
  <c r="CR86" i="1"/>
  <c r="CR101" i="1"/>
  <c r="O187" i="1"/>
  <c r="DK220" i="1"/>
  <c r="CS86" i="1"/>
  <c r="CS101" i="1"/>
  <c r="P187" i="1"/>
  <c r="DL220" i="1"/>
  <c r="Q187" i="1"/>
  <c r="DM220" i="1"/>
  <c r="R187" i="1"/>
  <c r="DN220" i="1"/>
  <c r="S187" i="1"/>
  <c r="DO220" i="1"/>
  <c r="T187" i="1"/>
  <c r="DP220" i="1"/>
  <c r="U187" i="1"/>
  <c r="DQ220" i="1"/>
  <c r="V187" i="1"/>
  <c r="DR220" i="1"/>
  <c r="W187" i="1"/>
  <c r="DS220" i="1"/>
  <c r="X187" i="1"/>
  <c r="DT220" i="1"/>
  <c r="Y187" i="1"/>
  <c r="DU220" i="1"/>
  <c r="Z187" i="1"/>
  <c r="DV220" i="1"/>
  <c r="AA187" i="1"/>
  <c r="DW220" i="1"/>
  <c r="AB187" i="1"/>
  <c r="DX220" i="1"/>
  <c r="AC187" i="1"/>
  <c r="DY220" i="1"/>
  <c r="AD187" i="1"/>
  <c r="DZ220" i="1"/>
  <c r="AE187" i="1"/>
  <c r="EA220" i="1"/>
  <c r="AF187" i="1"/>
  <c r="EB220" i="1"/>
  <c r="AG187" i="1"/>
  <c r="EC220" i="1"/>
  <c r="AH187" i="1"/>
  <c r="ED220" i="1"/>
  <c r="AI187" i="1"/>
  <c r="EE220" i="1"/>
  <c r="AJ187" i="1"/>
  <c r="EF220" i="1"/>
  <c r="AK187" i="1"/>
  <c r="EG220" i="1"/>
  <c r="AL187" i="1"/>
  <c r="EH220" i="1"/>
  <c r="AM187" i="1"/>
  <c r="EI220" i="1"/>
  <c r="AO187" i="1"/>
  <c r="EK220" i="1"/>
  <c r="AP187" i="1"/>
  <c r="EL220" i="1"/>
  <c r="AQ187" i="1"/>
  <c r="EM220" i="1"/>
  <c r="CQ102" i="1"/>
  <c r="AR187" i="1"/>
  <c r="EN220" i="1"/>
  <c r="CR102" i="1"/>
  <c r="AS187" i="1"/>
  <c r="EO220" i="1"/>
  <c r="AT187" i="1"/>
  <c r="EP220" i="1"/>
  <c r="AU187" i="1"/>
  <c r="EQ220" i="1"/>
  <c r="AV187" i="1"/>
  <c r="ER220" i="1"/>
  <c r="AW187" i="1"/>
  <c r="ES220" i="1"/>
  <c r="AX187" i="1"/>
  <c r="ET220" i="1"/>
  <c r="AY187" i="1"/>
  <c r="EU220" i="1"/>
  <c r="AZ187" i="1"/>
  <c r="EV220" i="1"/>
  <c r="BA187" i="1"/>
  <c r="EW220" i="1"/>
  <c r="BB187" i="1"/>
  <c r="EX220" i="1"/>
  <c r="BC187" i="1"/>
  <c r="EY220" i="1"/>
  <c r="BD187" i="1"/>
  <c r="EZ220" i="1"/>
  <c r="BE187" i="1"/>
  <c r="FA220" i="1"/>
  <c r="BF187" i="1"/>
  <c r="FB220" i="1"/>
  <c r="BG187" i="1"/>
  <c r="FC220" i="1"/>
  <c r="BH187" i="1"/>
  <c r="FD220" i="1"/>
  <c r="BI187" i="1"/>
  <c r="FE220" i="1"/>
  <c r="BJ187" i="1"/>
  <c r="FF220" i="1"/>
  <c r="BK187" i="1"/>
  <c r="FG220" i="1"/>
  <c r="BL187" i="1"/>
  <c r="FH220" i="1"/>
  <c r="BM187" i="1"/>
  <c r="FI220" i="1"/>
  <c r="BN187" i="1"/>
  <c r="FJ220" i="1"/>
  <c r="GP220" i="1"/>
  <c r="GV166" i="1"/>
  <c r="GV193" i="1"/>
  <c r="GV220" i="1"/>
  <c r="GL403" i="1"/>
  <c r="GI297" i="1"/>
  <c r="GI300" i="1"/>
  <c r="GI303" i="1"/>
  <c r="GI306" i="1"/>
  <c r="GI309" i="1"/>
  <c r="GI312" i="1"/>
  <c r="GI315" i="1"/>
  <c r="GI318" i="1"/>
  <c r="AK107" i="1"/>
  <c r="EG140" i="1"/>
  <c r="AK108" i="1"/>
  <c r="EG141" i="1"/>
  <c r="AK109" i="1"/>
  <c r="EG142" i="1"/>
  <c r="AK110" i="1"/>
  <c r="EG143" i="1"/>
  <c r="AK111" i="1"/>
  <c r="EG144" i="1"/>
  <c r="AK112" i="1"/>
  <c r="EG145" i="1"/>
  <c r="AK113" i="1"/>
  <c r="EG146" i="1"/>
  <c r="AK114" i="1"/>
  <c r="EG147" i="1"/>
  <c r="AK115" i="1"/>
  <c r="EG148" i="1"/>
  <c r="AK116" i="1"/>
  <c r="EG149" i="1"/>
  <c r="AK117" i="1"/>
  <c r="EG150" i="1"/>
  <c r="AK118" i="1"/>
  <c r="EG151" i="1"/>
  <c r="AK119" i="1"/>
  <c r="EG152" i="1"/>
  <c r="AK120" i="1"/>
  <c r="EG153" i="1"/>
  <c r="AK121" i="1"/>
  <c r="EG154" i="1"/>
  <c r="AK122" i="1"/>
  <c r="EG155" i="1"/>
  <c r="AK123" i="1"/>
  <c r="EG156" i="1"/>
  <c r="AK124" i="1"/>
  <c r="EG157" i="1"/>
  <c r="AK125" i="1"/>
  <c r="EG158" i="1"/>
  <c r="AK126" i="1"/>
  <c r="EG159" i="1"/>
  <c r="AK127" i="1"/>
  <c r="EG160" i="1"/>
  <c r="AK128" i="1"/>
  <c r="EG161" i="1"/>
  <c r="AK129" i="1"/>
  <c r="EG162" i="1"/>
  <c r="AK130" i="1"/>
  <c r="EG163" i="1"/>
  <c r="AK131" i="1"/>
  <c r="EG164" i="1"/>
  <c r="AK132" i="1"/>
  <c r="EG165" i="1"/>
  <c r="AK134" i="1"/>
  <c r="EG167" i="1"/>
  <c r="AK135" i="1"/>
  <c r="EG168" i="1"/>
  <c r="AK136" i="1"/>
  <c r="EG169" i="1"/>
  <c r="AK137" i="1"/>
  <c r="EG170" i="1"/>
  <c r="AK138" i="1"/>
  <c r="EG171" i="1"/>
  <c r="AK139" i="1"/>
  <c r="EG172" i="1"/>
  <c r="AK140" i="1"/>
  <c r="EG173" i="1"/>
  <c r="AK141" i="1"/>
  <c r="EG174" i="1"/>
  <c r="AK142" i="1"/>
  <c r="EG175" i="1"/>
  <c r="AK143" i="1"/>
  <c r="EG176" i="1"/>
  <c r="AK144" i="1"/>
  <c r="EG177" i="1"/>
  <c r="AK145" i="1"/>
  <c r="EG178" i="1"/>
  <c r="AK146" i="1"/>
  <c r="EG179" i="1"/>
  <c r="AK147" i="1"/>
  <c r="EG180" i="1"/>
  <c r="AK148" i="1"/>
  <c r="EG181" i="1"/>
  <c r="AK149" i="1"/>
  <c r="EG182" i="1"/>
  <c r="AK150" i="1"/>
  <c r="EG183" i="1"/>
  <c r="AK151" i="1"/>
  <c r="EG184" i="1"/>
  <c r="AK152" i="1"/>
  <c r="EG185" i="1"/>
  <c r="AK153" i="1"/>
  <c r="EG186" i="1"/>
  <c r="AK154" i="1"/>
  <c r="EG187" i="1"/>
  <c r="AK155" i="1"/>
  <c r="EG188" i="1"/>
  <c r="AK156" i="1"/>
  <c r="EG189" i="1"/>
  <c r="AK157" i="1"/>
  <c r="EG190" i="1"/>
  <c r="AK158" i="1"/>
  <c r="EG191" i="1"/>
  <c r="AK159" i="1"/>
  <c r="EG192" i="1"/>
  <c r="AK161" i="1"/>
  <c r="EG194" i="1"/>
  <c r="AK162" i="1"/>
  <c r="EG195" i="1"/>
  <c r="AK163" i="1"/>
  <c r="EG196" i="1"/>
  <c r="AK164" i="1"/>
  <c r="EG197" i="1"/>
  <c r="AK165" i="1"/>
  <c r="EG198" i="1"/>
  <c r="AK166" i="1"/>
  <c r="EG199" i="1"/>
  <c r="AK167" i="1"/>
  <c r="EG200" i="1"/>
  <c r="AK168" i="1"/>
  <c r="EG201" i="1"/>
  <c r="AK169" i="1"/>
  <c r="EG202" i="1"/>
  <c r="AK170" i="1"/>
  <c r="EG203" i="1"/>
  <c r="AK171" i="1"/>
  <c r="EG204" i="1"/>
  <c r="AK172" i="1"/>
  <c r="EG205" i="1"/>
  <c r="AK173" i="1"/>
  <c r="EG206" i="1"/>
  <c r="AK174" i="1"/>
  <c r="EG207" i="1"/>
  <c r="AK175" i="1"/>
  <c r="EG208" i="1"/>
  <c r="AK176" i="1"/>
  <c r="EG209" i="1"/>
  <c r="AK177" i="1"/>
  <c r="EG210" i="1"/>
  <c r="AK178" i="1"/>
  <c r="EG211" i="1"/>
  <c r="AK179" i="1"/>
  <c r="EG212" i="1"/>
  <c r="AK180" i="1"/>
  <c r="EG213" i="1"/>
  <c r="AK181" i="1"/>
  <c r="EG214" i="1"/>
  <c r="AK182" i="1"/>
  <c r="EG215" i="1"/>
  <c r="AK183" i="1"/>
  <c r="EG216" i="1"/>
  <c r="AK184" i="1"/>
  <c r="EG217" i="1"/>
  <c r="AK185" i="1"/>
  <c r="EG218" i="1"/>
  <c r="AK186" i="1"/>
  <c r="EG219" i="1"/>
  <c r="EG224" i="1"/>
  <c r="BL107" i="1"/>
  <c r="FH140" i="1"/>
  <c r="BL108" i="1"/>
  <c r="FH141" i="1"/>
  <c r="BL109" i="1"/>
  <c r="FH142" i="1"/>
  <c r="BL110" i="1"/>
  <c r="FH143" i="1"/>
  <c r="BL111" i="1"/>
  <c r="FH144" i="1"/>
  <c r="BL112" i="1"/>
  <c r="FH145" i="1"/>
  <c r="BL113" i="1"/>
  <c r="FH146" i="1"/>
  <c r="BL114" i="1"/>
  <c r="FH147" i="1"/>
  <c r="BL115" i="1"/>
  <c r="FH148" i="1"/>
  <c r="BL116" i="1"/>
  <c r="FH149" i="1"/>
  <c r="BL117" i="1"/>
  <c r="FH150" i="1"/>
  <c r="BL118" i="1"/>
  <c r="FH151" i="1"/>
  <c r="BL119" i="1"/>
  <c r="FH152" i="1"/>
  <c r="BL120" i="1"/>
  <c r="FH153" i="1"/>
  <c r="BL121" i="1"/>
  <c r="FH154" i="1"/>
  <c r="BL122" i="1"/>
  <c r="FH155" i="1"/>
  <c r="BL123" i="1"/>
  <c r="FH156" i="1"/>
  <c r="BL124" i="1"/>
  <c r="FH157" i="1"/>
  <c r="BL125" i="1"/>
  <c r="FH158" i="1"/>
  <c r="BL126" i="1"/>
  <c r="FH159" i="1"/>
  <c r="BL127" i="1"/>
  <c r="FH160" i="1"/>
  <c r="BL128" i="1"/>
  <c r="FH161" i="1"/>
  <c r="BL129" i="1"/>
  <c r="FH162" i="1"/>
  <c r="BL130" i="1"/>
  <c r="FH163" i="1"/>
  <c r="BL131" i="1"/>
  <c r="FH164" i="1"/>
  <c r="BL132" i="1"/>
  <c r="FH165" i="1"/>
  <c r="BL134" i="1"/>
  <c r="FH167" i="1"/>
  <c r="BL135" i="1"/>
  <c r="FH168" i="1"/>
  <c r="BL136" i="1"/>
  <c r="FH169" i="1"/>
  <c r="BL137" i="1"/>
  <c r="FH170" i="1"/>
  <c r="BL138" i="1"/>
  <c r="FH171" i="1"/>
  <c r="BL139" i="1"/>
  <c r="FH172" i="1"/>
  <c r="BL140" i="1"/>
  <c r="FH173" i="1"/>
  <c r="BL141" i="1"/>
  <c r="FH174" i="1"/>
  <c r="BL142" i="1"/>
  <c r="FH175" i="1"/>
  <c r="BL143" i="1"/>
  <c r="FH176" i="1"/>
  <c r="BL144" i="1"/>
  <c r="FH177" i="1"/>
  <c r="BL145" i="1"/>
  <c r="FH178" i="1"/>
  <c r="BL146" i="1"/>
  <c r="FH179" i="1"/>
  <c r="BL147" i="1"/>
  <c r="FH180" i="1"/>
  <c r="BL148" i="1"/>
  <c r="FH181" i="1"/>
  <c r="BL149" i="1"/>
  <c r="FH182" i="1"/>
  <c r="BL150" i="1"/>
  <c r="FH183" i="1"/>
  <c r="BL151" i="1"/>
  <c r="FH184" i="1"/>
  <c r="BL152" i="1"/>
  <c r="FH185" i="1"/>
  <c r="BL153" i="1"/>
  <c r="FH186" i="1"/>
  <c r="BL154" i="1"/>
  <c r="FH187" i="1"/>
  <c r="BL155" i="1"/>
  <c r="FH188" i="1"/>
  <c r="BL156" i="1"/>
  <c r="FH189" i="1"/>
  <c r="BL157" i="1"/>
  <c r="FH190" i="1"/>
  <c r="BL158" i="1"/>
  <c r="FH191" i="1"/>
  <c r="BL159" i="1"/>
  <c r="FH192" i="1"/>
  <c r="BL161" i="1"/>
  <c r="FH194" i="1"/>
  <c r="BL162" i="1"/>
  <c r="FH195" i="1"/>
  <c r="BL163" i="1"/>
  <c r="FH196" i="1"/>
  <c r="BL164" i="1"/>
  <c r="FH197" i="1"/>
  <c r="BL165" i="1"/>
  <c r="FH198" i="1"/>
  <c r="BL166" i="1"/>
  <c r="FH199" i="1"/>
  <c r="BL167" i="1"/>
  <c r="FH200" i="1"/>
  <c r="BL168" i="1"/>
  <c r="FH201" i="1"/>
  <c r="BL169" i="1"/>
  <c r="FH202" i="1"/>
  <c r="BL170" i="1"/>
  <c r="FH203" i="1"/>
  <c r="BL171" i="1"/>
  <c r="FH204" i="1"/>
  <c r="BL172" i="1"/>
  <c r="FH205" i="1"/>
  <c r="BL173" i="1"/>
  <c r="FH206" i="1"/>
  <c r="BL174" i="1"/>
  <c r="FH207" i="1"/>
  <c r="BL175" i="1"/>
  <c r="FH208" i="1"/>
  <c r="BL176" i="1"/>
  <c r="FH209" i="1"/>
  <c r="BL177" i="1"/>
  <c r="FH210" i="1"/>
  <c r="BL178" i="1"/>
  <c r="FH211" i="1"/>
  <c r="BL179" i="1"/>
  <c r="FH212" i="1"/>
  <c r="BL180" i="1"/>
  <c r="FH213" i="1"/>
  <c r="BL181" i="1"/>
  <c r="FH214" i="1"/>
  <c r="BL182" i="1"/>
  <c r="FH215" i="1"/>
  <c r="BL183" i="1"/>
  <c r="FH216" i="1"/>
  <c r="BL184" i="1"/>
  <c r="FH217" i="1"/>
  <c r="BL185" i="1"/>
  <c r="FH218" i="1"/>
  <c r="BL186" i="1"/>
  <c r="FH219" i="1"/>
  <c r="FH224" i="1"/>
  <c r="CM107" i="1"/>
  <c r="GI140" i="1"/>
  <c r="CM108" i="1"/>
  <c r="GI141" i="1"/>
  <c r="CM109" i="1"/>
  <c r="GI142" i="1"/>
  <c r="CM110" i="1"/>
  <c r="GI143" i="1"/>
  <c r="CM111" i="1"/>
  <c r="GI144" i="1"/>
  <c r="CM112" i="1"/>
  <c r="GI145" i="1"/>
  <c r="CM113" i="1"/>
  <c r="GI146" i="1"/>
  <c r="CM114" i="1"/>
  <c r="GI147" i="1"/>
  <c r="CM115" i="1"/>
  <c r="GI148" i="1"/>
  <c r="CM116" i="1"/>
  <c r="GI149" i="1"/>
  <c r="CM117" i="1"/>
  <c r="GI150" i="1"/>
  <c r="CM118" i="1"/>
  <c r="GI151" i="1"/>
  <c r="CM119" i="1"/>
  <c r="GI152" i="1"/>
  <c r="CM120" i="1"/>
  <c r="GI153" i="1"/>
  <c r="CM121" i="1"/>
  <c r="GI154" i="1"/>
  <c r="CM122" i="1"/>
  <c r="GI155" i="1"/>
  <c r="CM123" i="1"/>
  <c r="GI156" i="1"/>
  <c r="CM124" i="1"/>
  <c r="GI157" i="1"/>
  <c r="CM125" i="1"/>
  <c r="GI158" i="1"/>
  <c r="CM126" i="1"/>
  <c r="GI159" i="1"/>
  <c r="CM127" i="1"/>
  <c r="GI160" i="1"/>
  <c r="CM128" i="1"/>
  <c r="GI161" i="1"/>
  <c r="CM129" i="1"/>
  <c r="GI162" i="1"/>
  <c r="CM130" i="1"/>
  <c r="GI163" i="1"/>
  <c r="CM131" i="1"/>
  <c r="GI164" i="1"/>
  <c r="CM132" i="1"/>
  <c r="GI165" i="1"/>
  <c r="CM134" i="1"/>
  <c r="GI167" i="1"/>
  <c r="CM135" i="1"/>
  <c r="GI168" i="1"/>
  <c r="CM136" i="1"/>
  <c r="GI169" i="1"/>
  <c r="CM137" i="1"/>
  <c r="GI170" i="1"/>
  <c r="CM138" i="1"/>
  <c r="GI171" i="1"/>
  <c r="CM139" i="1"/>
  <c r="GI172" i="1"/>
  <c r="CM140" i="1"/>
  <c r="GI173" i="1"/>
  <c r="CM141" i="1"/>
  <c r="GI174" i="1"/>
  <c r="CM142" i="1"/>
  <c r="GI175" i="1"/>
  <c r="CM143" i="1"/>
  <c r="GI176" i="1"/>
  <c r="CM144" i="1"/>
  <c r="GI177" i="1"/>
  <c r="CM145" i="1"/>
  <c r="GI178" i="1"/>
  <c r="CM146" i="1"/>
  <c r="GI179" i="1"/>
  <c r="CM147" i="1"/>
  <c r="GI180" i="1"/>
  <c r="CM148" i="1"/>
  <c r="GI181" i="1"/>
  <c r="CM149" i="1"/>
  <c r="GI182" i="1"/>
  <c r="CM150" i="1"/>
  <c r="GI183" i="1"/>
  <c r="CM151" i="1"/>
  <c r="GI184" i="1"/>
  <c r="CM152" i="1"/>
  <c r="GI185" i="1"/>
  <c r="CM153" i="1"/>
  <c r="GI186" i="1"/>
  <c r="CM154" i="1"/>
  <c r="GI187" i="1"/>
  <c r="CM155" i="1"/>
  <c r="GI188" i="1"/>
  <c r="CM156" i="1"/>
  <c r="GI189" i="1"/>
  <c r="CM157" i="1"/>
  <c r="GI190" i="1"/>
  <c r="CM158" i="1"/>
  <c r="GI191" i="1"/>
  <c r="CM159" i="1"/>
  <c r="GI192" i="1"/>
  <c r="GI224" i="1"/>
  <c r="EG230" i="1"/>
  <c r="FH230" i="1"/>
  <c r="GI230" i="1"/>
  <c r="GI403" i="1"/>
  <c r="GF297" i="1"/>
  <c r="GF300" i="1"/>
  <c r="GF303" i="1"/>
  <c r="GF306" i="1"/>
  <c r="GF309" i="1"/>
  <c r="GF312" i="1"/>
  <c r="GF315" i="1"/>
  <c r="GF318" i="1"/>
  <c r="AH107" i="1"/>
  <c r="ED140" i="1"/>
  <c r="AH108" i="1"/>
  <c r="ED141" i="1"/>
  <c r="AH109" i="1"/>
  <c r="ED142" i="1"/>
  <c r="AH110" i="1"/>
  <c r="ED143" i="1"/>
  <c r="AH111" i="1"/>
  <c r="ED144" i="1"/>
  <c r="AH112" i="1"/>
  <c r="ED145" i="1"/>
  <c r="AH113" i="1"/>
  <c r="ED146" i="1"/>
  <c r="AH114" i="1"/>
  <c r="ED147" i="1"/>
  <c r="AH115" i="1"/>
  <c r="ED148" i="1"/>
  <c r="AH116" i="1"/>
  <c r="ED149" i="1"/>
  <c r="AH117" i="1"/>
  <c r="ED150" i="1"/>
  <c r="AH118" i="1"/>
  <c r="ED151" i="1"/>
  <c r="AH119" i="1"/>
  <c r="ED152" i="1"/>
  <c r="AH120" i="1"/>
  <c r="ED153" i="1"/>
  <c r="AH121" i="1"/>
  <c r="ED154" i="1"/>
  <c r="AH122" i="1"/>
  <c r="ED155" i="1"/>
  <c r="AH123" i="1"/>
  <c r="ED156" i="1"/>
  <c r="AH124" i="1"/>
  <c r="ED157" i="1"/>
  <c r="AH125" i="1"/>
  <c r="ED158" i="1"/>
  <c r="AH126" i="1"/>
  <c r="ED159" i="1"/>
  <c r="AH127" i="1"/>
  <c r="ED160" i="1"/>
  <c r="AH128" i="1"/>
  <c r="ED161" i="1"/>
  <c r="AH129" i="1"/>
  <c r="ED162" i="1"/>
  <c r="AH130" i="1"/>
  <c r="ED163" i="1"/>
  <c r="AH131" i="1"/>
  <c r="ED164" i="1"/>
  <c r="AH132" i="1"/>
  <c r="ED165" i="1"/>
  <c r="AH134" i="1"/>
  <c r="ED167" i="1"/>
  <c r="AH135" i="1"/>
  <c r="ED168" i="1"/>
  <c r="AH136" i="1"/>
  <c r="ED169" i="1"/>
  <c r="AH137" i="1"/>
  <c r="ED170" i="1"/>
  <c r="AH138" i="1"/>
  <c r="ED171" i="1"/>
  <c r="AH139" i="1"/>
  <c r="ED172" i="1"/>
  <c r="AH140" i="1"/>
  <c r="ED173" i="1"/>
  <c r="AH141" i="1"/>
  <c r="ED174" i="1"/>
  <c r="AH142" i="1"/>
  <c r="ED175" i="1"/>
  <c r="AH143" i="1"/>
  <c r="ED176" i="1"/>
  <c r="AH144" i="1"/>
  <c r="ED177" i="1"/>
  <c r="AH145" i="1"/>
  <c r="ED178" i="1"/>
  <c r="AH146" i="1"/>
  <c r="ED179" i="1"/>
  <c r="AH147" i="1"/>
  <c r="ED180" i="1"/>
  <c r="AH148" i="1"/>
  <c r="ED181" i="1"/>
  <c r="AH149" i="1"/>
  <c r="ED182" i="1"/>
  <c r="AH150" i="1"/>
  <c r="ED183" i="1"/>
  <c r="AH151" i="1"/>
  <c r="ED184" i="1"/>
  <c r="CM98" i="1"/>
  <c r="AH152" i="1"/>
  <c r="ED185" i="1"/>
  <c r="CP98" i="1"/>
  <c r="AH153" i="1"/>
  <c r="ED186" i="1"/>
  <c r="AH154" i="1"/>
  <c r="ED187" i="1"/>
  <c r="AH155" i="1"/>
  <c r="ED188" i="1"/>
  <c r="AH156" i="1"/>
  <c r="ED189" i="1"/>
  <c r="AH157" i="1"/>
  <c r="ED190" i="1"/>
  <c r="AH158" i="1"/>
  <c r="ED191" i="1"/>
  <c r="AH159" i="1"/>
  <c r="ED192" i="1"/>
  <c r="AH161" i="1"/>
  <c r="ED194" i="1"/>
  <c r="AH162" i="1"/>
  <c r="ED195" i="1"/>
  <c r="AH163" i="1"/>
  <c r="ED196" i="1"/>
  <c r="AH164" i="1"/>
  <c r="ED197" i="1"/>
  <c r="AH165" i="1"/>
  <c r="ED198" i="1"/>
  <c r="AH166" i="1"/>
  <c r="ED199" i="1"/>
  <c r="AH167" i="1"/>
  <c r="ED200" i="1"/>
  <c r="AH168" i="1"/>
  <c r="ED201" i="1"/>
  <c r="AH169" i="1"/>
  <c r="ED202" i="1"/>
  <c r="AH170" i="1"/>
  <c r="ED203" i="1"/>
  <c r="AH171" i="1"/>
  <c r="ED204" i="1"/>
  <c r="AH172" i="1"/>
  <c r="ED205" i="1"/>
  <c r="AH173" i="1"/>
  <c r="ED206" i="1"/>
  <c r="AH174" i="1"/>
  <c r="ED207" i="1"/>
  <c r="AH175" i="1"/>
  <c r="ED208" i="1"/>
  <c r="AH176" i="1"/>
  <c r="ED209" i="1"/>
  <c r="AH177" i="1"/>
  <c r="ED210" i="1"/>
  <c r="AH178" i="1"/>
  <c r="ED211" i="1"/>
  <c r="AH179" i="1"/>
  <c r="ED212" i="1"/>
  <c r="AH180" i="1"/>
  <c r="ED213" i="1"/>
  <c r="AH181" i="1"/>
  <c r="ED214" i="1"/>
  <c r="AH182" i="1"/>
  <c r="ED215" i="1"/>
  <c r="AH183" i="1"/>
  <c r="ED216" i="1"/>
  <c r="AH184" i="1"/>
  <c r="ED217" i="1"/>
  <c r="AH185" i="1"/>
  <c r="ED218" i="1"/>
  <c r="AH186" i="1"/>
  <c r="ED219" i="1"/>
  <c r="ED224" i="1"/>
  <c r="FE140" i="1"/>
  <c r="BI108" i="1"/>
  <c r="FE141" i="1"/>
  <c r="BI109" i="1"/>
  <c r="FE142" i="1"/>
  <c r="BI110" i="1"/>
  <c r="FE143" i="1"/>
  <c r="BI111" i="1"/>
  <c r="FE144" i="1"/>
  <c r="BI112" i="1"/>
  <c r="FE145" i="1"/>
  <c r="BI113" i="1"/>
  <c r="FE146" i="1"/>
  <c r="BI114" i="1"/>
  <c r="FE147" i="1"/>
  <c r="BI115" i="1"/>
  <c r="FE148" i="1"/>
  <c r="BI116" i="1"/>
  <c r="FE149" i="1"/>
  <c r="BI117" i="1"/>
  <c r="FE150" i="1"/>
  <c r="BI118" i="1"/>
  <c r="FE151" i="1"/>
  <c r="BI119" i="1"/>
  <c r="FE152" i="1"/>
  <c r="BI120" i="1"/>
  <c r="FE153" i="1"/>
  <c r="BI121" i="1"/>
  <c r="FE154" i="1"/>
  <c r="BI122" i="1"/>
  <c r="FE155" i="1"/>
  <c r="BI123" i="1"/>
  <c r="FE156" i="1"/>
  <c r="BI124" i="1"/>
  <c r="FE157" i="1"/>
  <c r="BI125" i="1"/>
  <c r="FE158" i="1"/>
  <c r="BI126" i="1"/>
  <c r="FE159" i="1"/>
  <c r="BI127" i="1"/>
  <c r="FE160" i="1"/>
  <c r="BI128" i="1"/>
  <c r="FE161" i="1"/>
  <c r="BI129" i="1"/>
  <c r="FE162" i="1"/>
  <c r="BI130" i="1"/>
  <c r="FE163" i="1"/>
  <c r="BI131" i="1"/>
  <c r="FE164" i="1"/>
  <c r="BI132" i="1"/>
  <c r="FE165" i="1"/>
  <c r="BI134" i="1"/>
  <c r="FE167" i="1"/>
  <c r="BI135" i="1"/>
  <c r="FE168" i="1"/>
  <c r="BI136" i="1"/>
  <c r="FE169" i="1"/>
  <c r="BI137" i="1"/>
  <c r="FE170" i="1"/>
  <c r="BI138" i="1"/>
  <c r="FE171" i="1"/>
  <c r="BI139" i="1"/>
  <c r="FE172" i="1"/>
  <c r="BI140" i="1"/>
  <c r="FE173" i="1"/>
  <c r="BI141" i="1"/>
  <c r="FE174" i="1"/>
  <c r="BI142" i="1"/>
  <c r="FE175" i="1"/>
  <c r="BI143" i="1"/>
  <c r="FE176" i="1"/>
  <c r="BI144" i="1"/>
  <c r="FE177" i="1"/>
  <c r="BI145" i="1"/>
  <c r="FE178" i="1"/>
  <c r="BI146" i="1"/>
  <c r="FE179" i="1"/>
  <c r="BI147" i="1"/>
  <c r="FE180" i="1"/>
  <c r="BI148" i="1"/>
  <c r="FE181" i="1"/>
  <c r="BI149" i="1"/>
  <c r="FE182" i="1"/>
  <c r="BI150" i="1"/>
  <c r="FE183" i="1"/>
  <c r="BI151" i="1"/>
  <c r="FE184" i="1"/>
  <c r="BI152" i="1"/>
  <c r="FE185" i="1"/>
  <c r="BI153" i="1"/>
  <c r="FE186" i="1"/>
  <c r="BI154" i="1"/>
  <c r="FE187" i="1"/>
  <c r="BI155" i="1"/>
  <c r="FE188" i="1"/>
  <c r="BI156" i="1"/>
  <c r="FE189" i="1"/>
  <c r="BI157" i="1"/>
  <c r="FE190" i="1"/>
  <c r="BI158" i="1"/>
  <c r="FE191" i="1"/>
  <c r="BI159" i="1"/>
  <c r="FE192" i="1"/>
  <c r="BI161" i="1"/>
  <c r="FE194" i="1"/>
  <c r="BI162" i="1"/>
  <c r="FE195" i="1"/>
  <c r="BI163" i="1"/>
  <c r="FE196" i="1"/>
  <c r="BI164" i="1"/>
  <c r="FE197" i="1"/>
  <c r="BI165" i="1"/>
  <c r="FE198" i="1"/>
  <c r="BI166" i="1"/>
  <c r="FE199" i="1"/>
  <c r="BI167" i="1"/>
  <c r="FE200" i="1"/>
  <c r="BI168" i="1"/>
  <c r="FE201" i="1"/>
  <c r="BI169" i="1"/>
  <c r="FE202" i="1"/>
  <c r="BI170" i="1"/>
  <c r="FE203" i="1"/>
  <c r="BI171" i="1"/>
  <c r="FE204" i="1"/>
  <c r="BI172" i="1"/>
  <c r="FE205" i="1"/>
  <c r="BI173" i="1"/>
  <c r="FE206" i="1"/>
  <c r="BI174" i="1"/>
  <c r="FE207" i="1"/>
  <c r="BI175" i="1"/>
  <c r="FE208" i="1"/>
  <c r="BI176" i="1"/>
  <c r="FE209" i="1"/>
  <c r="BI177" i="1"/>
  <c r="FE210" i="1"/>
  <c r="BI178" i="1"/>
  <c r="FE211" i="1"/>
  <c r="BI179" i="1"/>
  <c r="FE212" i="1"/>
  <c r="BI180" i="1"/>
  <c r="FE213" i="1"/>
  <c r="BI181" i="1"/>
  <c r="FE214" i="1"/>
  <c r="BI182" i="1"/>
  <c r="FE215" i="1"/>
  <c r="BI183" i="1"/>
  <c r="FE216" i="1"/>
  <c r="BI184" i="1"/>
  <c r="FE217" i="1"/>
  <c r="BI185" i="1"/>
  <c r="FE218" i="1"/>
  <c r="BI186" i="1"/>
  <c r="FE219" i="1"/>
  <c r="FE224" i="1"/>
  <c r="CJ107" i="1"/>
  <c r="GF140" i="1"/>
  <c r="CJ108" i="1"/>
  <c r="GF141" i="1"/>
  <c r="CJ109" i="1"/>
  <c r="GF142" i="1"/>
  <c r="CJ110" i="1"/>
  <c r="GF143" i="1"/>
  <c r="CJ111" i="1"/>
  <c r="GF144" i="1"/>
  <c r="CJ112" i="1"/>
  <c r="GF145" i="1"/>
  <c r="CJ113" i="1"/>
  <c r="GF146" i="1"/>
  <c r="CJ114" i="1"/>
  <c r="GF147" i="1"/>
  <c r="CJ115" i="1"/>
  <c r="GF148" i="1"/>
  <c r="CJ116" i="1"/>
  <c r="GF149" i="1"/>
  <c r="CJ117" i="1"/>
  <c r="GF150" i="1"/>
  <c r="CJ118" i="1"/>
  <c r="GF151" i="1"/>
  <c r="CJ119" i="1"/>
  <c r="GF152" i="1"/>
  <c r="CJ120" i="1"/>
  <c r="GF153" i="1"/>
  <c r="CJ121" i="1"/>
  <c r="GF154" i="1"/>
  <c r="CJ122" i="1"/>
  <c r="GF155" i="1"/>
  <c r="CJ123" i="1"/>
  <c r="GF156" i="1"/>
  <c r="CJ124" i="1"/>
  <c r="GF157" i="1"/>
  <c r="CJ125" i="1"/>
  <c r="GF158" i="1"/>
  <c r="CJ126" i="1"/>
  <c r="GF159" i="1"/>
  <c r="CJ127" i="1"/>
  <c r="GF160" i="1"/>
  <c r="CJ128" i="1"/>
  <c r="GF161" i="1"/>
  <c r="CJ129" i="1"/>
  <c r="GF162" i="1"/>
  <c r="CJ130" i="1"/>
  <c r="GF163" i="1"/>
  <c r="CJ131" i="1"/>
  <c r="GF164" i="1"/>
  <c r="CJ132" i="1"/>
  <c r="GF165" i="1"/>
  <c r="CJ134" i="1"/>
  <c r="GF167" i="1"/>
  <c r="CJ135" i="1"/>
  <c r="GF168" i="1"/>
  <c r="CJ136" i="1"/>
  <c r="GF169" i="1"/>
  <c r="CJ137" i="1"/>
  <c r="GF170" i="1"/>
  <c r="CJ138" i="1"/>
  <c r="GF171" i="1"/>
  <c r="CJ139" i="1"/>
  <c r="GF172" i="1"/>
  <c r="CJ140" i="1"/>
  <c r="GF173" i="1"/>
  <c r="CJ141" i="1"/>
  <c r="GF174" i="1"/>
  <c r="CJ142" i="1"/>
  <c r="GF175" i="1"/>
  <c r="CJ143" i="1"/>
  <c r="GF176" i="1"/>
  <c r="CJ144" i="1"/>
  <c r="GF177" i="1"/>
  <c r="CJ145" i="1"/>
  <c r="GF178" i="1"/>
  <c r="CJ146" i="1"/>
  <c r="GF179" i="1"/>
  <c r="CJ147" i="1"/>
  <c r="GF180" i="1"/>
  <c r="CJ148" i="1"/>
  <c r="GF181" i="1"/>
  <c r="CJ149" i="1"/>
  <c r="GF182" i="1"/>
  <c r="CJ150" i="1"/>
  <c r="GF183" i="1"/>
  <c r="CJ151" i="1"/>
  <c r="GF184" i="1"/>
  <c r="CJ152" i="1"/>
  <c r="GF185" i="1"/>
  <c r="CJ153" i="1"/>
  <c r="GF186" i="1"/>
  <c r="CJ154" i="1"/>
  <c r="GF187" i="1"/>
  <c r="CJ155" i="1"/>
  <c r="GF188" i="1"/>
  <c r="CJ156" i="1"/>
  <c r="GF189" i="1"/>
  <c r="CJ157" i="1"/>
  <c r="GF190" i="1"/>
  <c r="CJ158" i="1"/>
  <c r="GF191" i="1"/>
  <c r="CJ159" i="1"/>
  <c r="GF192" i="1"/>
  <c r="GF224" i="1"/>
  <c r="ED230" i="1"/>
  <c r="FE230" i="1"/>
  <c r="GF230" i="1"/>
  <c r="GF403" i="1"/>
  <c r="GC297" i="1"/>
  <c r="GC300" i="1"/>
  <c r="GC303" i="1"/>
  <c r="GC306" i="1"/>
  <c r="GC309" i="1"/>
  <c r="GC312" i="1"/>
  <c r="GC315" i="1"/>
  <c r="GC318" i="1"/>
  <c r="AE107" i="1"/>
  <c r="EA140" i="1"/>
  <c r="AE108" i="1"/>
  <c r="EA141" i="1"/>
  <c r="AE109" i="1"/>
  <c r="EA142" i="1"/>
  <c r="AE110" i="1"/>
  <c r="EA143" i="1"/>
  <c r="AE111" i="1"/>
  <c r="EA144" i="1"/>
  <c r="AE112" i="1"/>
  <c r="EA145" i="1"/>
  <c r="AE113" i="1"/>
  <c r="EA146" i="1"/>
  <c r="AE114" i="1"/>
  <c r="EA147" i="1"/>
  <c r="AE115" i="1"/>
  <c r="EA148" i="1"/>
  <c r="AE116" i="1"/>
  <c r="EA149" i="1"/>
  <c r="AE117" i="1"/>
  <c r="EA150" i="1"/>
  <c r="AE118" i="1"/>
  <c r="EA151" i="1"/>
  <c r="AE119" i="1"/>
  <c r="EA152" i="1"/>
  <c r="AE120" i="1"/>
  <c r="EA153" i="1"/>
  <c r="AE121" i="1"/>
  <c r="EA154" i="1"/>
  <c r="AE122" i="1"/>
  <c r="EA155" i="1"/>
  <c r="AE123" i="1"/>
  <c r="EA156" i="1"/>
  <c r="AE124" i="1"/>
  <c r="EA157" i="1"/>
  <c r="AE125" i="1"/>
  <c r="EA158" i="1"/>
  <c r="AE126" i="1"/>
  <c r="EA159" i="1"/>
  <c r="AE127" i="1"/>
  <c r="EA160" i="1"/>
  <c r="AE128" i="1"/>
  <c r="EA161" i="1"/>
  <c r="AE129" i="1"/>
  <c r="EA162" i="1"/>
  <c r="AE130" i="1"/>
  <c r="EA163" i="1"/>
  <c r="AE131" i="1"/>
  <c r="EA164" i="1"/>
  <c r="AE132" i="1"/>
  <c r="EA165" i="1"/>
  <c r="AE134" i="1"/>
  <c r="EA167" i="1"/>
  <c r="AE135" i="1"/>
  <c r="EA168" i="1"/>
  <c r="AE136" i="1"/>
  <c r="EA169" i="1"/>
  <c r="AE137" i="1"/>
  <c r="EA170" i="1"/>
  <c r="AE138" i="1"/>
  <c r="EA171" i="1"/>
  <c r="AE139" i="1"/>
  <c r="EA172" i="1"/>
  <c r="AE140" i="1"/>
  <c r="EA173" i="1"/>
  <c r="AE141" i="1"/>
  <c r="EA174" i="1"/>
  <c r="AE142" i="1"/>
  <c r="EA175" i="1"/>
  <c r="AE143" i="1"/>
  <c r="EA176" i="1"/>
  <c r="AE144" i="1"/>
  <c r="EA177" i="1"/>
  <c r="AE145" i="1"/>
  <c r="EA178" i="1"/>
  <c r="AE146" i="1"/>
  <c r="EA179" i="1"/>
  <c r="AE147" i="1"/>
  <c r="EA180" i="1"/>
  <c r="AE148" i="1"/>
  <c r="EA181" i="1"/>
  <c r="AE149" i="1"/>
  <c r="EA182" i="1"/>
  <c r="AE150" i="1"/>
  <c r="EA183" i="1"/>
  <c r="AE151" i="1"/>
  <c r="EA184" i="1"/>
  <c r="AE152" i="1"/>
  <c r="EA185" i="1"/>
  <c r="AE153" i="1"/>
  <c r="EA186" i="1"/>
  <c r="AE154" i="1"/>
  <c r="EA187" i="1"/>
  <c r="AE155" i="1"/>
  <c r="EA188" i="1"/>
  <c r="AE156" i="1"/>
  <c r="EA189" i="1"/>
  <c r="AE157" i="1"/>
  <c r="EA190" i="1"/>
  <c r="AE158" i="1"/>
  <c r="EA191" i="1"/>
  <c r="AE159" i="1"/>
  <c r="EA192" i="1"/>
  <c r="AE161" i="1"/>
  <c r="EA194" i="1"/>
  <c r="AE162" i="1"/>
  <c r="EA195" i="1"/>
  <c r="AE163" i="1"/>
  <c r="EA196" i="1"/>
  <c r="AE164" i="1"/>
  <c r="EA197" i="1"/>
  <c r="AE165" i="1"/>
  <c r="EA198" i="1"/>
  <c r="AE166" i="1"/>
  <c r="EA199" i="1"/>
  <c r="AE167" i="1"/>
  <c r="EA200" i="1"/>
  <c r="AE168" i="1"/>
  <c r="EA201" i="1"/>
  <c r="AE169" i="1"/>
  <c r="EA202" i="1"/>
  <c r="AE170" i="1"/>
  <c r="EA203" i="1"/>
  <c r="AE171" i="1"/>
  <c r="EA204" i="1"/>
  <c r="AE172" i="1"/>
  <c r="EA205" i="1"/>
  <c r="AE173" i="1"/>
  <c r="EA206" i="1"/>
  <c r="AE174" i="1"/>
  <c r="EA207" i="1"/>
  <c r="AE175" i="1"/>
  <c r="EA208" i="1"/>
  <c r="AE176" i="1"/>
  <c r="EA209" i="1"/>
  <c r="AE177" i="1"/>
  <c r="EA210" i="1"/>
  <c r="AE178" i="1"/>
  <c r="EA211" i="1"/>
  <c r="CM101" i="1"/>
  <c r="AE179" i="1"/>
  <c r="EA212" i="1"/>
  <c r="CP101" i="1"/>
  <c r="AE180" i="1"/>
  <c r="EA213" i="1"/>
  <c r="AE181" i="1"/>
  <c r="EA214" i="1"/>
  <c r="AE182" i="1"/>
  <c r="EA215" i="1"/>
  <c r="AE183" i="1"/>
  <c r="EA216" i="1"/>
  <c r="AE184" i="1"/>
  <c r="EA217" i="1"/>
  <c r="AE185" i="1"/>
  <c r="EA218" i="1"/>
  <c r="AE186" i="1"/>
  <c r="EA219" i="1"/>
  <c r="EA224" i="1"/>
  <c r="FB140" i="1"/>
  <c r="BF108" i="1"/>
  <c r="FB141" i="1"/>
  <c r="BF109" i="1"/>
  <c r="FB142" i="1"/>
  <c r="BF110" i="1"/>
  <c r="FB143" i="1"/>
  <c r="BF111" i="1"/>
  <c r="FB144" i="1"/>
  <c r="BF112" i="1"/>
  <c r="FB145" i="1"/>
  <c r="BF113" i="1"/>
  <c r="FB146" i="1"/>
  <c r="BF114" i="1"/>
  <c r="FB147" i="1"/>
  <c r="BF115" i="1"/>
  <c r="FB148" i="1"/>
  <c r="BF116" i="1"/>
  <c r="FB149" i="1"/>
  <c r="BF117" i="1"/>
  <c r="FB150" i="1"/>
  <c r="BF118" i="1"/>
  <c r="FB151" i="1"/>
  <c r="BF119" i="1"/>
  <c r="FB152" i="1"/>
  <c r="BF120" i="1"/>
  <c r="FB153" i="1"/>
  <c r="BF121" i="1"/>
  <c r="FB154" i="1"/>
  <c r="BF122" i="1"/>
  <c r="FB155" i="1"/>
  <c r="BF123" i="1"/>
  <c r="FB156" i="1"/>
  <c r="BF124" i="1"/>
  <c r="FB157" i="1"/>
  <c r="BF125" i="1"/>
  <c r="FB158" i="1"/>
  <c r="BF126" i="1"/>
  <c r="FB159" i="1"/>
  <c r="BF127" i="1"/>
  <c r="FB160" i="1"/>
  <c r="BF128" i="1"/>
  <c r="FB161" i="1"/>
  <c r="BF129" i="1"/>
  <c r="FB162" i="1"/>
  <c r="BF130" i="1"/>
  <c r="FB163" i="1"/>
  <c r="BF131" i="1"/>
  <c r="FB164" i="1"/>
  <c r="BF132" i="1"/>
  <c r="FB165" i="1"/>
  <c r="BF134" i="1"/>
  <c r="FB167" i="1"/>
  <c r="BF135" i="1"/>
  <c r="FB168" i="1"/>
  <c r="BF136" i="1"/>
  <c r="FB169" i="1"/>
  <c r="BF137" i="1"/>
  <c r="FB170" i="1"/>
  <c r="BF138" i="1"/>
  <c r="FB171" i="1"/>
  <c r="BF139" i="1"/>
  <c r="FB172" i="1"/>
  <c r="BF140" i="1"/>
  <c r="FB173" i="1"/>
  <c r="BF141" i="1"/>
  <c r="FB174" i="1"/>
  <c r="BF142" i="1"/>
  <c r="FB175" i="1"/>
  <c r="BF143" i="1"/>
  <c r="FB176" i="1"/>
  <c r="BF144" i="1"/>
  <c r="FB177" i="1"/>
  <c r="BF145" i="1"/>
  <c r="FB178" i="1"/>
  <c r="BF146" i="1"/>
  <c r="FB179" i="1"/>
  <c r="BF147" i="1"/>
  <c r="FB180" i="1"/>
  <c r="BF148" i="1"/>
  <c r="FB181" i="1"/>
  <c r="BF149" i="1"/>
  <c r="FB182" i="1"/>
  <c r="BF150" i="1"/>
  <c r="FB183" i="1"/>
  <c r="BF151" i="1"/>
  <c r="FB184" i="1"/>
  <c r="BF152" i="1"/>
  <c r="FB185" i="1"/>
  <c r="BF153" i="1"/>
  <c r="FB186" i="1"/>
  <c r="BF154" i="1"/>
  <c r="FB187" i="1"/>
  <c r="BF155" i="1"/>
  <c r="FB188" i="1"/>
  <c r="BF156" i="1"/>
  <c r="FB189" i="1"/>
  <c r="BF157" i="1"/>
  <c r="FB190" i="1"/>
  <c r="BF158" i="1"/>
  <c r="FB191" i="1"/>
  <c r="BF159" i="1"/>
  <c r="FB192" i="1"/>
  <c r="BF161" i="1"/>
  <c r="FB194" i="1"/>
  <c r="BF162" i="1"/>
  <c r="FB195" i="1"/>
  <c r="BF163" i="1"/>
  <c r="FB196" i="1"/>
  <c r="BF164" i="1"/>
  <c r="FB197" i="1"/>
  <c r="BF165" i="1"/>
  <c r="FB198" i="1"/>
  <c r="BF166" i="1"/>
  <c r="FB199" i="1"/>
  <c r="BF167" i="1"/>
  <c r="FB200" i="1"/>
  <c r="BF168" i="1"/>
  <c r="FB201" i="1"/>
  <c r="BF169" i="1"/>
  <c r="FB202" i="1"/>
  <c r="BF170" i="1"/>
  <c r="FB203" i="1"/>
  <c r="BF171" i="1"/>
  <c r="FB204" i="1"/>
  <c r="BF172" i="1"/>
  <c r="FB205" i="1"/>
  <c r="BF173" i="1"/>
  <c r="FB206" i="1"/>
  <c r="BF174" i="1"/>
  <c r="FB207" i="1"/>
  <c r="BF175" i="1"/>
  <c r="FB208" i="1"/>
  <c r="BF176" i="1"/>
  <c r="FB209" i="1"/>
  <c r="BF177" i="1"/>
  <c r="FB210" i="1"/>
  <c r="BF178" i="1"/>
  <c r="FB211" i="1"/>
  <c r="BF179" i="1"/>
  <c r="FB212" i="1"/>
  <c r="BF180" i="1"/>
  <c r="FB213" i="1"/>
  <c r="BF181" i="1"/>
  <c r="FB214" i="1"/>
  <c r="BF182" i="1"/>
  <c r="FB215" i="1"/>
  <c r="BF183" i="1"/>
  <c r="FB216" i="1"/>
  <c r="BF184" i="1"/>
  <c r="FB217" i="1"/>
  <c r="BF185" i="1"/>
  <c r="FB218" i="1"/>
  <c r="BF186" i="1"/>
  <c r="FB219" i="1"/>
  <c r="FB224" i="1"/>
  <c r="CG107" i="1"/>
  <c r="GC140" i="1"/>
  <c r="CG108" i="1"/>
  <c r="GC141" i="1"/>
  <c r="CG109" i="1"/>
  <c r="GC142" i="1"/>
  <c r="CG110" i="1"/>
  <c r="GC143" i="1"/>
  <c r="CG111" i="1"/>
  <c r="GC144" i="1"/>
  <c r="CG112" i="1"/>
  <c r="GC145" i="1"/>
  <c r="CG113" i="1"/>
  <c r="GC146" i="1"/>
  <c r="CG114" i="1"/>
  <c r="GC147" i="1"/>
  <c r="CG115" i="1"/>
  <c r="GC148" i="1"/>
  <c r="CG116" i="1"/>
  <c r="GC149" i="1"/>
  <c r="CG117" i="1"/>
  <c r="GC150" i="1"/>
  <c r="CG118" i="1"/>
  <c r="GC151" i="1"/>
  <c r="CG119" i="1"/>
  <c r="GC152" i="1"/>
  <c r="CG120" i="1"/>
  <c r="GC153" i="1"/>
  <c r="CG121" i="1"/>
  <c r="GC154" i="1"/>
  <c r="CG122" i="1"/>
  <c r="GC155" i="1"/>
  <c r="CG123" i="1"/>
  <c r="GC156" i="1"/>
  <c r="CG124" i="1"/>
  <c r="GC157" i="1"/>
  <c r="CG125" i="1"/>
  <c r="GC158" i="1"/>
  <c r="CG126" i="1"/>
  <c r="GC159" i="1"/>
  <c r="CG127" i="1"/>
  <c r="GC160" i="1"/>
  <c r="CG128" i="1"/>
  <c r="GC161" i="1"/>
  <c r="CG129" i="1"/>
  <c r="GC162" i="1"/>
  <c r="CG130" i="1"/>
  <c r="GC163" i="1"/>
  <c r="CG131" i="1"/>
  <c r="GC164" i="1"/>
  <c r="CG132" i="1"/>
  <c r="GC165" i="1"/>
  <c r="CG134" i="1"/>
  <c r="GC167" i="1"/>
  <c r="CG135" i="1"/>
  <c r="GC168" i="1"/>
  <c r="CG136" i="1"/>
  <c r="GC169" i="1"/>
  <c r="CG137" i="1"/>
  <c r="GC170" i="1"/>
  <c r="CG138" i="1"/>
  <c r="GC171" i="1"/>
  <c r="CG139" i="1"/>
  <c r="GC172" i="1"/>
  <c r="CG140" i="1"/>
  <c r="GC173" i="1"/>
  <c r="CG141" i="1"/>
  <c r="GC174" i="1"/>
  <c r="CG142" i="1"/>
  <c r="GC175" i="1"/>
  <c r="CG143" i="1"/>
  <c r="GC176" i="1"/>
  <c r="CG144" i="1"/>
  <c r="GC177" i="1"/>
  <c r="CG145" i="1"/>
  <c r="GC178" i="1"/>
  <c r="CG146" i="1"/>
  <c r="GC179" i="1"/>
  <c r="CG147" i="1"/>
  <c r="GC180" i="1"/>
  <c r="CG148" i="1"/>
  <c r="GC181" i="1"/>
  <c r="CG149" i="1"/>
  <c r="GC182" i="1"/>
  <c r="CG150" i="1"/>
  <c r="GC183" i="1"/>
  <c r="CG151" i="1"/>
  <c r="GC184" i="1"/>
  <c r="CG152" i="1"/>
  <c r="GC185" i="1"/>
  <c r="CG153" i="1"/>
  <c r="GC186" i="1"/>
  <c r="CG154" i="1"/>
  <c r="GC187" i="1"/>
  <c r="CG155" i="1"/>
  <c r="GC188" i="1"/>
  <c r="CG156" i="1"/>
  <c r="GC189" i="1"/>
  <c r="CG157" i="1"/>
  <c r="GC190" i="1"/>
  <c r="CG158" i="1"/>
  <c r="GC191" i="1"/>
  <c r="CG159" i="1"/>
  <c r="GC192" i="1"/>
  <c r="GC224" i="1"/>
  <c r="EA230" i="1"/>
  <c r="FB230" i="1"/>
  <c r="GC230" i="1"/>
  <c r="GC403" i="1"/>
  <c r="FZ297" i="1"/>
  <c r="FZ300" i="1"/>
  <c r="FZ303" i="1"/>
  <c r="FZ306" i="1"/>
  <c r="FZ309" i="1"/>
  <c r="FZ312" i="1"/>
  <c r="FZ315" i="1"/>
  <c r="FZ318" i="1"/>
  <c r="AB107" i="1"/>
  <c r="DX140" i="1"/>
  <c r="AB108" i="1"/>
  <c r="DX141" i="1"/>
  <c r="AB109" i="1"/>
  <c r="DX142" i="1"/>
  <c r="CM95" i="1"/>
  <c r="AB110" i="1"/>
  <c r="DX143" i="1"/>
  <c r="CP95" i="1"/>
  <c r="AB111" i="1"/>
  <c r="DX144" i="1"/>
  <c r="CS95" i="1"/>
  <c r="AB112" i="1"/>
  <c r="DX145" i="1"/>
  <c r="AB113" i="1"/>
  <c r="DX146" i="1"/>
  <c r="AB114" i="1"/>
  <c r="DX147" i="1"/>
  <c r="AB115" i="1"/>
  <c r="DX148" i="1"/>
  <c r="AB116" i="1"/>
  <c r="DX149" i="1"/>
  <c r="AB117" i="1"/>
  <c r="DX150" i="1"/>
  <c r="AB118" i="1"/>
  <c r="DX151" i="1"/>
  <c r="AB119" i="1"/>
  <c r="DX152" i="1"/>
  <c r="AB120" i="1"/>
  <c r="DX153" i="1"/>
  <c r="AB121" i="1"/>
  <c r="DX154" i="1"/>
  <c r="AB122" i="1"/>
  <c r="DX155" i="1"/>
  <c r="AB123" i="1"/>
  <c r="DX156" i="1"/>
  <c r="AB124" i="1"/>
  <c r="DX157" i="1"/>
  <c r="AB125" i="1"/>
  <c r="DX158" i="1"/>
  <c r="AB126" i="1"/>
  <c r="DX159" i="1"/>
  <c r="AB127" i="1"/>
  <c r="DX160" i="1"/>
  <c r="AB128" i="1"/>
  <c r="DX161" i="1"/>
  <c r="AB129" i="1"/>
  <c r="DX162" i="1"/>
  <c r="AB130" i="1"/>
  <c r="DX163" i="1"/>
  <c r="AB131" i="1"/>
  <c r="DX164" i="1"/>
  <c r="AB132" i="1"/>
  <c r="DX165" i="1"/>
  <c r="AB134" i="1"/>
  <c r="DX167" i="1"/>
  <c r="AB135" i="1"/>
  <c r="DX168" i="1"/>
  <c r="AB136" i="1"/>
  <c r="DX169" i="1"/>
  <c r="AB137" i="1"/>
  <c r="DX170" i="1"/>
  <c r="AB138" i="1"/>
  <c r="DX171" i="1"/>
  <c r="AB139" i="1"/>
  <c r="DX172" i="1"/>
  <c r="AB140" i="1"/>
  <c r="DX173" i="1"/>
  <c r="AB141" i="1"/>
  <c r="DX174" i="1"/>
  <c r="AB142" i="1"/>
  <c r="DX175" i="1"/>
  <c r="AB143" i="1"/>
  <c r="DX176" i="1"/>
  <c r="AB144" i="1"/>
  <c r="DX177" i="1"/>
  <c r="AB145" i="1"/>
  <c r="DX178" i="1"/>
  <c r="AB146" i="1"/>
  <c r="DX179" i="1"/>
  <c r="AB147" i="1"/>
  <c r="DX180" i="1"/>
  <c r="AB148" i="1"/>
  <c r="DX181" i="1"/>
  <c r="AB149" i="1"/>
  <c r="DX182" i="1"/>
  <c r="AB150" i="1"/>
  <c r="DX183" i="1"/>
  <c r="AB151" i="1"/>
  <c r="DX184" i="1"/>
  <c r="AB152" i="1"/>
  <c r="DX185" i="1"/>
  <c r="AB153" i="1"/>
  <c r="DX186" i="1"/>
  <c r="AB154" i="1"/>
  <c r="DX187" i="1"/>
  <c r="AB155" i="1"/>
  <c r="DX188" i="1"/>
  <c r="AB156" i="1"/>
  <c r="DX189" i="1"/>
  <c r="AB157" i="1"/>
  <c r="DX190" i="1"/>
  <c r="AB158" i="1"/>
  <c r="DX191" i="1"/>
  <c r="AB159" i="1"/>
  <c r="DX192" i="1"/>
  <c r="AB161" i="1"/>
  <c r="DX194" i="1"/>
  <c r="AB162" i="1"/>
  <c r="DX195" i="1"/>
  <c r="AB163" i="1"/>
  <c r="DX196" i="1"/>
  <c r="AB164" i="1"/>
  <c r="DX197" i="1"/>
  <c r="AB165" i="1"/>
  <c r="DX198" i="1"/>
  <c r="AB166" i="1"/>
  <c r="DX199" i="1"/>
  <c r="AB167" i="1"/>
  <c r="DX200" i="1"/>
  <c r="AB168" i="1"/>
  <c r="DX201" i="1"/>
  <c r="AB169" i="1"/>
  <c r="DX202" i="1"/>
  <c r="AB170" i="1"/>
  <c r="DX203" i="1"/>
  <c r="AB171" i="1"/>
  <c r="DX204" i="1"/>
  <c r="AB172" i="1"/>
  <c r="DX205" i="1"/>
  <c r="AB173" i="1"/>
  <c r="DX206" i="1"/>
  <c r="AB174" i="1"/>
  <c r="DX207" i="1"/>
  <c r="AB175" i="1"/>
  <c r="DX208" i="1"/>
  <c r="AB176" i="1"/>
  <c r="DX209" i="1"/>
  <c r="AB177" i="1"/>
  <c r="DX210" i="1"/>
  <c r="AB178" i="1"/>
  <c r="DX211" i="1"/>
  <c r="AB179" i="1"/>
  <c r="DX212" i="1"/>
  <c r="AB180" i="1"/>
  <c r="DX213" i="1"/>
  <c r="AB181" i="1"/>
  <c r="DX214" i="1"/>
  <c r="AB182" i="1"/>
  <c r="DX215" i="1"/>
  <c r="AB183" i="1"/>
  <c r="DX216" i="1"/>
  <c r="AB184" i="1"/>
  <c r="DX217" i="1"/>
  <c r="AB185" i="1"/>
  <c r="DX218" i="1"/>
  <c r="AB186" i="1"/>
  <c r="DX219" i="1"/>
  <c r="DX224" i="1"/>
  <c r="BC107" i="1"/>
  <c r="EY140" i="1"/>
  <c r="BC108" i="1"/>
  <c r="EY141" i="1"/>
  <c r="BC109" i="1"/>
  <c r="EY142" i="1"/>
  <c r="BC110" i="1"/>
  <c r="EY143" i="1"/>
  <c r="BC111" i="1"/>
  <c r="EY144" i="1"/>
  <c r="BC112" i="1"/>
  <c r="EY145" i="1"/>
  <c r="BC113" i="1"/>
  <c r="EY146" i="1"/>
  <c r="BC114" i="1"/>
  <c r="EY147" i="1"/>
  <c r="BC115" i="1"/>
  <c r="EY148" i="1"/>
  <c r="BC116" i="1"/>
  <c r="EY149" i="1"/>
  <c r="BC117" i="1"/>
  <c r="EY150" i="1"/>
  <c r="BC118" i="1"/>
  <c r="EY151" i="1"/>
  <c r="BC119" i="1"/>
  <c r="EY152" i="1"/>
  <c r="BC120" i="1"/>
  <c r="EY153" i="1"/>
  <c r="BC121" i="1"/>
  <c r="EY154" i="1"/>
  <c r="BC122" i="1"/>
  <c r="EY155" i="1"/>
  <c r="BC123" i="1"/>
  <c r="EY156" i="1"/>
  <c r="BC124" i="1"/>
  <c r="EY157" i="1"/>
  <c r="BC125" i="1"/>
  <c r="EY158" i="1"/>
  <c r="BC126" i="1"/>
  <c r="EY159" i="1"/>
  <c r="BC127" i="1"/>
  <c r="EY160" i="1"/>
  <c r="BC128" i="1"/>
  <c r="EY161" i="1"/>
  <c r="BC129" i="1"/>
  <c r="EY162" i="1"/>
  <c r="BC130" i="1"/>
  <c r="EY163" i="1"/>
  <c r="BC131" i="1"/>
  <c r="EY164" i="1"/>
  <c r="BC132" i="1"/>
  <c r="EY165" i="1"/>
  <c r="BC134" i="1"/>
  <c r="EY167" i="1"/>
  <c r="BC135" i="1"/>
  <c r="EY168" i="1"/>
  <c r="BC136" i="1"/>
  <c r="EY169" i="1"/>
  <c r="BC137" i="1"/>
  <c r="EY170" i="1"/>
  <c r="BC138" i="1"/>
  <c r="EY171" i="1"/>
  <c r="BC139" i="1"/>
  <c r="EY172" i="1"/>
  <c r="BC140" i="1"/>
  <c r="EY173" i="1"/>
  <c r="BC141" i="1"/>
  <c r="EY174" i="1"/>
  <c r="BC142" i="1"/>
  <c r="EY175" i="1"/>
  <c r="BC143" i="1"/>
  <c r="EY176" i="1"/>
  <c r="BC144" i="1"/>
  <c r="EY177" i="1"/>
  <c r="BC145" i="1"/>
  <c r="EY178" i="1"/>
  <c r="BC146" i="1"/>
  <c r="EY179" i="1"/>
  <c r="BC147" i="1"/>
  <c r="EY180" i="1"/>
  <c r="BC148" i="1"/>
  <c r="EY181" i="1"/>
  <c r="BC149" i="1"/>
  <c r="EY182" i="1"/>
  <c r="BC150" i="1"/>
  <c r="EY183" i="1"/>
  <c r="BC151" i="1"/>
  <c r="EY184" i="1"/>
  <c r="BC152" i="1"/>
  <c r="EY185" i="1"/>
  <c r="BC153" i="1"/>
  <c r="EY186" i="1"/>
  <c r="BC154" i="1"/>
  <c r="EY187" i="1"/>
  <c r="BC155" i="1"/>
  <c r="EY188" i="1"/>
  <c r="BC156" i="1"/>
  <c r="EY189" i="1"/>
  <c r="BC157" i="1"/>
  <c r="EY190" i="1"/>
  <c r="BC158" i="1"/>
  <c r="EY191" i="1"/>
  <c r="BC159" i="1"/>
  <c r="EY192" i="1"/>
  <c r="BC161" i="1"/>
  <c r="EY194" i="1"/>
  <c r="BC162" i="1"/>
  <c r="EY195" i="1"/>
  <c r="BC163" i="1"/>
  <c r="EY196" i="1"/>
  <c r="BC164" i="1"/>
  <c r="EY197" i="1"/>
  <c r="BC165" i="1"/>
  <c r="EY198" i="1"/>
  <c r="BC166" i="1"/>
  <c r="EY199" i="1"/>
  <c r="BC167" i="1"/>
  <c r="EY200" i="1"/>
  <c r="BC168" i="1"/>
  <c r="EY201" i="1"/>
  <c r="BC169" i="1"/>
  <c r="EY202" i="1"/>
  <c r="BC170" i="1"/>
  <c r="EY203" i="1"/>
  <c r="BC171" i="1"/>
  <c r="EY204" i="1"/>
  <c r="BC172" i="1"/>
  <c r="EY205" i="1"/>
  <c r="BC173" i="1"/>
  <c r="EY206" i="1"/>
  <c r="BC174" i="1"/>
  <c r="EY207" i="1"/>
  <c r="BC175" i="1"/>
  <c r="EY208" i="1"/>
  <c r="BC176" i="1"/>
  <c r="EY209" i="1"/>
  <c r="BC177" i="1"/>
  <c r="EY210" i="1"/>
  <c r="BC178" i="1"/>
  <c r="EY211" i="1"/>
  <c r="BC179" i="1"/>
  <c r="EY212" i="1"/>
  <c r="BC180" i="1"/>
  <c r="EY213" i="1"/>
  <c r="BC181" i="1"/>
  <c r="EY214" i="1"/>
  <c r="BC182" i="1"/>
  <c r="EY215" i="1"/>
  <c r="BC183" i="1"/>
  <c r="EY216" i="1"/>
  <c r="BC184" i="1"/>
  <c r="EY217" i="1"/>
  <c r="BC185" i="1"/>
  <c r="EY218" i="1"/>
  <c r="BC186" i="1"/>
  <c r="EY219" i="1"/>
  <c r="EY224" i="1"/>
  <c r="CD107" i="1"/>
  <c r="FZ140" i="1"/>
  <c r="CD108" i="1"/>
  <c r="FZ141" i="1"/>
  <c r="CD109" i="1"/>
  <c r="FZ142" i="1"/>
  <c r="CD110" i="1"/>
  <c r="FZ143" i="1"/>
  <c r="CD111" i="1"/>
  <c r="FZ144" i="1"/>
  <c r="CD112" i="1"/>
  <c r="FZ145" i="1"/>
  <c r="CD113" i="1"/>
  <c r="FZ146" i="1"/>
  <c r="CD114" i="1"/>
  <c r="FZ147" i="1"/>
  <c r="CD115" i="1"/>
  <c r="FZ148" i="1"/>
  <c r="CD116" i="1"/>
  <c r="FZ149" i="1"/>
  <c r="CD117" i="1"/>
  <c r="FZ150" i="1"/>
  <c r="CD118" i="1"/>
  <c r="FZ151" i="1"/>
  <c r="CD119" i="1"/>
  <c r="FZ152" i="1"/>
  <c r="CD120" i="1"/>
  <c r="FZ153" i="1"/>
  <c r="CD121" i="1"/>
  <c r="FZ154" i="1"/>
  <c r="CD122" i="1"/>
  <c r="FZ155" i="1"/>
  <c r="CD123" i="1"/>
  <c r="FZ156" i="1"/>
  <c r="CD124" i="1"/>
  <c r="FZ157" i="1"/>
  <c r="CD125" i="1"/>
  <c r="FZ158" i="1"/>
  <c r="CD126" i="1"/>
  <c r="FZ159" i="1"/>
  <c r="CD127" i="1"/>
  <c r="FZ160" i="1"/>
  <c r="CD128" i="1"/>
  <c r="FZ161" i="1"/>
  <c r="CD129" i="1"/>
  <c r="FZ162" i="1"/>
  <c r="CD130" i="1"/>
  <c r="FZ163" i="1"/>
  <c r="CD131" i="1"/>
  <c r="FZ164" i="1"/>
  <c r="CD132" i="1"/>
  <c r="FZ165" i="1"/>
  <c r="CD134" i="1"/>
  <c r="FZ167" i="1"/>
  <c r="CD135" i="1"/>
  <c r="FZ168" i="1"/>
  <c r="CD136" i="1"/>
  <c r="FZ169" i="1"/>
  <c r="CD137" i="1"/>
  <c r="FZ170" i="1"/>
  <c r="CD138" i="1"/>
  <c r="FZ171" i="1"/>
  <c r="CD139" i="1"/>
  <c r="FZ172" i="1"/>
  <c r="CD140" i="1"/>
  <c r="FZ173" i="1"/>
  <c r="CD141" i="1"/>
  <c r="FZ174" i="1"/>
  <c r="CD142" i="1"/>
  <c r="FZ175" i="1"/>
  <c r="CD143" i="1"/>
  <c r="FZ176" i="1"/>
  <c r="CD144" i="1"/>
  <c r="FZ177" i="1"/>
  <c r="CD145" i="1"/>
  <c r="FZ178" i="1"/>
  <c r="CD146" i="1"/>
  <c r="FZ179" i="1"/>
  <c r="CD147" i="1"/>
  <c r="FZ180" i="1"/>
  <c r="CD148" i="1"/>
  <c r="FZ181" i="1"/>
  <c r="CD149" i="1"/>
  <c r="FZ182" i="1"/>
  <c r="CD150" i="1"/>
  <c r="FZ183" i="1"/>
  <c r="CD151" i="1"/>
  <c r="FZ184" i="1"/>
  <c r="CD152" i="1"/>
  <c r="FZ185" i="1"/>
  <c r="CD153" i="1"/>
  <c r="FZ186" i="1"/>
  <c r="CD154" i="1"/>
  <c r="FZ187" i="1"/>
  <c r="CD155" i="1"/>
  <c r="FZ188" i="1"/>
  <c r="CD156" i="1"/>
  <c r="FZ189" i="1"/>
  <c r="CD157" i="1"/>
  <c r="FZ190" i="1"/>
  <c r="CD158" i="1"/>
  <c r="FZ191" i="1"/>
  <c r="CD159" i="1"/>
  <c r="FZ192" i="1"/>
  <c r="FZ224" i="1"/>
  <c r="DX230" i="1"/>
  <c r="EY230" i="1"/>
  <c r="FZ230" i="1"/>
  <c r="FZ403" i="1"/>
  <c r="FW297" i="1"/>
  <c r="FW300" i="1"/>
  <c r="FW303" i="1"/>
  <c r="FW306" i="1"/>
  <c r="FW309" i="1"/>
  <c r="FW312" i="1"/>
  <c r="FW315" i="1"/>
  <c r="FW318" i="1"/>
  <c r="Y107" i="1"/>
  <c r="DU140" i="1"/>
  <c r="Y108" i="1"/>
  <c r="DU141" i="1"/>
  <c r="Y109" i="1"/>
  <c r="DU142" i="1"/>
  <c r="Y110" i="1"/>
  <c r="DU143" i="1"/>
  <c r="Y111" i="1"/>
  <c r="DU144" i="1"/>
  <c r="Y112" i="1"/>
  <c r="DU145" i="1"/>
  <c r="Y113" i="1"/>
  <c r="DU146" i="1"/>
  <c r="Y114" i="1"/>
  <c r="DU147" i="1"/>
  <c r="Y115" i="1"/>
  <c r="DU148" i="1"/>
  <c r="Y116" i="1"/>
  <c r="DU149" i="1"/>
  <c r="Y117" i="1"/>
  <c r="DU150" i="1"/>
  <c r="Y118" i="1"/>
  <c r="DU151" i="1"/>
  <c r="Y119" i="1"/>
  <c r="DU152" i="1"/>
  <c r="Y120" i="1"/>
  <c r="DU153" i="1"/>
  <c r="Y121" i="1"/>
  <c r="DU154" i="1"/>
  <c r="Y122" i="1"/>
  <c r="DU155" i="1"/>
  <c r="Y123" i="1"/>
  <c r="DU156" i="1"/>
  <c r="Y124" i="1"/>
  <c r="DU157" i="1"/>
  <c r="Y125" i="1"/>
  <c r="DU158" i="1"/>
  <c r="Y126" i="1"/>
  <c r="DU159" i="1"/>
  <c r="Y127" i="1"/>
  <c r="DU160" i="1"/>
  <c r="Y128" i="1"/>
  <c r="DU161" i="1"/>
  <c r="Y129" i="1"/>
  <c r="DU162" i="1"/>
  <c r="Y130" i="1"/>
  <c r="DU163" i="1"/>
  <c r="Y131" i="1"/>
  <c r="DU164" i="1"/>
  <c r="Y132" i="1"/>
  <c r="DU165" i="1"/>
  <c r="Y134" i="1"/>
  <c r="DU167" i="1"/>
  <c r="Y135" i="1"/>
  <c r="DU168" i="1"/>
  <c r="Y136" i="1"/>
  <c r="DU169" i="1"/>
  <c r="Y137" i="1"/>
  <c r="DU170" i="1"/>
  <c r="Y138" i="1"/>
  <c r="DU171" i="1"/>
  <c r="Y139" i="1"/>
  <c r="DU172" i="1"/>
  <c r="Y140" i="1"/>
  <c r="DU173" i="1"/>
  <c r="Y141" i="1"/>
  <c r="DU174" i="1"/>
  <c r="Y142" i="1"/>
  <c r="DU175" i="1"/>
  <c r="Y143" i="1"/>
  <c r="DU176" i="1"/>
  <c r="Y144" i="1"/>
  <c r="DU177" i="1"/>
  <c r="Y145" i="1"/>
  <c r="DU178" i="1"/>
  <c r="Y146" i="1"/>
  <c r="DU179" i="1"/>
  <c r="Y147" i="1"/>
  <c r="DU180" i="1"/>
  <c r="Y148" i="1"/>
  <c r="DU181" i="1"/>
  <c r="Y149" i="1"/>
  <c r="DU182" i="1"/>
  <c r="Y150" i="1"/>
  <c r="DU183" i="1"/>
  <c r="Y151" i="1"/>
  <c r="DU184" i="1"/>
  <c r="Y152" i="1"/>
  <c r="DU185" i="1"/>
  <c r="Y153" i="1"/>
  <c r="DU186" i="1"/>
  <c r="Y154" i="1"/>
  <c r="DU187" i="1"/>
  <c r="Y155" i="1"/>
  <c r="DU188" i="1"/>
  <c r="Y156" i="1"/>
  <c r="DU189" i="1"/>
  <c r="Y157" i="1"/>
  <c r="DU190" i="1"/>
  <c r="Y158" i="1"/>
  <c r="DU191" i="1"/>
  <c r="Y159" i="1"/>
  <c r="DU192" i="1"/>
  <c r="Y161" i="1"/>
  <c r="DU194" i="1"/>
  <c r="Y162" i="1"/>
  <c r="DU195" i="1"/>
  <c r="Y163" i="1"/>
  <c r="DU196" i="1"/>
  <c r="Y164" i="1"/>
  <c r="DU197" i="1"/>
  <c r="Y165" i="1"/>
  <c r="DU198" i="1"/>
  <c r="Y166" i="1"/>
  <c r="DU199" i="1"/>
  <c r="Y167" i="1"/>
  <c r="DU200" i="1"/>
  <c r="Y168" i="1"/>
  <c r="DU201" i="1"/>
  <c r="Y169" i="1"/>
  <c r="DU202" i="1"/>
  <c r="Y170" i="1"/>
  <c r="DU203" i="1"/>
  <c r="Y171" i="1"/>
  <c r="DU204" i="1"/>
  <c r="Y172" i="1"/>
  <c r="DU205" i="1"/>
  <c r="Y173" i="1"/>
  <c r="DU206" i="1"/>
  <c r="Y174" i="1"/>
  <c r="DU207" i="1"/>
  <c r="Y175" i="1"/>
  <c r="DU208" i="1"/>
  <c r="Y176" i="1"/>
  <c r="DU209" i="1"/>
  <c r="Y177" i="1"/>
  <c r="DU210" i="1"/>
  <c r="Y178" i="1"/>
  <c r="DU211" i="1"/>
  <c r="Y179" i="1"/>
  <c r="DU212" i="1"/>
  <c r="Y180" i="1"/>
  <c r="DU213" i="1"/>
  <c r="Y181" i="1"/>
  <c r="DU214" i="1"/>
  <c r="Y182" i="1"/>
  <c r="DU215" i="1"/>
  <c r="Y183" i="1"/>
  <c r="DU216" i="1"/>
  <c r="Y184" i="1"/>
  <c r="DU217" i="1"/>
  <c r="Y185" i="1"/>
  <c r="DU218" i="1"/>
  <c r="Y186" i="1"/>
  <c r="DU219" i="1"/>
  <c r="DU224" i="1"/>
  <c r="AZ107" i="1"/>
  <c r="EV140" i="1"/>
  <c r="AZ108" i="1"/>
  <c r="EV141" i="1"/>
  <c r="AZ109" i="1"/>
  <c r="EV142" i="1"/>
  <c r="AZ110" i="1"/>
  <c r="EV143" i="1"/>
  <c r="AZ111" i="1"/>
  <c r="EV144" i="1"/>
  <c r="AZ112" i="1"/>
  <c r="EV145" i="1"/>
  <c r="AZ113" i="1"/>
  <c r="EV146" i="1"/>
  <c r="AZ114" i="1"/>
  <c r="EV147" i="1"/>
  <c r="AZ115" i="1"/>
  <c r="EV148" i="1"/>
  <c r="AZ116" i="1"/>
  <c r="EV149" i="1"/>
  <c r="AZ117" i="1"/>
  <c r="EV150" i="1"/>
  <c r="AZ118" i="1"/>
  <c r="EV151" i="1"/>
  <c r="AZ119" i="1"/>
  <c r="EV152" i="1"/>
  <c r="AZ120" i="1"/>
  <c r="EV153" i="1"/>
  <c r="AZ121" i="1"/>
  <c r="EV154" i="1"/>
  <c r="AZ122" i="1"/>
  <c r="EV155" i="1"/>
  <c r="AZ123" i="1"/>
  <c r="EV156" i="1"/>
  <c r="AZ124" i="1"/>
  <c r="EV157" i="1"/>
  <c r="AZ125" i="1"/>
  <c r="EV158" i="1"/>
  <c r="AZ126" i="1"/>
  <c r="EV159" i="1"/>
  <c r="AZ127" i="1"/>
  <c r="EV160" i="1"/>
  <c r="AZ128" i="1"/>
  <c r="EV161" i="1"/>
  <c r="AZ129" i="1"/>
  <c r="EV162" i="1"/>
  <c r="AZ130" i="1"/>
  <c r="EV163" i="1"/>
  <c r="AZ131" i="1"/>
  <c r="EV164" i="1"/>
  <c r="AZ132" i="1"/>
  <c r="EV165" i="1"/>
  <c r="AZ134" i="1"/>
  <c r="EV167" i="1"/>
  <c r="AZ135" i="1"/>
  <c r="EV168" i="1"/>
  <c r="AZ136" i="1"/>
  <c r="EV169" i="1"/>
  <c r="AZ137" i="1"/>
  <c r="EV170" i="1"/>
  <c r="AZ138" i="1"/>
  <c r="EV171" i="1"/>
  <c r="AZ139" i="1"/>
  <c r="EV172" i="1"/>
  <c r="AZ140" i="1"/>
  <c r="EV173" i="1"/>
  <c r="AZ141" i="1"/>
  <c r="EV174" i="1"/>
  <c r="AZ142" i="1"/>
  <c r="EV175" i="1"/>
  <c r="AZ143" i="1"/>
  <c r="EV176" i="1"/>
  <c r="AZ144" i="1"/>
  <c r="EV177" i="1"/>
  <c r="AZ145" i="1"/>
  <c r="EV178" i="1"/>
  <c r="AZ146" i="1"/>
  <c r="EV179" i="1"/>
  <c r="AZ147" i="1"/>
  <c r="EV180" i="1"/>
  <c r="AZ148" i="1"/>
  <c r="EV181" i="1"/>
  <c r="AZ149" i="1"/>
  <c r="EV182" i="1"/>
  <c r="AZ150" i="1"/>
  <c r="EV183" i="1"/>
  <c r="AZ151" i="1"/>
  <c r="EV184" i="1"/>
  <c r="AZ152" i="1"/>
  <c r="EV185" i="1"/>
  <c r="AZ153" i="1"/>
  <c r="EV186" i="1"/>
  <c r="AZ154" i="1"/>
  <c r="EV187" i="1"/>
  <c r="AZ155" i="1"/>
  <c r="EV188" i="1"/>
  <c r="AZ156" i="1"/>
  <c r="EV189" i="1"/>
  <c r="AZ157" i="1"/>
  <c r="EV190" i="1"/>
  <c r="AZ158" i="1"/>
  <c r="EV191" i="1"/>
  <c r="AZ159" i="1"/>
  <c r="EV192" i="1"/>
  <c r="AZ161" i="1"/>
  <c r="EV194" i="1"/>
  <c r="AZ162" i="1"/>
  <c r="EV195" i="1"/>
  <c r="AZ163" i="1"/>
  <c r="EV196" i="1"/>
  <c r="AZ164" i="1"/>
  <c r="EV197" i="1"/>
  <c r="AZ165" i="1"/>
  <c r="EV198" i="1"/>
  <c r="AZ166" i="1"/>
  <c r="EV199" i="1"/>
  <c r="AZ167" i="1"/>
  <c r="EV200" i="1"/>
  <c r="AZ168" i="1"/>
  <c r="EV201" i="1"/>
  <c r="AZ169" i="1"/>
  <c r="EV202" i="1"/>
  <c r="AZ170" i="1"/>
  <c r="EV203" i="1"/>
  <c r="AZ171" i="1"/>
  <c r="EV204" i="1"/>
  <c r="AZ172" i="1"/>
  <c r="EV205" i="1"/>
  <c r="AZ173" i="1"/>
  <c r="EV206" i="1"/>
  <c r="AZ174" i="1"/>
  <c r="EV207" i="1"/>
  <c r="AZ175" i="1"/>
  <c r="EV208" i="1"/>
  <c r="AZ176" i="1"/>
  <c r="EV209" i="1"/>
  <c r="AZ177" i="1"/>
  <c r="EV210" i="1"/>
  <c r="AZ178" i="1"/>
  <c r="EV211" i="1"/>
  <c r="AZ179" i="1"/>
  <c r="EV212" i="1"/>
  <c r="AZ180" i="1"/>
  <c r="EV213" i="1"/>
  <c r="AZ181" i="1"/>
  <c r="EV214" i="1"/>
  <c r="AZ182" i="1"/>
  <c r="EV215" i="1"/>
  <c r="AZ183" i="1"/>
  <c r="EV216" i="1"/>
  <c r="AZ184" i="1"/>
  <c r="EV217" i="1"/>
  <c r="AZ185" i="1"/>
  <c r="EV218" i="1"/>
  <c r="AZ186" i="1"/>
  <c r="EV219" i="1"/>
  <c r="EV224" i="1"/>
  <c r="CA107" i="1"/>
  <c r="FW140" i="1"/>
  <c r="CA108" i="1"/>
  <c r="FW141" i="1"/>
  <c r="CA109" i="1"/>
  <c r="FW142" i="1"/>
  <c r="CA110" i="1"/>
  <c r="FW143" i="1"/>
  <c r="CA111" i="1"/>
  <c r="FW144" i="1"/>
  <c r="CA112" i="1"/>
  <c r="FW145" i="1"/>
  <c r="CA113" i="1"/>
  <c r="FW146" i="1"/>
  <c r="CA114" i="1"/>
  <c r="FW147" i="1"/>
  <c r="CA115" i="1"/>
  <c r="FW148" i="1"/>
  <c r="CA116" i="1"/>
  <c r="FW149" i="1"/>
  <c r="CA117" i="1"/>
  <c r="FW150" i="1"/>
  <c r="CA118" i="1"/>
  <c r="FW151" i="1"/>
  <c r="CA119" i="1"/>
  <c r="FW152" i="1"/>
  <c r="CA120" i="1"/>
  <c r="FW153" i="1"/>
  <c r="CA121" i="1"/>
  <c r="FW154" i="1"/>
  <c r="CA122" i="1"/>
  <c r="FW155" i="1"/>
  <c r="CA123" i="1"/>
  <c r="FW156" i="1"/>
  <c r="CA124" i="1"/>
  <c r="FW157" i="1"/>
  <c r="CA125" i="1"/>
  <c r="FW158" i="1"/>
  <c r="CA126" i="1"/>
  <c r="FW159" i="1"/>
  <c r="CA127" i="1"/>
  <c r="FW160" i="1"/>
  <c r="CA128" i="1"/>
  <c r="FW161" i="1"/>
  <c r="CA129" i="1"/>
  <c r="FW162" i="1"/>
  <c r="CA130" i="1"/>
  <c r="FW163" i="1"/>
  <c r="CA131" i="1"/>
  <c r="FW164" i="1"/>
  <c r="CA132" i="1"/>
  <c r="FW165" i="1"/>
  <c r="CA134" i="1"/>
  <c r="FW167" i="1"/>
  <c r="CA135" i="1"/>
  <c r="FW168" i="1"/>
  <c r="CA136" i="1"/>
  <c r="FW169" i="1"/>
  <c r="CA137" i="1"/>
  <c r="FW170" i="1"/>
  <c r="CA138" i="1"/>
  <c r="FW171" i="1"/>
  <c r="CA139" i="1"/>
  <c r="FW172" i="1"/>
  <c r="CA140" i="1"/>
  <c r="FW173" i="1"/>
  <c r="CA141" i="1"/>
  <c r="FW174" i="1"/>
  <c r="CA142" i="1"/>
  <c r="FW175" i="1"/>
  <c r="CA143" i="1"/>
  <c r="FW176" i="1"/>
  <c r="CA144" i="1"/>
  <c r="FW177" i="1"/>
  <c r="CA145" i="1"/>
  <c r="FW178" i="1"/>
  <c r="CA146" i="1"/>
  <c r="FW179" i="1"/>
  <c r="CA147" i="1"/>
  <c r="FW180" i="1"/>
  <c r="CA148" i="1"/>
  <c r="FW181" i="1"/>
  <c r="CA149" i="1"/>
  <c r="FW182" i="1"/>
  <c r="CA150" i="1"/>
  <c r="FW183" i="1"/>
  <c r="CA151" i="1"/>
  <c r="FW184" i="1"/>
  <c r="CA152" i="1"/>
  <c r="FW185" i="1"/>
  <c r="CA153" i="1"/>
  <c r="FW186" i="1"/>
  <c r="CA154" i="1"/>
  <c r="FW187" i="1"/>
  <c r="CA155" i="1"/>
  <c r="FW188" i="1"/>
  <c r="CA156" i="1"/>
  <c r="FW189" i="1"/>
  <c r="CA157" i="1"/>
  <c r="FW190" i="1"/>
  <c r="CA158" i="1"/>
  <c r="FW191" i="1"/>
  <c r="CA159" i="1"/>
  <c r="FW192" i="1"/>
  <c r="FW224" i="1"/>
  <c r="DU230" i="1"/>
  <c r="EV230" i="1"/>
  <c r="FW230" i="1"/>
  <c r="FW403" i="1"/>
  <c r="FT297" i="1"/>
  <c r="FT300" i="1"/>
  <c r="FT303" i="1"/>
  <c r="FT306" i="1"/>
  <c r="FT309" i="1"/>
  <c r="FT312" i="1"/>
  <c r="FT315" i="1"/>
  <c r="FT318" i="1"/>
  <c r="V107" i="1"/>
  <c r="DR140" i="1"/>
  <c r="V108" i="1"/>
  <c r="DR141" i="1"/>
  <c r="V109" i="1"/>
  <c r="DR142" i="1"/>
  <c r="V110" i="1"/>
  <c r="DR143" i="1"/>
  <c r="V111" i="1"/>
  <c r="DR144" i="1"/>
  <c r="V112" i="1"/>
  <c r="DR145" i="1"/>
  <c r="V113" i="1"/>
  <c r="DR146" i="1"/>
  <c r="V114" i="1"/>
  <c r="DR147" i="1"/>
  <c r="V115" i="1"/>
  <c r="DR148" i="1"/>
  <c r="V116" i="1"/>
  <c r="DR149" i="1"/>
  <c r="V117" i="1"/>
  <c r="DR150" i="1"/>
  <c r="V118" i="1"/>
  <c r="DR151" i="1"/>
  <c r="V119" i="1"/>
  <c r="DR152" i="1"/>
  <c r="V120" i="1"/>
  <c r="DR153" i="1"/>
  <c r="V121" i="1"/>
  <c r="DR154" i="1"/>
  <c r="V122" i="1"/>
  <c r="DR155" i="1"/>
  <c r="V123" i="1"/>
  <c r="DR156" i="1"/>
  <c r="V124" i="1"/>
  <c r="DR157" i="1"/>
  <c r="V125" i="1"/>
  <c r="DR158" i="1"/>
  <c r="V126" i="1"/>
  <c r="DR159" i="1"/>
  <c r="V127" i="1"/>
  <c r="DR160" i="1"/>
  <c r="V128" i="1"/>
  <c r="DR161" i="1"/>
  <c r="V129" i="1"/>
  <c r="DR162" i="1"/>
  <c r="V130" i="1"/>
  <c r="DR163" i="1"/>
  <c r="V131" i="1"/>
  <c r="DR164" i="1"/>
  <c r="V132" i="1"/>
  <c r="DR165" i="1"/>
  <c r="V134" i="1"/>
  <c r="DR167" i="1"/>
  <c r="V135" i="1"/>
  <c r="DR168" i="1"/>
  <c r="V136" i="1"/>
  <c r="DR169" i="1"/>
  <c r="V137" i="1"/>
  <c r="DR170" i="1"/>
  <c r="V138" i="1"/>
  <c r="DR171" i="1"/>
  <c r="V139" i="1"/>
  <c r="DR172" i="1"/>
  <c r="V140" i="1"/>
  <c r="DR173" i="1"/>
  <c r="V141" i="1"/>
  <c r="DR174" i="1"/>
  <c r="V142" i="1"/>
  <c r="DR175" i="1"/>
  <c r="V143" i="1"/>
  <c r="DR176" i="1"/>
  <c r="V144" i="1"/>
  <c r="DR177" i="1"/>
  <c r="V145" i="1"/>
  <c r="DR178" i="1"/>
  <c r="V146" i="1"/>
  <c r="DR179" i="1"/>
  <c r="V147" i="1"/>
  <c r="DR180" i="1"/>
  <c r="V148" i="1"/>
  <c r="DR181" i="1"/>
  <c r="V149" i="1"/>
  <c r="DR182" i="1"/>
  <c r="V150" i="1"/>
  <c r="DR183" i="1"/>
  <c r="V151" i="1"/>
  <c r="DR184" i="1"/>
  <c r="V152" i="1"/>
  <c r="DR185" i="1"/>
  <c r="V153" i="1"/>
  <c r="DR186" i="1"/>
  <c r="V154" i="1"/>
  <c r="DR187" i="1"/>
  <c r="V155" i="1"/>
  <c r="DR188" i="1"/>
  <c r="V156" i="1"/>
  <c r="DR189" i="1"/>
  <c r="V157" i="1"/>
  <c r="DR190" i="1"/>
  <c r="V158" i="1"/>
  <c r="DR191" i="1"/>
  <c r="V159" i="1"/>
  <c r="DR192" i="1"/>
  <c r="V161" i="1"/>
  <c r="DR194" i="1"/>
  <c r="V162" i="1"/>
  <c r="DR195" i="1"/>
  <c r="V163" i="1"/>
  <c r="DR196" i="1"/>
  <c r="V164" i="1"/>
  <c r="DR197" i="1"/>
  <c r="V165" i="1"/>
  <c r="DR198" i="1"/>
  <c r="V166" i="1"/>
  <c r="DR199" i="1"/>
  <c r="V167" i="1"/>
  <c r="DR200" i="1"/>
  <c r="V168" i="1"/>
  <c r="DR201" i="1"/>
  <c r="V169" i="1"/>
  <c r="DR202" i="1"/>
  <c r="V170" i="1"/>
  <c r="DR203" i="1"/>
  <c r="V171" i="1"/>
  <c r="DR204" i="1"/>
  <c r="V172" i="1"/>
  <c r="DR205" i="1"/>
  <c r="V173" i="1"/>
  <c r="DR206" i="1"/>
  <c r="V174" i="1"/>
  <c r="DR207" i="1"/>
  <c r="V175" i="1"/>
  <c r="DR208" i="1"/>
  <c r="V176" i="1"/>
  <c r="DR209" i="1"/>
  <c r="V177" i="1"/>
  <c r="DR210" i="1"/>
  <c r="V178" i="1"/>
  <c r="DR211" i="1"/>
  <c r="V179" i="1"/>
  <c r="DR212" i="1"/>
  <c r="V180" i="1"/>
  <c r="DR213" i="1"/>
  <c r="V181" i="1"/>
  <c r="DR214" i="1"/>
  <c r="V182" i="1"/>
  <c r="DR215" i="1"/>
  <c r="V183" i="1"/>
  <c r="DR216" i="1"/>
  <c r="V184" i="1"/>
  <c r="DR217" i="1"/>
  <c r="V185" i="1"/>
  <c r="DR218" i="1"/>
  <c r="V186" i="1"/>
  <c r="DR219" i="1"/>
  <c r="DR224" i="1"/>
  <c r="AW107" i="1"/>
  <c r="ES140" i="1"/>
  <c r="AW108" i="1"/>
  <c r="ES141" i="1"/>
  <c r="AW109" i="1"/>
  <c r="ES142" i="1"/>
  <c r="AW110" i="1"/>
  <c r="ES143" i="1"/>
  <c r="AW111" i="1"/>
  <c r="ES144" i="1"/>
  <c r="AW112" i="1"/>
  <c r="ES145" i="1"/>
  <c r="AW113" i="1"/>
  <c r="ES146" i="1"/>
  <c r="AW114" i="1"/>
  <c r="ES147" i="1"/>
  <c r="AW115" i="1"/>
  <c r="ES148" i="1"/>
  <c r="AW116" i="1"/>
  <c r="ES149" i="1"/>
  <c r="AW117" i="1"/>
  <c r="ES150" i="1"/>
  <c r="AW118" i="1"/>
  <c r="ES151" i="1"/>
  <c r="AW119" i="1"/>
  <c r="ES152" i="1"/>
  <c r="AW120" i="1"/>
  <c r="ES153" i="1"/>
  <c r="AW121" i="1"/>
  <c r="ES154" i="1"/>
  <c r="AW122" i="1"/>
  <c r="ES155" i="1"/>
  <c r="AW123" i="1"/>
  <c r="ES156" i="1"/>
  <c r="AW124" i="1"/>
  <c r="ES157" i="1"/>
  <c r="AW125" i="1"/>
  <c r="ES158" i="1"/>
  <c r="AW126" i="1"/>
  <c r="ES159" i="1"/>
  <c r="AW127" i="1"/>
  <c r="ES160" i="1"/>
  <c r="AW128" i="1"/>
  <c r="ES161" i="1"/>
  <c r="AW129" i="1"/>
  <c r="ES162" i="1"/>
  <c r="AW130" i="1"/>
  <c r="ES163" i="1"/>
  <c r="AW131" i="1"/>
  <c r="ES164" i="1"/>
  <c r="AW132" i="1"/>
  <c r="ES165" i="1"/>
  <c r="AW134" i="1"/>
  <c r="ES167" i="1"/>
  <c r="AW135" i="1"/>
  <c r="ES168" i="1"/>
  <c r="AW136" i="1"/>
  <c r="ES169" i="1"/>
  <c r="AW137" i="1"/>
  <c r="ES170" i="1"/>
  <c r="AW138" i="1"/>
  <c r="ES171" i="1"/>
  <c r="AW139" i="1"/>
  <c r="ES172" i="1"/>
  <c r="AW140" i="1"/>
  <c r="ES173" i="1"/>
  <c r="AW141" i="1"/>
  <c r="ES174" i="1"/>
  <c r="AW142" i="1"/>
  <c r="ES175" i="1"/>
  <c r="AW143" i="1"/>
  <c r="ES176" i="1"/>
  <c r="AW144" i="1"/>
  <c r="ES177" i="1"/>
  <c r="AW145" i="1"/>
  <c r="ES178" i="1"/>
  <c r="AW146" i="1"/>
  <c r="ES179" i="1"/>
  <c r="AW147" i="1"/>
  <c r="ES180" i="1"/>
  <c r="AW148" i="1"/>
  <c r="ES181" i="1"/>
  <c r="AW149" i="1"/>
  <c r="ES182" i="1"/>
  <c r="AW150" i="1"/>
  <c r="ES183" i="1"/>
  <c r="AW151" i="1"/>
  <c r="ES184" i="1"/>
  <c r="AW152" i="1"/>
  <c r="ES185" i="1"/>
  <c r="AW153" i="1"/>
  <c r="ES186" i="1"/>
  <c r="AW154" i="1"/>
  <c r="ES187" i="1"/>
  <c r="AW155" i="1"/>
  <c r="ES188" i="1"/>
  <c r="AW156" i="1"/>
  <c r="ES189" i="1"/>
  <c r="AW157" i="1"/>
  <c r="ES190" i="1"/>
  <c r="AW158" i="1"/>
  <c r="ES191" i="1"/>
  <c r="AW159" i="1"/>
  <c r="ES192" i="1"/>
  <c r="AW161" i="1"/>
  <c r="ES194" i="1"/>
  <c r="AW162" i="1"/>
  <c r="ES195" i="1"/>
  <c r="AW163" i="1"/>
  <c r="ES196" i="1"/>
  <c r="AW164" i="1"/>
  <c r="ES197" i="1"/>
  <c r="AW165" i="1"/>
  <c r="ES198" i="1"/>
  <c r="AW166" i="1"/>
  <c r="ES199" i="1"/>
  <c r="AW167" i="1"/>
  <c r="ES200" i="1"/>
  <c r="AW168" i="1"/>
  <c r="ES201" i="1"/>
  <c r="AW169" i="1"/>
  <c r="ES202" i="1"/>
  <c r="AW170" i="1"/>
  <c r="ES203" i="1"/>
  <c r="AW171" i="1"/>
  <c r="ES204" i="1"/>
  <c r="AW172" i="1"/>
  <c r="ES205" i="1"/>
  <c r="AW173" i="1"/>
  <c r="ES206" i="1"/>
  <c r="AW174" i="1"/>
  <c r="ES207" i="1"/>
  <c r="AW175" i="1"/>
  <c r="ES208" i="1"/>
  <c r="AW176" i="1"/>
  <c r="ES209" i="1"/>
  <c r="AW177" i="1"/>
  <c r="ES210" i="1"/>
  <c r="AW178" i="1"/>
  <c r="ES211" i="1"/>
  <c r="AW179" i="1"/>
  <c r="ES212" i="1"/>
  <c r="AW180" i="1"/>
  <c r="ES213" i="1"/>
  <c r="AW181" i="1"/>
  <c r="ES214" i="1"/>
  <c r="AW182" i="1"/>
  <c r="ES215" i="1"/>
  <c r="AW183" i="1"/>
  <c r="ES216" i="1"/>
  <c r="AW184" i="1"/>
  <c r="ES217" i="1"/>
  <c r="AW185" i="1"/>
  <c r="ES218" i="1"/>
  <c r="AW186" i="1"/>
  <c r="ES219" i="1"/>
  <c r="ES224" i="1"/>
  <c r="BX107" i="1"/>
  <c r="FT140" i="1"/>
  <c r="BX108" i="1"/>
  <c r="FT141" i="1"/>
  <c r="BX109" i="1"/>
  <c r="FT142" i="1"/>
  <c r="BX110" i="1"/>
  <c r="FT143" i="1"/>
  <c r="BX111" i="1"/>
  <c r="FT144" i="1"/>
  <c r="BX112" i="1"/>
  <c r="FT145" i="1"/>
  <c r="BX113" i="1"/>
  <c r="FT146" i="1"/>
  <c r="BX114" i="1"/>
  <c r="FT147" i="1"/>
  <c r="BX115" i="1"/>
  <c r="FT148" i="1"/>
  <c r="BX116" i="1"/>
  <c r="FT149" i="1"/>
  <c r="BX117" i="1"/>
  <c r="FT150" i="1"/>
  <c r="BX118" i="1"/>
  <c r="FT151" i="1"/>
  <c r="BX119" i="1"/>
  <c r="FT152" i="1"/>
  <c r="BX120" i="1"/>
  <c r="FT153" i="1"/>
  <c r="BX121" i="1"/>
  <c r="FT154" i="1"/>
  <c r="BX122" i="1"/>
  <c r="FT155" i="1"/>
  <c r="BX123" i="1"/>
  <c r="FT156" i="1"/>
  <c r="BX124" i="1"/>
  <c r="FT157" i="1"/>
  <c r="BX125" i="1"/>
  <c r="FT158" i="1"/>
  <c r="BX126" i="1"/>
  <c r="FT159" i="1"/>
  <c r="BX127" i="1"/>
  <c r="FT160" i="1"/>
  <c r="BX128" i="1"/>
  <c r="FT161" i="1"/>
  <c r="BX129" i="1"/>
  <c r="FT162" i="1"/>
  <c r="BX130" i="1"/>
  <c r="FT163" i="1"/>
  <c r="BX131" i="1"/>
  <c r="FT164" i="1"/>
  <c r="BX132" i="1"/>
  <c r="FT165" i="1"/>
  <c r="BX134" i="1"/>
  <c r="FT167" i="1"/>
  <c r="BX135" i="1"/>
  <c r="FT168" i="1"/>
  <c r="BX136" i="1"/>
  <c r="FT169" i="1"/>
  <c r="BX137" i="1"/>
  <c r="FT170" i="1"/>
  <c r="BX138" i="1"/>
  <c r="FT171" i="1"/>
  <c r="BX139" i="1"/>
  <c r="FT172" i="1"/>
  <c r="BX140" i="1"/>
  <c r="FT173" i="1"/>
  <c r="BX141" i="1"/>
  <c r="FT174" i="1"/>
  <c r="BX142" i="1"/>
  <c r="FT175" i="1"/>
  <c r="BX143" i="1"/>
  <c r="FT176" i="1"/>
  <c r="BX144" i="1"/>
  <c r="FT177" i="1"/>
  <c r="BX145" i="1"/>
  <c r="FT178" i="1"/>
  <c r="BX146" i="1"/>
  <c r="FT179" i="1"/>
  <c r="BX147" i="1"/>
  <c r="FT180" i="1"/>
  <c r="BX148" i="1"/>
  <c r="FT181" i="1"/>
  <c r="BX149" i="1"/>
  <c r="FT182" i="1"/>
  <c r="BX150" i="1"/>
  <c r="FT183" i="1"/>
  <c r="BX151" i="1"/>
  <c r="FT184" i="1"/>
  <c r="BX152" i="1"/>
  <c r="FT185" i="1"/>
  <c r="BX153" i="1"/>
  <c r="FT186" i="1"/>
  <c r="BX154" i="1"/>
  <c r="FT187" i="1"/>
  <c r="BX155" i="1"/>
  <c r="FT188" i="1"/>
  <c r="BX156" i="1"/>
  <c r="FT189" i="1"/>
  <c r="BX157" i="1"/>
  <c r="FT190" i="1"/>
  <c r="BX158" i="1"/>
  <c r="FT191" i="1"/>
  <c r="BX159" i="1"/>
  <c r="FT192" i="1"/>
  <c r="FT224" i="1"/>
  <c r="DR230" i="1"/>
  <c r="ES230" i="1"/>
  <c r="FT230" i="1"/>
  <c r="FT403" i="1"/>
  <c r="FQ403" i="1"/>
  <c r="FN403" i="1"/>
  <c r="AO161" i="1"/>
  <c r="EK194" i="1"/>
  <c r="AP161" i="1"/>
  <c r="EL194" i="1"/>
  <c r="AQ161" i="1"/>
  <c r="EM194" i="1"/>
  <c r="AR161" i="1"/>
  <c r="EN194" i="1"/>
  <c r="AS161" i="1"/>
  <c r="EO194" i="1"/>
  <c r="AT161" i="1"/>
  <c r="EP194" i="1"/>
  <c r="AU161" i="1"/>
  <c r="EQ194" i="1"/>
  <c r="AV161" i="1"/>
  <c r="ER194" i="1"/>
  <c r="AX161" i="1"/>
  <c r="ET194" i="1"/>
  <c r="AY161" i="1"/>
  <c r="EU194" i="1"/>
  <c r="BA161" i="1"/>
  <c r="EW194" i="1"/>
  <c r="BB161" i="1"/>
  <c r="EX194" i="1"/>
  <c r="BD161" i="1"/>
  <c r="EZ194" i="1"/>
  <c r="BE161" i="1"/>
  <c r="FA194" i="1"/>
  <c r="BG161" i="1"/>
  <c r="FC194" i="1"/>
  <c r="BH161" i="1"/>
  <c r="FD194" i="1"/>
  <c r="BJ161" i="1"/>
  <c r="FF194" i="1"/>
  <c r="BK161" i="1"/>
  <c r="FG194" i="1"/>
  <c r="BM161" i="1"/>
  <c r="FI194" i="1"/>
  <c r="BN161" i="1"/>
  <c r="FJ194" i="1"/>
  <c r="AO162" i="1"/>
  <c r="EK195" i="1"/>
  <c r="AP162" i="1"/>
  <c r="EL195" i="1"/>
  <c r="AQ162" i="1"/>
  <c r="EM195" i="1"/>
  <c r="AR162" i="1"/>
  <c r="EN195" i="1"/>
  <c r="AS162" i="1"/>
  <c r="EO195" i="1"/>
  <c r="AT162" i="1"/>
  <c r="EP195" i="1"/>
  <c r="AU162" i="1"/>
  <c r="EQ195" i="1"/>
  <c r="AV162" i="1"/>
  <c r="ER195" i="1"/>
  <c r="AX162" i="1"/>
  <c r="ET195" i="1"/>
  <c r="AY162" i="1"/>
  <c r="EU195" i="1"/>
  <c r="BA162" i="1"/>
  <c r="EW195" i="1"/>
  <c r="BB162" i="1"/>
  <c r="EX195" i="1"/>
  <c r="BD162" i="1"/>
  <c r="EZ195" i="1"/>
  <c r="BE162" i="1"/>
  <c r="FA195" i="1"/>
  <c r="BG162" i="1"/>
  <c r="FC195" i="1"/>
  <c r="BH162" i="1"/>
  <c r="FD195" i="1"/>
  <c r="BJ162" i="1"/>
  <c r="FF195" i="1"/>
  <c r="BK162" i="1"/>
  <c r="FG195" i="1"/>
  <c r="BM162" i="1"/>
  <c r="FI195" i="1"/>
  <c r="BN162" i="1"/>
  <c r="FJ195" i="1"/>
  <c r="AO163" i="1"/>
  <c r="EK196" i="1"/>
  <c r="AP163" i="1"/>
  <c r="EL196" i="1"/>
  <c r="AQ163" i="1"/>
  <c r="EM196" i="1"/>
  <c r="AR163" i="1"/>
  <c r="EN196" i="1"/>
  <c r="AS163" i="1"/>
  <c r="EO196" i="1"/>
  <c r="AT163" i="1"/>
  <c r="EP196" i="1"/>
  <c r="AU163" i="1"/>
  <c r="EQ196" i="1"/>
  <c r="AV163" i="1"/>
  <c r="ER196" i="1"/>
  <c r="AX163" i="1"/>
  <c r="ET196" i="1"/>
  <c r="AY163" i="1"/>
  <c r="EU196" i="1"/>
  <c r="BA163" i="1"/>
  <c r="EW196" i="1"/>
  <c r="BB163" i="1"/>
  <c r="EX196" i="1"/>
  <c r="BD163" i="1"/>
  <c r="EZ196" i="1"/>
  <c r="BE163" i="1"/>
  <c r="FA196" i="1"/>
  <c r="BG163" i="1"/>
  <c r="FC196" i="1"/>
  <c r="BH163" i="1"/>
  <c r="FD196" i="1"/>
  <c r="BJ163" i="1"/>
  <c r="FF196" i="1"/>
  <c r="BK163" i="1"/>
  <c r="FG196" i="1"/>
  <c r="BM163" i="1"/>
  <c r="FI196" i="1"/>
  <c r="BN163" i="1"/>
  <c r="FJ196" i="1"/>
  <c r="AO164" i="1"/>
  <c r="EK197" i="1"/>
  <c r="AP164" i="1"/>
  <c r="EL197" i="1"/>
  <c r="AQ164" i="1"/>
  <c r="EM197" i="1"/>
  <c r="AR164" i="1"/>
  <c r="EN197" i="1"/>
  <c r="AS164" i="1"/>
  <c r="EO197" i="1"/>
  <c r="AT164" i="1"/>
  <c r="EP197" i="1"/>
  <c r="AU164" i="1"/>
  <c r="EQ197" i="1"/>
  <c r="AV164" i="1"/>
  <c r="ER197" i="1"/>
  <c r="AX164" i="1"/>
  <c r="ET197" i="1"/>
  <c r="AY164" i="1"/>
  <c r="EU197" i="1"/>
  <c r="BA164" i="1"/>
  <c r="EW197" i="1"/>
  <c r="BB164" i="1"/>
  <c r="EX197" i="1"/>
  <c r="BD164" i="1"/>
  <c r="EZ197" i="1"/>
  <c r="BE164" i="1"/>
  <c r="FA197" i="1"/>
  <c r="BG164" i="1"/>
  <c r="FC197" i="1"/>
  <c r="BH164" i="1"/>
  <c r="FD197" i="1"/>
  <c r="BJ164" i="1"/>
  <c r="FF197" i="1"/>
  <c r="BK164" i="1"/>
  <c r="FG197" i="1"/>
  <c r="BM164" i="1"/>
  <c r="FI197" i="1"/>
  <c r="BN164" i="1"/>
  <c r="FJ197" i="1"/>
  <c r="AO165" i="1"/>
  <c r="EK198" i="1"/>
  <c r="AP165" i="1"/>
  <c r="EL198" i="1"/>
  <c r="AQ165" i="1"/>
  <c r="EM198" i="1"/>
  <c r="AR165" i="1"/>
  <c r="EN198" i="1"/>
  <c r="AS165" i="1"/>
  <c r="EO198" i="1"/>
  <c r="AT165" i="1"/>
  <c r="EP198" i="1"/>
  <c r="AU165" i="1"/>
  <c r="EQ198" i="1"/>
  <c r="AV165" i="1"/>
  <c r="ER198" i="1"/>
  <c r="AX165" i="1"/>
  <c r="ET198" i="1"/>
  <c r="AY165" i="1"/>
  <c r="EU198" i="1"/>
  <c r="BA165" i="1"/>
  <c r="EW198" i="1"/>
  <c r="BB165" i="1"/>
  <c r="EX198" i="1"/>
  <c r="BD165" i="1"/>
  <c r="EZ198" i="1"/>
  <c r="BE165" i="1"/>
  <c r="FA198" i="1"/>
  <c r="BG165" i="1"/>
  <c r="FC198" i="1"/>
  <c r="BH165" i="1"/>
  <c r="FD198" i="1"/>
  <c r="BJ165" i="1"/>
  <c r="FF198" i="1"/>
  <c r="BK165" i="1"/>
  <c r="FG198" i="1"/>
  <c r="BM165" i="1"/>
  <c r="FI198" i="1"/>
  <c r="BN165" i="1"/>
  <c r="FJ198" i="1"/>
  <c r="AO166" i="1"/>
  <c r="EK199" i="1"/>
  <c r="AP166" i="1"/>
  <c r="EL199" i="1"/>
  <c r="AQ166" i="1"/>
  <c r="EM199" i="1"/>
  <c r="AR166" i="1"/>
  <c r="EN199" i="1"/>
  <c r="AS166" i="1"/>
  <c r="EO199" i="1"/>
  <c r="AT166" i="1"/>
  <c r="EP199" i="1"/>
  <c r="AU166" i="1"/>
  <c r="EQ199" i="1"/>
  <c r="AV166" i="1"/>
  <c r="ER199" i="1"/>
  <c r="AX166" i="1"/>
  <c r="ET199" i="1"/>
  <c r="AY166" i="1"/>
  <c r="EU199" i="1"/>
  <c r="BA166" i="1"/>
  <c r="EW199" i="1"/>
  <c r="BB166" i="1"/>
  <c r="EX199" i="1"/>
  <c r="BD166" i="1"/>
  <c r="EZ199" i="1"/>
  <c r="BE166" i="1"/>
  <c r="FA199" i="1"/>
  <c r="BG166" i="1"/>
  <c r="FC199" i="1"/>
  <c r="BH166" i="1"/>
  <c r="FD199" i="1"/>
  <c r="BJ166" i="1"/>
  <c r="FF199" i="1"/>
  <c r="BK166" i="1"/>
  <c r="FG199" i="1"/>
  <c r="BM166" i="1"/>
  <c r="FI199" i="1"/>
  <c r="BN166" i="1"/>
  <c r="FJ199" i="1"/>
  <c r="AO167" i="1"/>
  <c r="EK200" i="1"/>
  <c r="AP167" i="1"/>
  <c r="EL200" i="1"/>
  <c r="AQ167" i="1"/>
  <c r="EM200" i="1"/>
  <c r="AR167" i="1"/>
  <c r="EN200" i="1"/>
  <c r="AS167" i="1"/>
  <c r="EO200" i="1"/>
  <c r="AT167" i="1"/>
  <c r="EP200" i="1"/>
  <c r="AU167" i="1"/>
  <c r="EQ200" i="1"/>
  <c r="AV167" i="1"/>
  <c r="ER200" i="1"/>
  <c r="AX167" i="1"/>
  <c r="ET200" i="1"/>
  <c r="AY167" i="1"/>
  <c r="EU200" i="1"/>
  <c r="BA167" i="1"/>
  <c r="EW200" i="1"/>
  <c r="BB167" i="1"/>
  <c r="EX200" i="1"/>
  <c r="CK79" i="1"/>
  <c r="CK102" i="1"/>
  <c r="BD167" i="1"/>
  <c r="EZ200" i="1"/>
  <c r="CL79" i="1"/>
  <c r="CL102" i="1"/>
  <c r="BE167" i="1"/>
  <c r="FA200" i="1"/>
  <c r="BG167" i="1"/>
  <c r="FC200" i="1"/>
  <c r="BH167" i="1"/>
  <c r="FD200" i="1"/>
  <c r="BJ167" i="1"/>
  <c r="FF200" i="1"/>
  <c r="BK167" i="1"/>
  <c r="FG200" i="1"/>
  <c r="BM167" i="1"/>
  <c r="FI200" i="1"/>
  <c r="BN167" i="1"/>
  <c r="FJ200" i="1"/>
  <c r="AO168" i="1"/>
  <c r="EK201" i="1"/>
  <c r="AP168" i="1"/>
  <c r="EL201" i="1"/>
  <c r="AQ168" i="1"/>
  <c r="EM201" i="1"/>
  <c r="AR168" i="1"/>
  <c r="EN201" i="1"/>
  <c r="AS168" i="1"/>
  <c r="EO201" i="1"/>
  <c r="AT168" i="1"/>
  <c r="EP201" i="1"/>
  <c r="AU168" i="1"/>
  <c r="EQ201" i="1"/>
  <c r="AV168" i="1"/>
  <c r="ER201" i="1"/>
  <c r="AX168" i="1"/>
  <c r="ET201" i="1"/>
  <c r="AY168" i="1"/>
  <c r="EU201" i="1"/>
  <c r="BA168" i="1"/>
  <c r="EW201" i="1"/>
  <c r="BB168" i="1"/>
  <c r="EX201" i="1"/>
  <c r="CN79" i="1"/>
  <c r="CN102" i="1"/>
  <c r="BD168" i="1"/>
  <c r="EZ201" i="1"/>
  <c r="CO79" i="1"/>
  <c r="CO102" i="1"/>
  <c r="BE168" i="1"/>
  <c r="FA201" i="1"/>
  <c r="BG168" i="1"/>
  <c r="FC201" i="1"/>
  <c r="BH168" i="1"/>
  <c r="FD201" i="1"/>
  <c r="BJ168" i="1"/>
  <c r="FF201" i="1"/>
  <c r="BK168" i="1"/>
  <c r="FG201" i="1"/>
  <c r="BM168" i="1"/>
  <c r="FI201" i="1"/>
  <c r="BN168" i="1"/>
  <c r="FJ201" i="1"/>
  <c r="AO169" i="1"/>
  <c r="EK202" i="1"/>
  <c r="AP169" i="1"/>
  <c r="EL202" i="1"/>
  <c r="AQ169" i="1"/>
  <c r="EM202" i="1"/>
  <c r="AR169" i="1"/>
  <c r="EN202" i="1"/>
  <c r="AS169" i="1"/>
  <c r="EO202" i="1"/>
  <c r="AT169" i="1"/>
  <c r="EP202" i="1"/>
  <c r="AU169" i="1"/>
  <c r="EQ202" i="1"/>
  <c r="AV169" i="1"/>
  <c r="ER202" i="1"/>
  <c r="AX169" i="1"/>
  <c r="ET202" i="1"/>
  <c r="AY169" i="1"/>
  <c r="EU202" i="1"/>
  <c r="BA169" i="1"/>
  <c r="EW202" i="1"/>
  <c r="BB169" i="1"/>
  <c r="EX202" i="1"/>
  <c r="CQ79" i="1"/>
  <c r="BD169" i="1"/>
  <c r="EZ202" i="1"/>
  <c r="CR79" i="1"/>
  <c r="BE169" i="1"/>
  <c r="FA202" i="1"/>
  <c r="BG169" i="1"/>
  <c r="FC202" i="1"/>
  <c r="BH169" i="1"/>
  <c r="FD202" i="1"/>
  <c r="BJ169" i="1"/>
  <c r="FF202" i="1"/>
  <c r="BK169" i="1"/>
  <c r="FG202" i="1"/>
  <c r="BM169" i="1"/>
  <c r="FI202" i="1"/>
  <c r="BN169" i="1"/>
  <c r="FJ202" i="1"/>
  <c r="AO170" i="1"/>
  <c r="EK203" i="1"/>
  <c r="AP170" i="1"/>
  <c r="EL203" i="1"/>
  <c r="AQ170" i="1"/>
  <c r="EM203" i="1"/>
  <c r="AR170" i="1"/>
  <c r="EN203" i="1"/>
  <c r="AS170" i="1"/>
  <c r="EO203" i="1"/>
  <c r="AT170" i="1"/>
  <c r="EP203" i="1"/>
  <c r="AU170" i="1"/>
  <c r="EQ203" i="1"/>
  <c r="AV170" i="1"/>
  <c r="ER203" i="1"/>
  <c r="AX170" i="1"/>
  <c r="ET203" i="1"/>
  <c r="AY170" i="1"/>
  <c r="EU203" i="1"/>
  <c r="BA170" i="1"/>
  <c r="EW203" i="1"/>
  <c r="BB170" i="1"/>
  <c r="EX203" i="1"/>
  <c r="BD170" i="1"/>
  <c r="EZ203" i="1"/>
  <c r="BE170" i="1"/>
  <c r="FA203" i="1"/>
  <c r="BG170" i="1"/>
  <c r="FC203" i="1"/>
  <c r="BH170" i="1"/>
  <c r="FD203" i="1"/>
  <c r="BJ170" i="1"/>
  <c r="FF203" i="1"/>
  <c r="BK170" i="1"/>
  <c r="FG203" i="1"/>
  <c r="BM170" i="1"/>
  <c r="FI203" i="1"/>
  <c r="BN170" i="1"/>
  <c r="FJ203" i="1"/>
  <c r="AO171" i="1"/>
  <c r="EK204" i="1"/>
  <c r="AP171" i="1"/>
  <c r="EL204" i="1"/>
  <c r="AQ171" i="1"/>
  <c r="EM204" i="1"/>
  <c r="AR171" i="1"/>
  <c r="EN204" i="1"/>
  <c r="AS171" i="1"/>
  <c r="EO204" i="1"/>
  <c r="AT171" i="1"/>
  <c r="EP204" i="1"/>
  <c r="AU171" i="1"/>
  <c r="EQ204" i="1"/>
  <c r="AV171" i="1"/>
  <c r="ER204" i="1"/>
  <c r="AX171" i="1"/>
  <c r="ET204" i="1"/>
  <c r="AY171" i="1"/>
  <c r="EU204" i="1"/>
  <c r="BA171" i="1"/>
  <c r="EW204" i="1"/>
  <c r="BB171" i="1"/>
  <c r="EX204" i="1"/>
  <c r="BD171" i="1"/>
  <c r="EZ204" i="1"/>
  <c r="BE171" i="1"/>
  <c r="FA204" i="1"/>
  <c r="BG171" i="1"/>
  <c r="FC204" i="1"/>
  <c r="BH171" i="1"/>
  <c r="FD204" i="1"/>
  <c r="BJ171" i="1"/>
  <c r="FF204" i="1"/>
  <c r="BK171" i="1"/>
  <c r="FG204" i="1"/>
  <c r="BM171" i="1"/>
  <c r="FI204" i="1"/>
  <c r="BN171" i="1"/>
  <c r="FJ204" i="1"/>
  <c r="AO172" i="1"/>
  <c r="EK205" i="1"/>
  <c r="AP172" i="1"/>
  <c r="EL205" i="1"/>
  <c r="AQ172" i="1"/>
  <c r="EM205" i="1"/>
  <c r="AR172" i="1"/>
  <c r="EN205" i="1"/>
  <c r="AS172" i="1"/>
  <c r="EO205" i="1"/>
  <c r="AT172" i="1"/>
  <c r="EP205" i="1"/>
  <c r="AU172" i="1"/>
  <c r="EQ205" i="1"/>
  <c r="AV172" i="1"/>
  <c r="ER205" i="1"/>
  <c r="AX172" i="1"/>
  <c r="ET205" i="1"/>
  <c r="AY172" i="1"/>
  <c r="EU205" i="1"/>
  <c r="BA172" i="1"/>
  <c r="EW205" i="1"/>
  <c r="BB172" i="1"/>
  <c r="EX205" i="1"/>
  <c r="BD172" i="1"/>
  <c r="EZ205" i="1"/>
  <c r="BE172" i="1"/>
  <c r="FA205" i="1"/>
  <c r="BG172" i="1"/>
  <c r="FC205" i="1"/>
  <c r="BH172" i="1"/>
  <c r="FD205" i="1"/>
  <c r="BJ172" i="1"/>
  <c r="FF205" i="1"/>
  <c r="BK172" i="1"/>
  <c r="FG205" i="1"/>
  <c r="BM172" i="1"/>
  <c r="FI205" i="1"/>
  <c r="BN172" i="1"/>
  <c r="FJ205" i="1"/>
  <c r="AO173" i="1"/>
  <c r="EK206" i="1"/>
  <c r="AP173" i="1"/>
  <c r="EL206" i="1"/>
  <c r="AQ173" i="1"/>
  <c r="EM206" i="1"/>
  <c r="CK87" i="1"/>
  <c r="AR173" i="1"/>
  <c r="EN206" i="1"/>
  <c r="CL87" i="1"/>
  <c r="AS173" i="1"/>
  <c r="EO206" i="1"/>
  <c r="CM87" i="1"/>
  <c r="AT173" i="1"/>
  <c r="EP206" i="1"/>
  <c r="AU173" i="1"/>
  <c r="EQ206" i="1"/>
  <c r="AV173" i="1"/>
  <c r="ER206" i="1"/>
  <c r="AX173" i="1"/>
  <c r="ET206" i="1"/>
  <c r="AY173" i="1"/>
  <c r="EU206" i="1"/>
  <c r="BA173" i="1"/>
  <c r="EW206" i="1"/>
  <c r="BB173" i="1"/>
  <c r="EX206" i="1"/>
  <c r="BD173" i="1"/>
  <c r="EZ206" i="1"/>
  <c r="BE173" i="1"/>
  <c r="FA206" i="1"/>
  <c r="BG173" i="1"/>
  <c r="FC206" i="1"/>
  <c r="BH173" i="1"/>
  <c r="FD206" i="1"/>
  <c r="BJ173" i="1"/>
  <c r="FF206" i="1"/>
  <c r="BK173" i="1"/>
  <c r="FG206" i="1"/>
  <c r="BM173" i="1"/>
  <c r="FI206" i="1"/>
  <c r="BN173" i="1"/>
  <c r="FJ206" i="1"/>
  <c r="AO174" i="1"/>
  <c r="EK207" i="1"/>
  <c r="AP174" i="1"/>
  <c r="EL207" i="1"/>
  <c r="AQ174" i="1"/>
  <c r="EM207" i="1"/>
  <c r="CN87" i="1"/>
  <c r="AR174" i="1"/>
  <c r="EN207" i="1"/>
  <c r="CO87" i="1"/>
  <c r="AS174" i="1"/>
  <c r="EO207" i="1"/>
  <c r="CP87" i="1"/>
  <c r="AT174" i="1"/>
  <c r="EP207" i="1"/>
  <c r="AU174" i="1"/>
  <c r="EQ207" i="1"/>
  <c r="AV174" i="1"/>
  <c r="ER207" i="1"/>
  <c r="AX174" i="1"/>
  <c r="ET207" i="1"/>
  <c r="AY174" i="1"/>
  <c r="EU207" i="1"/>
  <c r="BA174" i="1"/>
  <c r="EW207" i="1"/>
  <c r="BB174" i="1"/>
  <c r="EX207" i="1"/>
  <c r="BD174" i="1"/>
  <c r="EZ207" i="1"/>
  <c r="BE174" i="1"/>
  <c r="FA207" i="1"/>
  <c r="BG174" i="1"/>
  <c r="FC207" i="1"/>
  <c r="BH174" i="1"/>
  <c r="FD207" i="1"/>
  <c r="BJ174" i="1"/>
  <c r="FF207" i="1"/>
  <c r="BK174" i="1"/>
  <c r="FG207" i="1"/>
  <c r="BM174" i="1"/>
  <c r="FI207" i="1"/>
  <c r="BN174" i="1"/>
  <c r="FJ207" i="1"/>
  <c r="AO175" i="1"/>
  <c r="EK208" i="1"/>
  <c r="AP175" i="1"/>
  <c r="EL208" i="1"/>
  <c r="AQ175" i="1"/>
  <c r="EM208" i="1"/>
  <c r="AR175" i="1"/>
  <c r="EN208" i="1"/>
  <c r="AS175" i="1"/>
  <c r="EO208" i="1"/>
  <c r="AT175" i="1"/>
  <c r="EP208" i="1"/>
  <c r="AU175" i="1"/>
  <c r="EQ208" i="1"/>
  <c r="AV175" i="1"/>
  <c r="ER208" i="1"/>
  <c r="AX175" i="1"/>
  <c r="ET208" i="1"/>
  <c r="AY175" i="1"/>
  <c r="EU208" i="1"/>
  <c r="BA175" i="1"/>
  <c r="EW208" i="1"/>
  <c r="BB175" i="1"/>
  <c r="EX208" i="1"/>
  <c r="BD175" i="1"/>
  <c r="EZ208" i="1"/>
  <c r="BE175" i="1"/>
  <c r="FA208" i="1"/>
  <c r="BG175" i="1"/>
  <c r="FC208" i="1"/>
  <c r="BH175" i="1"/>
  <c r="FD208" i="1"/>
  <c r="BJ175" i="1"/>
  <c r="FF208" i="1"/>
  <c r="BK175" i="1"/>
  <c r="FG208" i="1"/>
  <c r="BM175" i="1"/>
  <c r="FI208" i="1"/>
  <c r="BN175" i="1"/>
  <c r="FJ208" i="1"/>
  <c r="AO176" i="1"/>
  <c r="EK209" i="1"/>
  <c r="AP176" i="1"/>
  <c r="EL209" i="1"/>
  <c r="AQ176" i="1"/>
  <c r="EM209" i="1"/>
  <c r="AR176" i="1"/>
  <c r="EN209" i="1"/>
  <c r="AS176" i="1"/>
  <c r="EO209" i="1"/>
  <c r="AT176" i="1"/>
  <c r="EP209" i="1"/>
  <c r="AU176" i="1"/>
  <c r="EQ209" i="1"/>
  <c r="AV176" i="1"/>
  <c r="ER209" i="1"/>
  <c r="AX176" i="1"/>
  <c r="ET209" i="1"/>
  <c r="AY176" i="1"/>
  <c r="EU209" i="1"/>
  <c r="BA176" i="1"/>
  <c r="EW209" i="1"/>
  <c r="BB176" i="1"/>
  <c r="EX209" i="1"/>
  <c r="BD176" i="1"/>
  <c r="EZ209" i="1"/>
  <c r="BE176" i="1"/>
  <c r="FA209" i="1"/>
  <c r="BG176" i="1"/>
  <c r="FC209" i="1"/>
  <c r="BH176" i="1"/>
  <c r="FD209" i="1"/>
  <c r="BJ176" i="1"/>
  <c r="FF209" i="1"/>
  <c r="BK176" i="1"/>
  <c r="FG209" i="1"/>
  <c r="BM176" i="1"/>
  <c r="FI209" i="1"/>
  <c r="BN176" i="1"/>
  <c r="FJ209" i="1"/>
  <c r="AO177" i="1"/>
  <c r="EK210" i="1"/>
  <c r="AP177" i="1"/>
  <c r="EL210" i="1"/>
  <c r="AQ177" i="1"/>
  <c r="EM210" i="1"/>
  <c r="AR177" i="1"/>
  <c r="EN210" i="1"/>
  <c r="AS177" i="1"/>
  <c r="EO210" i="1"/>
  <c r="AT177" i="1"/>
  <c r="EP210" i="1"/>
  <c r="AU177" i="1"/>
  <c r="EQ210" i="1"/>
  <c r="AV177" i="1"/>
  <c r="ER210" i="1"/>
  <c r="AX177" i="1"/>
  <c r="ET210" i="1"/>
  <c r="AY177" i="1"/>
  <c r="EU210" i="1"/>
  <c r="BA177" i="1"/>
  <c r="EW210" i="1"/>
  <c r="BB177" i="1"/>
  <c r="EX210" i="1"/>
  <c r="BD177" i="1"/>
  <c r="EZ210" i="1"/>
  <c r="BE177" i="1"/>
  <c r="FA210" i="1"/>
  <c r="BG177" i="1"/>
  <c r="FC210" i="1"/>
  <c r="BH177" i="1"/>
  <c r="FD210" i="1"/>
  <c r="BJ177" i="1"/>
  <c r="FF210" i="1"/>
  <c r="BK177" i="1"/>
  <c r="FG210" i="1"/>
  <c r="BM177" i="1"/>
  <c r="FI210" i="1"/>
  <c r="BN177" i="1"/>
  <c r="FJ210" i="1"/>
  <c r="AO178" i="1"/>
  <c r="EK211" i="1"/>
  <c r="AP178" i="1"/>
  <c r="EL211" i="1"/>
  <c r="AQ178" i="1"/>
  <c r="EM211" i="1"/>
  <c r="AR178" i="1"/>
  <c r="EN211" i="1"/>
  <c r="AS178" i="1"/>
  <c r="EO211" i="1"/>
  <c r="AT178" i="1"/>
  <c r="EP211" i="1"/>
  <c r="AU178" i="1"/>
  <c r="EQ211" i="1"/>
  <c r="AV178" i="1"/>
  <c r="ER211" i="1"/>
  <c r="AX178" i="1"/>
  <c r="ET211" i="1"/>
  <c r="AY178" i="1"/>
  <c r="EU211" i="1"/>
  <c r="BA178" i="1"/>
  <c r="EW211" i="1"/>
  <c r="BB178" i="1"/>
  <c r="EX211" i="1"/>
  <c r="BD178" i="1"/>
  <c r="EZ211" i="1"/>
  <c r="BE178" i="1"/>
  <c r="FA211" i="1"/>
  <c r="BG178" i="1"/>
  <c r="FC211" i="1"/>
  <c r="BH178" i="1"/>
  <c r="FD211" i="1"/>
  <c r="BJ178" i="1"/>
  <c r="FF211" i="1"/>
  <c r="BK178" i="1"/>
  <c r="FG211" i="1"/>
  <c r="BM178" i="1"/>
  <c r="FI211" i="1"/>
  <c r="BN178" i="1"/>
  <c r="FJ211" i="1"/>
  <c r="AO179" i="1"/>
  <c r="EK212" i="1"/>
  <c r="AP179" i="1"/>
  <c r="EL212" i="1"/>
  <c r="AQ179" i="1"/>
  <c r="EM212" i="1"/>
  <c r="AR179" i="1"/>
  <c r="EN212" i="1"/>
  <c r="AS179" i="1"/>
  <c r="EO212" i="1"/>
  <c r="AT179" i="1"/>
  <c r="EP212" i="1"/>
  <c r="AU179" i="1"/>
  <c r="EQ212" i="1"/>
  <c r="AV179" i="1"/>
  <c r="ER212" i="1"/>
  <c r="AX179" i="1"/>
  <c r="ET212" i="1"/>
  <c r="AY179" i="1"/>
  <c r="EU212" i="1"/>
  <c r="BA179" i="1"/>
  <c r="EW212" i="1"/>
  <c r="BB179" i="1"/>
  <c r="EX212" i="1"/>
  <c r="BD179" i="1"/>
  <c r="EZ212" i="1"/>
  <c r="BE179" i="1"/>
  <c r="FA212" i="1"/>
  <c r="BG179" i="1"/>
  <c r="FC212" i="1"/>
  <c r="BH179" i="1"/>
  <c r="FD212" i="1"/>
  <c r="BJ179" i="1"/>
  <c r="FF212" i="1"/>
  <c r="BK179" i="1"/>
  <c r="FG212" i="1"/>
  <c r="BM179" i="1"/>
  <c r="FI212" i="1"/>
  <c r="BN179" i="1"/>
  <c r="FJ212" i="1"/>
  <c r="AO180" i="1"/>
  <c r="EK213" i="1"/>
  <c r="AP180" i="1"/>
  <c r="EL213" i="1"/>
  <c r="AQ180" i="1"/>
  <c r="EM213" i="1"/>
  <c r="AR180" i="1"/>
  <c r="EN213" i="1"/>
  <c r="AS180" i="1"/>
  <c r="EO213" i="1"/>
  <c r="AT180" i="1"/>
  <c r="EP213" i="1"/>
  <c r="AU180" i="1"/>
  <c r="EQ213" i="1"/>
  <c r="AV180" i="1"/>
  <c r="ER213" i="1"/>
  <c r="AX180" i="1"/>
  <c r="ET213" i="1"/>
  <c r="AY180" i="1"/>
  <c r="EU213" i="1"/>
  <c r="BA180" i="1"/>
  <c r="EW213" i="1"/>
  <c r="BB180" i="1"/>
  <c r="EX213" i="1"/>
  <c r="BD180" i="1"/>
  <c r="EZ213" i="1"/>
  <c r="BE180" i="1"/>
  <c r="FA213" i="1"/>
  <c r="BG180" i="1"/>
  <c r="FC213" i="1"/>
  <c r="BH180" i="1"/>
  <c r="FD213" i="1"/>
  <c r="BJ180" i="1"/>
  <c r="FF213" i="1"/>
  <c r="BK180" i="1"/>
  <c r="FG213" i="1"/>
  <c r="BM180" i="1"/>
  <c r="FI213" i="1"/>
  <c r="BN180" i="1"/>
  <c r="FJ213" i="1"/>
  <c r="AO181" i="1"/>
  <c r="EK214" i="1"/>
  <c r="AP181" i="1"/>
  <c r="EL214" i="1"/>
  <c r="AQ181" i="1"/>
  <c r="EM214" i="1"/>
  <c r="AR181" i="1"/>
  <c r="EN214" i="1"/>
  <c r="AS181" i="1"/>
  <c r="EO214" i="1"/>
  <c r="AT181" i="1"/>
  <c r="EP214" i="1"/>
  <c r="AU181" i="1"/>
  <c r="EQ214" i="1"/>
  <c r="AV181" i="1"/>
  <c r="ER214" i="1"/>
  <c r="AX181" i="1"/>
  <c r="ET214" i="1"/>
  <c r="AY181" i="1"/>
  <c r="EU214" i="1"/>
  <c r="BA181" i="1"/>
  <c r="EW214" i="1"/>
  <c r="BB181" i="1"/>
  <c r="EX214" i="1"/>
  <c r="BD181" i="1"/>
  <c r="EZ214" i="1"/>
  <c r="BE181" i="1"/>
  <c r="FA214" i="1"/>
  <c r="BG181" i="1"/>
  <c r="FC214" i="1"/>
  <c r="BH181" i="1"/>
  <c r="FD214" i="1"/>
  <c r="BJ181" i="1"/>
  <c r="FF214" i="1"/>
  <c r="BK181" i="1"/>
  <c r="FG214" i="1"/>
  <c r="BM181" i="1"/>
  <c r="FI214" i="1"/>
  <c r="BN181" i="1"/>
  <c r="FJ214" i="1"/>
  <c r="CK86" i="1"/>
  <c r="AO182" i="1"/>
  <c r="EK215" i="1"/>
  <c r="CL86" i="1"/>
  <c r="AP182" i="1"/>
  <c r="EL215" i="1"/>
  <c r="CM86" i="1"/>
  <c r="AQ182" i="1"/>
  <c r="EM215" i="1"/>
  <c r="AR182" i="1"/>
  <c r="EN215" i="1"/>
  <c r="AS182" i="1"/>
  <c r="EO215" i="1"/>
  <c r="AT182" i="1"/>
  <c r="EP215" i="1"/>
  <c r="AU182" i="1"/>
  <c r="EQ215" i="1"/>
  <c r="AV182" i="1"/>
  <c r="ER215" i="1"/>
  <c r="AX182" i="1"/>
  <c r="ET215" i="1"/>
  <c r="AY182" i="1"/>
  <c r="EU215" i="1"/>
  <c r="BA182" i="1"/>
  <c r="EW215" i="1"/>
  <c r="BB182" i="1"/>
  <c r="EX215" i="1"/>
  <c r="BD182" i="1"/>
  <c r="EZ215" i="1"/>
  <c r="BE182" i="1"/>
  <c r="FA215" i="1"/>
  <c r="BG182" i="1"/>
  <c r="FC215" i="1"/>
  <c r="BH182" i="1"/>
  <c r="FD215" i="1"/>
  <c r="BJ182" i="1"/>
  <c r="FF215" i="1"/>
  <c r="BK182" i="1"/>
  <c r="FG215" i="1"/>
  <c r="BM182" i="1"/>
  <c r="FI215" i="1"/>
  <c r="BN182" i="1"/>
  <c r="FJ215" i="1"/>
  <c r="CN86" i="1"/>
  <c r="AO183" i="1"/>
  <c r="EK216" i="1"/>
  <c r="CO86" i="1"/>
  <c r="AP183" i="1"/>
  <c r="EL216" i="1"/>
  <c r="CP86" i="1"/>
  <c r="AQ183" i="1"/>
  <c r="EM216" i="1"/>
  <c r="AR183" i="1"/>
  <c r="EN216" i="1"/>
  <c r="AS183" i="1"/>
  <c r="EO216" i="1"/>
  <c r="AT183" i="1"/>
  <c r="EP216" i="1"/>
  <c r="AU183" i="1"/>
  <c r="EQ216" i="1"/>
  <c r="AV183" i="1"/>
  <c r="ER216" i="1"/>
  <c r="AX183" i="1"/>
  <c r="ET216" i="1"/>
  <c r="AY183" i="1"/>
  <c r="EU216" i="1"/>
  <c r="BA183" i="1"/>
  <c r="EW216" i="1"/>
  <c r="BB183" i="1"/>
  <c r="EX216" i="1"/>
  <c r="BD183" i="1"/>
  <c r="EZ216" i="1"/>
  <c r="BE183" i="1"/>
  <c r="FA216" i="1"/>
  <c r="BG183" i="1"/>
  <c r="FC216" i="1"/>
  <c r="BH183" i="1"/>
  <c r="FD216" i="1"/>
  <c r="BJ183" i="1"/>
  <c r="FF216" i="1"/>
  <c r="BK183" i="1"/>
  <c r="FG216" i="1"/>
  <c r="BM183" i="1"/>
  <c r="FI216" i="1"/>
  <c r="BN183" i="1"/>
  <c r="FJ216" i="1"/>
  <c r="AO184" i="1"/>
  <c r="EK217" i="1"/>
  <c r="AP184" i="1"/>
  <c r="EL217" i="1"/>
  <c r="AQ184" i="1"/>
  <c r="EM217" i="1"/>
  <c r="AR184" i="1"/>
  <c r="EN217" i="1"/>
  <c r="AS184" i="1"/>
  <c r="EO217" i="1"/>
  <c r="AT184" i="1"/>
  <c r="EP217" i="1"/>
  <c r="AU184" i="1"/>
  <c r="EQ217" i="1"/>
  <c r="AV184" i="1"/>
  <c r="ER217" i="1"/>
  <c r="AX184" i="1"/>
  <c r="ET217" i="1"/>
  <c r="AY184" i="1"/>
  <c r="EU217" i="1"/>
  <c r="BA184" i="1"/>
  <c r="EW217" i="1"/>
  <c r="BB184" i="1"/>
  <c r="EX217" i="1"/>
  <c r="BD184" i="1"/>
  <c r="EZ217" i="1"/>
  <c r="BE184" i="1"/>
  <c r="FA217" i="1"/>
  <c r="BG184" i="1"/>
  <c r="FC217" i="1"/>
  <c r="BH184" i="1"/>
  <c r="FD217" i="1"/>
  <c r="BJ184" i="1"/>
  <c r="FF217" i="1"/>
  <c r="BK184" i="1"/>
  <c r="FG217" i="1"/>
  <c r="BM184" i="1"/>
  <c r="FI217" i="1"/>
  <c r="BN184" i="1"/>
  <c r="FJ217" i="1"/>
  <c r="AO185" i="1"/>
  <c r="EK218" i="1"/>
  <c r="AP185" i="1"/>
  <c r="EL218" i="1"/>
  <c r="AQ185" i="1"/>
  <c r="EM218" i="1"/>
  <c r="AR185" i="1"/>
  <c r="EN218" i="1"/>
  <c r="AS185" i="1"/>
  <c r="EO218" i="1"/>
  <c r="AT185" i="1"/>
  <c r="EP218" i="1"/>
  <c r="AU185" i="1"/>
  <c r="EQ218" i="1"/>
  <c r="AV185" i="1"/>
  <c r="ER218" i="1"/>
  <c r="AX185" i="1"/>
  <c r="ET218" i="1"/>
  <c r="AY185" i="1"/>
  <c r="EU218" i="1"/>
  <c r="BA185" i="1"/>
  <c r="EW218" i="1"/>
  <c r="BB185" i="1"/>
  <c r="EX218" i="1"/>
  <c r="BD185" i="1"/>
  <c r="EZ218" i="1"/>
  <c r="BE185" i="1"/>
  <c r="FA218" i="1"/>
  <c r="BG185" i="1"/>
  <c r="FC218" i="1"/>
  <c r="BH185" i="1"/>
  <c r="FD218" i="1"/>
  <c r="BJ185" i="1"/>
  <c r="FF218" i="1"/>
  <c r="BK185" i="1"/>
  <c r="FG218" i="1"/>
  <c r="BM185" i="1"/>
  <c r="FI218" i="1"/>
  <c r="BN185" i="1"/>
  <c r="FJ218" i="1"/>
  <c r="AO186" i="1"/>
  <c r="EK219" i="1"/>
  <c r="AP186" i="1"/>
  <c r="EL219" i="1"/>
  <c r="AQ186" i="1"/>
  <c r="EM219" i="1"/>
  <c r="AR186" i="1"/>
  <c r="EN219" i="1"/>
  <c r="AS186" i="1"/>
  <c r="EO219" i="1"/>
  <c r="AT186" i="1"/>
  <c r="EP219" i="1"/>
  <c r="AU186" i="1"/>
  <c r="EQ219" i="1"/>
  <c r="AV186" i="1"/>
  <c r="ER219" i="1"/>
  <c r="AX186" i="1"/>
  <c r="ET219" i="1"/>
  <c r="AY186" i="1"/>
  <c r="EU219" i="1"/>
  <c r="BA186" i="1"/>
  <c r="EW219" i="1"/>
  <c r="BB186" i="1"/>
  <c r="EX219" i="1"/>
  <c r="BD186" i="1"/>
  <c r="EZ219" i="1"/>
  <c r="BE186" i="1"/>
  <c r="FA219" i="1"/>
  <c r="BG186" i="1"/>
  <c r="FC219" i="1"/>
  <c r="BH186" i="1"/>
  <c r="FD219" i="1"/>
  <c r="BJ186" i="1"/>
  <c r="FF219" i="1"/>
  <c r="BK186" i="1"/>
  <c r="FG219" i="1"/>
  <c r="BM186" i="1"/>
  <c r="FI219" i="1"/>
  <c r="BN186" i="1"/>
  <c r="FJ219" i="1"/>
  <c r="EM294" i="1"/>
  <c r="EP294" i="1"/>
  <c r="ES294" i="1"/>
  <c r="EV294" i="1"/>
  <c r="EY294" i="1"/>
  <c r="FB294" i="1"/>
  <c r="FE294" i="1"/>
  <c r="FH294" i="1"/>
  <c r="FK294" i="1"/>
  <c r="FK297" i="1"/>
  <c r="FK300" i="1"/>
  <c r="FK303" i="1"/>
  <c r="FK306" i="1"/>
  <c r="FK309" i="1"/>
  <c r="FK312" i="1"/>
  <c r="FK315" i="1"/>
  <c r="FK318" i="1"/>
  <c r="FK403" i="1"/>
  <c r="FH297" i="1"/>
  <c r="FH300" i="1"/>
  <c r="FH303" i="1"/>
  <c r="FH306" i="1"/>
  <c r="FH309" i="1"/>
  <c r="FH312" i="1"/>
  <c r="FH315" i="1"/>
  <c r="FH318" i="1"/>
  <c r="FH403" i="1"/>
  <c r="FE297" i="1"/>
  <c r="FE300" i="1"/>
  <c r="FE303" i="1"/>
  <c r="FE306" i="1"/>
  <c r="FE309" i="1"/>
  <c r="FE312" i="1"/>
  <c r="FE315" i="1"/>
  <c r="FE318" i="1"/>
  <c r="FE403" i="1"/>
  <c r="FB297" i="1"/>
  <c r="FB300" i="1"/>
  <c r="FB303" i="1"/>
  <c r="FB306" i="1"/>
  <c r="FB309" i="1"/>
  <c r="FB312" i="1"/>
  <c r="FB315" i="1"/>
  <c r="FB318" i="1"/>
  <c r="FB403" i="1"/>
  <c r="EY297" i="1"/>
  <c r="EY300" i="1"/>
  <c r="EY303" i="1"/>
  <c r="EY306" i="1"/>
  <c r="EY309" i="1"/>
  <c r="EY312" i="1"/>
  <c r="EY315" i="1"/>
  <c r="EY318" i="1"/>
  <c r="EY403" i="1"/>
  <c r="EV297" i="1"/>
  <c r="EV300" i="1"/>
  <c r="EV303" i="1"/>
  <c r="EV306" i="1"/>
  <c r="EV309" i="1"/>
  <c r="EV312" i="1"/>
  <c r="EV315" i="1"/>
  <c r="EV318" i="1"/>
  <c r="EV403" i="1"/>
  <c r="ES297" i="1"/>
  <c r="ES300" i="1"/>
  <c r="ES303" i="1"/>
  <c r="ES306" i="1"/>
  <c r="ES309" i="1"/>
  <c r="ES312" i="1"/>
  <c r="ES315" i="1"/>
  <c r="ES318" i="1"/>
  <c r="ES403" i="1"/>
  <c r="EP297" i="1"/>
  <c r="EP300" i="1"/>
  <c r="EP303" i="1"/>
  <c r="EP306" i="1"/>
  <c r="EP309" i="1"/>
  <c r="EP312" i="1"/>
  <c r="EP315" i="1"/>
  <c r="EP318" i="1"/>
  <c r="S107" i="1"/>
  <c r="DO140" i="1"/>
  <c r="S108" i="1"/>
  <c r="DO141" i="1"/>
  <c r="S109" i="1"/>
  <c r="DO142" i="1"/>
  <c r="S110" i="1"/>
  <c r="DO143" i="1"/>
  <c r="S111" i="1"/>
  <c r="DO144" i="1"/>
  <c r="S112" i="1"/>
  <c r="DO145" i="1"/>
  <c r="S113" i="1"/>
  <c r="DO146" i="1"/>
  <c r="S114" i="1"/>
  <c r="DO147" i="1"/>
  <c r="S115" i="1"/>
  <c r="DO148" i="1"/>
  <c r="S116" i="1"/>
  <c r="DO149" i="1"/>
  <c r="S117" i="1"/>
  <c r="DO150" i="1"/>
  <c r="S118" i="1"/>
  <c r="DO151" i="1"/>
  <c r="S119" i="1"/>
  <c r="DO152" i="1"/>
  <c r="S120" i="1"/>
  <c r="DO153" i="1"/>
  <c r="S121" i="1"/>
  <c r="DO154" i="1"/>
  <c r="S122" i="1"/>
  <c r="DO155" i="1"/>
  <c r="S123" i="1"/>
  <c r="DO156" i="1"/>
  <c r="S124" i="1"/>
  <c r="DO157" i="1"/>
  <c r="S125" i="1"/>
  <c r="DO158" i="1"/>
  <c r="S126" i="1"/>
  <c r="DO159" i="1"/>
  <c r="S127" i="1"/>
  <c r="DO160" i="1"/>
  <c r="S128" i="1"/>
  <c r="DO161" i="1"/>
  <c r="S129" i="1"/>
  <c r="DO162" i="1"/>
  <c r="S130" i="1"/>
  <c r="DO163" i="1"/>
  <c r="S131" i="1"/>
  <c r="DO164" i="1"/>
  <c r="S132" i="1"/>
  <c r="DO165" i="1"/>
  <c r="S134" i="1"/>
  <c r="DO167" i="1"/>
  <c r="S135" i="1"/>
  <c r="DO168" i="1"/>
  <c r="S136" i="1"/>
  <c r="DO169" i="1"/>
  <c r="S137" i="1"/>
  <c r="DO170" i="1"/>
  <c r="S138" i="1"/>
  <c r="DO171" i="1"/>
  <c r="S139" i="1"/>
  <c r="DO172" i="1"/>
  <c r="S140" i="1"/>
  <c r="DO173" i="1"/>
  <c r="S141" i="1"/>
  <c r="DO174" i="1"/>
  <c r="S142" i="1"/>
  <c r="DO175" i="1"/>
  <c r="S143" i="1"/>
  <c r="DO176" i="1"/>
  <c r="S144" i="1"/>
  <c r="DO177" i="1"/>
  <c r="S145" i="1"/>
  <c r="DO178" i="1"/>
  <c r="S146" i="1"/>
  <c r="DO179" i="1"/>
  <c r="S147" i="1"/>
  <c r="DO180" i="1"/>
  <c r="S148" i="1"/>
  <c r="DO181" i="1"/>
  <c r="S149" i="1"/>
  <c r="DO182" i="1"/>
  <c r="S150" i="1"/>
  <c r="DO183" i="1"/>
  <c r="S151" i="1"/>
  <c r="DO184" i="1"/>
  <c r="S152" i="1"/>
  <c r="DO185" i="1"/>
  <c r="S153" i="1"/>
  <c r="DO186" i="1"/>
  <c r="S154" i="1"/>
  <c r="DO187" i="1"/>
  <c r="S155" i="1"/>
  <c r="DO188" i="1"/>
  <c r="S156" i="1"/>
  <c r="DO189" i="1"/>
  <c r="S157" i="1"/>
  <c r="DO190" i="1"/>
  <c r="S158" i="1"/>
  <c r="DO191" i="1"/>
  <c r="S159" i="1"/>
  <c r="DO192" i="1"/>
  <c r="S161" i="1"/>
  <c r="DO194" i="1"/>
  <c r="S162" i="1"/>
  <c r="DO195" i="1"/>
  <c r="S163" i="1"/>
  <c r="DO196" i="1"/>
  <c r="S164" i="1"/>
  <c r="DO197" i="1"/>
  <c r="S165" i="1"/>
  <c r="DO198" i="1"/>
  <c r="S166" i="1"/>
  <c r="DO199" i="1"/>
  <c r="S167" i="1"/>
  <c r="DO200" i="1"/>
  <c r="S168" i="1"/>
  <c r="DO201" i="1"/>
  <c r="S169" i="1"/>
  <c r="DO202" i="1"/>
  <c r="S170" i="1"/>
  <c r="DO203" i="1"/>
  <c r="S171" i="1"/>
  <c r="DO204" i="1"/>
  <c r="S172" i="1"/>
  <c r="DO205" i="1"/>
  <c r="S173" i="1"/>
  <c r="DO206" i="1"/>
  <c r="S174" i="1"/>
  <c r="DO207" i="1"/>
  <c r="S175" i="1"/>
  <c r="DO208" i="1"/>
  <c r="S176" i="1"/>
  <c r="DO209" i="1"/>
  <c r="S177" i="1"/>
  <c r="DO210" i="1"/>
  <c r="S178" i="1"/>
  <c r="DO211" i="1"/>
  <c r="S179" i="1"/>
  <c r="DO212" i="1"/>
  <c r="S180" i="1"/>
  <c r="DO213" i="1"/>
  <c r="S181" i="1"/>
  <c r="DO214" i="1"/>
  <c r="S182" i="1"/>
  <c r="DO215" i="1"/>
  <c r="S183" i="1"/>
  <c r="DO216" i="1"/>
  <c r="S184" i="1"/>
  <c r="DO217" i="1"/>
  <c r="S185" i="1"/>
  <c r="DO218" i="1"/>
  <c r="S186" i="1"/>
  <c r="DO219" i="1"/>
  <c r="DO224" i="1"/>
  <c r="AT107" i="1"/>
  <c r="EP140" i="1"/>
  <c r="AT108" i="1"/>
  <c r="EP141" i="1"/>
  <c r="AT109" i="1"/>
  <c r="EP142" i="1"/>
  <c r="AT110" i="1"/>
  <c r="EP143" i="1"/>
  <c r="AT111" i="1"/>
  <c r="EP144" i="1"/>
  <c r="AT112" i="1"/>
  <c r="EP145" i="1"/>
  <c r="AT113" i="1"/>
  <c r="EP146" i="1"/>
  <c r="AT114" i="1"/>
  <c r="EP147" i="1"/>
  <c r="AT115" i="1"/>
  <c r="EP148" i="1"/>
  <c r="AT116" i="1"/>
  <c r="EP149" i="1"/>
  <c r="AT117" i="1"/>
  <c r="EP150" i="1"/>
  <c r="AT118" i="1"/>
  <c r="EP151" i="1"/>
  <c r="AT119" i="1"/>
  <c r="EP152" i="1"/>
  <c r="AT120" i="1"/>
  <c r="EP153" i="1"/>
  <c r="AT121" i="1"/>
  <c r="EP154" i="1"/>
  <c r="AT122" i="1"/>
  <c r="EP155" i="1"/>
  <c r="AT123" i="1"/>
  <c r="EP156" i="1"/>
  <c r="AT124" i="1"/>
  <c r="EP157" i="1"/>
  <c r="AT125" i="1"/>
  <c r="EP158" i="1"/>
  <c r="AT126" i="1"/>
  <c r="EP159" i="1"/>
  <c r="AT127" i="1"/>
  <c r="EP160" i="1"/>
  <c r="AT128" i="1"/>
  <c r="EP161" i="1"/>
  <c r="AT129" i="1"/>
  <c r="EP162" i="1"/>
  <c r="AT130" i="1"/>
  <c r="EP163" i="1"/>
  <c r="AT131" i="1"/>
  <c r="EP164" i="1"/>
  <c r="AT132" i="1"/>
  <c r="EP165" i="1"/>
  <c r="AT134" i="1"/>
  <c r="EP167" i="1"/>
  <c r="AT135" i="1"/>
  <c r="EP168" i="1"/>
  <c r="AT136" i="1"/>
  <c r="EP169" i="1"/>
  <c r="AT137" i="1"/>
  <c r="EP170" i="1"/>
  <c r="AT138" i="1"/>
  <c r="EP171" i="1"/>
  <c r="AT139" i="1"/>
  <c r="EP172" i="1"/>
  <c r="AT140" i="1"/>
  <c r="EP173" i="1"/>
  <c r="AT141" i="1"/>
  <c r="EP174" i="1"/>
  <c r="AT142" i="1"/>
  <c r="EP175" i="1"/>
  <c r="AT143" i="1"/>
  <c r="EP176" i="1"/>
  <c r="AT144" i="1"/>
  <c r="EP177" i="1"/>
  <c r="AT145" i="1"/>
  <c r="EP178" i="1"/>
  <c r="AT146" i="1"/>
  <c r="EP179" i="1"/>
  <c r="AT147" i="1"/>
  <c r="EP180" i="1"/>
  <c r="AT148" i="1"/>
  <c r="EP181" i="1"/>
  <c r="AT149" i="1"/>
  <c r="EP182" i="1"/>
  <c r="AT150" i="1"/>
  <c r="EP183" i="1"/>
  <c r="AT151" i="1"/>
  <c r="EP184" i="1"/>
  <c r="AT152" i="1"/>
  <c r="EP185" i="1"/>
  <c r="AT153" i="1"/>
  <c r="EP186" i="1"/>
  <c r="AT154" i="1"/>
  <c r="EP187" i="1"/>
  <c r="AT155" i="1"/>
  <c r="EP188" i="1"/>
  <c r="AT156" i="1"/>
  <c r="EP189" i="1"/>
  <c r="AT157" i="1"/>
  <c r="EP190" i="1"/>
  <c r="AT158" i="1"/>
  <c r="EP191" i="1"/>
  <c r="AT159" i="1"/>
  <c r="EP192" i="1"/>
  <c r="EP224" i="1"/>
  <c r="BU107" i="1"/>
  <c r="FQ140" i="1"/>
  <c r="BU108" i="1"/>
  <c r="FQ141" i="1"/>
  <c r="BU109" i="1"/>
  <c r="FQ142" i="1"/>
  <c r="BU110" i="1"/>
  <c r="FQ143" i="1"/>
  <c r="BU111" i="1"/>
  <c r="FQ144" i="1"/>
  <c r="BU112" i="1"/>
  <c r="FQ145" i="1"/>
  <c r="BU113" i="1"/>
  <c r="FQ146" i="1"/>
  <c r="BU114" i="1"/>
  <c r="FQ147" i="1"/>
  <c r="BU115" i="1"/>
  <c r="FQ148" i="1"/>
  <c r="BU116" i="1"/>
  <c r="FQ149" i="1"/>
  <c r="BU117" i="1"/>
  <c r="FQ150" i="1"/>
  <c r="BU118" i="1"/>
  <c r="FQ151" i="1"/>
  <c r="BU119" i="1"/>
  <c r="FQ152" i="1"/>
  <c r="BU120" i="1"/>
  <c r="FQ153" i="1"/>
  <c r="BU121" i="1"/>
  <c r="FQ154" i="1"/>
  <c r="BU122" i="1"/>
  <c r="FQ155" i="1"/>
  <c r="BU123" i="1"/>
  <c r="FQ156" i="1"/>
  <c r="BU124" i="1"/>
  <c r="FQ157" i="1"/>
  <c r="BU125" i="1"/>
  <c r="FQ158" i="1"/>
  <c r="BU126" i="1"/>
  <c r="FQ159" i="1"/>
  <c r="BU127" i="1"/>
  <c r="FQ160" i="1"/>
  <c r="BU128" i="1"/>
  <c r="FQ161" i="1"/>
  <c r="BU129" i="1"/>
  <c r="FQ162" i="1"/>
  <c r="BU130" i="1"/>
  <c r="FQ163" i="1"/>
  <c r="BU131" i="1"/>
  <c r="FQ164" i="1"/>
  <c r="BU132" i="1"/>
  <c r="FQ165" i="1"/>
  <c r="BU134" i="1"/>
  <c r="FQ167" i="1"/>
  <c r="BU135" i="1"/>
  <c r="FQ168" i="1"/>
  <c r="BU136" i="1"/>
  <c r="FQ169" i="1"/>
  <c r="BU137" i="1"/>
  <c r="FQ170" i="1"/>
  <c r="BU138" i="1"/>
  <c r="FQ171" i="1"/>
  <c r="BU139" i="1"/>
  <c r="FQ172" i="1"/>
  <c r="BU140" i="1"/>
  <c r="FQ173" i="1"/>
  <c r="BU141" i="1"/>
  <c r="FQ174" i="1"/>
  <c r="BU142" i="1"/>
  <c r="FQ175" i="1"/>
  <c r="BU143" i="1"/>
  <c r="FQ176" i="1"/>
  <c r="BU144" i="1"/>
  <c r="FQ177" i="1"/>
  <c r="BU145" i="1"/>
  <c r="FQ178" i="1"/>
  <c r="BU146" i="1"/>
  <c r="FQ179" i="1"/>
  <c r="BU147" i="1"/>
  <c r="FQ180" i="1"/>
  <c r="BU148" i="1"/>
  <c r="FQ181" i="1"/>
  <c r="BU149" i="1"/>
  <c r="FQ182" i="1"/>
  <c r="BU150" i="1"/>
  <c r="FQ183" i="1"/>
  <c r="BU151" i="1"/>
  <c r="FQ184" i="1"/>
  <c r="BU152" i="1"/>
  <c r="FQ185" i="1"/>
  <c r="BU153" i="1"/>
  <c r="FQ186" i="1"/>
  <c r="BU154" i="1"/>
  <c r="FQ187" i="1"/>
  <c r="BU155" i="1"/>
  <c r="FQ188" i="1"/>
  <c r="BU156" i="1"/>
  <c r="FQ189" i="1"/>
  <c r="BU157" i="1"/>
  <c r="FQ190" i="1"/>
  <c r="BU158" i="1"/>
  <c r="FQ191" i="1"/>
  <c r="BU159" i="1"/>
  <c r="FQ192" i="1"/>
  <c r="FQ224" i="1"/>
  <c r="DO230" i="1"/>
  <c r="EP230" i="1"/>
  <c r="EP403" i="1"/>
  <c r="EM403" i="1"/>
  <c r="EJ403" i="1"/>
  <c r="EG403" i="1"/>
  <c r="ED403" i="1"/>
  <c r="EA403" i="1"/>
  <c r="N161" i="1"/>
  <c r="DJ194" i="1"/>
  <c r="O161" i="1"/>
  <c r="DK194" i="1"/>
  <c r="P161" i="1"/>
  <c r="DL194" i="1"/>
  <c r="Q161" i="1"/>
  <c r="DM194" i="1"/>
  <c r="R161" i="1"/>
  <c r="DN194" i="1"/>
  <c r="T161" i="1"/>
  <c r="DP194" i="1"/>
  <c r="U161" i="1"/>
  <c r="DQ194" i="1"/>
  <c r="W161" i="1"/>
  <c r="DS194" i="1"/>
  <c r="X161" i="1"/>
  <c r="DT194" i="1"/>
  <c r="Z161" i="1"/>
  <c r="DV194" i="1"/>
  <c r="AA161" i="1"/>
  <c r="DW194" i="1"/>
  <c r="AC161" i="1"/>
  <c r="DY194" i="1"/>
  <c r="AD161" i="1"/>
  <c r="DZ194" i="1"/>
  <c r="AF161" i="1"/>
  <c r="EB194" i="1"/>
  <c r="AG161" i="1"/>
  <c r="EC194" i="1"/>
  <c r="AI161" i="1"/>
  <c r="EE194" i="1"/>
  <c r="AJ161" i="1"/>
  <c r="EF194" i="1"/>
  <c r="AL161" i="1"/>
  <c r="EH194" i="1"/>
  <c r="AM161" i="1"/>
  <c r="EI194" i="1"/>
  <c r="N162" i="1"/>
  <c r="DJ195" i="1"/>
  <c r="O162" i="1"/>
  <c r="DK195" i="1"/>
  <c r="P162" i="1"/>
  <c r="DL195" i="1"/>
  <c r="Q162" i="1"/>
  <c r="DM195" i="1"/>
  <c r="R162" i="1"/>
  <c r="DN195" i="1"/>
  <c r="T162" i="1"/>
  <c r="DP195" i="1"/>
  <c r="U162" i="1"/>
  <c r="DQ195" i="1"/>
  <c r="W162" i="1"/>
  <c r="DS195" i="1"/>
  <c r="X162" i="1"/>
  <c r="DT195" i="1"/>
  <c r="Z162" i="1"/>
  <c r="DV195" i="1"/>
  <c r="AA162" i="1"/>
  <c r="DW195" i="1"/>
  <c r="AC162" i="1"/>
  <c r="DY195" i="1"/>
  <c r="AD162" i="1"/>
  <c r="DZ195" i="1"/>
  <c r="AF162" i="1"/>
  <c r="EB195" i="1"/>
  <c r="AG162" i="1"/>
  <c r="EC195" i="1"/>
  <c r="AI162" i="1"/>
  <c r="EE195" i="1"/>
  <c r="AJ162" i="1"/>
  <c r="EF195" i="1"/>
  <c r="AL162" i="1"/>
  <c r="EH195" i="1"/>
  <c r="AM162" i="1"/>
  <c r="EI195" i="1"/>
  <c r="N163" i="1"/>
  <c r="DJ196" i="1"/>
  <c r="O163" i="1"/>
  <c r="DK196" i="1"/>
  <c r="P163" i="1"/>
  <c r="DL196" i="1"/>
  <c r="Q163" i="1"/>
  <c r="DM196" i="1"/>
  <c r="R163" i="1"/>
  <c r="DN196" i="1"/>
  <c r="T163" i="1"/>
  <c r="DP196" i="1"/>
  <c r="U163" i="1"/>
  <c r="DQ196" i="1"/>
  <c r="W163" i="1"/>
  <c r="DS196" i="1"/>
  <c r="X163" i="1"/>
  <c r="DT196" i="1"/>
  <c r="Z163" i="1"/>
  <c r="DV196" i="1"/>
  <c r="AA163" i="1"/>
  <c r="DW196" i="1"/>
  <c r="AC163" i="1"/>
  <c r="DY196" i="1"/>
  <c r="AD163" i="1"/>
  <c r="DZ196" i="1"/>
  <c r="AF163" i="1"/>
  <c r="EB196" i="1"/>
  <c r="AG163" i="1"/>
  <c r="EC196" i="1"/>
  <c r="AI163" i="1"/>
  <c r="EE196" i="1"/>
  <c r="AJ163" i="1"/>
  <c r="EF196" i="1"/>
  <c r="AL163" i="1"/>
  <c r="EH196" i="1"/>
  <c r="AM163" i="1"/>
  <c r="EI196" i="1"/>
  <c r="N164" i="1"/>
  <c r="DJ197" i="1"/>
  <c r="O164" i="1"/>
  <c r="DK197" i="1"/>
  <c r="P164" i="1"/>
  <c r="DL197" i="1"/>
  <c r="CK78" i="1"/>
  <c r="CK101" i="1"/>
  <c r="Q164" i="1"/>
  <c r="DM197" i="1"/>
  <c r="CL78" i="1"/>
  <c r="CL101" i="1"/>
  <c r="R164" i="1"/>
  <c r="DN197" i="1"/>
  <c r="T164" i="1"/>
  <c r="DP197" i="1"/>
  <c r="U164" i="1"/>
  <c r="DQ197" i="1"/>
  <c r="W164" i="1"/>
  <c r="DS197" i="1"/>
  <c r="X164" i="1"/>
  <c r="DT197" i="1"/>
  <c r="Z164" i="1"/>
  <c r="DV197" i="1"/>
  <c r="AA164" i="1"/>
  <c r="DW197" i="1"/>
  <c r="AC164" i="1"/>
  <c r="DY197" i="1"/>
  <c r="AD164" i="1"/>
  <c r="DZ197" i="1"/>
  <c r="AF164" i="1"/>
  <c r="EB197" i="1"/>
  <c r="AG164" i="1"/>
  <c r="EC197" i="1"/>
  <c r="AI164" i="1"/>
  <c r="EE197" i="1"/>
  <c r="AJ164" i="1"/>
  <c r="EF197" i="1"/>
  <c r="AL164" i="1"/>
  <c r="EH197" i="1"/>
  <c r="AM164" i="1"/>
  <c r="EI197" i="1"/>
  <c r="N165" i="1"/>
  <c r="DJ198" i="1"/>
  <c r="O165" i="1"/>
  <c r="DK198" i="1"/>
  <c r="P165" i="1"/>
  <c r="DL198" i="1"/>
  <c r="CN78" i="1"/>
  <c r="CN101" i="1"/>
  <c r="Q165" i="1"/>
  <c r="DM198" i="1"/>
  <c r="CO78" i="1"/>
  <c r="CO101" i="1"/>
  <c r="R165" i="1"/>
  <c r="DN198" i="1"/>
  <c r="T165" i="1"/>
  <c r="DP198" i="1"/>
  <c r="U165" i="1"/>
  <c r="DQ198" i="1"/>
  <c r="W165" i="1"/>
  <c r="DS198" i="1"/>
  <c r="X165" i="1"/>
  <c r="DT198" i="1"/>
  <c r="Z165" i="1"/>
  <c r="DV198" i="1"/>
  <c r="AA165" i="1"/>
  <c r="DW198" i="1"/>
  <c r="AC165" i="1"/>
  <c r="DY198" i="1"/>
  <c r="AD165" i="1"/>
  <c r="DZ198" i="1"/>
  <c r="AF165" i="1"/>
  <c r="EB198" i="1"/>
  <c r="AG165" i="1"/>
  <c r="EC198" i="1"/>
  <c r="AI165" i="1"/>
  <c r="EE198" i="1"/>
  <c r="AJ165" i="1"/>
  <c r="EF198" i="1"/>
  <c r="AL165" i="1"/>
  <c r="EH198" i="1"/>
  <c r="AM165" i="1"/>
  <c r="EI198" i="1"/>
  <c r="N166" i="1"/>
  <c r="DJ199" i="1"/>
  <c r="O166" i="1"/>
  <c r="DK199" i="1"/>
  <c r="P166" i="1"/>
  <c r="DL199" i="1"/>
  <c r="CQ78" i="1"/>
  <c r="Q166" i="1"/>
  <c r="DM199" i="1"/>
  <c r="CR78" i="1"/>
  <c r="R166" i="1"/>
  <c r="DN199" i="1"/>
  <c r="T166" i="1"/>
  <c r="DP199" i="1"/>
  <c r="U166" i="1"/>
  <c r="DQ199" i="1"/>
  <c r="W166" i="1"/>
  <c r="DS199" i="1"/>
  <c r="X166" i="1"/>
  <c r="DT199" i="1"/>
  <c r="Z166" i="1"/>
  <c r="DV199" i="1"/>
  <c r="AA166" i="1"/>
  <c r="DW199" i="1"/>
  <c r="AC166" i="1"/>
  <c r="DY199" i="1"/>
  <c r="AD166" i="1"/>
  <c r="DZ199" i="1"/>
  <c r="AF166" i="1"/>
  <c r="EB199" i="1"/>
  <c r="AG166" i="1"/>
  <c r="EC199" i="1"/>
  <c r="AI166" i="1"/>
  <c r="EE199" i="1"/>
  <c r="AJ166" i="1"/>
  <c r="EF199" i="1"/>
  <c r="AL166" i="1"/>
  <c r="EH199" i="1"/>
  <c r="AM166" i="1"/>
  <c r="EI199" i="1"/>
  <c r="N167" i="1"/>
  <c r="DJ200" i="1"/>
  <c r="O167" i="1"/>
  <c r="DK200" i="1"/>
  <c r="P167" i="1"/>
  <c r="DL200" i="1"/>
  <c r="Q167" i="1"/>
  <c r="DM200" i="1"/>
  <c r="R167" i="1"/>
  <c r="DN200" i="1"/>
  <c r="T167" i="1"/>
  <c r="DP200" i="1"/>
  <c r="U167" i="1"/>
  <c r="DQ200" i="1"/>
  <c r="W167" i="1"/>
  <c r="DS200" i="1"/>
  <c r="X167" i="1"/>
  <c r="DT200" i="1"/>
  <c r="Z167" i="1"/>
  <c r="DV200" i="1"/>
  <c r="AA167" i="1"/>
  <c r="DW200" i="1"/>
  <c r="AC167" i="1"/>
  <c r="DY200" i="1"/>
  <c r="AD167" i="1"/>
  <c r="DZ200" i="1"/>
  <c r="AF167" i="1"/>
  <c r="EB200" i="1"/>
  <c r="AG167" i="1"/>
  <c r="EC200" i="1"/>
  <c r="AI167" i="1"/>
  <c r="EE200" i="1"/>
  <c r="AJ167" i="1"/>
  <c r="EF200" i="1"/>
  <c r="AL167" i="1"/>
  <c r="EH200" i="1"/>
  <c r="AM167" i="1"/>
  <c r="EI200" i="1"/>
  <c r="N168" i="1"/>
  <c r="DJ201" i="1"/>
  <c r="O168" i="1"/>
  <c r="DK201" i="1"/>
  <c r="P168" i="1"/>
  <c r="DL201" i="1"/>
  <c r="Q168" i="1"/>
  <c r="DM201" i="1"/>
  <c r="R168" i="1"/>
  <c r="DN201" i="1"/>
  <c r="T168" i="1"/>
  <c r="DP201" i="1"/>
  <c r="U168" i="1"/>
  <c r="DQ201" i="1"/>
  <c r="W168" i="1"/>
  <c r="DS201" i="1"/>
  <c r="X168" i="1"/>
  <c r="DT201" i="1"/>
  <c r="Z168" i="1"/>
  <c r="DV201" i="1"/>
  <c r="AA168" i="1"/>
  <c r="DW201" i="1"/>
  <c r="AC168" i="1"/>
  <c r="DY201" i="1"/>
  <c r="AD168" i="1"/>
  <c r="DZ201" i="1"/>
  <c r="AF168" i="1"/>
  <c r="EB201" i="1"/>
  <c r="AG168" i="1"/>
  <c r="EC201" i="1"/>
  <c r="AI168" i="1"/>
  <c r="EE201" i="1"/>
  <c r="AJ168" i="1"/>
  <c r="EF201" i="1"/>
  <c r="AL168" i="1"/>
  <c r="EH201" i="1"/>
  <c r="AM168" i="1"/>
  <c r="EI201" i="1"/>
  <c r="N169" i="1"/>
  <c r="DJ202" i="1"/>
  <c r="O169" i="1"/>
  <c r="DK202" i="1"/>
  <c r="P169" i="1"/>
  <c r="DL202" i="1"/>
  <c r="Q169" i="1"/>
  <c r="DM202" i="1"/>
  <c r="R169" i="1"/>
  <c r="DN202" i="1"/>
  <c r="T169" i="1"/>
  <c r="DP202" i="1"/>
  <c r="U169" i="1"/>
  <c r="DQ202" i="1"/>
  <c r="W169" i="1"/>
  <c r="DS202" i="1"/>
  <c r="X169" i="1"/>
  <c r="DT202" i="1"/>
  <c r="Z169" i="1"/>
  <c r="DV202" i="1"/>
  <c r="AA169" i="1"/>
  <c r="DW202" i="1"/>
  <c r="AC169" i="1"/>
  <c r="DY202" i="1"/>
  <c r="AD169" i="1"/>
  <c r="DZ202" i="1"/>
  <c r="AF169" i="1"/>
  <c r="EB202" i="1"/>
  <c r="AG169" i="1"/>
  <c r="EC202" i="1"/>
  <c r="AI169" i="1"/>
  <c r="EE202" i="1"/>
  <c r="AJ169" i="1"/>
  <c r="EF202" i="1"/>
  <c r="AL169" i="1"/>
  <c r="EH202" i="1"/>
  <c r="AM169" i="1"/>
  <c r="EI202" i="1"/>
  <c r="N170" i="1"/>
  <c r="DJ203" i="1"/>
  <c r="O170" i="1"/>
  <c r="DK203" i="1"/>
  <c r="P170" i="1"/>
  <c r="DL203" i="1"/>
  <c r="Q170" i="1"/>
  <c r="DM203" i="1"/>
  <c r="R170" i="1"/>
  <c r="DN203" i="1"/>
  <c r="T170" i="1"/>
  <c r="DP203" i="1"/>
  <c r="U170" i="1"/>
  <c r="DQ203" i="1"/>
  <c r="W170" i="1"/>
  <c r="DS203" i="1"/>
  <c r="X170" i="1"/>
  <c r="DT203" i="1"/>
  <c r="Z170" i="1"/>
  <c r="DV203" i="1"/>
  <c r="AA170" i="1"/>
  <c r="DW203" i="1"/>
  <c r="AC170" i="1"/>
  <c r="DY203" i="1"/>
  <c r="AD170" i="1"/>
  <c r="DZ203" i="1"/>
  <c r="AF170" i="1"/>
  <c r="EB203" i="1"/>
  <c r="AG170" i="1"/>
  <c r="EC203" i="1"/>
  <c r="AI170" i="1"/>
  <c r="EE203" i="1"/>
  <c r="AJ170" i="1"/>
  <c r="EF203" i="1"/>
  <c r="AL170" i="1"/>
  <c r="EH203" i="1"/>
  <c r="AM170" i="1"/>
  <c r="EI203" i="1"/>
  <c r="N171" i="1"/>
  <c r="DJ204" i="1"/>
  <c r="O171" i="1"/>
  <c r="DK204" i="1"/>
  <c r="P171" i="1"/>
  <c r="DL204" i="1"/>
  <c r="Q171" i="1"/>
  <c r="DM204" i="1"/>
  <c r="R171" i="1"/>
  <c r="DN204" i="1"/>
  <c r="T171" i="1"/>
  <c r="DP204" i="1"/>
  <c r="U171" i="1"/>
  <c r="DQ204" i="1"/>
  <c r="W171" i="1"/>
  <c r="DS204" i="1"/>
  <c r="X171" i="1"/>
  <c r="DT204" i="1"/>
  <c r="Z171" i="1"/>
  <c r="DV204" i="1"/>
  <c r="AA171" i="1"/>
  <c r="DW204" i="1"/>
  <c r="AC171" i="1"/>
  <c r="DY204" i="1"/>
  <c r="AD171" i="1"/>
  <c r="DZ204" i="1"/>
  <c r="AF171" i="1"/>
  <c r="EB204" i="1"/>
  <c r="AG171" i="1"/>
  <c r="EC204" i="1"/>
  <c r="AI171" i="1"/>
  <c r="EE204" i="1"/>
  <c r="AJ171" i="1"/>
  <c r="EF204" i="1"/>
  <c r="AL171" i="1"/>
  <c r="EH204" i="1"/>
  <c r="AM171" i="1"/>
  <c r="EI204" i="1"/>
  <c r="N172" i="1"/>
  <c r="DJ205" i="1"/>
  <c r="O172" i="1"/>
  <c r="DK205" i="1"/>
  <c r="P172" i="1"/>
  <c r="DL205" i="1"/>
  <c r="Q172" i="1"/>
  <c r="DM205" i="1"/>
  <c r="R172" i="1"/>
  <c r="DN205" i="1"/>
  <c r="T172" i="1"/>
  <c r="DP205" i="1"/>
  <c r="U172" i="1"/>
  <c r="DQ205" i="1"/>
  <c r="W172" i="1"/>
  <c r="DS205" i="1"/>
  <c r="X172" i="1"/>
  <c r="DT205" i="1"/>
  <c r="Z172" i="1"/>
  <c r="DV205" i="1"/>
  <c r="AA172" i="1"/>
  <c r="DW205" i="1"/>
  <c r="AC172" i="1"/>
  <c r="DY205" i="1"/>
  <c r="AD172" i="1"/>
  <c r="DZ205" i="1"/>
  <c r="AF172" i="1"/>
  <c r="EB205" i="1"/>
  <c r="AG172" i="1"/>
  <c r="EC205" i="1"/>
  <c r="AI172" i="1"/>
  <c r="EE205" i="1"/>
  <c r="AJ172" i="1"/>
  <c r="EF205" i="1"/>
  <c r="AL172" i="1"/>
  <c r="EH205" i="1"/>
  <c r="AM172" i="1"/>
  <c r="EI205" i="1"/>
  <c r="N173" i="1"/>
  <c r="DJ206" i="1"/>
  <c r="O173" i="1"/>
  <c r="DK206" i="1"/>
  <c r="P173" i="1"/>
  <c r="DL206" i="1"/>
  <c r="Q173" i="1"/>
  <c r="DM206" i="1"/>
  <c r="R173" i="1"/>
  <c r="DN206" i="1"/>
  <c r="T173" i="1"/>
  <c r="DP206" i="1"/>
  <c r="U173" i="1"/>
  <c r="DQ206" i="1"/>
  <c r="W173" i="1"/>
  <c r="DS206" i="1"/>
  <c r="X173" i="1"/>
  <c r="DT206" i="1"/>
  <c r="Z173" i="1"/>
  <c r="DV206" i="1"/>
  <c r="AA173" i="1"/>
  <c r="DW206" i="1"/>
  <c r="AC173" i="1"/>
  <c r="DY206" i="1"/>
  <c r="AD173" i="1"/>
  <c r="DZ206" i="1"/>
  <c r="AF173" i="1"/>
  <c r="EB206" i="1"/>
  <c r="AG173" i="1"/>
  <c r="EC206" i="1"/>
  <c r="AI173" i="1"/>
  <c r="EE206" i="1"/>
  <c r="AJ173" i="1"/>
  <c r="EF206" i="1"/>
  <c r="AL173" i="1"/>
  <c r="EH206" i="1"/>
  <c r="AM173" i="1"/>
  <c r="EI206" i="1"/>
  <c r="N174" i="1"/>
  <c r="DJ207" i="1"/>
  <c r="O174" i="1"/>
  <c r="DK207" i="1"/>
  <c r="P174" i="1"/>
  <c r="DL207" i="1"/>
  <c r="Q174" i="1"/>
  <c r="DM207" i="1"/>
  <c r="R174" i="1"/>
  <c r="DN207" i="1"/>
  <c r="T174" i="1"/>
  <c r="DP207" i="1"/>
  <c r="U174" i="1"/>
  <c r="DQ207" i="1"/>
  <c r="W174" i="1"/>
  <c r="DS207" i="1"/>
  <c r="X174" i="1"/>
  <c r="DT207" i="1"/>
  <c r="Z174" i="1"/>
  <c r="DV207" i="1"/>
  <c r="AA174" i="1"/>
  <c r="DW207" i="1"/>
  <c r="AC174" i="1"/>
  <c r="DY207" i="1"/>
  <c r="AD174" i="1"/>
  <c r="DZ207" i="1"/>
  <c r="AF174" i="1"/>
  <c r="EB207" i="1"/>
  <c r="AG174" i="1"/>
  <c r="EC207" i="1"/>
  <c r="AI174" i="1"/>
  <c r="EE207" i="1"/>
  <c r="AJ174" i="1"/>
  <c r="EF207" i="1"/>
  <c r="AL174" i="1"/>
  <c r="EH207" i="1"/>
  <c r="AM174" i="1"/>
  <c r="EI207" i="1"/>
  <c r="N175" i="1"/>
  <c r="DJ208" i="1"/>
  <c r="O175" i="1"/>
  <c r="DK208" i="1"/>
  <c r="P175" i="1"/>
  <c r="DL208" i="1"/>
  <c r="Q175" i="1"/>
  <c r="DM208" i="1"/>
  <c r="R175" i="1"/>
  <c r="DN208" i="1"/>
  <c r="T175" i="1"/>
  <c r="DP208" i="1"/>
  <c r="U175" i="1"/>
  <c r="DQ208" i="1"/>
  <c r="W175" i="1"/>
  <c r="DS208" i="1"/>
  <c r="X175" i="1"/>
  <c r="DT208" i="1"/>
  <c r="Z175" i="1"/>
  <c r="DV208" i="1"/>
  <c r="AA175" i="1"/>
  <c r="DW208" i="1"/>
  <c r="AC175" i="1"/>
  <c r="DY208" i="1"/>
  <c r="AD175" i="1"/>
  <c r="DZ208" i="1"/>
  <c r="AF175" i="1"/>
  <c r="EB208" i="1"/>
  <c r="AG175" i="1"/>
  <c r="EC208" i="1"/>
  <c r="AI175" i="1"/>
  <c r="EE208" i="1"/>
  <c r="AJ175" i="1"/>
  <c r="EF208" i="1"/>
  <c r="AL175" i="1"/>
  <c r="EH208" i="1"/>
  <c r="AM175" i="1"/>
  <c r="EI208" i="1"/>
  <c r="N176" i="1"/>
  <c r="DJ209" i="1"/>
  <c r="O176" i="1"/>
  <c r="DK209" i="1"/>
  <c r="P176" i="1"/>
  <c r="DL209" i="1"/>
  <c r="Q176" i="1"/>
  <c r="DM209" i="1"/>
  <c r="R176" i="1"/>
  <c r="DN209" i="1"/>
  <c r="T176" i="1"/>
  <c r="DP209" i="1"/>
  <c r="U176" i="1"/>
  <c r="DQ209" i="1"/>
  <c r="W176" i="1"/>
  <c r="DS209" i="1"/>
  <c r="X176" i="1"/>
  <c r="DT209" i="1"/>
  <c r="Z176" i="1"/>
  <c r="DV209" i="1"/>
  <c r="AA176" i="1"/>
  <c r="DW209" i="1"/>
  <c r="AC176" i="1"/>
  <c r="DY209" i="1"/>
  <c r="AD176" i="1"/>
  <c r="DZ209" i="1"/>
  <c r="AF176" i="1"/>
  <c r="EB209" i="1"/>
  <c r="AG176" i="1"/>
  <c r="EC209" i="1"/>
  <c r="AI176" i="1"/>
  <c r="EE209" i="1"/>
  <c r="AJ176" i="1"/>
  <c r="EF209" i="1"/>
  <c r="AL176" i="1"/>
  <c r="EH209" i="1"/>
  <c r="AM176" i="1"/>
  <c r="EI209" i="1"/>
  <c r="N177" i="1"/>
  <c r="DJ210" i="1"/>
  <c r="O177" i="1"/>
  <c r="DK210" i="1"/>
  <c r="P177" i="1"/>
  <c r="DL210" i="1"/>
  <c r="Q177" i="1"/>
  <c r="DM210" i="1"/>
  <c r="R177" i="1"/>
  <c r="DN210" i="1"/>
  <c r="T177" i="1"/>
  <c r="DP210" i="1"/>
  <c r="U177" i="1"/>
  <c r="DQ210" i="1"/>
  <c r="W177" i="1"/>
  <c r="DS210" i="1"/>
  <c r="X177" i="1"/>
  <c r="DT210" i="1"/>
  <c r="Z177" i="1"/>
  <c r="DV210" i="1"/>
  <c r="AA177" i="1"/>
  <c r="DW210" i="1"/>
  <c r="AC177" i="1"/>
  <c r="DY210" i="1"/>
  <c r="AD177" i="1"/>
  <c r="DZ210" i="1"/>
  <c r="AF177" i="1"/>
  <c r="EB210" i="1"/>
  <c r="AG177" i="1"/>
  <c r="EC210" i="1"/>
  <c r="AI177" i="1"/>
  <c r="EE210" i="1"/>
  <c r="AJ177" i="1"/>
  <c r="EF210" i="1"/>
  <c r="AL177" i="1"/>
  <c r="EH210" i="1"/>
  <c r="AM177" i="1"/>
  <c r="EI210" i="1"/>
  <c r="N178" i="1"/>
  <c r="DJ211" i="1"/>
  <c r="O178" i="1"/>
  <c r="DK211" i="1"/>
  <c r="P178" i="1"/>
  <c r="DL211" i="1"/>
  <c r="Q178" i="1"/>
  <c r="DM211" i="1"/>
  <c r="R178" i="1"/>
  <c r="DN211" i="1"/>
  <c r="T178" i="1"/>
  <c r="DP211" i="1"/>
  <c r="U178" i="1"/>
  <c r="DQ211" i="1"/>
  <c r="W178" i="1"/>
  <c r="DS211" i="1"/>
  <c r="X178" i="1"/>
  <c r="DT211" i="1"/>
  <c r="Z178" i="1"/>
  <c r="DV211" i="1"/>
  <c r="AA178" i="1"/>
  <c r="DW211" i="1"/>
  <c r="AC178" i="1"/>
  <c r="DY211" i="1"/>
  <c r="AD178" i="1"/>
  <c r="DZ211" i="1"/>
  <c r="AF178" i="1"/>
  <c r="EB211" i="1"/>
  <c r="AG178" i="1"/>
  <c r="EC211" i="1"/>
  <c r="AI178" i="1"/>
  <c r="EE211" i="1"/>
  <c r="AJ178" i="1"/>
  <c r="EF211" i="1"/>
  <c r="AL178" i="1"/>
  <c r="EH211" i="1"/>
  <c r="AM178" i="1"/>
  <c r="EI211" i="1"/>
  <c r="N179" i="1"/>
  <c r="DJ212" i="1"/>
  <c r="O179" i="1"/>
  <c r="DK212" i="1"/>
  <c r="P179" i="1"/>
  <c r="DL212" i="1"/>
  <c r="Q179" i="1"/>
  <c r="DM212" i="1"/>
  <c r="R179" i="1"/>
  <c r="DN212" i="1"/>
  <c r="T179" i="1"/>
  <c r="DP212" i="1"/>
  <c r="U179" i="1"/>
  <c r="DQ212" i="1"/>
  <c r="W179" i="1"/>
  <c r="DS212" i="1"/>
  <c r="X179" i="1"/>
  <c r="DT212" i="1"/>
  <c r="Z179" i="1"/>
  <c r="DV212" i="1"/>
  <c r="AA179" i="1"/>
  <c r="DW212" i="1"/>
  <c r="AC179" i="1"/>
  <c r="DY212" i="1"/>
  <c r="AD179" i="1"/>
  <c r="DZ212" i="1"/>
  <c r="AF179" i="1"/>
  <c r="EB212" i="1"/>
  <c r="AG179" i="1"/>
  <c r="EC212" i="1"/>
  <c r="AI179" i="1"/>
  <c r="EE212" i="1"/>
  <c r="AJ179" i="1"/>
  <c r="EF212" i="1"/>
  <c r="AL179" i="1"/>
  <c r="EH212" i="1"/>
  <c r="AM179" i="1"/>
  <c r="EI212" i="1"/>
  <c r="N180" i="1"/>
  <c r="DJ213" i="1"/>
  <c r="O180" i="1"/>
  <c r="DK213" i="1"/>
  <c r="P180" i="1"/>
  <c r="DL213" i="1"/>
  <c r="Q180" i="1"/>
  <c r="DM213" i="1"/>
  <c r="R180" i="1"/>
  <c r="DN213" i="1"/>
  <c r="T180" i="1"/>
  <c r="DP213" i="1"/>
  <c r="U180" i="1"/>
  <c r="DQ213" i="1"/>
  <c r="W180" i="1"/>
  <c r="DS213" i="1"/>
  <c r="X180" i="1"/>
  <c r="DT213" i="1"/>
  <c r="Z180" i="1"/>
  <c r="DV213" i="1"/>
  <c r="AA180" i="1"/>
  <c r="DW213" i="1"/>
  <c r="AC180" i="1"/>
  <c r="DY213" i="1"/>
  <c r="AD180" i="1"/>
  <c r="DZ213" i="1"/>
  <c r="AF180" i="1"/>
  <c r="EB213" i="1"/>
  <c r="AG180" i="1"/>
  <c r="EC213" i="1"/>
  <c r="AI180" i="1"/>
  <c r="EE213" i="1"/>
  <c r="AJ180" i="1"/>
  <c r="EF213" i="1"/>
  <c r="AL180" i="1"/>
  <c r="EH213" i="1"/>
  <c r="AM180" i="1"/>
  <c r="EI213" i="1"/>
  <c r="N181" i="1"/>
  <c r="DJ214" i="1"/>
  <c r="O181" i="1"/>
  <c r="DK214" i="1"/>
  <c r="P181" i="1"/>
  <c r="DL214" i="1"/>
  <c r="Q181" i="1"/>
  <c r="DM214" i="1"/>
  <c r="R181" i="1"/>
  <c r="DN214" i="1"/>
  <c r="T181" i="1"/>
  <c r="DP214" i="1"/>
  <c r="U181" i="1"/>
  <c r="DQ214" i="1"/>
  <c r="W181" i="1"/>
  <c r="DS214" i="1"/>
  <c r="X181" i="1"/>
  <c r="DT214" i="1"/>
  <c r="Z181" i="1"/>
  <c r="DV214" i="1"/>
  <c r="AA181" i="1"/>
  <c r="DW214" i="1"/>
  <c r="AC181" i="1"/>
  <c r="DY214" i="1"/>
  <c r="AD181" i="1"/>
  <c r="DZ214" i="1"/>
  <c r="AF181" i="1"/>
  <c r="EB214" i="1"/>
  <c r="AG181" i="1"/>
  <c r="EC214" i="1"/>
  <c r="AI181" i="1"/>
  <c r="EE214" i="1"/>
  <c r="AJ181" i="1"/>
  <c r="EF214" i="1"/>
  <c r="AL181" i="1"/>
  <c r="EH214" i="1"/>
  <c r="AM181" i="1"/>
  <c r="EI214" i="1"/>
  <c r="N182" i="1"/>
  <c r="DJ215" i="1"/>
  <c r="O182" i="1"/>
  <c r="DK215" i="1"/>
  <c r="P182" i="1"/>
  <c r="DL215" i="1"/>
  <c r="Q182" i="1"/>
  <c r="DM215" i="1"/>
  <c r="R182" i="1"/>
  <c r="DN215" i="1"/>
  <c r="T182" i="1"/>
  <c r="DP215" i="1"/>
  <c r="U182" i="1"/>
  <c r="DQ215" i="1"/>
  <c r="W182" i="1"/>
  <c r="DS215" i="1"/>
  <c r="X182" i="1"/>
  <c r="DT215" i="1"/>
  <c r="Z182" i="1"/>
  <c r="DV215" i="1"/>
  <c r="AA182" i="1"/>
  <c r="DW215" i="1"/>
  <c r="AC182" i="1"/>
  <c r="DY215" i="1"/>
  <c r="AD182" i="1"/>
  <c r="DZ215" i="1"/>
  <c r="AF182" i="1"/>
  <c r="EB215" i="1"/>
  <c r="AG182" i="1"/>
  <c r="EC215" i="1"/>
  <c r="AI182" i="1"/>
  <c r="EE215" i="1"/>
  <c r="AJ182" i="1"/>
  <c r="EF215" i="1"/>
  <c r="AL182" i="1"/>
  <c r="EH215" i="1"/>
  <c r="AM182" i="1"/>
  <c r="EI215" i="1"/>
  <c r="N183" i="1"/>
  <c r="DJ216" i="1"/>
  <c r="O183" i="1"/>
  <c r="DK216" i="1"/>
  <c r="P183" i="1"/>
  <c r="DL216" i="1"/>
  <c r="Q183" i="1"/>
  <c r="DM216" i="1"/>
  <c r="R183" i="1"/>
  <c r="DN216" i="1"/>
  <c r="T183" i="1"/>
  <c r="DP216" i="1"/>
  <c r="U183" i="1"/>
  <c r="DQ216" i="1"/>
  <c r="W183" i="1"/>
  <c r="DS216" i="1"/>
  <c r="X183" i="1"/>
  <c r="DT216" i="1"/>
  <c r="Z183" i="1"/>
  <c r="DV216" i="1"/>
  <c r="AA183" i="1"/>
  <c r="DW216" i="1"/>
  <c r="AC183" i="1"/>
  <c r="DY216" i="1"/>
  <c r="AD183" i="1"/>
  <c r="DZ216" i="1"/>
  <c r="AF183" i="1"/>
  <c r="EB216" i="1"/>
  <c r="AG183" i="1"/>
  <c r="EC216" i="1"/>
  <c r="AI183" i="1"/>
  <c r="EE216" i="1"/>
  <c r="AJ183" i="1"/>
  <c r="EF216" i="1"/>
  <c r="AL183" i="1"/>
  <c r="EH216" i="1"/>
  <c r="AM183" i="1"/>
  <c r="EI216" i="1"/>
  <c r="N184" i="1"/>
  <c r="DJ217" i="1"/>
  <c r="O184" i="1"/>
  <c r="DK217" i="1"/>
  <c r="P184" i="1"/>
  <c r="DL217" i="1"/>
  <c r="Q184" i="1"/>
  <c r="DM217" i="1"/>
  <c r="R184" i="1"/>
  <c r="DN217" i="1"/>
  <c r="T184" i="1"/>
  <c r="DP217" i="1"/>
  <c r="U184" i="1"/>
  <c r="DQ217" i="1"/>
  <c r="W184" i="1"/>
  <c r="DS217" i="1"/>
  <c r="X184" i="1"/>
  <c r="DT217" i="1"/>
  <c r="Z184" i="1"/>
  <c r="DV217" i="1"/>
  <c r="AA184" i="1"/>
  <c r="DW217" i="1"/>
  <c r="AC184" i="1"/>
  <c r="DY217" i="1"/>
  <c r="AD184" i="1"/>
  <c r="DZ217" i="1"/>
  <c r="AF184" i="1"/>
  <c r="EB217" i="1"/>
  <c r="AG184" i="1"/>
  <c r="EC217" i="1"/>
  <c r="AI184" i="1"/>
  <c r="EE217" i="1"/>
  <c r="AJ184" i="1"/>
  <c r="EF217" i="1"/>
  <c r="AL184" i="1"/>
  <c r="EH217" i="1"/>
  <c r="AM184" i="1"/>
  <c r="EI217" i="1"/>
  <c r="N185" i="1"/>
  <c r="DJ218" i="1"/>
  <c r="O185" i="1"/>
  <c r="DK218" i="1"/>
  <c r="P185" i="1"/>
  <c r="DL218" i="1"/>
  <c r="Q185" i="1"/>
  <c r="DM218" i="1"/>
  <c r="R185" i="1"/>
  <c r="DN218" i="1"/>
  <c r="T185" i="1"/>
  <c r="DP218" i="1"/>
  <c r="U185" i="1"/>
  <c r="DQ218" i="1"/>
  <c r="W185" i="1"/>
  <c r="DS218" i="1"/>
  <c r="X185" i="1"/>
  <c r="DT218" i="1"/>
  <c r="Z185" i="1"/>
  <c r="DV218" i="1"/>
  <c r="AA185" i="1"/>
  <c r="DW218" i="1"/>
  <c r="AC185" i="1"/>
  <c r="DY218" i="1"/>
  <c r="AD185" i="1"/>
  <c r="DZ218" i="1"/>
  <c r="AF185" i="1"/>
  <c r="EB218" i="1"/>
  <c r="AG185" i="1"/>
  <c r="EC218" i="1"/>
  <c r="AI185" i="1"/>
  <c r="EE218" i="1"/>
  <c r="AJ185" i="1"/>
  <c r="EF218" i="1"/>
  <c r="AL185" i="1"/>
  <c r="EH218" i="1"/>
  <c r="AM185" i="1"/>
  <c r="EI218" i="1"/>
  <c r="N186" i="1"/>
  <c r="DJ219" i="1"/>
  <c r="O186" i="1"/>
  <c r="DK219" i="1"/>
  <c r="P186" i="1"/>
  <c r="DL219" i="1"/>
  <c r="Q186" i="1"/>
  <c r="DM219" i="1"/>
  <c r="R186" i="1"/>
  <c r="DN219" i="1"/>
  <c r="T186" i="1"/>
  <c r="DP219" i="1"/>
  <c r="U186" i="1"/>
  <c r="DQ219" i="1"/>
  <c r="W186" i="1"/>
  <c r="DS219" i="1"/>
  <c r="X186" i="1"/>
  <c r="DT219" i="1"/>
  <c r="Z186" i="1"/>
  <c r="DV219" i="1"/>
  <c r="AA186" i="1"/>
  <c r="DW219" i="1"/>
  <c r="AC186" i="1"/>
  <c r="DY219" i="1"/>
  <c r="AD186" i="1"/>
  <c r="DZ219" i="1"/>
  <c r="AF186" i="1"/>
  <c r="EB219" i="1"/>
  <c r="AG186" i="1"/>
  <c r="EC219" i="1"/>
  <c r="AI186" i="1"/>
  <c r="EE219" i="1"/>
  <c r="AJ186" i="1"/>
  <c r="EF219" i="1"/>
  <c r="AL186" i="1"/>
  <c r="EH219" i="1"/>
  <c r="AM186" i="1"/>
  <c r="EI219" i="1"/>
  <c r="DL294" i="1"/>
  <c r="DO294" i="1"/>
  <c r="DR294" i="1"/>
  <c r="DU294" i="1"/>
  <c r="DX294" i="1"/>
  <c r="DX297" i="1"/>
  <c r="DX300" i="1"/>
  <c r="DX303" i="1"/>
  <c r="DX306" i="1"/>
  <c r="DX309" i="1"/>
  <c r="DX312" i="1"/>
  <c r="DX315" i="1"/>
  <c r="DX318" i="1"/>
  <c r="DX403" i="1"/>
  <c r="DU297" i="1"/>
  <c r="DU300" i="1"/>
  <c r="DU303" i="1"/>
  <c r="DU306" i="1"/>
  <c r="DU309" i="1"/>
  <c r="DU312" i="1"/>
  <c r="DU315" i="1"/>
  <c r="DU318" i="1"/>
  <c r="DU403" i="1"/>
  <c r="DR297" i="1"/>
  <c r="DR300" i="1"/>
  <c r="DR303" i="1"/>
  <c r="DR306" i="1"/>
  <c r="DR309" i="1"/>
  <c r="DR312" i="1"/>
  <c r="DR315" i="1"/>
  <c r="DR318" i="1"/>
  <c r="DR403" i="1"/>
  <c r="DO297" i="1"/>
  <c r="DO300" i="1"/>
  <c r="DO303" i="1"/>
  <c r="DO306" i="1"/>
  <c r="DO309" i="1"/>
  <c r="DO312" i="1"/>
  <c r="DO315" i="1"/>
  <c r="DO318" i="1"/>
  <c r="DO403" i="1"/>
  <c r="DL297" i="1"/>
  <c r="DL300" i="1"/>
  <c r="DL303" i="1"/>
  <c r="DL306" i="1"/>
  <c r="DL309" i="1"/>
  <c r="DL312" i="1"/>
  <c r="DL315" i="1"/>
  <c r="DL318" i="1"/>
  <c r="P107" i="1"/>
  <c r="DL140" i="1"/>
  <c r="P108" i="1"/>
  <c r="DL141" i="1"/>
  <c r="P109" i="1"/>
  <c r="DL142" i="1"/>
  <c r="P110" i="1"/>
  <c r="DL143" i="1"/>
  <c r="P111" i="1"/>
  <c r="DL144" i="1"/>
  <c r="P112" i="1"/>
  <c r="DL145" i="1"/>
  <c r="P113" i="1"/>
  <c r="DL146" i="1"/>
  <c r="P114" i="1"/>
  <c r="DL147" i="1"/>
  <c r="P115" i="1"/>
  <c r="DL148" i="1"/>
  <c r="P116" i="1"/>
  <c r="DL149" i="1"/>
  <c r="P117" i="1"/>
  <c r="DL150" i="1"/>
  <c r="P118" i="1"/>
  <c r="DL151" i="1"/>
  <c r="P119" i="1"/>
  <c r="DL152" i="1"/>
  <c r="P120" i="1"/>
  <c r="DL153" i="1"/>
  <c r="P121" i="1"/>
  <c r="DL154" i="1"/>
  <c r="P122" i="1"/>
  <c r="DL155" i="1"/>
  <c r="P123" i="1"/>
  <c r="DL156" i="1"/>
  <c r="P124" i="1"/>
  <c r="DL157" i="1"/>
  <c r="P125" i="1"/>
  <c r="DL158" i="1"/>
  <c r="P126" i="1"/>
  <c r="DL159" i="1"/>
  <c r="P127" i="1"/>
  <c r="DL160" i="1"/>
  <c r="P128" i="1"/>
  <c r="DL161" i="1"/>
  <c r="P129" i="1"/>
  <c r="DL162" i="1"/>
  <c r="P130" i="1"/>
  <c r="DL163" i="1"/>
  <c r="P131" i="1"/>
  <c r="DL164" i="1"/>
  <c r="P132" i="1"/>
  <c r="DL165" i="1"/>
  <c r="P134" i="1"/>
  <c r="DL167" i="1"/>
  <c r="P135" i="1"/>
  <c r="DL168" i="1"/>
  <c r="P136" i="1"/>
  <c r="DL169" i="1"/>
  <c r="P137" i="1"/>
  <c r="DL170" i="1"/>
  <c r="P138" i="1"/>
  <c r="DL171" i="1"/>
  <c r="P139" i="1"/>
  <c r="DL172" i="1"/>
  <c r="P140" i="1"/>
  <c r="DL173" i="1"/>
  <c r="P141" i="1"/>
  <c r="DL174" i="1"/>
  <c r="P142" i="1"/>
  <c r="DL175" i="1"/>
  <c r="P143" i="1"/>
  <c r="DL176" i="1"/>
  <c r="P144" i="1"/>
  <c r="DL177" i="1"/>
  <c r="P145" i="1"/>
  <c r="DL178" i="1"/>
  <c r="P146" i="1"/>
  <c r="DL179" i="1"/>
  <c r="P147" i="1"/>
  <c r="DL180" i="1"/>
  <c r="P148" i="1"/>
  <c r="DL181" i="1"/>
  <c r="P149" i="1"/>
  <c r="DL182" i="1"/>
  <c r="P150" i="1"/>
  <c r="DL183" i="1"/>
  <c r="P151" i="1"/>
  <c r="DL184" i="1"/>
  <c r="P152" i="1"/>
  <c r="DL185" i="1"/>
  <c r="P153" i="1"/>
  <c r="DL186" i="1"/>
  <c r="P154" i="1"/>
  <c r="DL187" i="1"/>
  <c r="P155" i="1"/>
  <c r="DL188" i="1"/>
  <c r="P156" i="1"/>
  <c r="DL189" i="1"/>
  <c r="P157" i="1"/>
  <c r="DL190" i="1"/>
  <c r="P158" i="1"/>
  <c r="DL191" i="1"/>
  <c r="P159" i="1"/>
  <c r="DL192" i="1"/>
  <c r="DL224" i="1"/>
  <c r="AQ107" i="1"/>
  <c r="EM140" i="1"/>
  <c r="AQ108" i="1"/>
  <c r="EM141" i="1"/>
  <c r="AQ109" i="1"/>
  <c r="EM142" i="1"/>
  <c r="AQ110" i="1"/>
  <c r="EM143" i="1"/>
  <c r="AQ111" i="1"/>
  <c r="EM144" i="1"/>
  <c r="AQ112" i="1"/>
  <c r="EM145" i="1"/>
  <c r="AQ113" i="1"/>
  <c r="EM146" i="1"/>
  <c r="AQ114" i="1"/>
  <c r="EM147" i="1"/>
  <c r="AQ115" i="1"/>
  <c r="EM148" i="1"/>
  <c r="AQ116" i="1"/>
  <c r="EM149" i="1"/>
  <c r="AQ117" i="1"/>
  <c r="EM150" i="1"/>
  <c r="AQ118" i="1"/>
  <c r="EM151" i="1"/>
  <c r="AQ119" i="1"/>
  <c r="EM152" i="1"/>
  <c r="AQ120" i="1"/>
  <c r="EM153" i="1"/>
  <c r="AQ121" i="1"/>
  <c r="EM154" i="1"/>
  <c r="AQ122" i="1"/>
  <c r="EM155" i="1"/>
  <c r="AQ123" i="1"/>
  <c r="EM156" i="1"/>
  <c r="AQ124" i="1"/>
  <c r="EM157" i="1"/>
  <c r="AQ125" i="1"/>
  <c r="EM158" i="1"/>
  <c r="AQ126" i="1"/>
  <c r="EM159" i="1"/>
  <c r="AQ127" i="1"/>
  <c r="EM160" i="1"/>
  <c r="AQ128" i="1"/>
  <c r="EM161" i="1"/>
  <c r="AQ129" i="1"/>
  <c r="EM162" i="1"/>
  <c r="AQ130" i="1"/>
  <c r="EM163" i="1"/>
  <c r="AQ131" i="1"/>
  <c r="EM164" i="1"/>
  <c r="AQ132" i="1"/>
  <c r="EM165" i="1"/>
  <c r="AQ134" i="1"/>
  <c r="EM167" i="1"/>
  <c r="AQ135" i="1"/>
  <c r="EM168" i="1"/>
  <c r="AQ136" i="1"/>
  <c r="EM169" i="1"/>
  <c r="AQ137" i="1"/>
  <c r="EM170" i="1"/>
  <c r="AQ138" i="1"/>
  <c r="EM171" i="1"/>
  <c r="AQ139" i="1"/>
  <c r="EM172" i="1"/>
  <c r="AQ140" i="1"/>
  <c r="EM173" i="1"/>
  <c r="AQ141" i="1"/>
  <c r="EM174" i="1"/>
  <c r="AQ142" i="1"/>
  <c r="EM175" i="1"/>
  <c r="AQ143" i="1"/>
  <c r="EM176" i="1"/>
  <c r="AQ144" i="1"/>
  <c r="EM177" i="1"/>
  <c r="AQ145" i="1"/>
  <c r="EM178" i="1"/>
  <c r="AQ146" i="1"/>
  <c r="EM179" i="1"/>
  <c r="AQ147" i="1"/>
  <c r="EM180" i="1"/>
  <c r="AQ148" i="1"/>
  <c r="EM181" i="1"/>
  <c r="AQ149" i="1"/>
  <c r="EM182" i="1"/>
  <c r="AQ150" i="1"/>
  <c r="EM183" i="1"/>
  <c r="AQ151" i="1"/>
  <c r="EM184" i="1"/>
  <c r="AQ152" i="1"/>
  <c r="EM185" i="1"/>
  <c r="AQ153" i="1"/>
  <c r="EM186" i="1"/>
  <c r="AQ154" i="1"/>
  <c r="EM187" i="1"/>
  <c r="AQ155" i="1"/>
  <c r="EM188" i="1"/>
  <c r="AQ156" i="1"/>
  <c r="EM189" i="1"/>
  <c r="AQ157" i="1"/>
  <c r="EM190" i="1"/>
  <c r="AQ158" i="1"/>
  <c r="EM191" i="1"/>
  <c r="AQ159" i="1"/>
  <c r="EM192" i="1"/>
  <c r="EM224" i="1"/>
  <c r="BR107" i="1"/>
  <c r="FN140" i="1"/>
  <c r="BR108" i="1"/>
  <c r="FN141" i="1"/>
  <c r="BR109" i="1"/>
  <c r="FN142" i="1"/>
  <c r="BR110" i="1"/>
  <c r="FN143" i="1"/>
  <c r="BR111" i="1"/>
  <c r="FN144" i="1"/>
  <c r="BR112" i="1"/>
  <c r="FN145" i="1"/>
  <c r="BR113" i="1"/>
  <c r="FN146" i="1"/>
  <c r="BR114" i="1"/>
  <c r="FN147" i="1"/>
  <c r="BR115" i="1"/>
  <c r="FN148" i="1"/>
  <c r="BR116" i="1"/>
  <c r="FN149" i="1"/>
  <c r="BR117" i="1"/>
  <c r="FN150" i="1"/>
  <c r="BR118" i="1"/>
  <c r="FN151" i="1"/>
  <c r="BR119" i="1"/>
  <c r="FN152" i="1"/>
  <c r="BR120" i="1"/>
  <c r="FN153" i="1"/>
  <c r="BR121" i="1"/>
  <c r="FN154" i="1"/>
  <c r="BR122" i="1"/>
  <c r="FN155" i="1"/>
  <c r="BR123" i="1"/>
  <c r="FN156" i="1"/>
  <c r="BR124" i="1"/>
  <c r="FN157" i="1"/>
  <c r="BR125" i="1"/>
  <c r="FN158" i="1"/>
  <c r="BR126" i="1"/>
  <c r="FN159" i="1"/>
  <c r="BR127" i="1"/>
  <c r="FN160" i="1"/>
  <c r="BR128" i="1"/>
  <c r="FN161" i="1"/>
  <c r="BR129" i="1"/>
  <c r="FN162" i="1"/>
  <c r="BR130" i="1"/>
  <c r="FN163" i="1"/>
  <c r="BR131" i="1"/>
  <c r="FN164" i="1"/>
  <c r="BR132" i="1"/>
  <c r="FN165" i="1"/>
  <c r="BR134" i="1"/>
  <c r="FN167" i="1"/>
  <c r="BR135" i="1"/>
  <c r="FN168" i="1"/>
  <c r="BR136" i="1"/>
  <c r="FN169" i="1"/>
  <c r="BR137" i="1"/>
  <c r="FN170" i="1"/>
  <c r="BR138" i="1"/>
  <c r="FN171" i="1"/>
  <c r="BR139" i="1"/>
  <c r="FN172" i="1"/>
  <c r="BR140" i="1"/>
  <c r="FN173" i="1"/>
  <c r="BR141" i="1"/>
  <c r="FN174" i="1"/>
  <c r="BR142" i="1"/>
  <c r="FN175" i="1"/>
  <c r="BR143" i="1"/>
  <c r="FN176" i="1"/>
  <c r="BR144" i="1"/>
  <c r="FN177" i="1"/>
  <c r="BR145" i="1"/>
  <c r="FN178" i="1"/>
  <c r="BR146" i="1"/>
  <c r="FN179" i="1"/>
  <c r="BR147" i="1"/>
  <c r="FN180" i="1"/>
  <c r="BR148" i="1"/>
  <c r="FN181" i="1"/>
  <c r="BR149" i="1"/>
  <c r="FN182" i="1"/>
  <c r="BR150" i="1"/>
  <c r="FN183" i="1"/>
  <c r="BR151" i="1"/>
  <c r="FN184" i="1"/>
  <c r="BR152" i="1"/>
  <c r="FN185" i="1"/>
  <c r="BR153" i="1"/>
  <c r="FN186" i="1"/>
  <c r="BR154" i="1"/>
  <c r="FN187" i="1"/>
  <c r="BR155" i="1"/>
  <c r="FN188" i="1"/>
  <c r="BR156" i="1"/>
  <c r="FN189" i="1"/>
  <c r="BR157" i="1"/>
  <c r="FN190" i="1"/>
  <c r="BR158" i="1"/>
  <c r="FN191" i="1"/>
  <c r="BR159" i="1"/>
  <c r="FN192" i="1"/>
  <c r="FN224" i="1"/>
  <c r="DL230" i="1"/>
  <c r="DL403" i="1"/>
  <c r="FN293" i="1"/>
  <c r="FQ293" i="1"/>
  <c r="FT293" i="1"/>
  <c r="FW293" i="1"/>
  <c r="FZ293" i="1"/>
  <c r="GC293" i="1"/>
  <c r="GF293" i="1"/>
  <c r="GI293" i="1"/>
  <c r="GL293" i="1"/>
  <c r="GL296" i="1"/>
  <c r="GL299" i="1"/>
  <c r="GL302" i="1"/>
  <c r="GL305" i="1"/>
  <c r="GL308" i="1"/>
  <c r="GL311" i="1"/>
  <c r="GL314" i="1"/>
  <c r="GL317" i="1"/>
  <c r="EJ223" i="1"/>
  <c r="FK223" i="1"/>
  <c r="GL223" i="1"/>
  <c r="EJ229" i="1"/>
  <c r="FK229" i="1"/>
  <c r="GL229" i="1"/>
  <c r="N132" i="1"/>
  <c r="DJ165" i="1"/>
  <c r="O132" i="1"/>
  <c r="DK165" i="1"/>
  <c r="Q132" i="1"/>
  <c r="DM165" i="1"/>
  <c r="R132" i="1"/>
  <c r="DN165" i="1"/>
  <c r="T132" i="1"/>
  <c r="DP165" i="1"/>
  <c r="U132" i="1"/>
  <c r="DQ165" i="1"/>
  <c r="W132" i="1"/>
  <c r="DS165" i="1"/>
  <c r="X132" i="1"/>
  <c r="DT165" i="1"/>
  <c r="Z132" i="1"/>
  <c r="DV165" i="1"/>
  <c r="AA132" i="1"/>
  <c r="DW165" i="1"/>
  <c r="AC132" i="1"/>
  <c r="DY165" i="1"/>
  <c r="AD132" i="1"/>
  <c r="DZ165" i="1"/>
  <c r="AF132" i="1"/>
  <c r="EB165" i="1"/>
  <c r="AG132" i="1"/>
  <c r="EC165" i="1"/>
  <c r="AI132" i="1"/>
  <c r="EE165" i="1"/>
  <c r="AJ132" i="1"/>
  <c r="EF165" i="1"/>
  <c r="AL132" i="1"/>
  <c r="EH165" i="1"/>
  <c r="AM132" i="1"/>
  <c r="EI165" i="1"/>
  <c r="AO132" i="1"/>
  <c r="EK165" i="1"/>
  <c r="AP132" i="1"/>
  <c r="EL165" i="1"/>
  <c r="AR132" i="1"/>
  <c r="EN165" i="1"/>
  <c r="AS132" i="1"/>
  <c r="EO165" i="1"/>
  <c r="AU132" i="1"/>
  <c r="EQ165" i="1"/>
  <c r="AV132" i="1"/>
  <c r="ER165" i="1"/>
  <c r="AX132" i="1"/>
  <c r="ET165" i="1"/>
  <c r="AY132" i="1"/>
  <c r="EU165" i="1"/>
  <c r="BA132" i="1"/>
  <c r="EW165" i="1"/>
  <c r="BB132" i="1"/>
  <c r="EX165" i="1"/>
  <c r="BD132" i="1"/>
  <c r="EZ165" i="1"/>
  <c r="BE132" i="1"/>
  <c r="FA165" i="1"/>
  <c r="BG132" i="1"/>
  <c r="FC165" i="1"/>
  <c r="BH132" i="1"/>
  <c r="FD165" i="1"/>
  <c r="BJ132" i="1"/>
  <c r="FF165" i="1"/>
  <c r="BK132" i="1"/>
  <c r="FG165" i="1"/>
  <c r="BM132" i="1"/>
  <c r="FI165" i="1"/>
  <c r="BN132" i="1"/>
  <c r="FJ165" i="1"/>
  <c r="BP132" i="1"/>
  <c r="FL165" i="1"/>
  <c r="BQ132" i="1"/>
  <c r="FM165" i="1"/>
  <c r="BS132" i="1"/>
  <c r="FO165" i="1"/>
  <c r="BT132" i="1"/>
  <c r="FP165" i="1"/>
  <c r="BV132" i="1"/>
  <c r="FR165" i="1"/>
  <c r="BW132" i="1"/>
  <c r="FS165" i="1"/>
  <c r="BY132" i="1"/>
  <c r="FU165" i="1"/>
  <c r="BZ132" i="1"/>
  <c r="FV165" i="1"/>
  <c r="CB132" i="1"/>
  <c r="FX165" i="1"/>
  <c r="CC132" i="1"/>
  <c r="FY165" i="1"/>
  <c r="CE132" i="1"/>
  <c r="GA165" i="1"/>
  <c r="CF132" i="1"/>
  <c r="GB165" i="1"/>
  <c r="CH132" i="1"/>
  <c r="GD165" i="1"/>
  <c r="CI132" i="1"/>
  <c r="GE165" i="1"/>
  <c r="CK132" i="1"/>
  <c r="GG165" i="1"/>
  <c r="CL132" i="1"/>
  <c r="GH165" i="1"/>
  <c r="CN97" i="1"/>
  <c r="CN132" i="1"/>
  <c r="GJ165" i="1"/>
  <c r="CO97" i="1"/>
  <c r="CO132" i="1"/>
  <c r="GK165" i="1"/>
  <c r="GP165" i="1"/>
  <c r="N159" i="1"/>
  <c r="DJ192" i="1"/>
  <c r="O159" i="1"/>
  <c r="DK192" i="1"/>
  <c r="CN98" i="1"/>
  <c r="Q159" i="1"/>
  <c r="DM192" i="1"/>
  <c r="CO98" i="1"/>
  <c r="R159" i="1"/>
  <c r="DN192" i="1"/>
  <c r="T159" i="1"/>
  <c r="DP192" i="1"/>
  <c r="U159" i="1"/>
  <c r="DQ192" i="1"/>
  <c r="W159" i="1"/>
  <c r="DS192" i="1"/>
  <c r="X159" i="1"/>
  <c r="DT192" i="1"/>
  <c r="Z159" i="1"/>
  <c r="DV192" i="1"/>
  <c r="AA159" i="1"/>
  <c r="DW192" i="1"/>
  <c r="AC159" i="1"/>
  <c r="DY192" i="1"/>
  <c r="AD159" i="1"/>
  <c r="DZ192" i="1"/>
  <c r="AF159" i="1"/>
  <c r="EB192" i="1"/>
  <c r="AG159" i="1"/>
  <c r="EC192" i="1"/>
  <c r="AI159" i="1"/>
  <c r="EE192" i="1"/>
  <c r="AJ159" i="1"/>
  <c r="EF192" i="1"/>
  <c r="AL159" i="1"/>
  <c r="EH192" i="1"/>
  <c r="AM159" i="1"/>
  <c r="EI192" i="1"/>
  <c r="AO159" i="1"/>
  <c r="EK192" i="1"/>
  <c r="AP159" i="1"/>
  <c r="EL192" i="1"/>
  <c r="AR159" i="1"/>
  <c r="EN192" i="1"/>
  <c r="AS159" i="1"/>
  <c r="EO192" i="1"/>
  <c r="AU159" i="1"/>
  <c r="EQ192" i="1"/>
  <c r="AV159" i="1"/>
  <c r="ER192" i="1"/>
  <c r="AX159" i="1"/>
  <c r="ET192" i="1"/>
  <c r="AY159" i="1"/>
  <c r="EU192" i="1"/>
  <c r="BA159" i="1"/>
  <c r="EW192" i="1"/>
  <c r="BB159" i="1"/>
  <c r="EX192" i="1"/>
  <c r="CN99" i="1"/>
  <c r="BD159" i="1"/>
  <c r="EZ192" i="1"/>
  <c r="CO99" i="1"/>
  <c r="BE159" i="1"/>
  <c r="FA192" i="1"/>
  <c r="BG159" i="1"/>
  <c r="FC192" i="1"/>
  <c r="BH159" i="1"/>
  <c r="FD192" i="1"/>
  <c r="BJ159" i="1"/>
  <c r="FF192" i="1"/>
  <c r="BK159" i="1"/>
  <c r="FG192" i="1"/>
  <c r="BM159" i="1"/>
  <c r="FI192" i="1"/>
  <c r="BN159" i="1"/>
  <c r="FJ192" i="1"/>
  <c r="BP159" i="1"/>
  <c r="FL192" i="1"/>
  <c r="BQ159" i="1"/>
  <c r="FM192" i="1"/>
  <c r="BS159" i="1"/>
  <c r="FO192" i="1"/>
  <c r="BT159" i="1"/>
  <c r="FP192" i="1"/>
  <c r="BV159" i="1"/>
  <c r="FR192" i="1"/>
  <c r="BW159" i="1"/>
  <c r="FS192" i="1"/>
  <c r="BY159" i="1"/>
  <c r="FU192" i="1"/>
  <c r="BZ159" i="1"/>
  <c r="FV192" i="1"/>
  <c r="CB159" i="1"/>
  <c r="FX192" i="1"/>
  <c r="CC159" i="1"/>
  <c r="FY192" i="1"/>
  <c r="CE159" i="1"/>
  <c r="GA192" i="1"/>
  <c r="CF159" i="1"/>
  <c r="GB192" i="1"/>
  <c r="CH159" i="1"/>
  <c r="GD192" i="1"/>
  <c r="CI159" i="1"/>
  <c r="GE192" i="1"/>
  <c r="CN100" i="1"/>
  <c r="CK159" i="1"/>
  <c r="GG192" i="1"/>
  <c r="CO100" i="1"/>
  <c r="CL159" i="1"/>
  <c r="GH192" i="1"/>
  <c r="CN159" i="1"/>
  <c r="GJ192" i="1"/>
  <c r="CO159" i="1"/>
  <c r="GK192" i="1"/>
  <c r="GP192" i="1"/>
  <c r="GP219" i="1"/>
  <c r="GV165" i="1"/>
  <c r="GV192" i="1"/>
  <c r="GV219" i="1"/>
  <c r="GL402" i="1"/>
  <c r="GI296" i="1"/>
  <c r="GI299" i="1"/>
  <c r="GI302" i="1"/>
  <c r="GI305" i="1"/>
  <c r="GI308" i="1"/>
  <c r="GI311" i="1"/>
  <c r="GI314" i="1"/>
  <c r="GI317" i="1"/>
  <c r="EG223" i="1"/>
  <c r="FH223" i="1"/>
  <c r="GI223" i="1"/>
  <c r="EG229" i="1"/>
  <c r="FH229" i="1"/>
  <c r="GI229" i="1"/>
  <c r="GI402" i="1"/>
  <c r="GF296" i="1"/>
  <c r="GF299" i="1"/>
  <c r="GF302" i="1"/>
  <c r="GF305" i="1"/>
  <c r="GF308" i="1"/>
  <c r="GF311" i="1"/>
  <c r="GF314" i="1"/>
  <c r="GF317" i="1"/>
  <c r="ED223" i="1"/>
  <c r="FE223" i="1"/>
  <c r="GF223" i="1"/>
  <c r="ED229" i="1"/>
  <c r="FE229" i="1"/>
  <c r="GF229" i="1"/>
  <c r="GF402" i="1"/>
  <c r="GC296" i="1"/>
  <c r="GC299" i="1"/>
  <c r="GC302" i="1"/>
  <c r="GC305" i="1"/>
  <c r="GC308" i="1"/>
  <c r="GC311" i="1"/>
  <c r="GC314" i="1"/>
  <c r="GC317" i="1"/>
  <c r="EA223" i="1"/>
  <c r="FB223" i="1"/>
  <c r="GC223" i="1"/>
  <c r="EA229" i="1"/>
  <c r="FB229" i="1"/>
  <c r="GC229" i="1"/>
  <c r="GC402" i="1"/>
  <c r="FZ296" i="1"/>
  <c r="FZ299" i="1"/>
  <c r="FZ302" i="1"/>
  <c r="FZ305" i="1"/>
  <c r="FZ308" i="1"/>
  <c r="FZ311" i="1"/>
  <c r="FZ314" i="1"/>
  <c r="FZ317" i="1"/>
  <c r="DX223" i="1"/>
  <c r="EY223" i="1"/>
  <c r="FZ223" i="1"/>
  <c r="DX229" i="1"/>
  <c r="EY229" i="1"/>
  <c r="FZ229" i="1"/>
  <c r="FZ402" i="1"/>
  <c r="FW296" i="1"/>
  <c r="FW299" i="1"/>
  <c r="FW302" i="1"/>
  <c r="FW305" i="1"/>
  <c r="FW308" i="1"/>
  <c r="FW311" i="1"/>
  <c r="FW314" i="1"/>
  <c r="FW317" i="1"/>
  <c r="DU223" i="1"/>
  <c r="EV223" i="1"/>
  <c r="FW223" i="1"/>
  <c r="DU229" i="1"/>
  <c r="EV229" i="1"/>
  <c r="FW229" i="1"/>
  <c r="FW402" i="1"/>
  <c r="FT296" i="1"/>
  <c r="FT299" i="1"/>
  <c r="FT302" i="1"/>
  <c r="FT305" i="1"/>
  <c r="FT308" i="1"/>
  <c r="FT311" i="1"/>
  <c r="FT314" i="1"/>
  <c r="FT317" i="1"/>
  <c r="DR223" i="1"/>
  <c r="ES223" i="1"/>
  <c r="FT223" i="1"/>
  <c r="DR229" i="1"/>
  <c r="ES229" i="1"/>
  <c r="FT229" i="1"/>
  <c r="FT402" i="1"/>
  <c r="FQ402" i="1"/>
  <c r="FN402" i="1"/>
  <c r="EM293" i="1"/>
  <c r="EP293" i="1"/>
  <c r="ES293" i="1"/>
  <c r="EV293" i="1"/>
  <c r="EY293" i="1"/>
  <c r="FB293" i="1"/>
  <c r="FE293" i="1"/>
  <c r="FH293" i="1"/>
  <c r="FK293" i="1"/>
  <c r="FK296" i="1"/>
  <c r="FK299" i="1"/>
  <c r="FK302" i="1"/>
  <c r="FK305" i="1"/>
  <c r="FK308" i="1"/>
  <c r="FK311" i="1"/>
  <c r="FK314" i="1"/>
  <c r="FK317" i="1"/>
  <c r="FK402" i="1"/>
  <c r="FH296" i="1"/>
  <c r="FH299" i="1"/>
  <c r="FH302" i="1"/>
  <c r="FH305" i="1"/>
  <c r="FH308" i="1"/>
  <c r="FH311" i="1"/>
  <c r="FH314" i="1"/>
  <c r="FH317" i="1"/>
  <c r="FH402" i="1"/>
  <c r="FE296" i="1"/>
  <c r="FE299" i="1"/>
  <c r="FE302" i="1"/>
  <c r="FE305" i="1"/>
  <c r="FE308" i="1"/>
  <c r="FE311" i="1"/>
  <c r="FE314" i="1"/>
  <c r="FE317" i="1"/>
  <c r="FE402" i="1"/>
  <c r="FB296" i="1"/>
  <c r="FB299" i="1"/>
  <c r="FB302" i="1"/>
  <c r="FB305" i="1"/>
  <c r="FB308" i="1"/>
  <c r="FB311" i="1"/>
  <c r="FB314" i="1"/>
  <c r="FB317" i="1"/>
  <c r="FB402" i="1"/>
  <c r="EY296" i="1"/>
  <c r="EY299" i="1"/>
  <c r="EY302" i="1"/>
  <c r="EY305" i="1"/>
  <c r="EY308" i="1"/>
  <c r="EY311" i="1"/>
  <c r="EY314" i="1"/>
  <c r="EY317" i="1"/>
  <c r="EY402" i="1"/>
  <c r="EV296" i="1"/>
  <c r="EV299" i="1"/>
  <c r="EV302" i="1"/>
  <c r="EV305" i="1"/>
  <c r="EV308" i="1"/>
  <c r="EV311" i="1"/>
  <c r="EV314" i="1"/>
  <c r="EV317" i="1"/>
  <c r="EV402" i="1"/>
  <c r="ES296" i="1"/>
  <c r="ES299" i="1"/>
  <c r="ES302" i="1"/>
  <c r="ES305" i="1"/>
  <c r="ES308" i="1"/>
  <c r="ES311" i="1"/>
  <c r="ES314" i="1"/>
  <c r="ES317" i="1"/>
  <c r="ES402" i="1"/>
  <c r="EP296" i="1"/>
  <c r="EP299" i="1"/>
  <c r="EP302" i="1"/>
  <c r="EP305" i="1"/>
  <c r="EP308" i="1"/>
  <c r="EP311" i="1"/>
  <c r="EP314" i="1"/>
  <c r="EP317" i="1"/>
  <c r="DO223" i="1"/>
  <c r="EP223" i="1"/>
  <c r="FQ223" i="1"/>
  <c r="DO229" i="1"/>
  <c r="EP229" i="1"/>
  <c r="EP402" i="1"/>
  <c r="EM402" i="1"/>
  <c r="EJ402" i="1"/>
  <c r="EG402" i="1"/>
  <c r="ED402" i="1"/>
  <c r="EA402" i="1"/>
  <c r="DL293" i="1"/>
  <c r="DO293" i="1"/>
  <c r="DR293" i="1"/>
  <c r="DU293" i="1"/>
  <c r="DX293" i="1"/>
  <c r="DX296" i="1"/>
  <c r="DX299" i="1"/>
  <c r="DX302" i="1"/>
  <c r="DX305" i="1"/>
  <c r="DX308" i="1"/>
  <c r="DX311" i="1"/>
  <c r="DX314" i="1"/>
  <c r="DX317" i="1"/>
  <c r="DX402" i="1"/>
  <c r="DU296" i="1"/>
  <c r="DU299" i="1"/>
  <c r="DU302" i="1"/>
  <c r="DU305" i="1"/>
  <c r="DU308" i="1"/>
  <c r="DU311" i="1"/>
  <c r="DU314" i="1"/>
  <c r="DU317" i="1"/>
  <c r="DU402" i="1"/>
  <c r="DR296" i="1"/>
  <c r="DR299" i="1"/>
  <c r="DR302" i="1"/>
  <c r="DR305" i="1"/>
  <c r="DR308" i="1"/>
  <c r="DR311" i="1"/>
  <c r="DR314" i="1"/>
  <c r="DR317" i="1"/>
  <c r="DR402" i="1"/>
  <c r="DO296" i="1"/>
  <c r="DO299" i="1"/>
  <c r="DO302" i="1"/>
  <c r="DO305" i="1"/>
  <c r="DO308" i="1"/>
  <c r="DO311" i="1"/>
  <c r="DO314" i="1"/>
  <c r="DO317" i="1"/>
  <c r="DO402" i="1"/>
  <c r="DL296" i="1"/>
  <c r="DL299" i="1"/>
  <c r="DL302" i="1"/>
  <c r="DL305" i="1"/>
  <c r="DL308" i="1"/>
  <c r="DL311" i="1"/>
  <c r="DL314" i="1"/>
  <c r="DL317" i="1"/>
  <c r="DL223" i="1"/>
  <c r="EM223" i="1"/>
  <c r="FN223" i="1"/>
  <c r="DL229" i="1"/>
  <c r="DL402" i="1"/>
  <c r="FN292" i="1"/>
  <c r="FQ292" i="1"/>
  <c r="FT292" i="1"/>
  <c r="FW292" i="1"/>
  <c r="FZ292" i="1"/>
  <c r="GC292" i="1"/>
  <c r="GF292" i="1"/>
  <c r="GI292" i="1"/>
  <c r="GL292" i="1"/>
  <c r="GL295" i="1"/>
  <c r="GL298" i="1"/>
  <c r="GL301" i="1"/>
  <c r="GL304" i="1"/>
  <c r="GL307" i="1"/>
  <c r="GL310" i="1"/>
  <c r="GL313" i="1"/>
  <c r="GL316" i="1"/>
  <c r="EJ222" i="1"/>
  <c r="FK222" i="1"/>
  <c r="GL222" i="1"/>
  <c r="EJ228" i="1"/>
  <c r="FK228" i="1"/>
  <c r="GL228" i="1"/>
  <c r="N131" i="1"/>
  <c r="DJ164" i="1"/>
  <c r="O131" i="1"/>
  <c r="DK164" i="1"/>
  <c r="Q131" i="1"/>
  <c r="DM164" i="1"/>
  <c r="R131" i="1"/>
  <c r="DN164" i="1"/>
  <c r="T131" i="1"/>
  <c r="DP164" i="1"/>
  <c r="U131" i="1"/>
  <c r="DQ164" i="1"/>
  <c r="W131" i="1"/>
  <c r="DS164" i="1"/>
  <c r="X131" i="1"/>
  <c r="DT164" i="1"/>
  <c r="Z131" i="1"/>
  <c r="DV164" i="1"/>
  <c r="AA131" i="1"/>
  <c r="DW164" i="1"/>
  <c r="AC131" i="1"/>
  <c r="DY164" i="1"/>
  <c r="AD131" i="1"/>
  <c r="DZ164" i="1"/>
  <c r="AF131" i="1"/>
  <c r="EB164" i="1"/>
  <c r="AG131" i="1"/>
  <c r="EC164" i="1"/>
  <c r="AI131" i="1"/>
  <c r="EE164" i="1"/>
  <c r="AJ131" i="1"/>
  <c r="EF164" i="1"/>
  <c r="AL131" i="1"/>
  <c r="EH164" i="1"/>
  <c r="AM131" i="1"/>
  <c r="EI164" i="1"/>
  <c r="AO131" i="1"/>
  <c r="EK164" i="1"/>
  <c r="AP131" i="1"/>
  <c r="EL164" i="1"/>
  <c r="AR131" i="1"/>
  <c r="EN164" i="1"/>
  <c r="AS131" i="1"/>
  <c r="EO164" i="1"/>
  <c r="AU131" i="1"/>
  <c r="EQ164" i="1"/>
  <c r="AV131" i="1"/>
  <c r="ER164" i="1"/>
  <c r="AX131" i="1"/>
  <c r="ET164" i="1"/>
  <c r="AY131" i="1"/>
  <c r="EU164" i="1"/>
  <c r="BA131" i="1"/>
  <c r="EW164" i="1"/>
  <c r="BB131" i="1"/>
  <c r="EX164" i="1"/>
  <c r="BD131" i="1"/>
  <c r="EZ164" i="1"/>
  <c r="BE131" i="1"/>
  <c r="FA164" i="1"/>
  <c r="BG131" i="1"/>
  <c r="FC164" i="1"/>
  <c r="BH131" i="1"/>
  <c r="FD164" i="1"/>
  <c r="BJ131" i="1"/>
  <c r="FF164" i="1"/>
  <c r="BK131" i="1"/>
  <c r="FG164" i="1"/>
  <c r="BM131" i="1"/>
  <c r="FI164" i="1"/>
  <c r="BN131" i="1"/>
  <c r="FJ164" i="1"/>
  <c r="BP131" i="1"/>
  <c r="FL164" i="1"/>
  <c r="BQ131" i="1"/>
  <c r="FM164" i="1"/>
  <c r="BS131" i="1"/>
  <c r="FO164" i="1"/>
  <c r="BT131" i="1"/>
  <c r="FP164" i="1"/>
  <c r="BV131" i="1"/>
  <c r="FR164" i="1"/>
  <c r="BW131" i="1"/>
  <c r="FS164" i="1"/>
  <c r="BY131" i="1"/>
  <c r="FU164" i="1"/>
  <c r="BZ131" i="1"/>
  <c r="FV164" i="1"/>
  <c r="CB131" i="1"/>
  <c r="FX164" i="1"/>
  <c r="CC131" i="1"/>
  <c r="FY164" i="1"/>
  <c r="CE131" i="1"/>
  <c r="GA164" i="1"/>
  <c r="CF131" i="1"/>
  <c r="GB164" i="1"/>
  <c r="CH131" i="1"/>
  <c r="GD164" i="1"/>
  <c r="CI131" i="1"/>
  <c r="GE164" i="1"/>
  <c r="CK131" i="1"/>
  <c r="GG164" i="1"/>
  <c r="CL131" i="1"/>
  <c r="GH164" i="1"/>
  <c r="CK97" i="1"/>
  <c r="CN131" i="1"/>
  <c r="GJ164" i="1"/>
  <c r="CL97" i="1"/>
  <c r="CO131" i="1"/>
  <c r="GK164" i="1"/>
  <c r="GP164" i="1"/>
  <c r="N158" i="1"/>
  <c r="DJ191" i="1"/>
  <c r="O158" i="1"/>
  <c r="DK191" i="1"/>
  <c r="CK98" i="1"/>
  <c r="Q158" i="1"/>
  <c r="DM191" i="1"/>
  <c r="CL98" i="1"/>
  <c r="R158" i="1"/>
  <c r="DN191" i="1"/>
  <c r="T158" i="1"/>
  <c r="DP191" i="1"/>
  <c r="U158" i="1"/>
  <c r="DQ191" i="1"/>
  <c r="W158" i="1"/>
  <c r="DS191" i="1"/>
  <c r="X158" i="1"/>
  <c r="DT191" i="1"/>
  <c r="Z158" i="1"/>
  <c r="DV191" i="1"/>
  <c r="AA158" i="1"/>
  <c r="DW191" i="1"/>
  <c r="AC158" i="1"/>
  <c r="DY191" i="1"/>
  <c r="AD158" i="1"/>
  <c r="DZ191" i="1"/>
  <c r="AF158" i="1"/>
  <c r="EB191" i="1"/>
  <c r="AG158" i="1"/>
  <c r="EC191" i="1"/>
  <c r="AI158" i="1"/>
  <c r="EE191" i="1"/>
  <c r="AJ158" i="1"/>
  <c r="EF191" i="1"/>
  <c r="AL158" i="1"/>
  <c r="EH191" i="1"/>
  <c r="AM158" i="1"/>
  <c r="EI191" i="1"/>
  <c r="AO158" i="1"/>
  <c r="EK191" i="1"/>
  <c r="AP158" i="1"/>
  <c r="EL191" i="1"/>
  <c r="AR158" i="1"/>
  <c r="EN191" i="1"/>
  <c r="AS158" i="1"/>
  <c r="EO191" i="1"/>
  <c r="AU158" i="1"/>
  <c r="EQ191" i="1"/>
  <c r="AV158" i="1"/>
  <c r="ER191" i="1"/>
  <c r="AX158" i="1"/>
  <c r="ET191" i="1"/>
  <c r="AY158" i="1"/>
  <c r="EU191" i="1"/>
  <c r="BA158" i="1"/>
  <c r="EW191" i="1"/>
  <c r="BB158" i="1"/>
  <c r="EX191" i="1"/>
  <c r="CK99" i="1"/>
  <c r="BD158" i="1"/>
  <c r="EZ191" i="1"/>
  <c r="CL99" i="1"/>
  <c r="BE158" i="1"/>
  <c r="FA191" i="1"/>
  <c r="BG158" i="1"/>
  <c r="FC191" i="1"/>
  <c r="BH158" i="1"/>
  <c r="FD191" i="1"/>
  <c r="BJ158" i="1"/>
  <c r="FF191" i="1"/>
  <c r="BK158" i="1"/>
  <c r="FG191" i="1"/>
  <c r="BM158" i="1"/>
  <c r="FI191" i="1"/>
  <c r="BN158" i="1"/>
  <c r="FJ191" i="1"/>
  <c r="BP158" i="1"/>
  <c r="FL191" i="1"/>
  <c r="BQ158" i="1"/>
  <c r="FM191" i="1"/>
  <c r="BS158" i="1"/>
  <c r="FO191" i="1"/>
  <c r="BT158" i="1"/>
  <c r="FP191" i="1"/>
  <c r="BV158" i="1"/>
  <c r="FR191" i="1"/>
  <c r="BW158" i="1"/>
  <c r="FS191" i="1"/>
  <c r="BY158" i="1"/>
  <c r="FU191" i="1"/>
  <c r="BZ158" i="1"/>
  <c r="FV191" i="1"/>
  <c r="CB158" i="1"/>
  <c r="FX191" i="1"/>
  <c r="CC158" i="1"/>
  <c r="FY191" i="1"/>
  <c r="CE158" i="1"/>
  <c r="GA191" i="1"/>
  <c r="CF158" i="1"/>
  <c r="GB191" i="1"/>
  <c r="CH158" i="1"/>
  <c r="GD191" i="1"/>
  <c r="CI158" i="1"/>
  <c r="GE191" i="1"/>
  <c r="CK100" i="1"/>
  <c r="CK158" i="1"/>
  <c r="GG191" i="1"/>
  <c r="CL100" i="1"/>
  <c r="CL158" i="1"/>
  <c r="GH191" i="1"/>
  <c r="CN158" i="1"/>
  <c r="GJ191" i="1"/>
  <c r="CO158" i="1"/>
  <c r="GK191" i="1"/>
  <c r="GP191" i="1"/>
  <c r="GP218" i="1"/>
  <c r="GV164" i="1"/>
  <c r="GV191" i="1"/>
  <c r="GV218" i="1"/>
  <c r="GL401" i="1"/>
  <c r="GI295" i="1"/>
  <c r="GI298" i="1"/>
  <c r="GI301" i="1"/>
  <c r="GI304" i="1"/>
  <c r="GI307" i="1"/>
  <c r="GI310" i="1"/>
  <c r="GI313" i="1"/>
  <c r="GI316" i="1"/>
  <c r="EG222" i="1"/>
  <c r="FH222" i="1"/>
  <c r="GI222" i="1"/>
  <c r="EG228" i="1"/>
  <c r="FH228" i="1"/>
  <c r="GI228" i="1"/>
  <c r="GI401" i="1"/>
  <c r="GF295" i="1"/>
  <c r="GF298" i="1"/>
  <c r="GF301" i="1"/>
  <c r="GF304" i="1"/>
  <c r="GF307" i="1"/>
  <c r="GF310" i="1"/>
  <c r="GF313" i="1"/>
  <c r="GF316" i="1"/>
  <c r="ED222" i="1"/>
  <c r="FE222" i="1"/>
  <c r="GF222" i="1"/>
  <c r="ED228" i="1"/>
  <c r="FE228" i="1"/>
  <c r="GF228" i="1"/>
  <c r="GF401" i="1"/>
  <c r="GC295" i="1"/>
  <c r="GC298" i="1"/>
  <c r="GC301" i="1"/>
  <c r="GC304" i="1"/>
  <c r="GC307" i="1"/>
  <c r="GC310" i="1"/>
  <c r="GC313" i="1"/>
  <c r="GC316" i="1"/>
  <c r="EA222" i="1"/>
  <c r="FB222" i="1"/>
  <c r="GC222" i="1"/>
  <c r="EA228" i="1"/>
  <c r="FB228" i="1"/>
  <c r="GC228" i="1"/>
  <c r="GC401" i="1"/>
  <c r="FZ295" i="1"/>
  <c r="FZ298" i="1"/>
  <c r="FZ301" i="1"/>
  <c r="FZ304" i="1"/>
  <c r="FZ307" i="1"/>
  <c r="FZ310" i="1"/>
  <c r="FZ313" i="1"/>
  <c r="FZ316" i="1"/>
  <c r="DX222" i="1"/>
  <c r="EY222" i="1"/>
  <c r="FZ222" i="1"/>
  <c r="DX228" i="1"/>
  <c r="EY228" i="1"/>
  <c r="FZ228" i="1"/>
  <c r="FZ401" i="1"/>
  <c r="FW295" i="1"/>
  <c r="FW298" i="1"/>
  <c r="FW301" i="1"/>
  <c r="FW304" i="1"/>
  <c r="FW307" i="1"/>
  <c r="FW310" i="1"/>
  <c r="FW313" i="1"/>
  <c r="FW316" i="1"/>
  <c r="DU222" i="1"/>
  <c r="EV222" i="1"/>
  <c r="FW222" i="1"/>
  <c r="DU228" i="1"/>
  <c r="EV228" i="1"/>
  <c r="FW228" i="1"/>
  <c r="FW401" i="1"/>
  <c r="FT295" i="1"/>
  <c r="FT298" i="1"/>
  <c r="FT301" i="1"/>
  <c r="FT304" i="1"/>
  <c r="FT307" i="1"/>
  <c r="FT310" i="1"/>
  <c r="FT313" i="1"/>
  <c r="FT316" i="1"/>
  <c r="DR222" i="1"/>
  <c r="ES222" i="1"/>
  <c r="FT222" i="1"/>
  <c r="DR228" i="1"/>
  <c r="ES228" i="1"/>
  <c r="FT228" i="1"/>
  <c r="FT401" i="1"/>
  <c r="FQ401" i="1"/>
  <c r="FN401" i="1"/>
  <c r="EM292" i="1"/>
  <c r="EP292" i="1"/>
  <c r="ES292" i="1"/>
  <c r="EV292" i="1"/>
  <c r="EY292" i="1"/>
  <c r="FB292" i="1"/>
  <c r="FE292" i="1"/>
  <c r="FH292" i="1"/>
  <c r="FK292" i="1"/>
  <c r="FK295" i="1"/>
  <c r="FK298" i="1"/>
  <c r="FK301" i="1"/>
  <c r="FK304" i="1"/>
  <c r="FK307" i="1"/>
  <c r="FK310" i="1"/>
  <c r="FK313" i="1"/>
  <c r="FK316" i="1"/>
  <c r="FK401" i="1"/>
  <c r="FH295" i="1"/>
  <c r="FH298" i="1"/>
  <c r="FH301" i="1"/>
  <c r="FH304" i="1"/>
  <c r="FH307" i="1"/>
  <c r="FH310" i="1"/>
  <c r="FH313" i="1"/>
  <c r="FH316" i="1"/>
  <c r="FH401" i="1"/>
  <c r="FE295" i="1"/>
  <c r="FE298" i="1"/>
  <c r="FE301" i="1"/>
  <c r="FE304" i="1"/>
  <c r="FE307" i="1"/>
  <c r="FE310" i="1"/>
  <c r="FE313" i="1"/>
  <c r="FE316" i="1"/>
  <c r="FE401" i="1"/>
  <c r="FB295" i="1"/>
  <c r="FB298" i="1"/>
  <c r="FB301" i="1"/>
  <c r="FB304" i="1"/>
  <c r="FB307" i="1"/>
  <c r="FB310" i="1"/>
  <c r="FB313" i="1"/>
  <c r="FB316" i="1"/>
  <c r="FB401" i="1"/>
  <c r="EY295" i="1"/>
  <c r="EY298" i="1"/>
  <c r="EY301" i="1"/>
  <c r="EY304" i="1"/>
  <c r="EY307" i="1"/>
  <c r="EY310" i="1"/>
  <c r="EY313" i="1"/>
  <c r="EY316" i="1"/>
  <c r="EY401" i="1"/>
  <c r="EV295" i="1"/>
  <c r="EV298" i="1"/>
  <c r="EV301" i="1"/>
  <c r="EV304" i="1"/>
  <c r="EV307" i="1"/>
  <c r="EV310" i="1"/>
  <c r="EV313" i="1"/>
  <c r="EV316" i="1"/>
  <c r="EV401" i="1"/>
  <c r="ES295" i="1"/>
  <c r="ES298" i="1"/>
  <c r="ES301" i="1"/>
  <c r="ES304" i="1"/>
  <c r="ES307" i="1"/>
  <c r="ES310" i="1"/>
  <c r="ES313" i="1"/>
  <c r="ES316" i="1"/>
  <c r="ES401" i="1"/>
  <c r="EP295" i="1"/>
  <c r="EP298" i="1"/>
  <c r="EP301" i="1"/>
  <c r="EP304" i="1"/>
  <c r="EP307" i="1"/>
  <c r="EP310" i="1"/>
  <c r="EP313" i="1"/>
  <c r="EP316" i="1"/>
  <c r="DO222" i="1"/>
  <c r="EP222" i="1"/>
  <c r="FQ222" i="1"/>
  <c r="DO228" i="1"/>
  <c r="EP228" i="1"/>
  <c r="EP401" i="1"/>
  <c r="EM401" i="1"/>
  <c r="EJ401" i="1"/>
  <c r="EG401" i="1"/>
  <c r="ED401" i="1"/>
  <c r="EA401" i="1"/>
  <c r="DL292" i="1"/>
  <c r="DO292" i="1"/>
  <c r="DR292" i="1"/>
  <c r="DU292" i="1"/>
  <c r="DX292" i="1"/>
  <c r="DX295" i="1"/>
  <c r="DX298" i="1"/>
  <c r="DX301" i="1"/>
  <c r="DX304" i="1"/>
  <c r="DX307" i="1"/>
  <c r="DX310" i="1"/>
  <c r="DX313" i="1"/>
  <c r="DX316" i="1"/>
  <c r="DX401" i="1"/>
  <c r="DU295" i="1"/>
  <c r="DU298" i="1"/>
  <c r="DU301" i="1"/>
  <c r="DU304" i="1"/>
  <c r="DU307" i="1"/>
  <c r="DU310" i="1"/>
  <c r="DU313" i="1"/>
  <c r="DU316" i="1"/>
  <c r="DU401" i="1"/>
  <c r="DR295" i="1"/>
  <c r="DR298" i="1"/>
  <c r="DR301" i="1"/>
  <c r="DR304" i="1"/>
  <c r="DR307" i="1"/>
  <c r="DR310" i="1"/>
  <c r="DR313" i="1"/>
  <c r="DR316" i="1"/>
  <c r="DR401" i="1"/>
  <c r="DO295" i="1"/>
  <c r="DO298" i="1"/>
  <c r="DO301" i="1"/>
  <c r="DO304" i="1"/>
  <c r="DO307" i="1"/>
  <c r="DO310" i="1"/>
  <c r="DO313" i="1"/>
  <c r="DO316" i="1"/>
  <c r="DO401" i="1"/>
  <c r="DL295" i="1"/>
  <c r="DL298" i="1"/>
  <c r="DL301" i="1"/>
  <c r="DL304" i="1"/>
  <c r="DL307" i="1"/>
  <c r="DL310" i="1"/>
  <c r="DL313" i="1"/>
  <c r="DL316" i="1"/>
  <c r="DL222" i="1"/>
  <c r="EM222" i="1"/>
  <c r="FN222" i="1"/>
  <c r="DL228" i="1"/>
  <c r="DL401" i="1"/>
  <c r="N130" i="1"/>
  <c r="DJ163" i="1"/>
  <c r="O130" i="1"/>
  <c r="DK163" i="1"/>
  <c r="Q130" i="1"/>
  <c r="DM163" i="1"/>
  <c r="R130" i="1"/>
  <c r="DN163" i="1"/>
  <c r="T130" i="1"/>
  <c r="DP163" i="1"/>
  <c r="U130" i="1"/>
  <c r="DQ163" i="1"/>
  <c r="W130" i="1"/>
  <c r="DS163" i="1"/>
  <c r="X130" i="1"/>
  <c r="DT163" i="1"/>
  <c r="Z130" i="1"/>
  <c r="DV163" i="1"/>
  <c r="AA130" i="1"/>
  <c r="DW163" i="1"/>
  <c r="AC130" i="1"/>
  <c r="DY163" i="1"/>
  <c r="AD130" i="1"/>
  <c r="DZ163" i="1"/>
  <c r="AF130" i="1"/>
  <c r="EB163" i="1"/>
  <c r="AG130" i="1"/>
  <c r="EC163" i="1"/>
  <c r="AI130" i="1"/>
  <c r="EE163" i="1"/>
  <c r="AJ130" i="1"/>
  <c r="EF163" i="1"/>
  <c r="AL130" i="1"/>
  <c r="EH163" i="1"/>
  <c r="AM130" i="1"/>
  <c r="EI163" i="1"/>
  <c r="AO130" i="1"/>
  <c r="EK163" i="1"/>
  <c r="AP130" i="1"/>
  <c r="EL163" i="1"/>
  <c r="AR130" i="1"/>
  <c r="EN163" i="1"/>
  <c r="AS130" i="1"/>
  <c r="EO163" i="1"/>
  <c r="AU130" i="1"/>
  <c r="EQ163" i="1"/>
  <c r="AV130" i="1"/>
  <c r="ER163" i="1"/>
  <c r="AX130" i="1"/>
  <c r="ET163" i="1"/>
  <c r="AY130" i="1"/>
  <c r="EU163" i="1"/>
  <c r="BA130" i="1"/>
  <c r="EW163" i="1"/>
  <c r="BB130" i="1"/>
  <c r="EX163" i="1"/>
  <c r="BD130" i="1"/>
  <c r="EZ163" i="1"/>
  <c r="BE130" i="1"/>
  <c r="FA163" i="1"/>
  <c r="BG130" i="1"/>
  <c r="FC163" i="1"/>
  <c r="BH130" i="1"/>
  <c r="FD163" i="1"/>
  <c r="BJ130" i="1"/>
  <c r="FF163" i="1"/>
  <c r="BK130" i="1"/>
  <c r="FG163" i="1"/>
  <c r="BM130" i="1"/>
  <c r="FI163" i="1"/>
  <c r="BN130" i="1"/>
  <c r="FJ163" i="1"/>
  <c r="BP130" i="1"/>
  <c r="FL163" i="1"/>
  <c r="BQ130" i="1"/>
  <c r="FM163" i="1"/>
  <c r="BS130" i="1"/>
  <c r="FO163" i="1"/>
  <c r="BT130" i="1"/>
  <c r="FP163" i="1"/>
  <c r="BV130" i="1"/>
  <c r="FR163" i="1"/>
  <c r="BW130" i="1"/>
  <c r="FS163" i="1"/>
  <c r="BY130" i="1"/>
  <c r="FU163" i="1"/>
  <c r="BZ130" i="1"/>
  <c r="FV163" i="1"/>
  <c r="CB130" i="1"/>
  <c r="FX163" i="1"/>
  <c r="CC130" i="1"/>
  <c r="FY163" i="1"/>
  <c r="CE130" i="1"/>
  <c r="GA163" i="1"/>
  <c r="CF130" i="1"/>
  <c r="GB163" i="1"/>
  <c r="CH130" i="1"/>
  <c r="GD163" i="1"/>
  <c r="CI130" i="1"/>
  <c r="GE163" i="1"/>
  <c r="CK130" i="1"/>
  <c r="GG163" i="1"/>
  <c r="CL130" i="1"/>
  <c r="GH163" i="1"/>
  <c r="CN130" i="1"/>
  <c r="GJ163" i="1"/>
  <c r="CO130" i="1"/>
  <c r="GK163" i="1"/>
  <c r="GP163" i="1"/>
  <c r="N157" i="1"/>
  <c r="DJ190" i="1"/>
  <c r="O157" i="1"/>
  <c r="DK190" i="1"/>
  <c r="Q157" i="1"/>
  <c r="DM190" i="1"/>
  <c r="R157" i="1"/>
  <c r="DN190" i="1"/>
  <c r="T157" i="1"/>
  <c r="DP190" i="1"/>
  <c r="U157" i="1"/>
  <c r="DQ190" i="1"/>
  <c r="W157" i="1"/>
  <c r="DS190" i="1"/>
  <c r="X157" i="1"/>
  <c r="DT190" i="1"/>
  <c r="Z157" i="1"/>
  <c r="DV190" i="1"/>
  <c r="AA157" i="1"/>
  <c r="DW190" i="1"/>
  <c r="AC157" i="1"/>
  <c r="DY190" i="1"/>
  <c r="AD157" i="1"/>
  <c r="DZ190" i="1"/>
  <c r="AF157" i="1"/>
  <c r="EB190" i="1"/>
  <c r="AG157" i="1"/>
  <c r="EC190" i="1"/>
  <c r="AI157" i="1"/>
  <c r="EE190" i="1"/>
  <c r="AJ157" i="1"/>
  <c r="EF190" i="1"/>
  <c r="AL157" i="1"/>
  <c r="EH190" i="1"/>
  <c r="AM157" i="1"/>
  <c r="EI190" i="1"/>
  <c r="AO157" i="1"/>
  <c r="EK190" i="1"/>
  <c r="AP157" i="1"/>
  <c r="EL190" i="1"/>
  <c r="AR157" i="1"/>
  <c r="EN190" i="1"/>
  <c r="AS157" i="1"/>
  <c r="EO190" i="1"/>
  <c r="AU157" i="1"/>
  <c r="EQ190" i="1"/>
  <c r="AV157" i="1"/>
  <c r="ER190" i="1"/>
  <c r="AX157" i="1"/>
  <c r="ET190" i="1"/>
  <c r="AY157" i="1"/>
  <c r="EU190" i="1"/>
  <c r="BA157" i="1"/>
  <c r="EW190" i="1"/>
  <c r="BB157" i="1"/>
  <c r="EX190" i="1"/>
  <c r="BD157" i="1"/>
  <c r="EZ190" i="1"/>
  <c r="BE157" i="1"/>
  <c r="FA190" i="1"/>
  <c r="BG157" i="1"/>
  <c r="FC190" i="1"/>
  <c r="BH157" i="1"/>
  <c r="FD190" i="1"/>
  <c r="BJ157" i="1"/>
  <c r="FF190" i="1"/>
  <c r="BK157" i="1"/>
  <c r="FG190" i="1"/>
  <c r="BM157" i="1"/>
  <c r="FI190" i="1"/>
  <c r="BN157" i="1"/>
  <c r="FJ190" i="1"/>
  <c r="BP157" i="1"/>
  <c r="FL190" i="1"/>
  <c r="BQ157" i="1"/>
  <c r="FM190" i="1"/>
  <c r="BS157" i="1"/>
  <c r="FO190" i="1"/>
  <c r="BT157" i="1"/>
  <c r="FP190" i="1"/>
  <c r="BV157" i="1"/>
  <c r="FR190" i="1"/>
  <c r="BW157" i="1"/>
  <c r="FS190" i="1"/>
  <c r="BY157" i="1"/>
  <c r="FU190" i="1"/>
  <c r="BZ157" i="1"/>
  <c r="FV190" i="1"/>
  <c r="CB157" i="1"/>
  <c r="FX190" i="1"/>
  <c r="CC157" i="1"/>
  <c r="FY190" i="1"/>
  <c r="CE157" i="1"/>
  <c r="GA190" i="1"/>
  <c r="CF157" i="1"/>
  <c r="GB190" i="1"/>
  <c r="CH157" i="1"/>
  <c r="GD190" i="1"/>
  <c r="CI157" i="1"/>
  <c r="GE190" i="1"/>
  <c r="CK157" i="1"/>
  <c r="GG190" i="1"/>
  <c r="CL157" i="1"/>
  <c r="GH190" i="1"/>
  <c r="CN157" i="1"/>
  <c r="GJ190" i="1"/>
  <c r="CO157" i="1"/>
  <c r="GK190" i="1"/>
  <c r="GP190" i="1"/>
  <c r="GP217" i="1"/>
  <c r="GV163" i="1"/>
  <c r="GV190" i="1"/>
  <c r="GV217" i="1"/>
  <c r="GL400" i="1"/>
  <c r="GI400" i="1"/>
  <c r="GF400" i="1"/>
  <c r="GC400" i="1"/>
  <c r="FZ400" i="1"/>
  <c r="FW400" i="1"/>
  <c r="FT400" i="1"/>
  <c r="FQ400" i="1"/>
  <c r="FN400" i="1"/>
  <c r="FK400" i="1"/>
  <c r="FH400" i="1"/>
  <c r="FE400" i="1"/>
  <c r="FB400" i="1"/>
  <c r="EY400" i="1"/>
  <c r="EV400" i="1"/>
  <c r="ES400" i="1"/>
  <c r="EP400" i="1"/>
  <c r="EM297" i="1"/>
  <c r="EM300" i="1"/>
  <c r="EM303" i="1"/>
  <c r="EM306" i="1"/>
  <c r="EM309" i="1"/>
  <c r="EM312" i="1"/>
  <c r="EM315" i="1"/>
  <c r="EM230" i="1"/>
  <c r="EM400" i="1"/>
  <c r="EJ400" i="1"/>
  <c r="EG400" i="1"/>
  <c r="ED400" i="1"/>
  <c r="EA294" i="1"/>
  <c r="EA297" i="1"/>
  <c r="EA300" i="1"/>
  <c r="EA303" i="1"/>
  <c r="EA306" i="1"/>
  <c r="EA309" i="1"/>
  <c r="EA312" i="1"/>
  <c r="EA315" i="1"/>
  <c r="EA400" i="1"/>
  <c r="DX400" i="1"/>
  <c r="DU400" i="1"/>
  <c r="DR400" i="1"/>
  <c r="DO400" i="1"/>
  <c r="DL400" i="1"/>
  <c r="N129" i="1"/>
  <c r="DJ162" i="1"/>
  <c r="O129" i="1"/>
  <c r="DK162" i="1"/>
  <c r="Q129" i="1"/>
  <c r="DM162" i="1"/>
  <c r="R129" i="1"/>
  <c r="DN162" i="1"/>
  <c r="T129" i="1"/>
  <c r="DP162" i="1"/>
  <c r="U129" i="1"/>
  <c r="DQ162" i="1"/>
  <c r="W129" i="1"/>
  <c r="DS162" i="1"/>
  <c r="X129" i="1"/>
  <c r="DT162" i="1"/>
  <c r="Z129" i="1"/>
  <c r="DV162" i="1"/>
  <c r="AA129" i="1"/>
  <c r="DW162" i="1"/>
  <c r="AC129" i="1"/>
  <c r="DY162" i="1"/>
  <c r="AD129" i="1"/>
  <c r="DZ162" i="1"/>
  <c r="AF129" i="1"/>
  <c r="EB162" i="1"/>
  <c r="AG129" i="1"/>
  <c r="EC162" i="1"/>
  <c r="AI129" i="1"/>
  <c r="EE162" i="1"/>
  <c r="AJ129" i="1"/>
  <c r="EF162" i="1"/>
  <c r="AL129" i="1"/>
  <c r="EH162" i="1"/>
  <c r="AM129" i="1"/>
  <c r="EI162" i="1"/>
  <c r="AO129" i="1"/>
  <c r="EK162" i="1"/>
  <c r="AP129" i="1"/>
  <c r="EL162" i="1"/>
  <c r="AR129" i="1"/>
  <c r="EN162" i="1"/>
  <c r="AS129" i="1"/>
  <c r="EO162" i="1"/>
  <c r="AU129" i="1"/>
  <c r="EQ162" i="1"/>
  <c r="AV129" i="1"/>
  <c r="ER162" i="1"/>
  <c r="AX129" i="1"/>
  <c r="ET162" i="1"/>
  <c r="AY129" i="1"/>
  <c r="EU162" i="1"/>
  <c r="BA129" i="1"/>
  <c r="EW162" i="1"/>
  <c r="BB129" i="1"/>
  <c r="EX162" i="1"/>
  <c r="BD129" i="1"/>
  <c r="EZ162" i="1"/>
  <c r="BE129" i="1"/>
  <c r="FA162" i="1"/>
  <c r="BG129" i="1"/>
  <c r="FC162" i="1"/>
  <c r="BH129" i="1"/>
  <c r="FD162" i="1"/>
  <c r="BJ129" i="1"/>
  <c r="FF162" i="1"/>
  <c r="BK129" i="1"/>
  <c r="FG162" i="1"/>
  <c r="BM129" i="1"/>
  <c r="FI162" i="1"/>
  <c r="BN129" i="1"/>
  <c r="FJ162" i="1"/>
  <c r="BP129" i="1"/>
  <c r="FL162" i="1"/>
  <c r="BQ129" i="1"/>
  <c r="FM162" i="1"/>
  <c r="BS129" i="1"/>
  <c r="FO162" i="1"/>
  <c r="BT129" i="1"/>
  <c r="FP162" i="1"/>
  <c r="BV129" i="1"/>
  <c r="FR162" i="1"/>
  <c r="BW129" i="1"/>
  <c r="FS162" i="1"/>
  <c r="BY129" i="1"/>
  <c r="FU162" i="1"/>
  <c r="BZ129" i="1"/>
  <c r="FV162" i="1"/>
  <c r="CB129" i="1"/>
  <c r="FX162" i="1"/>
  <c r="CC129" i="1"/>
  <c r="FY162" i="1"/>
  <c r="CE129" i="1"/>
  <c r="GA162" i="1"/>
  <c r="CF129" i="1"/>
  <c r="GB162" i="1"/>
  <c r="CH129" i="1"/>
  <c r="GD162" i="1"/>
  <c r="CI129" i="1"/>
  <c r="GE162" i="1"/>
  <c r="CK129" i="1"/>
  <c r="GG162" i="1"/>
  <c r="CL129" i="1"/>
  <c r="GH162" i="1"/>
  <c r="CN129" i="1"/>
  <c r="GJ162" i="1"/>
  <c r="CO129" i="1"/>
  <c r="GK162" i="1"/>
  <c r="GP162" i="1"/>
  <c r="N156" i="1"/>
  <c r="DJ189" i="1"/>
  <c r="O156" i="1"/>
  <c r="DK189" i="1"/>
  <c r="Q156" i="1"/>
  <c r="DM189" i="1"/>
  <c r="R156" i="1"/>
  <c r="DN189" i="1"/>
  <c r="T156" i="1"/>
  <c r="DP189" i="1"/>
  <c r="U156" i="1"/>
  <c r="DQ189" i="1"/>
  <c r="W156" i="1"/>
  <c r="DS189" i="1"/>
  <c r="X156" i="1"/>
  <c r="DT189" i="1"/>
  <c r="Z156" i="1"/>
  <c r="DV189" i="1"/>
  <c r="AA156" i="1"/>
  <c r="DW189" i="1"/>
  <c r="AC156" i="1"/>
  <c r="DY189" i="1"/>
  <c r="AD156" i="1"/>
  <c r="DZ189" i="1"/>
  <c r="AF156" i="1"/>
  <c r="EB189" i="1"/>
  <c r="AG156" i="1"/>
  <c r="EC189" i="1"/>
  <c r="AI156" i="1"/>
  <c r="EE189" i="1"/>
  <c r="AJ156" i="1"/>
  <c r="EF189" i="1"/>
  <c r="AL156" i="1"/>
  <c r="EH189" i="1"/>
  <c r="AM156" i="1"/>
  <c r="EI189" i="1"/>
  <c r="AO156" i="1"/>
  <c r="EK189" i="1"/>
  <c r="AP156" i="1"/>
  <c r="EL189" i="1"/>
  <c r="AR156" i="1"/>
  <c r="EN189" i="1"/>
  <c r="AS156" i="1"/>
  <c r="EO189" i="1"/>
  <c r="AU156" i="1"/>
  <c r="EQ189" i="1"/>
  <c r="AV156" i="1"/>
  <c r="ER189" i="1"/>
  <c r="AX156" i="1"/>
  <c r="ET189" i="1"/>
  <c r="AY156" i="1"/>
  <c r="EU189" i="1"/>
  <c r="BA156" i="1"/>
  <c r="EW189" i="1"/>
  <c r="BB156" i="1"/>
  <c r="EX189" i="1"/>
  <c r="BD156" i="1"/>
  <c r="EZ189" i="1"/>
  <c r="BE156" i="1"/>
  <c r="FA189" i="1"/>
  <c r="BG156" i="1"/>
  <c r="FC189" i="1"/>
  <c r="BH156" i="1"/>
  <c r="FD189" i="1"/>
  <c r="BJ156" i="1"/>
  <c r="FF189" i="1"/>
  <c r="BK156" i="1"/>
  <c r="FG189" i="1"/>
  <c r="BM156" i="1"/>
  <c r="FI189" i="1"/>
  <c r="BN156" i="1"/>
  <c r="FJ189" i="1"/>
  <c r="BP156" i="1"/>
  <c r="FL189" i="1"/>
  <c r="BQ156" i="1"/>
  <c r="FM189" i="1"/>
  <c r="BS156" i="1"/>
  <c r="FO189" i="1"/>
  <c r="BT156" i="1"/>
  <c r="FP189" i="1"/>
  <c r="BV156" i="1"/>
  <c r="FR189" i="1"/>
  <c r="BW156" i="1"/>
  <c r="FS189" i="1"/>
  <c r="BY156" i="1"/>
  <c r="FU189" i="1"/>
  <c r="BZ156" i="1"/>
  <c r="FV189" i="1"/>
  <c r="CB156" i="1"/>
  <c r="FX189" i="1"/>
  <c r="CC156" i="1"/>
  <c r="FY189" i="1"/>
  <c r="CE156" i="1"/>
  <c r="GA189" i="1"/>
  <c r="CF156" i="1"/>
  <c r="GB189" i="1"/>
  <c r="CH156" i="1"/>
  <c r="GD189" i="1"/>
  <c r="CI156" i="1"/>
  <c r="GE189" i="1"/>
  <c r="CK156" i="1"/>
  <c r="GG189" i="1"/>
  <c r="CL156" i="1"/>
  <c r="GH189" i="1"/>
  <c r="CN156" i="1"/>
  <c r="GJ189" i="1"/>
  <c r="CO156" i="1"/>
  <c r="GK189" i="1"/>
  <c r="GP189" i="1"/>
  <c r="GP216" i="1"/>
  <c r="GV162" i="1"/>
  <c r="GV189" i="1"/>
  <c r="GV216" i="1"/>
  <c r="GL399" i="1"/>
  <c r="GI399" i="1"/>
  <c r="GF399" i="1"/>
  <c r="GC399" i="1"/>
  <c r="FZ399" i="1"/>
  <c r="FW399" i="1"/>
  <c r="FT399" i="1"/>
  <c r="FQ399" i="1"/>
  <c r="FN399" i="1"/>
  <c r="FK399" i="1"/>
  <c r="FH399" i="1"/>
  <c r="FE399" i="1"/>
  <c r="FB399" i="1"/>
  <c r="EY399" i="1"/>
  <c r="EV399" i="1"/>
  <c r="ES399" i="1"/>
  <c r="EP399" i="1"/>
  <c r="EM296" i="1"/>
  <c r="EM299" i="1"/>
  <c r="EM302" i="1"/>
  <c r="EM305" i="1"/>
  <c r="EM308" i="1"/>
  <c r="EM311" i="1"/>
  <c r="EM314" i="1"/>
  <c r="EM229" i="1"/>
  <c r="EM399" i="1"/>
  <c r="EJ399" i="1"/>
  <c r="EG399" i="1"/>
  <c r="ED399" i="1"/>
  <c r="EA293" i="1"/>
  <c r="EA296" i="1"/>
  <c r="EA299" i="1"/>
  <c r="EA302" i="1"/>
  <c r="EA305" i="1"/>
  <c r="EA308" i="1"/>
  <c r="EA311" i="1"/>
  <c r="EA314" i="1"/>
  <c r="EA399" i="1"/>
  <c r="DX399" i="1"/>
  <c r="DU399" i="1"/>
  <c r="DR399" i="1"/>
  <c r="DO399" i="1"/>
  <c r="DL399" i="1"/>
  <c r="N128" i="1"/>
  <c r="DJ161" i="1"/>
  <c r="O128" i="1"/>
  <c r="DK161" i="1"/>
  <c r="Q128" i="1"/>
  <c r="DM161" i="1"/>
  <c r="R128" i="1"/>
  <c r="DN161" i="1"/>
  <c r="T128" i="1"/>
  <c r="DP161" i="1"/>
  <c r="U128" i="1"/>
  <c r="DQ161" i="1"/>
  <c r="W128" i="1"/>
  <c r="DS161" i="1"/>
  <c r="X128" i="1"/>
  <c r="DT161" i="1"/>
  <c r="Z128" i="1"/>
  <c r="DV161" i="1"/>
  <c r="AA128" i="1"/>
  <c r="DW161" i="1"/>
  <c r="AC128" i="1"/>
  <c r="DY161" i="1"/>
  <c r="AD128" i="1"/>
  <c r="DZ161" i="1"/>
  <c r="AF128" i="1"/>
  <c r="EB161" i="1"/>
  <c r="AG128" i="1"/>
  <c r="EC161" i="1"/>
  <c r="AI128" i="1"/>
  <c r="EE161" i="1"/>
  <c r="AJ128" i="1"/>
  <c r="EF161" i="1"/>
  <c r="AL128" i="1"/>
  <c r="EH161" i="1"/>
  <c r="AM128" i="1"/>
  <c r="EI161" i="1"/>
  <c r="AO128" i="1"/>
  <c r="EK161" i="1"/>
  <c r="AP128" i="1"/>
  <c r="EL161" i="1"/>
  <c r="AR128" i="1"/>
  <c r="EN161" i="1"/>
  <c r="AS128" i="1"/>
  <c r="EO161" i="1"/>
  <c r="AU128" i="1"/>
  <c r="EQ161" i="1"/>
  <c r="AV128" i="1"/>
  <c r="ER161" i="1"/>
  <c r="AX128" i="1"/>
  <c r="ET161" i="1"/>
  <c r="AY128" i="1"/>
  <c r="EU161" i="1"/>
  <c r="BA128" i="1"/>
  <c r="EW161" i="1"/>
  <c r="BB128" i="1"/>
  <c r="EX161" i="1"/>
  <c r="BD128" i="1"/>
  <c r="EZ161" i="1"/>
  <c r="BE128" i="1"/>
  <c r="FA161" i="1"/>
  <c r="BG128" i="1"/>
  <c r="FC161" i="1"/>
  <c r="BH128" i="1"/>
  <c r="FD161" i="1"/>
  <c r="BJ128" i="1"/>
  <c r="FF161" i="1"/>
  <c r="BK128" i="1"/>
  <c r="FG161" i="1"/>
  <c r="BM128" i="1"/>
  <c r="FI161" i="1"/>
  <c r="BN128" i="1"/>
  <c r="FJ161" i="1"/>
  <c r="BP128" i="1"/>
  <c r="FL161" i="1"/>
  <c r="BQ128" i="1"/>
  <c r="FM161" i="1"/>
  <c r="BS128" i="1"/>
  <c r="FO161" i="1"/>
  <c r="BT128" i="1"/>
  <c r="FP161" i="1"/>
  <c r="BV128" i="1"/>
  <c r="FR161" i="1"/>
  <c r="BW128" i="1"/>
  <c r="FS161" i="1"/>
  <c r="BY128" i="1"/>
  <c r="FU161" i="1"/>
  <c r="BZ128" i="1"/>
  <c r="FV161" i="1"/>
  <c r="CB128" i="1"/>
  <c r="FX161" i="1"/>
  <c r="CC128" i="1"/>
  <c r="FY161" i="1"/>
  <c r="CE128" i="1"/>
  <c r="GA161" i="1"/>
  <c r="CF128" i="1"/>
  <c r="GB161" i="1"/>
  <c r="CH128" i="1"/>
  <c r="GD161" i="1"/>
  <c r="CI128" i="1"/>
  <c r="GE161" i="1"/>
  <c r="CK128" i="1"/>
  <c r="GG161" i="1"/>
  <c r="CL128" i="1"/>
  <c r="GH161" i="1"/>
  <c r="CN128" i="1"/>
  <c r="GJ161" i="1"/>
  <c r="CO128" i="1"/>
  <c r="GK161" i="1"/>
  <c r="GP161" i="1"/>
  <c r="N155" i="1"/>
  <c r="DJ188" i="1"/>
  <c r="O155" i="1"/>
  <c r="DK188" i="1"/>
  <c r="Q155" i="1"/>
  <c r="DM188" i="1"/>
  <c r="R155" i="1"/>
  <c r="DN188" i="1"/>
  <c r="T155" i="1"/>
  <c r="DP188" i="1"/>
  <c r="U155" i="1"/>
  <c r="DQ188" i="1"/>
  <c r="W155" i="1"/>
  <c r="DS188" i="1"/>
  <c r="X155" i="1"/>
  <c r="DT188" i="1"/>
  <c r="Z155" i="1"/>
  <c r="DV188" i="1"/>
  <c r="AA155" i="1"/>
  <c r="DW188" i="1"/>
  <c r="AC155" i="1"/>
  <c r="DY188" i="1"/>
  <c r="AD155" i="1"/>
  <c r="DZ188" i="1"/>
  <c r="AF155" i="1"/>
  <c r="EB188" i="1"/>
  <c r="AG155" i="1"/>
  <c r="EC188" i="1"/>
  <c r="AI155" i="1"/>
  <c r="EE188" i="1"/>
  <c r="AJ155" i="1"/>
  <c r="EF188" i="1"/>
  <c r="AL155" i="1"/>
  <c r="EH188" i="1"/>
  <c r="AM155" i="1"/>
  <c r="EI188" i="1"/>
  <c r="AO155" i="1"/>
  <c r="EK188" i="1"/>
  <c r="AP155" i="1"/>
  <c r="EL188" i="1"/>
  <c r="AR155" i="1"/>
  <c r="EN188" i="1"/>
  <c r="AS155" i="1"/>
  <c r="EO188" i="1"/>
  <c r="AU155" i="1"/>
  <c r="EQ188" i="1"/>
  <c r="AV155" i="1"/>
  <c r="ER188" i="1"/>
  <c r="AX155" i="1"/>
  <c r="ET188" i="1"/>
  <c r="AY155" i="1"/>
  <c r="EU188" i="1"/>
  <c r="BA155" i="1"/>
  <c r="EW188" i="1"/>
  <c r="BB155" i="1"/>
  <c r="EX188" i="1"/>
  <c r="BD155" i="1"/>
  <c r="EZ188" i="1"/>
  <c r="BE155" i="1"/>
  <c r="FA188" i="1"/>
  <c r="BG155" i="1"/>
  <c r="FC188" i="1"/>
  <c r="BH155" i="1"/>
  <c r="FD188" i="1"/>
  <c r="BJ155" i="1"/>
  <c r="FF188" i="1"/>
  <c r="BK155" i="1"/>
  <c r="FG188" i="1"/>
  <c r="BM155" i="1"/>
  <c r="FI188" i="1"/>
  <c r="BN155" i="1"/>
  <c r="FJ188" i="1"/>
  <c r="BP155" i="1"/>
  <c r="FL188" i="1"/>
  <c r="BQ155" i="1"/>
  <c r="FM188" i="1"/>
  <c r="BS155" i="1"/>
  <c r="FO188" i="1"/>
  <c r="BT155" i="1"/>
  <c r="FP188" i="1"/>
  <c r="BV155" i="1"/>
  <c r="FR188" i="1"/>
  <c r="BW155" i="1"/>
  <c r="FS188" i="1"/>
  <c r="BY155" i="1"/>
  <c r="FU188" i="1"/>
  <c r="BZ155" i="1"/>
  <c r="FV188" i="1"/>
  <c r="CB155" i="1"/>
  <c r="FX188" i="1"/>
  <c r="CC155" i="1"/>
  <c r="FY188" i="1"/>
  <c r="CE155" i="1"/>
  <c r="GA188" i="1"/>
  <c r="CF155" i="1"/>
  <c r="GB188" i="1"/>
  <c r="CH155" i="1"/>
  <c r="GD188" i="1"/>
  <c r="CI155" i="1"/>
  <c r="GE188" i="1"/>
  <c r="CK155" i="1"/>
  <c r="GG188" i="1"/>
  <c r="CL155" i="1"/>
  <c r="GH188" i="1"/>
  <c r="CN155" i="1"/>
  <c r="GJ188" i="1"/>
  <c r="CO155" i="1"/>
  <c r="GK188" i="1"/>
  <c r="GP188" i="1"/>
  <c r="GP215" i="1"/>
  <c r="GV161" i="1"/>
  <c r="GV188" i="1"/>
  <c r="GV215" i="1"/>
  <c r="GL398" i="1"/>
  <c r="GI398" i="1"/>
  <c r="GF398" i="1"/>
  <c r="GC398" i="1"/>
  <c r="FZ398" i="1"/>
  <c r="FW398" i="1"/>
  <c r="FT398" i="1"/>
  <c r="FQ398" i="1"/>
  <c r="FN398" i="1"/>
  <c r="FK398" i="1"/>
  <c r="FH398" i="1"/>
  <c r="FE398" i="1"/>
  <c r="FB398" i="1"/>
  <c r="EY398" i="1"/>
  <c r="EV398" i="1"/>
  <c r="ES398" i="1"/>
  <c r="EP398" i="1"/>
  <c r="EM295" i="1"/>
  <c r="EM298" i="1"/>
  <c r="EM301" i="1"/>
  <c r="EM304" i="1"/>
  <c r="EM307" i="1"/>
  <c r="EM310" i="1"/>
  <c r="EM313" i="1"/>
  <c r="EM228" i="1"/>
  <c r="EM398" i="1"/>
  <c r="EJ398" i="1"/>
  <c r="EG398" i="1"/>
  <c r="ED398" i="1"/>
  <c r="EA292" i="1"/>
  <c r="EA295" i="1"/>
  <c r="EA298" i="1"/>
  <c r="EA301" i="1"/>
  <c r="EA304" i="1"/>
  <c r="EA307" i="1"/>
  <c r="EA310" i="1"/>
  <c r="EA313" i="1"/>
  <c r="EA398" i="1"/>
  <c r="DX398" i="1"/>
  <c r="DU398" i="1"/>
  <c r="DR398" i="1"/>
  <c r="DO398" i="1"/>
  <c r="DL398" i="1"/>
  <c r="N127" i="1"/>
  <c r="DJ160" i="1"/>
  <c r="O127" i="1"/>
  <c r="DK160" i="1"/>
  <c r="CQ95" i="1"/>
  <c r="Q127" i="1"/>
  <c r="DM160" i="1"/>
  <c r="CR95" i="1"/>
  <c r="R127" i="1"/>
  <c r="DN160" i="1"/>
  <c r="T127" i="1"/>
  <c r="DP160" i="1"/>
  <c r="U127" i="1"/>
  <c r="DQ160" i="1"/>
  <c r="W127" i="1"/>
  <c r="DS160" i="1"/>
  <c r="X127" i="1"/>
  <c r="DT160" i="1"/>
  <c r="Z127" i="1"/>
  <c r="DV160" i="1"/>
  <c r="AA127" i="1"/>
  <c r="DW160" i="1"/>
  <c r="AC127" i="1"/>
  <c r="DY160" i="1"/>
  <c r="AD127" i="1"/>
  <c r="DZ160" i="1"/>
  <c r="AF127" i="1"/>
  <c r="EB160" i="1"/>
  <c r="AG127" i="1"/>
  <c r="EC160" i="1"/>
  <c r="AI127" i="1"/>
  <c r="EE160" i="1"/>
  <c r="AJ127" i="1"/>
  <c r="EF160" i="1"/>
  <c r="AL127" i="1"/>
  <c r="EH160" i="1"/>
  <c r="AM127" i="1"/>
  <c r="EI160" i="1"/>
  <c r="AO127" i="1"/>
  <c r="EK160" i="1"/>
  <c r="AP127" i="1"/>
  <c r="EL160" i="1"/>
  <c r="AR127" i="1"/>
  <c r="EN160" i="1"/>
  <c r="AS127" i="1"/>
  <c r="EO160" i="1"/>
  <c r="AU127" i="1"/>
  <c r="EQ160" i="1"/>
  <c r="AV127" i="1"/>
  <c r="ER160" i="1"/>
  <c r="AX127" i="1"/>
  <c r="ET160" i="1"/>
  <c r="AY127" i="1"/>
  <c r="EU160" i="1"/>
  <c r="BA127" i="1"/>
  <c r="EW160" i="1"/>
  <c r="BB127" i="1"/>
  <c r="EX160" i="1"/>
  <c r="BD127" i="1"/>
  <c r="EZ160" i="1"/>
  <c r="BE127" i="1"/>
  <c r="FA160" i="1"/>
  <c r="BG127" i="1"/>
  <c r="FC160" i="1"/>
  <c r="BH127" i="1"/>
  <c r="FD160" i="1"/>
  <c r="CQ96" i="1"/>
  <c r="BJ127" i="1"/>
  <c r="FF160" i="1"/>
  <c r="CR96" i="1"/>
  <c r="BK127" i="1"/>
  <c r="FG160" i="1"/>
  <c r="BM127" i="1"/>
  <c r="FI160" i="1"/>
  <c r="BN127" i="1"/>
  <c r="FJ160" i="1"/>
  <c r="BP127" i="1"/>
  <c r="FL160" i="1"/>
  <c r="BQ127" i="1"/>
  <c r="FM160" i="1"/>
  <c r="BS127" i="1"/>
  <c r="FO160" i="1"/>
  <c r="BT127" i="1"/>
  <c r="FP160" i="1"/>
  <c r="BV127" i="1"/>
  <c r="FR160" i="1"/>
  <c r="BW127" i="1"/>
  <c r="FS160" i="1"/>
  <c r="BY127" i="1"/>
  <c r="FU160" i="1"/>
  <c r="BZ127" i="1"/>
  <c r="FV160" i="1"/>
  <c r="CB127" i="1"/>
  <c r="FX160" i="1"/>
  <c r="CC127" i="1"/>
  <c r="FY160" i="1"/>
  <c r="CE127" i="1"/>
  <c r="GA160" i="1"/>
  <c r="CF127" i="1"/>
  <c r="GB160" i="1"/>
  <c r="CH127" i="1"/>
  <c r="GD160" i="1"/>
  <c r="CI127" i="1"/>
  <c r="GE160" i="1"/>
  <c r="CK127" i="1"/>
  <c r="GG160" i="1"/>
  <c r="CL127" i="1"/>
  <c r="GH160" i="1"/>
  <c r="CN127" i="1"/>
  <c r="GJ160" i="1"/>
  <c r="CO127" i="1"/>
  <c r="GK160" i="1"/>
  <c r="GP160" i="1"/>
  <c r="N154" i="1"/>
  <c r="DJ187" i="1"/>
  <c r="O154" i="1"/>
  <c r="DK187" i="1"/>
  <c r="Q154" i="1"/>
  <c r="DM187" i="1"/>
  <c r="R154" i="1"/>
  <c r="DN187" i="1"/>
  <c r="T154" i="1"/>
  <c r="DP187" i="1"/>
  <c r="U154" i="1"/>
  <c r="DQ187" i="1"/>
  <c r="W154" i="1"/>
  <c r="DS187" i="1"/>
  <c r="X154" i="1"/>
  <c r="DT187" i="1"/>
  <c r="Z154" i="1"/>
  <c r="DV187" i="1"/>
  <c r="AA154" i="1"/>
  <c r="DW187" i="1"/>
  <c r="AC154" i="1"/>
  <c r="DY187" i="1"/>
  <c r="AD154" i="1"/>
  <c r="DZ187" i="1"/>
  <c r="AF154" i="1"/>
  <c r="EB187" i="1"/>
  <c r="AG154" i="1"/>
  <c r="EC187" i="1"/>
  <c r="AI154" i="1"/>
  <c r="EE187" i="1"/>
  <c r="AJ154" i="1"/>
  <c r="EF187" i="1"/>
  <c r="AL154" i="1"/>
  <c r="EH187" i="1"/>
  <c r="AM154" i="1"/>
  <c r="EI187" i="1"/>
  <c r="AO154" i="1"/>
  <c r="EK187" i="1"/>
  <c r="AP154" i="1"/>
  <c r="EL187" i="1"/>
  <c r="AR154" i="1"/>
  <c r="EN187" i="1"/>
  <c r="AS154" i="1"/>
  <c r="EO187" i="1"/>
  <c r="AU154" i="1"/>
  <c r="EQ187" i="1"/>
  <c r="AV154" i="1"/>
  <c r="ER187" i="1"/>
  <c r="AX154" i="1"/>
  <c r="ET187" i="1"/>
  <c r="AY154" i="1"/>
  <c r="EU187" i="1"/>
  <c r="BA154" i="1"/>
  <c r="EW187" i="1"/>
  <c r="BB154" i="1"/>
  <c r="EX187" i="1"/>
  <c r="BD154" i="1"/>
  <c r="EZ187" i="1"/>
  <c r="BE154" i="1"/>
  <c r="FA187" i="1"/>
  <c r="BG154" i="1"/>
  <c r="FC187" i="1"/>
  <c r="BH154" i="1"/>
  <c r="FD187" i="1"/>
  <c r="BJ154" i="1"/>
  <c r="FF187" i="1"/>
  <c r="BK154" i="1"/>
  <c r="FG187" i="1"/>
  <c r="BM154" i="1"/>
  <c r="FI187" i="1"/>
  <c r="BN154" i="1"/>
  <c r="FJ187" i="1"/>
  <c r="BP154" i="1"/>
  <c r="FL187" i="1"/>
  <c r="BQ154" i="1"/>
  <c r="FM187" i="1"/>
  <c r="BS154" i="1"/>
  <c r="FO187" i="1"/>
  <c r="BT154" i="1"/>
  <c r="FP187" i="1"/>
  <c r="BV154" i="1"/>
  <c r="FR187" i="1"/>
  <c r="BW154" i="1"/>
  <c r="FS187" i="1"/>
  <c r="BY154" i="1"/>
  <c r="FU187" i="1"/>
  <c r="BZ154" i="1"/>
  <c r="FV187" i="1"/>
  <c r="CB154" i="1"/>
  <c r="FX187" i="1"/>
  <c r="CC154" i="1"/>
  <c r="FY187" i="1"/>
  <c r="CE154" i="1"/>
  <c r="GA187" i="1"/>
  <c r="CF154" i="1"/>
  <c r="GB187" i="1"/>
  <c r="CH154" i="1"/>
  <c r="GD187" i="1"/>
  <c r="CI154" i="1"/>
  <c r="GE187" i="1"/>
  <c r="CK154" i="1"/>
  <c r="GG187" i="1"/>
  <c r="CL154" i="1"/>
  <c r="GH187" i="1"/>
  <c r="CN154" i="1"/>
  <c r="GJ187" i="1"/>
  <c r="CO154" i="1"/>
  <c r="GK187" i="1"/>
  <c r="GP187" i="1"/>
  <c r="GP214" i="1"/>
  <c r="GV160" i="1"/>
  <c r="GV187" i="1"/>
  <c r="GV214" i="1"/>
  <c r="GL397" i="1"/>
  <c r="GI397" i="1"/>
  <c r="GF397" i="1"/>
  <c r="GC397" i="1"/>
  <c r="FZ397" i="1"/>
  <c r="FW397" i="1"/>
  <c r="FT397" i="1"/>
  <c r="FQ397" i="1"/>
  <c r="FN397" i="1"/>
  <c r="FK397" i="1"/>
  <c r="FH397" i="1"/>
  <c r="FE397" i="1"/>
  <c r="FB397" i="1"/>
  <c r="EY397" i="1"/>
  <c r="EV397" i="1"/>
  <c r="ES397" i="1"/>
  <c r="EP397" i="1"/>
  <c r="EM397" i="1"/>
  <c r="EJ397" i="1"/>
  <c r="EG397" i="1"/>
  <c r="ED397" i="1"/>
  <c r="EA397" i="1"/>
  <c r="DX397" i="1"/>
  <c r="DU397" i="1"/>
  <c r="DR397" i="1"/>
  <c r="DO397" i="1"/>
  <c r="DL397" i="1"/>
  <c r="N126" i="1"/>
  <c r="DJ159" i="1"/>
  <c r="O126" i="1"/>
  <c r="DK159" i="1"/>
  <c r="CN95" i="1"/>
  <c r="Q126" i="1"/>
  <c r="DM159" i="1"/>
  <c r="CO95" i="1"/>
  <c r="R126" i="1"/>
  <c r="DN159" i="1"/>
  <c r="T126" i="1"/>
  <c r="DP159" i="1"/>
  <c r="U126" i="1"/>
  <c r="DQ159" i="1"/>
  <c r="W126" i="1"/>
  <c r="DS159" i="1"/>
  <c r="X126" i="1"/>
  <c r="DT159" i="1"/>
  <c r="Z126" i="1"/>
  <c r="DV159" i="1"/>
  <c r="AA126" i="1"/>
  <c r="DW159" i="1"/>
  <c r="AC126" i="1"/>
  <c r="DY159" i="1"/>
  <c r="AD126" i="1"/>
  <c r="DZ159" i="1"/>
  <c r="AF126" i="1"/>
  <c r="EB159" i="1"/>
  <c r="AG126" i="1"/>
  <c r="EC159" i="1"/>
  <c r="AI126" i="1"/>
  <c r="EE159" i="1"/>
  <c r="AJ126" i="1"/>
  <c r="EF159" i="1"/>
  <c r="AL126" i="1"/>
  <c r="EH159" i="1"/>
  <c r="AM126" i="1"/>
  <c r="EI159" i="1"/>
  <c r="AO126" i="1"/>
  <c r="EK159" i="1"/>
  <c r="AP126" i="1"/>
  <c r="EL159" i="1"/>
  <c r="AR126" i="1"/>
  <c r="EN159" i="1"/>
  <c r="AS126" i="1"/>
  <c r="EO159" i="1"/>
  <c r="AU126" i="1"/>
  <c r="EQ159" i="1"/>
  <c r="AV126" i="1"/>
  <c r="ER159" i="1"/>
  <c r="AX126" i="1"/>
  <c r="ET159" i="1"/>
  <c r="AY126" i="1"/>
  <c r="EU159" i="1"/>
  <c r="BA126" i="1"/>
  <c r="EW159" i="1"/>
  <c r="BB126" i="1"/>
  <c r="EX159" i="1"/>
  <c r="BD126" i="1"/>
  <c r="EZ159" i="1"/>
  <c r="BE126" i="1"/>
  <c r="FA159" i="1"/>
  <c r="BG126" i="1"/>
  <c r="FC159" i="1"/>
  <c r="BH126" i="1"/>
  <c r="FD159" i="1"/>
  <c r="CN96" i="1"/>
  <c r="BJ126" i="1"/>
  <c r="FF159" i="1"/>
  <c r="CO96" i="1"/>
  <c r="BK126" i="1"/>
  <c r="FG159" i="1"/>
  <c r="BM126" i="1"/>
  <c r="FI159" i="1"/>
  <c r="BN126" i="1"/>
  <c r="FJ159" i="1"/>
  <c r="BP126" i="1"/>
  <c r="FL159" i="1"/>
  <c r="BQ126" i="1"/>
  <c r="FM159" i="1"/>
  <c r="BS126" i="1"/>
  <c r="FO159" i="1"/>
  <c r="BT126" i="1"/>
  <c r="FP159" i="1"/>
  <c r="BV126" i="1"/>
  <c r="FR159" i="1"/>
  <c r="BW126" i="1"/>
  <c r="FS159" i="1"/>
  <c r="BY126" i="1"/>
  <c r="FU159" i="1"/>
  <c r="BZ126" i="1"/>
  <c r="FV159" i="1"/>
  <c r="CB126" i="1"/>
  <c r="FX159" i="1"/>
  <c r="CC126" i="1"/>
  <c r="FY159" i="1"/>
  <c r="CE126" i="1"/>
  <c r="GA159" i="1"/>
  <c r="CF126" i="1"/>
  <c r="GB159" i="1"/>
  <c r="CH126" i="1"/>
  <c r="GD159" i="1"/>
  <c r="CI126" i="1"/>
  <c r="GE159" i="1"/>
  <c r="CK126" i="1"/>
  <c r="GG159" i="1"/>
  <c r="CL126" i="1"/>
  <c r="GH159" i="1"/>
  <c r="CN126" i="1"/>
  <c r="GJ159" i="1"/>
  <c r="CO126" i="1"/>
  <c r="GK159" i="1"/>
  <c r="GP159" i="1"/>
  <c r="N153" i="1"/>
  <c r="DJ186" i="1"/>
  <c r="O153" i="1"/>
  <c r="DK186" i="1"/>
  <c r="Q153" i="1"/>
  <c r="DM186" i="1"/>
  <c r="R153" i="1"/>
  <c r="DN186" i="1"/>
  <c r="T153" i="1"/>
  <c r="DP186" i="1"/>
  <c r="U153" i="1"/>
  <c r="DQ186" i="1"/>
  <c r="W153" i="1"/>
  <c r="DS186" i="1"/>
  <c r="X153" i="1"/>
  <c r="DT186" i="1"/>
  <c r="Z153" i="1"/>
  <c r="DV186" i="1"/>
  <c r="AA153" i="1"/>
  <c r="DW186" i="1"/>
  <c r="AC153" i="1"/>
  <c r="DY186" i="1"/>
  <c r="AD153" i="1"/>
  <c r="DZ186" i="1"/>
  <c r="AF153" i="1"/>
  <c r="EB186" i="1"/>
  <c r="AG153" i="1"/>
  <c r="EC186" i="1"/>
  <c r="AI153" i="1"/>
  <c r="EE186" i="1"/>
  <c r="AJ153" i="1"/>
  <c r="EF186" i="1"/>
  <c r="AL153" i="1"/>
  <c r="EH186" i="1"/>
  <c r="AM153" i="1"/>
  <c r="EI186" i="1"/>
  <c r="AO153" i="1"/>
  <c r="EK186" i="1"/>
  <c r="AP153" i="1"/>
  <c r="EL186" i="1"/>
  <c r="AR153" i="1"/>
  <c r="EN186" i="1"/>
  <c r="AS153" i="1"/>
  <c r="EO186" i="1"/>
  <c r="AU153" i="1"/>
  <c r="EQ186" i="1"/>
  <c r="AV153" i="1"/>
  <c r="ER186" i="1"/>
  <c r="AX153" i="1"/>
  <c r="ET186" i="1"/>
  <c r="AY153" i="1"/>
  <c r="EU186" i="1"/>
  <c r="BA153" i="1"/>
  <c r="EW186" i="1"/>
  <c r="BB153" i="1"/>
  <c r="EX186" i="1"/>
  <c r="BD153" i="1"/>
  <c r="EZ186" i="1"/>
  <c r="BE153" i="1"/>
  <c r="FA186" i="1"/>
  <c r="BG153" i="1"/>
  <c r="FC186" i="1"/>
  <c r="BH153" i="1"/>
  <c r="FD186" i="1"/>
  <c r="BJ153" i="1"/>
  <c r="FF186" i="1"/>
  <c r="BK153" i="1"/>
  <c r="FG186" i="1"/>
  <c r="BM153" i="1"/>
  <c r="FI186" i="1"/>
  <c r="BN153" i="1"/>
  <c r="FJ186" i="1"/>
  <c r="BP153" i="1"/>
  <c r="FL186" i="1"/>
  <c r="BQ153" i="1"/>
  <c r="FM186" i="1"/>
  <c r="BS153" i="1"/>
  <c r="FO186" i="1"/>
  <c r="BT153" i="1"/>
  <c r="FP186" i="1"/>
  <c r="BV153" i="1"/>
  <c r="FR186" i="1"/>
  <c r="BW153" i="1"/>
  <c r="FS186" i="1"/>
  <c r="BY153" i="1"/>
  <c r="FU186" i="1"/>
  <c r="BZ153" i="1"/>
  <c r="FV186" i="1"/>
  <c r="CB153" i="1"/>
  <c r="FX186" i="1"/>
  <c r="CC153" i="1"/>
  <c r="FY186" i="1"/>
  <c r="CE153" i="1"/>
  <c r="GA186" i="1"/>
  <c r="CF153" i="1"/>
  <c r="GB186" i="1"/>
  <c r="CH153" i="1"/>
  <c r="GD186" i="1"/>
  <c r="CI153" i="1"/>
  <c r="GE186" i="1"/>
  <c r="CK153" i="1"/>
  <c r="GG186" i="1"/>
  <c r="CL153" i="1"/>
  <c r="GH186" i="1"/>
  <c r="CN153" i="1"/>
  <c r="GJ186" i="1"/>
  <c r="CO153" i="1"/>
  <c r="GK186" i="1"/>
  <c r="GP186" i="1"/>
  <c r="GP213" i="1"/>
  <c r="GV159" i="1"/>
  <c r="GV186" i="1"/>
  <c r="GV213" i="1"/>
  <c r="GL396" i="1"/>
  <c r="GI396" i="1"/>
  <c r="GF396" i="1"/>
  <c r="GC396" i="1"/>
  <c r="FZ396" i="1"/>
  <c r="FW396" i="1"/>
  <c r="FT396" i="1"/>
  <c r="FQ396" i="1"/>
  <c r="FN396" i="1"/>
  <c r="FK396" i="1"/>
  <c r="FH396" i="1"/>
  <c r="FE396" i="1"/>
  <c r="FB396" i="1"/>
  <c r="EY396" i="1"/>
  <c r="EV396" i="1"/>
  <c r="ES396" i="1"/>
  <c r="EP396" i="1"/>
  <c r="EM396" i="1"/>
  <c r="EJ396" i="1"/>
  <c r="EG396" i="1"/>
  <c r="ED396" i="1"/>
  <c r="EA396" i="1"/>
  <c r="DX396" i="1"/>
  <c r="DU396" i="1"/>
  <c r="DR396" i="1"/>
  <c r="DO396" i="1"/>
  <c r="DL396" i="1"/>
  <c r="N125" i="1"/>
  <c r="DJ158" i="1"/>
  <c r="O125" i="1"/>
  <c r="DK158" i="1"/>
  <c r="CK95" i="1"/>
  <c r="Q125" i="1"/>
  <c r="DM158" i="1"/>
  <c r="CL95" i="1"/>
  <c r="R125" i="1"/>
  <c r="DN158" i="1"/>
  <c r="T125" i="1"/>
  <c r="DP158" i="1"/>
  <c r="U125" i="1"/>
  <c r="DQ158" i="1"/>
  <c r="W125" i="1"/>
  <c r="DS158" i="1"/>
  <c r="X125" i="1"/>
  <c r="DT158" i="1"/>
  <c r="Z125" i="1"/>
  <c r="DV158" i="1"/>
  <c r="AA125" i="1"/>
  <c r="DW158" i="1"/>
  <c r="AC125" i="1"/>
  <c r="DY158" i="1"/>
  <c r="AD125" i="1"/>
  <c r="DZ158" i="1"/>
  <c r="AF125" i="1"/>
  <c r="EB158" i="1"/>
  <c r="AG125" i="1"/>
  <c r="EC158" i="1"/>
  <c r="AI125" i="1"/>
  <c r="EE158" i="1"/>
  <c r="AJ125" i="1"/>
  <c r="EF158" i="1"/>
  <c r="AL125" i="1"/>
  <c r="EH158" i="1"/>
  <c r="AM125" i="1"/>
  <c r="EI158" i="1"/>
  <c r="AO125" i="1"/>
  <c r="EK158" i="1"/>
  <c r="AP125" i="1"/>
  <c r="EL158" i="1"/>
  <c r="AR125" i="1"/>
  <c r="EN158" i="1"/>
  <c r="AS125" i="1"/>
  <c r="EO158" i="1"/>
  <c r="AU125" i="1"/>
  <c r="EQ158" i="1"/>
  <c r="AV125" i="1"/>
  <c r="ER158" i="1"/>
  <c r="AX125" i="1"/>
  <c r="ET158" i="1"/>
  <c r="AY125" i="1"/>
  <c r="EU158" i="1"/>
  <c r="BA125" i="1"/>
  <c r="EW158" i="1"/>
  <c r="BB125" i="1"/>
  <c r="EX158" i="1"/>
  <c r="BD125" i="1"/>
  <c r="EZ158" i="1"/>
  <c r="BE125" i="1"/>
  <c r="FA158" i="1"/>
  <c r="BG125" i="1"/>
  <c r="FC158" i="1"/>
  <c r="BH125" i="1"/>
  <c r="FD158" i="1"/>
  <c r="BJ125" i="1"/>
  <c r="FF158" i="1"/>
  <c r="CL96" i="1"/>
  <c r="BK125" i="1"/>
  <c r="FG158" i="1"/>
  <c r="BM125" i="1"/>
  <c r="FI158" i="1"/>
  <c r="BN125" i="1"/>
  <c r="FJ158" i="1"/>
  <c r="BP125" i="1"/>
  <c r="FL158" i="1"/>
  <c r="BQ125" i="1"/>
  <c r="FM158" i="1"/>
  <c r="BS125" i="1"/>
  <c r="FO158" i="1"/>
  <c r="BT125" i="1"/>
  <c r="FP158" i="1"/>
  <c r="BV125" i="1"/>
  <c r="FR158" i="1"/>
  <c r="BW125" i="1"/>
  <c r="FS158" i="1"/>
  <c r="BY125" i="1"/>
  <c r="FU158" i="1"/>
  <c r="BZ125" i="1"/>
  <c r="FV158" i="1"/>
  <c r="CB125" i="1"/>
  <c r="FX158" i="1"/>
  <c r="CC125" i="1"/>
  <c r="FY158" i="1"/>
  <c r="CE125" i="1"/>
  <c r="GA158" i="1"/>
  <c r="CF125" i="1"/>
  <c r="GB158" i="1"/>
  <c r="CH125" i="1"/>
  <c r="GD158" i="1"/>
  <c r="CI125" i="1"/>
  <c r="GE158" i="1"/>
  <c r="CK125" i="1"/>
  <c r="GG158" i="1"/>
  <c r="CL125" i="1"/>
  <c r="GH158" i="1"/>
  <c r="CN125" i="1"/>
  <c r="GJ158" i="1"/>
  <c r="CO125" i="1"/>
  <c r="GK158" i="1"/>
  <c r="GP158" i="1"/>
  <c r="N152" i="1"/>
  <c r="DJ185" i="1"/>
  <c r="O152" i="1"/>
  <c r="DK185" i="1"/>
  <c r="Q152" i="1"/>
  <c r="DM185" i="1"/>
  <c r="R152" i="1"/>
  <c r="DN185" i="1"/>
  <c r="T152" i="1"/>
  <c r="DP185" i="1"/>
  <c r="U152" i="1"/>
  <c r="DQ185" i="1"/>
  <c r="W152" i="1"/>
  <c r="DS185" i="1"/>
  <c r="X152" i="1"/>
  <c r="DT185" i="1"/>
  <c r="Z152" i="1"/>
  <c r="DV185" i="1"/>
  <c r="AA152" i="1"/>
  <c r="DW185" i="1"/>
  <c r="AC152" i="1"/>
  <c r="DY185" i="1"/>
  <c r="AD152" i="1"/>
  <c r="DZ185" i="1"/>
  <c r="AF152" i="1"/>
  <c r="EB185" i="1"/>
  <c r="AG152" i="1"/>
  <c r="EC185" i="1"/>
  <c r="AI152" i="1"/>
  <c r="EE185" i="1"/>
  <c r="AJ152" i="1"/>
  <c r="EF185" i="1"/>
  <c r="AL152" i="1"/>
  <c r="EH185" i="1"/>
  <c r="AM152" i="1"/>
  <c r="EI185" i="1"/>
  <c r="AO152" i="1"/>
  <c r="EK185" i="1"/>
  <c r="AP152" i="1"/>
  <c r="EL185" i="1"/>
  <c r="AR152" i="1"/>
  <c r="EN185" i="1"/>
  <c r="AS152" i="1"/>
  <c r="EO185" i="1"/>
  <c r="AU152" i="1"/>
  <c r="EQ185" i="1"/>
  <c r="AV152" i="1"/>
  <c r="ER185" i="1"/>
  <c r="AX152" i="1"/>
  <c r="ET185" i="1"/>
  <c r="AY152" i="1"/>
  <c r="EU185" i="1"/>
  <c r="BA152" i="1"/>
  <c r="EW185" i="1"/>
  <c r="BB152" i="1"/>
  <c r="EX185" i="1"/>
  <c r="BD152" i="1"/>
  <c r="EZ185" i="1"/>
  <c r="BE152" i="1"/>
  <c r="FA185" i="1"/>
  <c r="BG152" i="1"/>
  <c r="FC185" i="1"/>
  <c r="BH152" i="1"/>
  <c r="FD185" i="1"/>
  <c r="BJ152" i="1"/>
  <c r="FF185" i="1"/>
  <c r="BK152" i="1"/>
  <c r="FG185" i="1"/>
  <c r="BM152" i="1"/>
  <c r="FI185" i="1"/>
  <c r="BN152" i="1"/>
  <c r="FJ185" i="1"/>
  <c r="BP152" i="1"/>
  <c r="FL185" i="1"/>
  <c r="BQ152" i="1"/>
  <c r="FM185" i="1"/>
  <c r="BS152" i="1"/>
  <c r="FO185" i="1"/>
  <c r="BT152" i="1"/>
  <c r="FP185" i="1"/>
  <c r="BV152" i="1"/>
  <c r="FR185" i="1"/>
  <c r="BW152" i="1"/>
  <c r="FS185" i="1"/>
  <c r="BY152" i="1"/>
  <c r="FU185" i="1"/>
  <c r="BZ152" i="1"/>
  <c r="FV185" i="1"/>
  <c r="CB152" i="1"/>
  <c r="FX185" i="1"/>
  <c r="CC152" i="1"/>
  <c r="FY185" i="1"/>
  <c r="CE152" i="1"/>
  <c r="GA185" i="1"/>
  <c r="CF152" i="1"/>
  <c r="GB185" i="1"/>
  <c r="CH152" i="1"/>
  <c r="GD185" i="1"/>
  <c r="CI152" i="1"/>
  <c r="GE185" i="1"/>
  <c r="CK152" i="1"/>
  <c r="GG185" i="1"/>
  <c r="CL152" i="1"/>
  <c r="GH185" i="1"/>
  <c r="CN152" i="1"/>
  <c r="GJ185" i="1"/>
  <c r="CO152" i="1"/>
  <c r="GK185" i="1"/>
  <c r="GP185" i="1"/>
  <c r="GP212" i="1"/>
  <c r="GV158" i="1"/>
  <c r="GV185" i="1"/>
  <c r="GV212" i="1"/>
  <c r="GL395" i="1"/>
  <c r="GI395" i="1"/>
  <c r="GF395" i="1"/>
  <c r="GC395" i="1"/>
  <c r="FZ395" i="1"/>
  <c r="FW395" i="1"/>
  <c r="FT395" i="1"/>
  <c r="FQ395" i="1"/>
  <c r="FN395" i="1"/>
  <c r="FK395" i="1"/>
  <c r="FH395" i="1"/>
  <c r="FE395" i="1"/>
  <c r="FB395" i="1"/>
  <c r="EY395" i="1"/>
  <c r="EV395" i="1"/>
  <c r="ES395" i="1"/>
  <c r="EP395" i="1"/>
  <c r="EM395" i="1"/>
  <c r="EJ395" i="1"/>
  <c r="EG395" i="1"/>
  <c r="ED395" i="1"/>
  <c r="EA395" i="1"/>
  <c r="DX395" i="1"/>
  <c r="DU395" i="1"/>
  <c r="DR395" i="1"/>
  <c r="DO395" i="1"/>
  <c r="DL395" i="1"/>
  <c r="N124" i="1"/>
  <c r="DJ157" i="1"/>
  <c r="O124" i="1"/>
  <c r="DK157" i="1"/>
  <c r="Q124" i="1"/>
  <c r="DM157" i="1"/>
  <c r="R124" i="1"/>
  <c r="DN157" i="1"/>
  <c r="T124" i="1"/>
  <c r="DP157" i="1"/>
  <c r="U124" i="1"/>
  <c r="DQ157" i="1"/>
  <c r="W124" i="1"/>
  <c r="DS157" i="1"/>
  <c r="X124" i="1"/>
  <c r="DT157" i="1"/>
  <c r="Z124" i="1"/>
  <c r="DV157" i="1"/>
  <c r="AA124" i="1"/>
  <c r="DW157" i="1"/>
  <c r="AC124" i="1"/>
  <c r="DY157" i="1"/>
  <c r="AD124" i="1"/>
  <c r="DZ157" i="1"/>
  <c r="AF124" i="1"/>
  <c r="EB157" i="1"/>
  <c r="AG124" i="1"/>
  <c r="EC157" i="1"/>
  <c r="AI124" i="1"/>
  <c r="EE157" i="1"/>
  <c r="AJ124" i="1"/>
  <c r="EF157" i="1"/>
  <c r="AL124" i="1"/>
  <c r="EH157" i="1"/>
  <c r="AM124" i="1"/>
  <c r="EI157" i="1"/>
  <c r="AO124" i="1"/>
  <c r="EK157" i="1"/>
  <c r="AP124" i="1"/>
  <c r="EL157" i="1"/>
  <c r="AR124" i="1"/>
  <c r="EN157" i="1"/>
  <c r="AS124" i="1"/>
  <c r="EO157" i="1"/>
  <c r="AU124" i="1"/>
  <c r="EQ157" i="1"/>
  <c r="AV124" i="1"/>
  <c r="ER157" i="1"/>
  <c r="AX124" i="1"/>
  <c r="ET157" i="1"/>
  <c r="AY124" i="1"/>
  <c r="EU157" i="1"/>
  <c r="BA124" i="1"/>
  <c r="EW157" i="1"/>
  <c r="BB124" i="1"/>
  <c r="EX157" i="1"/>
  <c r="BD124" i="1"/>
  <c r="EZ157" i="1"/>
  <c r="BE124" i="1"/>
  <c r="FA157" i="1"/>
  <c r="BG124" i="1"/>
  <c r="FC157" i="1"/>
  <c r="BH124" i="1"/>
  <c r="FD157" i="1"/>
  <c r="BJ124" i="1"/>
  <c r="FF157" i="1"/>
  <c r="BK124" i="1"/>
  <c r="FG157" i="1"/>
  <c r="BM124" i="1"/>
  <c r="FI157" i="1"/>
  <c r="BN124" i="1"/>
  <c r="FJ157" i="1"/>
  <c r="BP124" i="1"/>
  <c r="FL157" i="1"/>
  <c r="BQ124" i="1"/>
  <c r="FM157" i="1"/>
  <c r="BS124" i="1"/>
  <c r="FO157" i="1"/>
  <c r="BT124" i="1"/>
  <c r="FP157" i="1"/>
  <c r="BV124" i="1"/>
  <c r="FR157" i="1"/>
  <c r="BW124" i="1"/>
  <c r="FS157" i="1"/>
  <c r="BY124" i="1"/>
  <c r="FU157" i="1"/>
  <c r="BZ124" i="1"/>
  <c r="FV157" i="1"/>
  <c r="CB124" i="1"/>
  <c r="FX157" i="1"/>
  <c r="CC124" i="1"/>
  <c r="FY157" i="1"/>
  <c r="CE124" i="1"/>
  <c r="GA157" i="1"/>
  <c r="CF124" i="1"/>
  <c r="GB157" i="1"/>
  <c r="CH124" i="1"/>
  <c r="GD157" i="1"/>
  <c r="CI124" i="1"/>
  <c r="GE157" i="1"/>
  <c r="CK124" i="1"/>
  <c r="GG157" i="1"/>
  <c r="CL124" i="1"/>
  <c r="GH157" i="1"/>
  <c r="CN124" i="1"/>
  <c r="GJ157" i="1"/>
  <c r="CO124" i="1"/>
  <c r="GK157" i="1"/>
  <c r="GP157" i="1"/>
  <c r="N151" i="1"/>
  <c r="DJ184" i="1"/>
  <c r="O151" i="1"/>
  <c r="DK184" i="1"/>
  <c r="Q151" i="1"/>
  <c r="DM184" i="1"/>
  <c r="R151" i="1"/>
  <c r="DN184" i="1"/>
  <c r="T151" i="1"/>
  <c r="DP184" i="1"/>
  <c r="U151" i="1"/>
  <c r="DQ184" i="1"/>
  <c r="W151" i="1"/>
  <c r="DS184" i="1"/>
  <c r="X151" i="1"/>
  <c r="DT184" i="1"/>
  <c r="Z151" i="1"/>
  <c r="DV184" i="1"/>
  <c r="AA151" i="1"/>
  <c r="DW184" i="1"/>
  <c r="AC151" i="1"/>
  <c r="DY184" i="1"/>
  <c r="AD151" i="1"/>
  <c r="DZ184" i="1"/>
  <c r="AF151" i="1"/>
  <c r="EB184" i="1"/>
  <c r="AG151" i="1"/>
  <c r="EC184" i="1"/>
  <c r="AI151" i="1"/>
  <c r="EE184" i="1"/>
  <c r="AJ151" i="1"/>
  <c r="EF184" i="1"/>
  <c r="AL151" i="1"/>
  <c r="EH184" i="1"/>
  <c r="AM151" i="1"/>
  <c r="EI184" i="1"/>
  <c r="AO151" i="1"/>
  <c r="EK184" i="1"/>
  <c r="AP151" i="1"/>
  <c r="EL184" i="1"/>
  <c r="AR151" i="1"/>
  <c r="EN184" i="1"/>
  <c r="AS151" i="1"/>
  <c r="EO184" i="1"/>
  <c r="AU151" i="1"/>
  <c r="EQ184" i="1"/>
  <c r="AV151" i="1"/>
  <c r="ER184" i="1"/>
  <c r="AX151" i="1"/>
  <c r="ET184" i="1"/>
  <c r="AY151" i="1"/>
  <c r="EU184" i="1"/>
  <c r="BA151" i="1"/>
  <c r="EW184" i="1"/>
  <c r="BB151" i="1"/>
  <c r="EX184" i="1"/>
  <c r="BD151" i="1"/>
  <c r="EZ184" i="1"/>
  <c r="BE151" i="1"/>
  <c r="FA184" i="1"/>
  <c r="BG151" i="1"/>
  <c r="FC184" i="1"/>
  <c r="BH151" i="1"/>
  <c r="FD184" i="1"/>
  <c r="BJ151" i="1"/>
  <c r="FF184" i="1"/>
  <c r="BK151" i="1"/>
  <c r="FG184" i="1"/>
  <c r="BM151" i="1"/>
  <c r="FI184" i="1"/>
  <c r="BN151" i="1"/>
  <c r="FJ184" i="1"/>
  <c r="BP151" i="1"/>
  <c r="FL184" i="1"/>
  <c r="BQ151" i="1"/>
  <c r="FM184" i="1"/>
  <c r="BS151" i="1"/>
  <c r="FO184" i="1"/>
  <c r="BT151" i="1"/>
  <c r="FP184" i="1"/>
  <c r="BV151" i="1"/>
  <c r="FR184" i="1"/>
  <c r="BW151" i="1"/>
  <c r="FS184" i="1"/>
  <c r="BY151" i="1"/>
  <c r="FU184" i="1"/>
  <c r="BZ151" i="1"/>
  <c r="FV184" i="1"/>
  <c r="CB151" i="1"/>
  <c r="FX184" i="1"/>
  <c r="CC151" i="1"/>
  <c r="FY184" i="1"/>
  <c r="CE151" i="1"/>
  <c r="GA184" i="1"/>
  <c r="CF151" i="1"/>
  <c r="GB184" i="1"/>
  <c r="CH151" i="1"/>
  <c r="GD184" i="1"/>
  <c r="CI151" i="1"/>
  <c r="GE184" i="1"/>
  <c r="CK151" i="1"/>
  <c r="GG184" i="1"/>
  <c r="CL151" i="1"/>
  <c r="GH184" i="1"/>
  <c r="CN151" i="1"/>
  <c r="GJ184" i="1"/>
  <c r="CO151" i="1"/>
  <c r="GK184" i="1"/>
  <c r="GP184" i="1"/>
  <c r="GP211" i="1"/>
  <c r="GV157" i="1"/>
  <c r="GV184" i="1"/>
  <c r="GV211" i="1"/>
  <c r="GL394" i="1"/>
  <c r="GI394" i="1"/>
  <c r="GF394" i="1"/>
  <c r="GC394" i="1"/>
  <c r="FZ394" i="1"/>
  <c r="FW394" i="1"/>
  <c r="FT394" i="1"/>
  <c r="FQ394" i="1"/>
  <c r="FN394" i="1"/>
  <c r="FK394" i="1"/>
  <c r="FH394" i="1"/>
  <c r="FE394" i="1"/>
  <c r="FB394" i="1"/>
  <c r="EY394" i="1"/>
  <c r="EV394" i="1"/>
  <c r="ES394" i="1"/>
  <c r="EP394" i="1"/>
  <c r="EM394" i="1"/>
  <c r="EJ394" i="1"/>
  <c r="EG394" i="1"/>
  <c r="ED394" i="1"/>
  <c r="EA394" i="1"/>
  <c r="DX394" i="1"/>
  <c r="DU394" i="1"/>
  <c r="DR394" i="1"/>
  <c r="DO394" i="1"/>
  <c r="DL394" i="1"/>
  <c r="N123" i="1"/>
  <c r="DJ156" i="1"/>
  <c r="O123" i="1"/>
  <c r="DK156" i="1"/>
  <c r="Q123" i="1"/>
  <c r="DM156" i="1"/>
  <c r="R123" i="1"/>
  <c r="DN156" i="1"/>
  <c r="T123" i="1"/>
  <c r="DP156" i="1"/>
  <c r="U123" i="1"/>
  <c r="DQ156" i="1"/>
  <c r="W123" i="1"/>
  <c r="DS156" i="1"/>
  <c r="X123" i="1"/>
  <c r="DT156" i="1"/>
  <c r="Z123" i="1"/>
  <c r="DV156" i="1"/>
  <c r="AA123" i="1"/>
  <c r="DW156" i="1"/>
  <c r="AC123" i="1"/>
  <c r="DY156" i="1"/>
  <c r="AD123" i="1"/>
  <c r="DZ156" i="1"/>
  <c r="AF123" i="1"/>
  <c r="EB156" i="1"/>
  <c r="AG123" i="1"/>
  <c r="EC156" i="1"/>
  <c r="AI123" i="1"/>
  <c r="EE156" i="1"/>
  <c r="AJ123" i="1"/>
  <c r="EF156" i="1"/>
  <c r="AL123" i="1"/>
  <c r="EH156" i="1"/>
  <c r="AM123" i="1"/>
  <c r="EI156" i="1"/>
  <c r="AO123" i="1"/>
  <c r="EK156" i="1"/>
  <c r="AP123" i="1"/>
  <c r="EL156" i="1"/>
  <c r="AR123" i="1"/>
  <c r="EN156" i="1"/>
  <c r="AS123" i="1"/>
  <c r="EO156" i="1"/>
  <c r="AU123" i="1"/>
  <c r="EQ156" i="1"/>
  <c r="AV123" i="1"/>
  <c r="ER156" i="1"/>
  <c r="AX123" i="1"/>
  <c r="ET156" i="1"/>
  <c r="AY123" i="1"/>
  <c r="EU156" i="1"/>
  <c r="BA123" i="1"/>
  <c r="EW156" i="1"/>
  <c r="BB123" i="1"/>
  <c r="EX156" i="1"/>
  <c r="BD123" i="1"/>
  <c r="EZ156" i="1"/>
  <c r="BE123" i="1"/>
  <c r="FA156" i="1"/>
  <c r="BG123" i="1"/>
  <c r="FC156" i="1"/>
  <c r="BH123" i="1"/>
  <c r="FD156" i="1"/>
  <c r="BJ123" i="1"/>
  <c r="FF156" i="1"/>
  <c r="BK123" i="1"/>
  <c r="FG156" i="1"/>
  <c r="BM123" i="1"/>
  <c r="FI156" i="1"/>
  <c r="BN123" i="1"/>
  <c r="FJ156" i="1"/>
  <c r="BP123" i="1"/>
  <c r="FL156" i="1"/>
  <c r="BQ123" i="1"/>
  <c r="FM156" i="1"/>
  <c r="BS123" i="1"/>
  <c r="FO156" i="1"/>
  <c r="BT123" i="1"/>
  <c r="FP156" i="1"/>
  <c r="BV123" i="1"/>
  <c r="FR156" i="1"/>
  <c r="BW123" i="1"/>
  <c r="FS156" i="1"/>
  <c r="BY123" i="1"/>
  <c r="FU156" i="1"/>
  <c r="BZ123" i="1"/>
  <c r="FV156" i="1"/>
  <c r="CB123" i="1"/>
  <c r="FX156" i="1"/>
  <c r="CC123" i="1"/>
  <c r="FY156" i="1"/>
  <c r="CE123" i="1"/>
  <c r="GA156" i="1"/>
  <c r="CF123" i="1"/>
  <c r="GB156" i="1"/>
  <c r="CH123" i="1"/>
  <c r="GD156" i="1"/>
  <c r="CI123" i="1"/>
  <c r="GE156" i="1"/>
  <c r="CK123" i="1"/>
  <c r="GG156" i="1"/>
  <c r="CL123" i="1"/>
  <c r="GH156" i="1"/>
  <c r="CN123" i="1"/>
  <c r="GJ156" i="1"/>
  <c r="CO123" i="1"/>
  <c r="GK156" i="1"/>
  <c r="GP156" i="1"/>
  <c r="N150" i="1"/>
  <c r="DJ183" i="1"/>
  <c r="O150" i="1"/>
  <c r="DK183" i="1"/>
  <c r="Q150" i="1"/>
  <c r="DM183" i="1"/>
  <c r="R150" i="1"/>
  <c r="DN183" i="1"/>
  <c r="T150" i="1"/>
  <c r="DP183" i="1"/>
  <c r="U150" i="1"/>
  <c r="DQ183" i="1"/>
  <c r="W150" i="1"/>
  <c r="DS183" i="1"/>
  <c r="X150" i="1"/>
  <c r="DT183" i="1"/>
  <c r="Z150" i="1"/>
  <c r="DV183" i="1"/>
  <c r="AA150" i="1"/>
  <c r="DW183" i="1"/>
  <c r="AC150" i="1"/>
  <c r="DY183" i="1"/>
  <c r="AD150" i="1"/>
  <c r="DZ183" i="1"/>
  <c r="AF150" i="1"/>
  <c r="EB183" i="1"/>
  <c r="AG150" i="1"/>
  <c r="EC183" i="1"/>
  <c r="AI150" i="1"/>
  <c r="EE183" i="1"/>
  <c r="AJ150" i="1"/>
  <c r="EF183" i="1"/>
  <c r="AL150" i="1"/>
  <c r="EH183" i="1"/>
  <c r="AM150" i="1"/>
  <c r="EI183" i="1"/>
  <c r="AO150" i="1"/>
  <c r="EK183" i="1"/>
  <c r="AP150" i="1"/>
  <c r="EL183" i="1"/>
  <c r="AR150" i="1"/>
  <c r="EN183" i="1"/>
  <c r="AS150" i="1"/>
  <c r="EO183" i="1"/>
  <c r="AU150" i="1"/>
  <c r="EQ183" i="1"/>
  <c r="AV150" i="1"/>
  <c r="ER183" i="1"/>
  <c r="AX150" i="1"/>
  <c r="ET183" i="1"/>
  <c r="AY150" i="1"/>
  <c r="EU183" i="1"/>
  <c r="BA150" i="1"/>
  <c r="EW183" i="1"/>
  <c r="BB150" i="1"/>
  <c r="EX183" i="1"/>
  <c r="BD150" i="1"/>
  <c r="EZ183" i="1"/>
  <c r="BE150" i="1"/>
  <c r="FA183" i="1"/>
  <c r="BG150" i="1"/>
  <c r="FC183" i="1"/>
  <c r="BH150" i="1"/>
  <c r="FD183" i="1"/>
  <c r="BJ150" i="1"/>
  <c r="FF183" i="1"/>
  <c r="BK150" i="1"/>
  <c r="FG183" i="1"/>
  <c r="BM150" i="1"/>
  <c r="FI183" i="1"/>
  <c r="BN150" i="1"/>
  <c r="FJ183" i="1"/>
  <c r="BP150" i="1"/>
  <c r="FL183" i="1"/>
  <c r="BQ150" i="1"/>
  <c r="FM183" i="1"/>
  <c r="BS150" i="1"/>
  <c r="FO183" i="1"/>
  <c r="BT150" i="1"/>
  <c r="FP183" i="1"/>
  <c r="BV150" i="1"/>
  <c r="FR183" i="1"/>
  <c r="BW150" i="1"/>
  <c r="FS183" i="1"/>
  <c r="BY150" i="1"/>
  <c r="FU183" i="1"/>
  <c r="BZ150" i="1"/>
  <c r="FV183" i="1"/>
  <c r="CB150" i="1"/>
  <c r="FX183" i="1"/>
  <c r="CC150" i="1"/>
  <c r="FY183" i="1"/>
  <c r="CE150" i="1"/>
  <c r="GA183" i="1"/>
  <c r="CF150" i="1"/>
  <c r="GB183" i="1"/>
  <c r="CH150" i="1"/>
  <c r="GD183" i="1"/>
  <c r="CI150" i="1"/>
  <c r="GE183" i="1"/>
  <c r="CK150" i="1"/>
  <c r="GG183" i="1"/>
  <c r="CL150" i="1"/>
  <c r="GH183" i="1"/>
  <c r="CN150" i="1"/>
  <c r="GJ183" i="1"/>
  <c r="CO150" i="1"/>
  <c r="GK183" i="1"/>
  <c r="GP183" i="1"/>
  <c r="GP210" i="1"/>
  <c r="GV156" i="1"/>
  <c r="GV183" i="1"/>
  <c r="GV210" i="1"/>
  <c r="GL393" i="1"/>
  <c r="GI393" i="1"/>
  <c r="GF393" i="1"/>
  <c r="GC393" i="1"/>
  <c r="FZ393" i="1"/>
  <c r="FW393" i="1"/>
  <c r="FT393" i="1"/>
  <c r="FQ393" i="1"/>
  <c r="FN393" i="1"/>
  <c r="FK393" i="1"/>
  <c r="FH393" i="1"/>
  <c r="FE393" i="1"/>
  <c r="FB393" i="1"/>
  <c r="EY393" i="1"/>
  <c r="EV393" i="1"/>
  <c r="ES393" i="1"/>
  <c r="EP393" i="1"/>
  <c r="EM393" i="1"/>
  <c r="EJ393" i="1"/>
  <c r="EG393" i="1"/>
  <c r="ED393" i="1"/>
  <c r="EA393" i="1"/>
  <c r="DX393" i="1"/>
  <c r="DU393" i="1"/>
  <c r="DR393" i="1"/>
  <c r="DO393" i="1"/>
  <c r="DL393" i="1"/>
  <c r="N122" i="1"/>
  <c r="DJ155" i="1"/>
  <c r="O122" i="1"/>
  <c r="DK155" i="1"/>
  <c r="Q122" i="1"/>
  <c r="DM155" i="1"/>
  <c r="R122" i="1"/>
  <c r="DN155" i="1"/>
  <c r="T122" i="1"/>
  <c r="DP155" i="1"/>
  <c r="U122" i="1"/>
  <c r="DQ155" i="1"/>
  <c r="W122" i="1"/>
  <c r="DS155" i="1"/>
  <c r="X122" i="1"/>
  <c r="DT155" i="1"/>
  <c r="Z122" i="1"/>
  <c r="DV155" i="1"/>
  <c r="AA122" i="1"/>
  <c r="DW155" i="1"/>
  <c r="AC122" i="1"/>
  <c r="DY155" i="1"/>
  <c r="AD122" i="1"/>
  <c r="DZ155" i="1"/>
  <c r="AF122" i="1"/>
  <c r="EB155" i="1"/>
  <c r="AG122" i="1"/>
  <c r="EC155" i="1"/>
  <c r="AI122" i="1"/>
  <c r="EE155" i="1"/>
  <c r="AJ122" i="1"/>
  <c r="EF155" i="1"/>
  <c r="AL122" i="1"/>
  <c r="EH155" i="1"/>
  <c r="AM122" i="1"/>
  <c r="EI155" i="1"/>
  <c r="AO122" i="1"/>
  <c r="EK155" i="1"/>
  <c r="AP122" i="1"/>
  <c r="EL155" i="1"/>
  <c r="AR122" i="1"/>
  <c r="EN155" i="1"/>
  <c r="AS122" i="1"/>
  <c r="EO155" i="1"/>
  <c r="AU122" i="1"/>
  <c r="EQ155" i="1"/>
  <c r="AV122" i="1"/>
  <c r="ER155" i="1"/>
  <c r="AX122" i="1"/>
  <c r="ET155" i="1"/>
  <c r="AY122" i="1"/>
  <c r="EU155" i="1"/>
  <c r="BA122" i="1"/>
  <c r="EW155" i="1"/>
  <c r="BB122" i="1"/>
  <c r="EX155" i="1"/>
  <c r="BD122" i="1"/>
  <c r="EZ155" i="1"/>
  <c r="BE122" i="1"/>
  <c r="FA155" i="1"/>
  <c r="BG122" i="1"/>
  <c r="FC155" i="1"/>
  <c r="BH122" i="1"/>
  <c r="FD155" i="1"/>
  <c r="BJ122" i="1"/>
  <c r="FF155" i="1"/>
  <c r="BK122" i="1"/>
  <c r="FG155" i="1"/>
  <c r="BM122" i="1"/>
  <c r="FI155" i="1"/>
  <c r="BN122" i="1"/>
  <c r="FJ155" i="1"/>
  <c r="BP122" i="1"/>
  <c r="FL155" i="1"/>
  <c r="BQ122" i="1"/>
  <c r="FM155" i="1"/>
  <c r="BS122" i="1"/>
  <c r="FO155" i="1"/>
  <c r="BT122" i="1"/>
  <c r="FP155" i="1"/>
  <c r="BV122" i="1"/>
  <c r="FR155" i="1"/>
  <c r="BW122" i="1"/>
  <c r="FS155" i="1"/>
  <c r="BY122" i="1"/>
  <c r="FU155" i="1"/>
  <c r="BZ122" i="1"/>
  <c r="FV155" i="1"/>
  <c r="CB122" i="1"/>
  <c r="FX155" i="1"/>
  <c r="CC122" i="1"/>
  <c r="FY155" i="1"/>
  <c r="CE122" i="1"/>
  <c r="GA155" i="1"/>
  <c r="CF122" i="1"/>
  <c r="GB155" i="1"/>
  <c r="CH122" i="1"/>
  <c r="GD155" i="1"/>
  <c r="CI122" i="1"/>
  <c r="GE155" i="1"/>
  <c r="CK122" i="1"/>
  <c r="GG155" i="1"/>
  <c r="CL122" i="1"/>
  <c r="GH155" i="1"/>
  <c r="CN122" i="1"/>
  <c r="GJ155" i="1"/>
  <c r="CO122" i="1"/>
  <c r="GK155" i="1"/>
  <c r="GP155" i="1"/>
  <c r="N149" i="1"/>
  <c r="DJ182" i="1"/>
  <c r="O149" i="1"/>
  <c r="DK182" i="1"/>
  <c r="Q149" i="1"/>
  <c r="DM182" i="1"/>
  <c r="R149" i="1"/>
  <c r="DN182" i="1"/>
  <c r="T149" i="1"/>
  <c r="DP182" i="1"/>
  <c r="U149" i="1"/>
  <c r="DQ182" i="1"/>
  <c r="W149" i="1"/>
  <c r="DS182" i="1"/>
  <c r="X149" i="1"/>
  <c r="DT182" i="1"/>
  <c r="Z149" i="1"/>
  <c r="DV182" i="1"/>
  <c r="AA149" i="1"/>
  <c r="DW182" i="1"/>
  <c r="AC149" i="1"/>
  <c r="DY182" i="1"/>
  <c r="AD149" i="1"/>
  <c r="DZ182" i="1"/>
  <c r="AF149" i="1"/>
  <c r="EB182" i="1"/>
  <c r="AG149" i="1"/>
  <c r="EC182" i="1"/>
  <c r="AI149" i="1"/>
  <c r="EE182" i="1"/>
  <c r="AJ149" i="1"/>
  <c r="EF182" i="1"/>
  <c r="AL149" i="1"/>
  <c r="EH182" i="1"/>
  <c r="AM149" i="1"/>
  <c r="EI182" i="1"/>
  <c r="AO149" i="1"/>
  <c r="EK182" i="1"/>
  <c r="AP149" i="1"/>
  <c r="EL182" i="1"/>
  <c r="AR149" i="1"/>
  <c r="EN182" i="1"/>
  <c r="AS149" i="1"/>
  <c r="EO182" i="1"/>
  <c r="AU149" i="1"/>
  <c r="EQ182" i="1"/>
  <c r="AV149" i="1"/>
  <c r="ER182" i="1"/>
  <c r="AX149" i="1"/>
  <c r="ET182" i="1"/>
  <c r="AY149" i="1"/>
  <c r="EU182" i="1"/>
  <c r="BA149" i="1"/>
  <c r="EW182" i="1"/>
  <c r="BB149" i="1"/>
  <c r="EX182" i="1"/>
  <c r="BD149" i="1"/>
  <c r="EZ182" i="1"/>
  <c r="BE149" i="1"/>
  <c r="FA182" i="1"/>
  <c r="BG149" i="1"/>
  <c r="FC182" i="1"/>
  <c r="BH149" i="1"/>
  <c r="FD182" i="1"/>
  <c r="BJ149" i="1"/>
  <c r="FF182" i="1"/>
  <c r="BK149" i="1"/>
  <c r="FG182" i="1"/>
  <c r="BM149" i="1"/>
  <c r="FI182" i="1"/>
  <c r="BN149" i="1"/>
  <c r="FJ182" i="1"/>
  <c r="BP149" i="1"/>
  <c r="FL182" i="1"/>
  <c r="BQ149" i="1"/>
  <c r="FM182" i="1"/>
  <c r="BS149" i="1"/>
  <c r="FO182" i="1"/>
  <c r="BT149" i="1"/>
  <c r="FP182" i="1"/>
  <c r="BV149" i="1"/>
  <c r="FR182" i="1"/>
  <c r="BW149" i="1"/>
  <c r="FS182" i="1"/>
  <c r="BY149" i="1"/>
  <c r="FU182" i="1"/>
  <c r="BZ149" i="1"/>
  <c r="FV182" i="1"/>
  <c r="CB149" i="1"/>
  <c r="FX182" i="1"/>
  <c r="CC149" i="1"/>
  <c r="FY182" i="1"/>
  <c r="CE149" i="1"/>
  <c r="GA182" i="1"/>
  <c r="CF149" i="1"/>
  <c r="GB182" i="1"/>
  <c r="CH149" i="1"/>
  <c r="GD182" i="1"/>
  <c r="CI149" i="1"/>
  <c r="GE182" i="1"/>
  <c r="CK149" i="1"/>
  <c r="GG182" i="1"/>
  <c r="CL149" i="1"/>
  <c r="GH182" i="1"/>
  <c r="CN149" i="1"/>
  <c r="GJ182" i="1"/>
  <c r="CO149" i="1"/>
  <c r="GK182" i="1"/>
  <c r="GP182" i="1"/>
  <c r="GP209" i="1"/>
  <c r="GV155" i="1"/>
  <c r="GV182" i="1"/>
  <c r="GV209" i="1"/>
  <c r="GL392" i="1"/>
  <c r="GI392" i="1"/>
  <c r="GF392" i="1"/>
  <c r="GC392" i="1"/>
  <c r="FZ392" i="1"/>
  <c r="FW392" i="1"/>
  <c r="FT392" i="1"/>
  <c r="FQ392" i="1"/>
  <c r="FN392" i="1"/>
  <c r="FK392" i="1"/>
  <c r="FH392" i="1"/>
  <c r="FE392" i="1"/>
  <c r="FB392" i="1"/>
  <c r="EY392" i="1"/>
  <c r="EV392" i="1"/>
  <c r="ES392" i="1"/>
  <c r="EP392" i="1"/>
  <c r="EM392" i="1"/>
  <c r="EJ392" i="1"/>
  <c r="EG392" i="1"/>
  <c r="ED392" i="1"/>
  <c r="EA392" i="1"/>
  <c r="DX392" i="1"/>
  <c r="DU392" i="1"/>
  <c r="DR392" i="1"/>
  <c r="DO392" i="1"/>
  <c r="DL392" i="1"/>
  <c r="N121" i="1"/>
  <c r="DJ154" i="1"/>
  <c r="O121" i="1"/>
  <c r="DK154" i="1"/>
  <c r="Q121" i="1"/>
  <c r="DM154" i="1"/>
  <c r="R121" i="1"/>
  <c r="DN154" i="1"/>
  <c r="T121" i="1"/>
  <c r="DP154" i="1"/>
  <c r="U121" i="1"/>
  <c r="DQ154" i="1"/>
  <c r="W121" i="1"/>
  <c r="DS154" i="1"/>
  <c r="X121" i="1"/>
  <c r="DT154" i="1"/>
  <c r="Z121" i="1"/>
  <c r="DV154" i="1"/>
  <c r="AA121" i="1"/>
  <c r="DW154" i="1"/>
  <c r="AC121" i="1"/>
  <c r="DY154" i="1"/>
  <c r="AD121" i="1"/>
  <c r="DZ154" i="1"/>
  <c r="AF121" i="1"/>
  <c r="EB154" i="1"/>
  <c r="AG121" i="1"/>
  <c r="EC154" i="1"/>
  <c r="AI121" i="1"/>
  <c r="EE154" i="1"/>
  <c r="AJ121" i="1"/>
  <c r="EF154" i="1"/>
  <c r="AL121" i="1"/>
  <c r="EH154" i="1"/>
  <c r="AM121" i="1"/>
  <c r="EI154" i="1"/>
  <c r="AO121" i="1"/>
  <c r="EK154" i="1"/>
  <c r="AP121" i="1"/>
  <c r="EL154" i="1"/>
  <c r="AR121" i="1"/>
  <c r="EN154" i="1"/>
  <c r="AS121" i="1"/>
  <c r="EO154" i="1"/>
  <c r="AU121" i="1"/>
  <c r="EQ154" i="1"/>
  <c r="AV121" i="1"/>
  <c r="ER154" i="1"/>
  <c r="AX121" i="1"/>
  <c r="ET154" i="1"/>
  <c r="AY121" i="1"/>
  <c r="EU154" i="1"/>
  <c r="BA121" i="1"/>
  <c r="EW154" i="1"/>
  <c r="BB121" i="1"/>
  <c r="EX154" i="1"/>
  <c r="BD121" i="1"/>
  <c r="EZ154" i="1"/>
  <c r="BE121" i="1"/>
  <c r="FA154" i="1"/>
  <c r="BG121" i="1"/>
  <c r="FC154" i="1"/>
  <c r="BH121" i="1"/>
  <c r="FD154" i="1"/>
  <c r="BJ121" i="1"/>
  <c r="FF154" i="1"/>
  <c r="BK121" i="1"/>
  <c r="FG154" i="1"/>
  <c r="BM121" i="1"/>
  <c r="FI154" i="1"/>
  <c r="BN121" i="1"/>
  <c r="FJ154" i="1"/>
  <c r="BP121" i="1"/>
  <c r="FL154" i="1"/>
  <c r="BQ121" i="1"/>
  <c r="FM154" i="1"/>
  <c r="BS121" i="1"/>
  <c r="FO154" i="1"/>
  <c r="BT121" i="1"/>
  <c r="FP154" i="1"/>
  <c r="BV121" i="1"/>
  <c r="FR154" i="1"/>
  <c r="BW121" i="1"/>
  <c r="FS154" i="1"/>
  <c r="BY121" i="1"/>
  <c r="FU154" i="1"/>
  <c r="BZ121" i="1"/>
  <c r="FV154" i="1"/>
  <c r="CB121" i="1"/>
  <c r="FX154" i="1"/>
  <c r="CC121" i="1"/>
  <c r="FY154" i="1"/>
  <c r="CE121" i="1"/>
  <c r="GA154" i="1"/>
  <c r="CF121" i="1"/>
  <c r="GB154" i="1"/>
  <c r="CH121" i="1"/>
  <c r="GD154" i="1"/>
  <c r="CI121" i="1"/>
  <c r="GE154" i="1"/>
  <c r="CK121" i="1"/>
  <c r="GG154" i="1"/>
  <c r="CL121" i="1"/>
  <c r="GH154" i="1"/>
  <c r="CN121" i="1"/>
  <c r="GJ154" i="1"/>
  <c r="CO121" i="1"/>
  <c r="GK154" i="1"/>
  <c r="GP154" i="1"/>
  <c r="N148" i="1"/>
  <c r="DJ181" i="1"/>
  <c r="O148" i="1"/>
  <c r="DK181" i="1"/>
  <c r="Q148" i="1"/>
  <c r="DM181" i="1"/>
  <c r="R148" i="1"/>
  <c r="DN181" i="1"/>
  <c r="T148" i="1"/>
  <c r="DP181" i="1"/>
  <c r="U148" i="1"/>
  <c r="DQ181" i="1"/>
  <c r="W148" i="1"/>
  <c r="DS181" i="1"/>
  <c r="X148" i="1"/>
  <c r="DT181" i="1"/>
  <c r="Z148" i="1"/>
  <c r="DV181" i="1"/>
  <c r="AA148" i="1"/>
  <c r="DW181" i="1"/>
  <c r="AC148" i="1"/>
  <c r="DY181" i="1"/>
  <c r="AD148" i="1"/>
  <c r="DZ181" i="1"/>
  <c r="AF148" i="1"/>
  <c r="EB181" i="1"/>
  <c r="AG148" i="1"/>
  <c r="EC181" i="1"/>
  <c r="AI148" i="1"/>
  <c r="EE181" i="1"/>
  <c r="AJ148" i="1"/>
  <c r="EF181" i="1"/>
  <c r="AL148" i="1"/>
  <c r="EH181" i="1"/>
  <c r="AM148" i="1"/>
  <c r="EI181" i="1"/>
  <c r="AO148" i="1"/>
  <c r="EK181" i="1"/>
  <c r="AP148" i="1"/>
  <c r="EL181" i="1"/>
  <c r="AR148" i="1"/>
  <c r="EN181" i="1"/>
  <c r="AS148" i="1"/>
  <c r="EO181" i="1"/>
  <c r="AU148" i="1"/>
  <c r="EQ181" i="1"/>
  <c r="AV148" i="1"/>
  <c r="ER181" i="1"/>
  <c r="AX148" i="1"/>
  <c r="ET181" i="1"/>
  <c r="AY148" i="1"/>
  <c r="EU181" i="1"/>
  <c r="BA148" i="1"/>
  <c r="EW181" i="1"/>
  <c r="BB148" i="1"/>
  <c r="EX181" i="1"/>
  <c r="BD148" i="1"/>
  <c r="EZ181" i="1"/>
  <c r="BE148" i="1"/>
  <c r="FA181" i="1"/>
  <c r="BG148" i="1"/>
  <c r="FC181" i="1"/>
  <c r="BH148" i="1"/>
  <c r="FD181" i="1"/>
  <c r="BJ148" i="1"/>
  <c r="FF181" i="1"/>
  <c r="BK148" i="1"/>
  <c r="FG181" i="1"/>
  <c r="BM148" i="1"/>
  <c r="FI181" i="1"/>
  <c r="BN148" i="1"/>
  <c r="FJ181" i="1"/>
  <c r="BP148" i="1"/>
  <c r="FL181" i="1"/>
  <c r="BQ148" i="1"/>
  <c r="FM181" i="1"/>
  <c r="BS148" i="1"/>
  <c r="FO181" i="1"/>
  <c r="BT148" i="1"/>
  <c r="FP181" i="1"/>
  <c r="BV148" i="1"/>
  <c r="FR181" i="1"/>
  <c r="BW148" i="1"/>
  <c r="FS181" i="1"/>
  <c r="BY148" i="1"/>
  <c r="FU181" i="1"/>
  <c r="BZ148" i="1"/>
  <c r="FV181" i="1"/>
  <c r="CB148" i="1"/>
  <c r="FX181" i="1"/>
  <c r="CC148" i="1"/>
  <c r="FY181" i="1"/>
  <c r="CE148" i="1"/>
  <c r="GA181" i="1"/>
  <c r="CF148" i="1"/>
  <c r="GB181" i="1"/>
  <c r="CH148" i="1"/>
  <c r="GD181" i="1"/>
  <c r="CI148" i="1"/>
  <c r="GE181" i="1"/>
  <c r="CK148" i="1"/>
  <c r="GG181" i="1"/>
  <c r="CL148" i="1"/>
  <c r="GH181" i="1"/>
  <c r="CN148" i="1"/>
  <c r="GJ181" i="1"/>
  <c r="CO148" i="1"/>
  <c r="GK181" i="1"/>
  <c r="GP181" i="1"/>
  <c r="GP208" i="1"/>
  <c r="GV154" i="1"/>
  <c r="GV181" i="1"/>
  <c r="GV208" i="1"/>
  <c r="GL391" i="1"/>
  <c r="GI391" i="1"/>
  <c r="GF391" i="1"/>
  <c r="GC391" i="1"/>
  <c r="FZ391" i="1"/>
  <c r="FW391" i="1"/>
  <c r="FT391" i="1"/>
  <c r="FQ391" i="1"/>
  <c r="FN391" i="1"/>
  <c r="FK391" i="1"/>
  <c r="FH391" i="1"/>
  <c r="FE391" i="1"/>
  <c r="FB391" i="1"/>
  <c r="EY391" i="1"/>
  <c r="EV391" i="1"/>
  <c r="ES391" i="1"/>
  <c r="EP391" i="1"/>
  <c r="EM391" i="1"/>
  <c r="EJ391" i="1"/>
  <c r="EG391" i="1"/>
  <c r="ED391" i="1"/>
  <c r="EA391" i="1"/>
  <c r="DX391" i="1"/>
  <c r="DU391" i="1"/>
  <c r="DR391" i="1"/>
  <c r="DO391" i="1"/>
  <c r="DL391" i="1"/>
  <c r="N120" i="1"/>
  <c r="DJ153" i="1"/>
  <c r="O120" i="1"/>
  <c r="DK153" i="1"/>
  <c r="Q120" i="1"/>
  <c r="DM153" i="1"/>
  <c r="R120" i="1"/>
  <c r="DN153" i="1"/>
  <c r="T120" i="1"/>
  <c r="DP153" i="1"/>
  <c r="U120" i="1"/>
  <c r="DQ153" i="1"/>
  <c r="W120" i="1"/>
  <c r="DS153" i="1"/>
  <c r="X120" i="1"/>
  <c r="DT153" i="1"/>
  <c r="Z120" i="1"/>
  <c r="DV153" i="1"/>
  <c r="AA120" i="1"/>
  <c r="DW153" i="1"/>
  <c r="AC120" i="1"/>
  <c r="DY153" i="1"/>
  <c r="AD120" i="1"/>
  <c r="DZ153" i="1"/>
  <c r="AF120" i="1"/>
  <c r="EB153" i="1"/>
  <c r="AG120" i="1"/>
  <c r="EC153" i="1"/>
  <c r="AI120" i="1"/>
  <c r="EE153" i="1"/>
  <c r="AJ120" i="1"/>
  <c r="EF153" i="1"/>
  <c r="AL120" i="1"/>
  <c r="EH153" i="1"/>
  <c r="AM120" i="1"/>
  <c r="EI153" i="1"/>
  <c r="AO120" i="1"/>
  <c r="EK153" i="1"/>
  <c r="AP120" i="1"/>
  <c r="EL153" i="1"/>
  <c r="AR120" i="1"/>
  <c r="EN153" i="1"/>
  <c r="AS120" i="1"/>
  <c r="EO153" i="1"/>
  <c r="AU120" i="1"/>
  <c r="EQ153" i="1"/>
  <c r="AV120" i="1"/>
  <c r="ER153" i="1"/>
  <c r="AX120" i="1"/>
  <c r="ET153" i="1"/>
  <c r="AY120" i="1"/>
  <c r="EU153" i="1"/>
  <c r="BA120" i="1"/>
  <c r="EW153" i="1"/>
  <c r="BB120" i="1"/>
  <c r="EX153" i="1"/>
  <c r="BD120" i="1"/>
  <c r="EZ153" i="1"/>
  <c r="BE120" i="1"/>
  <c r="FA153" i="1"/>
  <c r="BG120" i="1"/>
  <c r="FC153" i="1"/>
  <c r="BH120" i="1"/>
  <c r="FD153" i="1"/>
  <c r="BJ120" i="1"/>
  <c r="FF153" i="1"/>
  <c r="BK120" i="1"/>
  <c r="FG153" i="1"/>
  <c r="BM120" i="1"/>
  <c r="FI153" i="1"/>
  <c r="BN120" i="1"/>
  <c r="FJ153" i="1"/>
  <c r="BP120" i="1"/>
  <c r="FL153" i="1"/>
  <c r="BQ120" i="1"/>
  <c r="FM153" i="1"/>
  <c r="BS120" i="1"/>
  <c r="FO153" i="1"/>
  <c r="BT120" i="1"/>
  <c r="FP153" i="1"/>
  <c r="BV120" i="1"/>
  <c r="FR153" i="1"/>
  <c r="BW120" i="1"/>
  <c r="FS153" i="1"/>
  <c r="BY120" i="1"/>
  <c r="FU153" i="1"/>
  <c r="BZ120" i="1"/>
  <c r="FV153" i="1"/>
  <c r="CB120" i="1"/>
  <c r="FX153" i="1"/>
  <c r="CC120" i="1"/>
  <c r="FY153" i="1"/>
  <c r="CE120" i="1"/>
  <c r="GA153" i="1"/>
  <c r="CF120" i="1"/>
  <c r="GB153" i="1"/>
  <c r="CH120" i="1"/>
  <c r="GD153" i="1"/>
  <c r="CI120" i="1"/>
  <c r="GE153" i="1"/>
  <c r="CK120" i="1"/>
  <c r="GG153" i="1"/>
  <c r="CL120" i="1"/>
  <c r="GH153" i="1"/>
  <c r="CN120" i="1"/>
  <c r="GJ153" i="1"/>
  <c r="CO120" i="1"/>
  <c r="GK153" i="1"/>
  <c r="GP153" i="1"/>
  <c r="N147" i="1"/>
  <c r="DJ180" i="1"/>
  <c r="O147" i="1"/>
  <c r="DK180" i="1"/>
  <c r="Q147" i="1"/>
  <c r="DM180" i="1"/>
  <c r="R147" i="1"/>
  <c r="DN180" i="1"/>
  <c r="T147" i="1"/>
  <c r="DP180" i="1"/>
  <c r="U147" i="1"/>
  <c r="DQ180" i="1"/>
  <c r="W147" i="1"/>
  <c r="DS180" i="1"/>
  <c r="X147" i="1"/>
  <c r="DT180" i="1"/>
  <c r="Z147" i="1"/>
  <c r="DV180" i="1"/>
  <c r="AA147" i="1"/>
  <c r="DW180" i="1"/>
  <c r="AC147" i="1"/>
  <c r="DY180" i="1"/>
  <c r="AD147" i="1"/>
  <c r="DZ180" i="1"/>
  <c r="AF147" i="1"/>
  <c r="EB180" i="1"/>
  <c r="AG147" i="1"/>
  <c r="EC180" i="1"/>
  <c r="AI147" i="1"/>
  <c r="EE180" i="1"/>
  <c r="AJ147" i="1"/>
  <c r="EF180" i="1"/>
  <c r="AL147" i="1"/>
  <c r="EH180" i="1"/>
  <c r="AM147" i="1"/>
  <c r="EI180" i="1"/>
  <c r="AO147" i="1"/>
  <c r="EK180" i="1"/>
  <c r="AP147" i="1"/>
  <c r="EL180" i="1"/>
  <c r="AR147" i="1"/>
  <c r="EN180" i="1"/>
  <c r="AS147" i="1"/>
  <c r="EO180" i="1"/>
  <c r="AU147" i="1"/>
  <c r="EQ180" i="1"/>
  <c r="AV147" i="1"/>
  <c r="ER180" i="1"/>
  <c r="AX147" i="1"/>
  <c r="ET180" i="1"/>
  <c r="AY147" i="1"/>
  <c r="EU180" i="1"/>
  <c r="BA147" i="1"/>
  <c r="EW180" i="1"/>
  <c r="BB147" i="1"/>
  <c r="EX180" i="1"/>
  <c r="BD147" i="1"/>
  <c r="EZ180" i="1"/>
  <c r="BE147" i="1"/>
  <c r="FA180" i="1"/>
  <c r="BG147" i="1"/>
  <c r="FC180" i="1"/>
  <c r="BH147" i="1"/>
  <c r="FD180" i="1"/>
  <c r="BJ147" i="1"/>
  <c r="FF180" i="1"/>
  <c r="BK147" i="1"/>
  <c r="FG180" i="1"/>
  <c r="BM147" i="1"/>
  <c r="FI180" i="1"/>
  <c r="BN147" i="1"/>
  <c r="FJ180" i="1"/>
  <c r="BP147" i="1"/>
  <c r="FL180" i="1"/>
  <c r="BQ147" i="1"/>
  <c r="FM180" i="1"/>
  <c r="BS147" i="1"/>
  <c r="FO180" i="1"/>
  <c r="BT147" i="1"/>
  <c r="FP180" i="1"/>
  <c r="BV147" i="1"/>
  <c r="FR180" i="1"/>
  <c r="BW147" i="1"/>
  <c r="FS180" i="1"/>
  <c r="BY147" i="1"/>
  <c r="FU180" i="1"/>
  <c r="BZ147" i="1"/>
  <c r="FV180" i="1"/>
  <c r="CB147" i="1"/>
  <c r="FX180" i="1"/>
  <c r="CC147" i="1"/>
  <c r="FY180" i="1"/>
  <c r="CE147" i="1"/>
  <c r="GA180" i="1"/>
  <c r="CF147" i="1"/>
  <c r="GB180" i="1"/>
  <c r="CH147" i="1"/>
  <c r="GD180" i="1"/>
  <c r="CI147" i="1"/>
  <c r="GE180" i="1"/>
  <c r="CK147" i="1"/>
  <c r="GG180" i="1"/>
  <c r="CL147" i="1"/>
  <c r="GH180" i="1"/>
  <c r="CN147" i="1"/>
  <c r="GJ180" i="1"/>
  <c r="CO147" i="1"/>
  <c r="GK180" i="1"/>
  <c r="GP180" i="1"/>
  <c r="GP207" i="1"/>
  <c r="GV153" i="1"/>
  <c r="GV180" i="1"/>
  <c r="GV207" i="1"/>
  <c r="GL390" i="1"/>
  <c r="GI390" i="1"/>
  <c r="GF390" i="1"/>
  <c r="GC390" i="1"/>
  <c r="FZ390" i="1"/>
  <c r="FW390" i="1"/>
  <c r="FT390" i="1"/>
  <c r="FQ390" i="1"/>
  <c r="FN390" i="1"/>
  <c r="FK390" i="1"/>
  <c r="FH390" i="1"/>
  <c r="FE390" i="1"/>
  <c r="FB390" i="1"/>
  <c r="EY390" i="1"/>
  <c r="EV390" i="1"/>
  <c r="ES390" i="1"/>
  <c r="EP390" i="1"/>
  <c r="EM390" i="1"/>
  <c r="EJ390" i="1"/>
  <c r="EG390" i="1"/>
  <c r="ED390" i="1"/>
  <c r="EA390" i="1"/>
  <c r="DX390" i="1"/>
  <c r="DU390" i="1"/>
  <c r="DR390" i="1"/>
  <c r="DO390" i="1"/>
  <c r="DL390" i="1"/>
  <c r="N119" i="1"/>
  <c r="DJ152" i="1"/>
  <c r="O119" i="1"/>
  <c r="DK152" i="1"/>
  <c r="Q119" i="1"/>
  <c r="DM152" i="1"/>
  <c r="R119" i="1"/>
  <c r="DN152" i="1"/>
  <c r="T119" i="1"/>
  <c r="DP152" i="1"/>
  <c r="U119" i="1"/>
  <c r="DQ152" i="1"/>
  <c r="W119" i="1"/>
  <c r="DS152" i="1"/>
  <c r="X119" i="1"/>
  <c r="DT152" i="1"/>
  <c r="Z119" i="1"/>
  <c r="DV152" i="1"/>
  <c r="AA119" i="1"/>
  <c r="DW152" i="1"/>
  <c r="AC119" i="1"/>
  <c r="DY152" i="1"/>
  <c r="AD119" i="1"/>
  <c r="DZ152" i="1"/>
  <c r="AF119" i="1"/>
  <c r="EB152" i="1"/>
  <c r="AG119" i="1"/>
  <c r="EC152" i="1"/>
  <c r="AI119" i="1"/>
  <c r="EE152" i="1"/>
  <c r="AJ119" i="1"/>
  <c r="EF152" i="1"/>
  <c r="AL119" i="1"/>
  <c r="EH152" i="1"/>
  <c r="AM119" i="1"/>
  <c r="EI152" i="1"/>
  <c r="AO119" i="1"/>
  <c r="EK152" i="1"/>
  <c r="AP119" i="1"/>
  <c r="EL152" i="1"/>
  <c r="AR119" i="1"/>
  <c r="EN152" i="1"/>
  <c r="AS119" i="1"/>
  <c r="EO152" i="1"/>
  <c r="AU119" i="1"/>
  <c r="EQ152" i="1"/>
  <c r="AV119" i="1"/>
  <c r="ER152" i="1"/>
  <c r="AX119" i="1"/>
  <c r="ET152" i="1"/>
  <c r="AY119" i="1"/>
  <c r="EU152" i="1"/>
  <c r="BA119" i="1"/>
  <c r="EW152" i="1"/>
  <c r="BB119" i="1"/>
  <c r="EX152" i="1"/>
  <c r="BD119" i="1"/>
  <c r="EZ152" i="1"/>
  <c r="BE119" i="1"/>
  <c r="FA152" i="1"/>
  <c r="BG119" i="1"/>
  <c r="FC152" i="1"/>
  <c r="BH119" i="1"/>
  <c r="FD152" i="1"/>
  <c r="BJ119" i="1"/>
  <c r="FF152" i="1"/>
  <c r="BK119" i="1"/>
  <c r="FG152" i="1"/>
  <c r="BM119" i="1"/>
  <c r="FI152" i="1"/>
  <c r="BN119" i="1"/>
  <c r="FJ152" i="1"/>
  <c r="BP119" i="1"/>
  <c r="FL152" i="1"/>
  <c r="BQ119" i="1"/>
  <c r="FM152" i="1"/>
  <c r="BS119" i="1"/>
  <c r="FO152" i="1"/>
  <c r="BT119" i="1"/>
  <c r="FP152" i="1"/>
  <c r="BV119" i="1"/>
  <c r="FR152" i="1"/>
  <c r="BW119" i="1"/>
  <c r="FS152" i="1"/>
  <c r="BY119" i="1"/>
  <c r="FU152" i="1"/>
  <c r="BZ119" i="1"/>
  <c r="FV152" i="1"/>
  <c r="CB119" i="1"/>
  <c r="FX152" i="1"/>
  <c r="CC119" i="1"/>
  <c r="FY152" i="1"/>
  <c r="CE119" i="1"/>
  <c r="GA152" i="1"/>
  <c r="CF119" i="1"/>
  <c r="GB152" i="1"/>
  <c r="CH119" i="1"/>
  <c r="GD152" i="1"/>
  <c r="CI119" i="1"/>
  <c r="GE152" i="1"/>
  <c r="CK119" i="1"/>
  <c r="GG152" i="1"/>
  <c r="CL119" i="1"/>
  <c r="GH152" i="1"/>
  <c r="CN119" i="1"/>
  <c r="GJ152" i="1"/>
  <c r="CO119" i="1"/>
  <c r="GK152" i="1"/>
  <c r="GP152" i="1"/>
  <c r="N146" i="1"/>
  <c r="DJ179" i="1"/>
  <c r="O146" i="1"/>
  <c r="DK179" i="1"/>
  <c r="Q146" i="1"/>
  <c r="DM179" i="1"/>
  <c r="R146" i="1"/>
  <c r="DN179" i="1"/>
  <c r="T146" i="1"/>
  <c r="DP179" i="1"/>
  <c r="U146" i="1"/>
  <c r="DQ179" i="1"/>
  <c r="W146" i="1"/>
  <c r="DS179" i="1"/>
  <c r="X146" i="1"/>
  <c r="DT179" i="1"/>
  <c r="Z146" i="1"/>
  <c r="DV179" i="1"/>
  <c r="AA146" i="1"/>
  <c r="DW179" i="1"/>
  <c r="AC146" i="1"/>
  <c r="DY179" i="1"/>
  <c r="AD146" i="1"/>
  <c r="DZ179" i="1"/>
  <c r="AF146" i="1"/>
  <c r="EB179" i="1"/>
  <c r="AG146" i="1"/>
  <c r="EC179" i="1"/>
  <c r="AI146" i="1"/>
  <c r="EE179" i="1"/>
  <c r="AJ146" i="1"/>
  <c r="EF179" i="1"/>
  <c r="AL146" i="1"/>
  <c r="EH179" i="1"/>
  <c r="AM146" i="1"/>
  <c r="EI179" i="1"/>
  <c r="AO146" i="1"/>
  <c r="EK179" i="1"/>
  <c r="AP146" i="1"/>
  <c r="EL179" i="1"/>
  <c r="AR146" i="1"/>
  <c r="EN179" i="1"/>
  <c r="AS146" i="1"/>
  <c r="EO179" i="1"/>
  <c r="AU146" i="1"/>
  <c r="EQ179" i="1"/>
  <c r="AV146" i="1"/>
  <c r="ER179" i="1"/>
  <c r="AX146" i="1"/>
  <c r="ET179" i="1"/>
  <c r="AY146" i="1"/>
  <c r="EU179" i="1"/>
  <c r="BA146" i="1"/>
  <c r="EW179" i="1"/>
  <c r="BB146" i="1"/>
  <c r="EX179" i="1"/>
  <c r="BD146" i="1"/>
  <c r="EZ179" i="1"/>
  <c r="BE146" i="1"/>
  <c r="FA179" i="1"/>
  <c r="BG146" i="1"/>
  <c r="FC179" i="1"/>
  <c r="BH146" i="1"/>
  <c r="FD179" i="1"/>
  <c r="BJ146" i="1"/>
  <c r="FF179" i="1"/>
  <c r="BK146" i="1"/>
  <c r="FG179" i="1"/>
  <c r="BM146" i="1"/>
  <c r="FI179" i="1"/>
  <c r="BN146" i="1"/>
  <c r="FJ179" i="1"/>
  <c r="BP146" i="1"/>
  <c r="FL179" i="1"/>
  <c r="BQ146" i="1"/>
  <c r="FM179" i="1"/>
  <c r="BS146" i="1"/>
  <c r="FO179" i="1"/>
  <c r="BT146" i="1"/>
  <c r="FP179" i="1"/>
  <c r="BV146" i="1"/>
  <c r="FR179" i="1"/>
  <c r="BW146" i="1"/>
  <c r="FS179" i="1"/>
  <c r="BY146" i="1"/>
  <c r="FU179" i="1"/>
  <c r="BZ146" i="1"/>
  <c r="FV179" i="1"/>
  <c r="CB146" i="1"/>
  <c r="FX179" i="1"/>
  <c r="CC146" i="1"/>
  <c r="FY179" i="1"/>
  <c r="CE146" i="1"/>
  <c r="GA179" i="1"/>
  <c r="CF146" i="1"/>
  <c r="GB179" i="1"/>
  <c r="CH146" i="1"/>
  <c r="GD179" i="1"/>
  <c r="CI146" i="1"/>
  <c r="GE179" i="1"/>
  <c r="CK146" i="1"/>
  <c r="GG179" i="1"/>
  <c r="CL146" i="1"/>
  <c r="GH179" i="1"/>
  <c r="CN146" i="1"/>
  <c r="GJ179" i="1"/>
  <c r="CO146" i="1"/>
  <c r="GK179" i="1"/>
  <c r="GP179" i="1"/>
  <c r="GP206" i="1"/>
  <c r="GV152" i="1"/>
  <c r="GV179" i="1"/>
  <c r="GV206" i="1"/>
  <c r="GL389" i="1"/>
  <c r="GI389" i="1"/>
  <c r="GF389" i="1"/>
  <c r="GC389" i="1"/>
  <c r="FZ389" i="1"/>
  <c r="FW389" i="1"/>
  <c r="FT389" i="1"/>
  <c r="FQ389" i="1"/>
  <c r="FN389" i="1"/>
  <c r="FK389" i="1"/>
  <c r="FH389" i="1"/>
  <c r="FE389" i="1"/>
  <c r="FB389" i="1"/>
  <c r="EY389" i="1"/>
  <c r="EV389" i="1"/>
  <c r="ES389" i="1"/>
  <c r="EP389" i="1"/>
  <c r="EM389" i="1"/>
  <c r="EJ389" i="1"/>
  <c r="EG389" i="1"/>
  <c r="ED389" i="1"/>
  <c r="EA389" i="1"/>
  <c r="DX389" i="1"/>
  <c r="DU389" i="1"/>
  <c r="DR389" i="1"/>
  <c r="DO389" i="1"/>
  <c r="DL389" i="1"/>
  <c r="GL388" i="1"/>
  <c r="GI388" i="1"/>
  <c r="N118" i="1"/>
  <c r="DJ151" i="1"/>
  <c r="O118" i="1"/>
  <c r="DK151" i="1"/>
  <c r="Q118" i="1"/>
  <c r="DM151" i="1"/>
  <c r="R118" i="1"/>
  <c r="DN151" i="1"/>
  <c r="T118" i="1"/>
  <c r="DP151" i="1"/>
  <c r="U118" i="1"/>
  <c r="DQ151" i="1"/>
  <c r="W118" i="1"/>
  <c r="DS151" i="1"/>
  <c r="X118" i="1"/>
  <c r="DT151" i="1"/>
  <c r="Z118" i="1"/>
  <c r="DV151" i="1"/>
  <c r="AA118" i="1"/>
  <c r="DW151" i="1"/>
  <c r="AC118" i="1"/>
  <c r="DY151" i="1"/>
  <c r="AD118" i="1"/>
  <c r="DZ151" i="1"/>
  <c r="AF118" i="1"/>
  <c r="EB151" i="1"/>
  <c r="AG118" i="1"/>
  <c r="EC151" i="1"/>
  <c r="AI118" i="1"/>
  <c r="EE151" i="1"/>
  <c r="AJ118" i="1"/>
  <c r="EF151" i="1"/>
  <c r="AL118" i="1"/>
  <c r="EH151" i="1"/>
  <c r="AM118" i="1"/>
  <c r="EI151" i="1"/>
  <c r="AO118" i="1"/>
  <c r="EK151" i="1"/>
  <c r="AP118" i="1"/>
  <c r="EL151" i="1"/>
  <c r="AR118" i="1"/>
  <c r="EN151" i="1"/>
  <c r="AS118" i="1"/>
  <c r="EO151" i="1"/>
  <c r="AU118" i="1"/>
  <c r="EQ151" i="1"/>
  <c r="AV118" i="1"/>
  <c r="ER151" i="1"/>
  <c r="AX118" i="1"/>
  <c r="ET151" i="1"/>
  <c r="AY118" i="1"/>
  <c r="EU151" i="1"/>
  <c r="BA118" i="1"/>
  <c r="EW151" i="1"/>
  <c r="BB118" i="1"/>
  <c r="EX151" i="1"/>
  <c r="BD118" i="1"/>
  <c r="EZ151" i="1"/>
  <c r="BE118" i="1"/>
  <c r="FA151" i="1"/>
  <c r="BG118" i="1"/>
  <c r="FC151" i="1"/>
  <c r="BH118" i="1"/>
  <c r="FD151" i="1"/>
  <c r="BJ118" i="1"/>
  <c r="FF151" i="1"/>
  <c r="BK118" i="1"/>
  <c r="FG151" i="1"/>
  <c r="BM118" i="1"/>
  <c r="FI151" i="1"/>
  <c r="BN118" i="1"/>
  <c r="FJ151" i="1"/>
  <c r="BP118" i="1"/>
  <c r="FL151" i="1"/>
  <c r="BQ118" i="1"/>
  <c r="FM151" i="1"/>
  <c r="BS118" i="1"/>
  <c r="FO151" i="1"/>
  <c r="BT118" i="1"/>
  <c r="FP151" i="1"/>
  <c r="BV118" i="1"/>
  <c r="FR151" i="1"/>
  <c r="BW118" i="1"/>
  <c r="FS151" i="1"/>
  <c r="BY118" i="1"/>
  <c r="FU151" i="1"/>
  <c r="BZ118" i="1"/>
  <c r="FV151" i="1"/>
  <c r="CB118" i="1"/>
  <c r="FX151" i="1"/>
  <c r="CC118" i="1"/>
  <c r="FY151" i="1"/>
  <c r="CE118" i="1"/>
  <c r="GA151" i="1"/>
  <c r="CF118" i="1"/>
  <c r="GB151" i="1"/>
  <c r="CH118" i="1"/>
  <c r="GD151" i="1"/>
  <c r="CI118" i="1"/>
  <c r="GE151" i="1"/>
  <c r="CK118" i="1"/>
  <c r="GG151" i="1"/>
  <c r="CL118" i="1"/>
  <c r="GH151" i="1"/>
  <c r="CN118" i="1"/>
  <c r="GJ151" i="1"/>
  <c r="CO118" i="1"/>
  <c r="GK151" i="1"/>
  <c r="GP151" i="1"/>
  <c r="N145" i="1"/>
  <c r="DJ178" i="1"/>
  <c r="O145" i="1"/>
  <c r="DK178" i="1"/>
  <c r="Q145" i="1"/>
  <c r="DM178" i="1"/>
  <c r="R145" i="1"/>
  <c r="DN178" i="1"/>
  <c r="T145" i="1"/>
  <c r="DP178" i="1"/>
  <c r="U145" i="1"/>
  <c r="DQ178" i="1"/>
  <c r="W145" i="1"/>
  <c r="DS178" i="1"/>
  <c r="X145" i="1"/>
  <c r="DT178" i="1"/>
  <c r="Z145" i="1"/>
  <c r="DV178" i="1"/>
  <c r="AA145" i="1"/>
  <c r="DW178" i="1"/>
  <c r="AC145" i="1"/>
  <c r="DY178" i="1"/>
  <c r="AD145" i="1"/>
  <c r="DZ178" i="1"/>
  <c r="AF145" i="1"/>
  <c r="EB178" i="1"/>
  <c r="AG145" i="1"/>
  <c r="EC178" i="1"/>
  <c r="AI145" i="1"/>
  <c r="EE178" i="1"/>
  <c r="AJ145" i="1"/>
  <c r="EF178" i="1"/>
  <c r="AL145" i="1"/>
  <c r="EH178" i="1"/>
  <c r="AM145" i="1"/>
  <c r="EI178" i="1"/>
  <c r="AO145" i="1"/>
  <c r="EK178" i="1"/>
  <c r="AP145" i="1"/>
  <c r="EL178" i="1"/>
  <c r="AR145" i="1"/>
  <c r="EN178" i="1"/>
  <c r="AS145" i="1"/>
  <c r="EO178" i="1"/>
  <c r="AU145" i="1"/>
  <c r="EQ178" i="1"/>
  <c r="AV145" i="1"/>
  <c r="ER178" i="1"/>
  <c r="AX145" i="1"/>
  <c r="ET178" i="1"/>
  <c r="AY145" i="1"/>
  <c r="EU178" i="1"/>
  <c r="BA145" i="1"/>
  <c r="EW178" i="1"/>
  <c r="BB145" i="1"/>
  <c r="EX178" i="1"/>
  <c r="BD145" i="1"/>
  <c r="EZ178" i="1"/>
  <c r="BE145" i="1"/>
  <c r="FA178" i="1"/>
  <c r="BG145" i="1"/>
  <c r="FC178" i="1"/>
  <c r="BH145" i="1"/>
  <c r="FD178" i="1"/>
  <c r="BJ145" i="1"/>
  <c r="FF178" i="1"/>
  <c r="BK145" i="1"/>
  <c r="FG178" i="1"/>
  <c r="BM145" i="1"/>
  <c r="FI178" i="1"/>
  <c r="BN145" i="1"/>
  <c r="FJ178" i="1"/>
  <c r="BP145" i="1"/>
  <c r="FL178" i="1"/>
  <c r="BQ145" i="1"/>
  <c r="FM178" i="1"/>
  <c r="BS145" i="1"/>
  <c r="FO178" i="1"/>
  <c r="BT145" i="1"/>
  <c r="FP178" i="1"/>
  <c r="BV145" i="1"/>
  <c r="FR178" i="1"/>
  <c r="BW145" i="1"/>
  <c r="FS178" i="1"/>
  <c r="BY145" i="1"/>
  <c r="FU178" i="1"/>
  <c r="BZ145" i="1"/>
  <c r="FV178" i="1"/>
  <c r="CB145" i="1"/>
  <c r="FX178" i="1"/>
  <c r="CC145" i="1"/>
  <c r="FY178" i="1"/>
  <c r="CE145" i="1"/>
  <c r="GA178" i="1"/>
  <c r="CF145" i="1"/>
  <c r="GB178" i="1"/>
  <c r="CH145" i="1"/>
  <c r="GD178" i="1"/>
  <c r="CI145" i="1"/>
  <c r="GE178" i="1"/>
  <c r="CK145" i="1"/>
  <c r="GG178" i="1"/>
  <c r="CL145" i="1"/>
  <c r="GH178" i="1"/>
  <c r="CN145" i="1"/>
  <c r="GJ178" i="1"/>
  <c r="CO145" i="1"/>
  <c r="GK178" i="1"/>
  <c r="GP178" i="1"/>
  <c r="GP205" i="1"/>
  <c r="GV151" i="1"/>
  <c r="GV178" i="1"/>
  <c r="GV205" i="1"/>
  <c r="GF388" i="1"/>
  <c r="GC388" i="1"/>
  <c r="FZ388" i="1"/>
  <c r="FW388" i="1"/>
  <c r="FT388" i="1"/>
  <c r="FQ388" i="1"/>
  <c r="FN388" i="1"/>
  <c r="FK388" i="1"/>
  <c r="FH388" i="1"/>
  <c r="FE388" i="1"/>
  <c r="FB388" i="1"/>
  <c r="EY388" i="1"/>
  <c r="EV388" i="1"/>
  <c r="ES388" i="1"/>
  <c r="EP388" i="1"/>
  <c r="EM388" i="1"/>
  <c r="EJ388" i="1"/>
  <c r="EG388" i="1"/>
  <c r="ED388" i="1"/>
  <c r="EA388" i="1"/>
  <c r="DX388" i="1"/>
  <c r="DU388" i="1"/>
  <c r="DR388" i="1"/>
  <c r="DO388" i="1"/>
  <c r="DL388" i="1"/>
  <c r="GL387" i="1"/>
  <c r="GI387" i="1"/>
  <c r="N117" i="1"/>
  <c r="DJ150" i="1"/>
  <c r="O117" i="1"/>
  <c r="DK150" i="1"/>
  <c r="Q117" i="1"/>
  <c r="DM150" i="1"/>
  <c r="R117" i="1"/>
  <c r="DN150" i="1"/>
  <c r="T117" i="1"/>
  <c r="DP150" i="1"/>
  <c r="U117" i="1"/>
  <c r="DQ150" i="1"/>
  <c r="W117" i="1"/>
  <c r="DS150" i="1"/>
  <c r="X117" i="1"/>
  <c r="DT150" i="1"/>
  <c r="Z117" i="1"/>
  <c r="DV150" i="1"/>
  <c r="AA117" i="1"/>
  <c r="DW150" i="1"/>
  <c r="AC117" i="1"/>
  <c r="DY150" i="1"/>
  <c r="AD117" i="1"/>
  <c r="DZ150" i="1"/>
  <c r="AF117" i="1"/>
  <c r="EB150" i="1"/>
  <c r="AG117" i="1"/>
  <c r="EC150" i="1"/>
  <c r="AI117" i="1"/>
  <c r="EE150" i="1"/>
  <c r="AJ117" i="1"/>
  <c r="EF150" i="1"/>
  <c r="AL117" i="1"/>
  <c r="EH150" i="1"/>
  <c r="AM117" i="1"/>
  <c r="EI150" i="1"/>
  <c r="AO117" i="1"/>
  <c r="EK150" i="1"/>
  <c r="AP117" i="1"/>
  <c r="EL150" i="1"/>
  <c r="AR117" i="1"/>
  <c r="EN150" i="1"/>
  <c r="AS117" i="1"/>
  <c r="EO150" i="1"/>
  <c r="AU117" i="1"/>
  <c r="EQ150" i="1"/>
  <c r="AV117" i="1"/>
  <c r="ER150" i="1"/>
  <c r="AX117" i="1"/>
  <c r="ET150" i="1"/>
  <c r="AY117" i="1"/>
  <c r="EU150" i="1"/>
  <c r="BA117" i="1"/>
  <c r="EW150" i="1"/>
  <c r="BB117" i="1"/>
  <c r="EX150" i="1"/>
  <c r="BD117" i="1"/>
  <c r="EZ150" i="1"/>
  <c r="BE117" i="1"/>
  <c r="FA150" i="1"/>
  <c r="BG117" i="1"/>
  <c r="FC150" i="1"/>
  <c r="BH117" i="1"/>
  <c r="FD150" i="1"/>
  <c r="BJ117" i="1"/>
  <c r="FF150" i="1"/>
  <c r="BK117" i="1"/>
  <c r="FG150" i="1"/>
  <c r="BM117" i="1"/>
  <c r="FI150" i="1"/>
  <c r="BN117" i="1"/>
  <c r="FJ150" i="1"/>
  <c r="BP117" i="1"/>
  <c r="FL150" i="1"/>
  <c r="BQ117" i="1"/>
  <c r="FM150" i="1"/>
  <c r="BS117" i="1"/>
  <c r="FO150" i="1"/>
  <c r="BT117" i="1"/>
  <c r="FP150" i="1"/>
  <c r="BV117" i="1"/>
  <c r="FR150" i="1"/>
  <c r="BW117" i="1"/>
  <c r="FS150" i="1"/>
  <c r="BY117" i="1"/>
  <c r="FU150" i="1"/>
  <c r="BZ117" i="1"/>
  <c r="FV150" i="1"/>
  <c r="CB117" i="1"/>
  <c r="FX150" i="1"/>
  <c r="CC117" i="1"/>
  <c r="FY150" i="1"/>
  <c r="CE117" i="1"/>
  <c r="GA150" i="1"/>
  <c r="CF117" i="1"/>
  <c r="GB150" i="1"/>
  <c r="CH117" i="1"/>
  <c r="GD150" i="1"/>
  <c r="CI117" i="1"/>
  <c r="GE150" i="1"/>
  <c r="CK117" i="1"/>
  <c r="GG150" i="1"/>
  <c r="CL117" i="1"/>
  <c r="GH150" i="1"/>
  <c r="CN117" i="1"/>
  <c r="GJ150" i="1"/>
  <c r="CO117" i="1"/>
  <c r="GK150" i="1"/>
  <c r="GP150" i="1"/>
  <c r="N144" i="1"/>
  <c r="DJ177" i="1"/>
  <c r="O144" i="1"/>
  <c r="DK177" i="1"/>
  <c r="Q144" i="1"/>
  <c r="DM177" i="1"/>
  <c r="R144" i="1"/>
  <c r="DN177" i="1"/>
  <c r="T144" i="1"/>
  <c r="DP177" i="1"/>
  <c r="U144" i="1"/>
  <c r="DQ177" i="1"/>
  <c r="W144" i="1"/>
  <c r="DS177" i="1"/>
  <c r="X144" i="1"/>
  <c r="DT177" i="1"/>
  <c r="Z144" i="1"/>
  <c r="DV177" i="1"/>
  <c r="AA144" i="1"/>
  <c r="DW177" i="1"/>
  <c r="AC144" i="1"/>
  <c r="DY177" i="1"/>
  <c r="AD144" i="1"/>
  <c r="DZ177" i="1"/>
  <c r="AF144" i="1"/>
  <c r="EB177" i="1"/>
  <c r="AG144" i="1"/>
  <c r="EC177" i="1"/>
  <c r="AI144" i="1"/>
  <c r="EE177" i="1"/>
  <c r="AJ144" i="1"/>
  <c r="EF177" i="1"/>
  <c r="AL144" i="1"/>
  <c r="EH177" i="1"/>
  <c r="AM144" i="1"/>
  <c r="EI177" i="1"/>
  <c r="AO144" i="1"/>
  <c r="EK177" i="1"/>
  <c r="AP144" i="1"/>
  <c r="EL177" i="1"/>
  <c r="AR144" i="1"/>
  <c r="EN177" i="1"/>
  <c r="AS144" i="1"/>
  <c r="EO177" i="1"/>
  <c r="AU144" i="1"/>
  <c r="EQ177" i="1"/>
  <c r="AV144" i="1"/>
  <c r="ER177" i="1"/>
  <c r="AX144" i="1"/>
  <c r="ET177" i="1"/>
  <c r="AY144" i="1"/>
  <c r="EU177" i="1"/>
  <c r="BA144" i="1"/>
  <c r="EW177" i="1"/>
  <c r="BB144" i="1"/>
  <c r="EX177" i="1"/>
  <c r="BD144" i="1"/>
  <c r="EZ177" i="1"/>
  <c r="BE144" i="1"/>
  <c r="FA177" i="1"/>
  <c r="BG144" i="1"/>
  <c r="FC177" i="1"/>
  <c r="BH144" i="1"/>
  <c r="FD177" i="1"/>
  <c r="BJ144" i="1"/>
  <c r="FF177" i="1"/>
  <c r="BK144" i="1"/>
  <c r="FG177" i="1"/>
  <c r="BM144" i="1"/>
  <c r="FI177" i="1"/>
  <c r="BN144" i="1"/>
  <c r="FJ177" i="1"/>
  <c r="BP144" i="1"/>
  <c r="FL177" i="1"/>
  <c r="BQ144" i="1"/>
  <c r="FM177" i="1"/>
  <c r="BS144" i="1"/>
  <c r="FO177" i="1"/>
  <c r="BT144" i="1"/>
  <c r="FP177" i="1"/>
  <c r="BV144" i="1"/>
  <c r="FR177" i="1"/>
  <c r="BW144" i="1"/>
  <c r="FS177" i="1"/>
  <c r="BY144" i="1"/>
  <c r="FU177" i="1"/>
  <c r="BZ144" i="1"/>
  <c r="FV177" i="1"/>
  <c r="CB144" i="1"/>
  <c r="FX177" i="1"/>
  <c r="CC144" i="1"/>
  <c r="FY177" i="1"/>
  <c r="CE144" i="1"/>
  <c r="GA177" i="1"/>
  <c r="CF144" i="1"/>
  <c r="GB177" i="1"/>
  <c r="CH144" i="1"/>
  <c r="GD177" i="1"/>
  <c r="CI144" i="1"/>
  <c r="GE177" i="1"/>
  <c r="CK144" i="1"/>
  <c r="GG177" i="1"/>
  <c r="CL144" i="1"/>
  <c r="GH177" i="1"/>
  <c r="CN144" i="1"/>
  <c r="GJ177" i="1"/>
  <c r="CO144" i="1"/>
  <c r="GK177" i="1"/>
  <c r="GP177" i="1"/>
  <c r="GP204" i="1"/>
  <c r="GV150" i="1"/>
  <c r="GV177" i="1"/>
  <c r="GV204" i="1"/>
  <c r="GF387" i="1"/>
  <c r="GC387" i="1"/>
  <c r="FZ387" i="1"/>
  <c r="FW387" i="1"/>
  <c r="FT387" i="1"/>
  <c r="FQ387" i="1"/>
  <c r="FN387" i="1"/>
  <c r="FK387" i="1"/>
  <c r="FH387" i="1"/>
  <c r="FE387" i="1"/>
  <c r="FB387" i="1"/>
  <c r="EY387" i="1"/>
  <c r="EV387" i="1"/>
  <c r="ES387" i="1"/>
  <c r="EP387" i="1"/>
  <c r="EM387" i="1"/>
  <c r="EJ387" i="1"/>
  <c r="EG387" i="1"/>
  <c r="ED387" i="1"/>
  <c r="EA387" i="1"/>
  <c r="DX387" i="1"/>
  <c r="DU387" i="1"/>
  <c r="DR387" i="1"/>
  <c r="DO387" i="1"/>
  <c r="DL387" i="1"/>
  <c r="GL386" i="1"/>
  <c r="GI386" i="1"/>
  <c r="N116" i="1"/>
  <c r="DJ149" i="1"/>
  <c r="O116" i="1"/>
  <c r="DK149" i="1"/>
  <c r="Q116" i="1"/>
  <c r="DM149" i="1"/>
  <c r="R116" i="1"/>
  <c r="DN149" i="1"/>
  <c r="T116" i="1"/>
  <c r="DP149" i="1"/>
  <c r="U116" i="1"/>
  <c r="DQ149" i="1"/>
  <c r="W116" i="1"/>
  <c r="DS149" i="1"/>
  <c r="X116" i="1"/>
  <c r="DT149" i="1"/>
  <c r="Z116" i="1"/>
  <c r="DV149" i="1"/>
  <c r="AA116" i="1"/>
  <c r="DW149" i="1"/>
  <c r="AC116" i="1"/>
  <c r="DY149" i="1"/>
  <c r="AD116" i="1"/>
  <c r="DZ149" i="1"/>
  <c r="AF116" i="1"/>
  <c r="EB149" i="1"/>
  <c r="AG116" i="1"/>
  <c r="EC149" i="1"/>
  <c r="AI116" i="1"/>
  <c r="EE149" i="1"/>
  <c r="AJ116" i="1"/>
  <c r="EF149" i="1"/>
  <c r="AL116" i="1"/>
  <c r="EH149" i="1"/>
  <c r="AM116" i="1"/>
  <c r="EI149" i="1"/>
  <c r="AO116" i="1"/>
  <c r="EK149" i="1"/>
  <c r="AP116" i="1"/>
  <c r="EL149" i="1"/>
  <c r="AR116" i="1"/>
  <c r="EN149" i="1"/>
  <c r="AS116" i="1"/>
  <c r="EO149" i="1"/>
  <c r="AU116" i="1"/>
  <c r="EQ149" i="1"/>
  <c r="AV116" i="1"/>
  <c r="ER149" i="1"/>
  <c r="AX116" i="1"/>
  <c r="ET149" i="1"/>
  <c r="AY116" i="1"/>
  <c r="EU149" i="1"/>
  <c r="BA116" i="1"/>
  <c r="EW149" i="1"/>
  <c r="BB116" i="1"/>
  <c r="EX149" i="1"/>
  <c r="BD116" i="1"/>
  <c r="EZ149" i="1"/>
  <c r="BE116" i="1"/>
  <c r="FA149" i="1"/>
  <c r="BG116" i="1"/>
  <c r="FC149" i="1"/>
  <c r="BH116" i="1"/>
  <c r="FD149" i="1"/>
  <c r="BJ116" i="1"/>
  <c r="FF149" i="1"/>
  <c r="BK116" i="1"/>
  <c r="FG149" i="1"/>
  <c r="BM116" i="1"/>
  <c r="FI149" i="1"/>
  <c r="BN116" i="1"/>
  <c r="FJ149" i="1"/>
  <c r="BP116" i="1"/>
  <c r="FL149" i="1"/>
  <c r="BQ116" i="1"/>
  <c r="FM149" i="1"/>
  <c r="BS116" i="1"/>
  <c r="FO149" i="1"/>
  <c r="BT116" i="1"/>
  <c r="FP149" i="1"/>
  <c r="BV116" i="1"/>
  <c r="FR149" i="1"/>
  <c r="BW116" i="1"/>
  <c r="FS149" i="1"/>
  <c r="BY116" i="1"/>
  <c r="FU149" i="1"/>
  <c r="BZ116" i="1"/>
  <c r="FV149" i="1"/>
  <c r="CB116" i="1"/>
  <c r="FX149" i="1"/>
  <c r="CC116" i="1"/>
  <c r="FY149" i="1"/>
  <c r="CE116" i="1"/>
  <c r="GA149" i="1"/>
  <c r="CF116" i="1"/>
  <c r="GB149" i="1"/>
  <c r="CH116" i="1"/>
  <c r="GD149" i="1"/>
  <c r="CI116" i="1"/>
  <c r="GE149" i="1"/>
  <c r="CK116" i="1"/>
  <c r="GG149" i="1"/>
  <c r="CL116" i="1"/>
  <c r="GH149" i="1"/>
  <c r="CN116" i="1"/>
  <c r="GJ149" i="1"/>
  <c r="CO116" i="1"/>
  <c r="GK149" i="1"/>
  <c r="GP149" i="1"/>
  <c r="N143" i="1"/>
  <c r="DJ176" i="1"/>
  <c r="O143" i="1"/>
  <c r="DK176" i="1"/>
  <c r="Q143" i="1"/>
  <c r="DM176" i="1"/>
  <c r="R143" i="1"/>
  <c r="DN176" i="1"/>
  <c r="T143" i="1"/>
  <c r="DP176" i="1"/>
  <c r="U143" i="1"/>
  <c r="DQ176" i="1"/>
  <c r="W143" i="1"/>
  <c r="DS176" i="1"/>
  <c r="X143" i="1"/>
  <c r="DT176" i="1"/>
  <c r="Z143" i="1"/>
  <c r="DV176" i="1"/>
  <c r="AA143" i="1"/>
  <c r="DW176" i="1"/>
  <c r="AC143" i="1"/>
  <c r="DY176" i="1"/>
  <c r="AD143" i="1"/>
  <c r="DZ176" i="1"/>
  <c r="AF143" i="1"/>
  <c r="EB176" i="1"/>
  <c r="AG143" i="1"/>
  <c r="EC176" i="1"/>
  <c r="AI143" i="1"/>
  <c r="EE176" i="1"/>
  <c r="AJ143" i="1"/>
  <c r="EF176" i="1"/>
  <c r="AL143" i="1"/>
  <c r="EH176" i="1"/>
  <c r="AM143" i="1"/>
  <c r="EI176" i="1"/>
  <c r="AO143" i="1"/>
  <c r="EK176" i="1"/>
  <c r="AP143" i="1"/>
  <c r="EL176" i="1"/>
  <c r="AR143" i="1"/>
  <c r="EN176" i="1"/>
  <c r="AS143" i="1"/>
  <c r="EO176" i="1"/>
  <c r="AU143" i="1"/>
  <c r="EQ176" i="1"/>
  <c r="AV143" i="1"/>
  <c r="ER176" i="1"/>
  <c r="AX143" i="1"/>
  <c r="ET176" i="1"/>
  <c r="AY143" i="1"/>
  <c r="EU176" i="1"/>
  <c r="BA143" i="1"/>
  <c r="EW176" i="1"/>
  <c r="BB143" i="1"/>
  <c r="EX176" i="1"/>
  <c r="BD143" i="1"/>
  <c r="EZ176" i="1"/>
  <c r="BE143" i="1"/>
  <c r="FA176" i="1"/>
  <c r="BG143" i="1"/>
  <c r="FC176" i="1"/>
  <c r="BH143" i="1"/>
  <c r="FD176" i="1"/>
  <c r="BJ143" i="1"/>
  <c r="FF176" i="1"/>
  <c r="BK143" i="1"/>
  <c r="FG176" i="1"/>
  <c r="BM143" i="1"/>
  <c r="FI176" i="1"/>
  <c r="BN143" i="1"/>
  <c r="FJ176" i="1"/>
  <c r="BP143" i="1"/>
  <c r="FL176" i="1"/>
  <c r="BQ143" i="1"/>
  <c r="FM176" i="1"/>
  <c r="BS143" i="1"/>
  <c r="FO176" i="1"/>
  <c r="BT143" i="1"/>
  <c r="FP176" i="1"/>
  <c r="BV143" i="1"/>
  <c r="FR176" i="1"/>
  <c r="BW143" i="1"/>
  <c r="FS176" i="1"/>
  <c r="BY143" i="1"/>
  <c r="FU176" i="1"/>
  <c r="BZ143" i="1"/>
  <c r="FV176" i="1"/>
  <c r="CB143" i="1"/>
  <c r="FX176" i="1"/>
  <c r="CC143" i="1"/>
  <c r="FY176" i="1"/>
  <c r="CE143" i="1"/>
  <c r="GA176" i="1"/>
  <c r="CF143" i="1"/>
  <c r="GB176" i="1"/>
  <c r="CH143" i="1"/>
  <c r="GD176" i="1"/>
  <c r="CI143" i="1"/>
  <c r="GE176" i="1"/>
  <c r="CK143" i="1"/>
  <c r="GG176" i="1"/>
  <c r="CL143" i="1"/>
  <c r="GH176" i="1"/>
  <c r="CN143" i="1"/>
  <c r="GJ176" i="1"/>
  <c r="CO143" i="1"/>
  <c r="GK176" i="1"/>
  <c r="GP176" i="1"/>
  <c r="GP203" i="1"/>
  <c r="GV149" i="1"/>
  <c r="GV176" i="1"/>
  <c r="GV203" i="1"/>
  <c r="GF386" i="1"/>
  <c r="GC386" i="1"/>
  <c r="FZ386" i="1"/>
  <c r="FW386" i="1"/>
  <c r="FT386" i="1"/>
  <c r="FQ386" i="1"/>
  <c r="FN386" i="1"/>
  <c r="FK386" i="1"/>
  <c r="FH386" i="1"/>
  <c r="FE386" i="1"/>
  <c r="FB386" i="1"/>
  <c r="EY386" i="1"/>
  <c r="EV386" i="1"/>
  <c r="ES386" i="1"/>
  <c r="EP386" i="1"/>
  <c r="EM386" i="1"/>
  <c r="EJ386" i="1"/>
  <c r="EG386" i="1"/>
  <c r="ED386" i="1"/>
  <c r="EA386" i="1"/>
  <c r="DX386" i="1"/>
  <c r="DU386" i="1"/>
  <c r="DR386" i="1"/>
  <c r="DO386" i="1"/>
  <c r="DL386" i="1"/>
  <c r="GL385" i="1"/>
  <c r="GI385" i="1"/>
  <c r="GF385" i="1"/>
  <c r="GC385" i="1"/>
  <c r="FZ385" i="1"/>
  <c r="FW385" i="1"/>
  <c r="FT385" i="1"/>
  <c r="FQ385" i="1"/>
  <c r="FN385" i="1"/>
  <c r="FK385" i="1"/>
  <c r="FH385" i="1"/>
  <c r="FE385" i="1"/>
  <c r="N115" i="1"/>
  <c r="DJ148" i="1"/>
  <c r="O115" i="1"/>
  <c r="DK148" i="1"/>
  <c r="Q115" i="1"/>
  <c r="DM148" i="1"/>
  <c r="R115" i="1"/>
  <c r="DN148" i="1"/>
  <c r="T115" i="1"/>
  <c r="DP148" i="1"/>
  <c r="U115" i="1"/>
  <c r="DQ148" i="1"/>
  <c r="W115" i="1"/>
  <c r="DS148" i="1"/>
  <c r="X115" i="1"/>
  <c r="DT148" i="1"/>
  <c r="Z115" i="1"/>
  <c r="DV148" i="1"/>
  <c r="AA115" i="1"/>
  <c r="DW148" i="1"/>
  <c r="AC115" i="1"/>
  <c r="DY148" i="1"/>
  <c r="AD115" i="1"/>
  <c r="DZ148" i="1"/>
  <c r="AF115" i="1"/>
  <c r="EB148" i="1"/>
  <c r="AG115" i="1"/>
  <c r="EC148" i="1"/>
  <c r="AI115" i="1"/>
  <c r="EE148" i="1"/>
  <c r="AJ115" i="1"/>
  <c r="EF148" i="1"/>
  <c r="AL115" i="1"/>
  <c r="EH148" i="1"/>
  <c r="AM115" i="1"/>
  <c r="EI148" i="1"/>
  <c r="AO115" i="1"/>
  <c r="EK148" i="1"/>
  <c r="AP115" i="1"/>
  <c r="EL148" i="1"/>
  <c r="AR115" i="1"/>
  <c r="EN148" i="1"/>
  <c r="AS115" i="1"/>
  <c r="EO148" i="1"/>
  <c r="AU115" i="1"/>
  <c r="EQ148" i="1"/>
  <c r="AV115" i="1"/>
  <c r="ER148" i="1"/>
  <c r="AX115" i="1"/>
  <c r="ET148" i="1"/>
  <c r="AY115" i="1"/>
  <c r="EU148" i="1"/>
  <c r="BA115" i="1"/>
  <c r="EW148" i="1"/>
  <c r="BB115" i="1"/>
  <c r="EX148" i="1"/>
  <c r="BD115" i="1"/>
  <c r="EZ148" i="1"/>
  <c r="BE115" i="1"/>
  <c r="FA148" i="1"/>
  <c r="BG115" i="1"/>
  <c r="FC148" i="1"/>
  <c r="BH115" i="1"/>
  <c r="FD148" i="1"/>
  <c r="BJ115" i="1"/>
  <c r="FF148" i="1"/>
  <c r="BK115" i="1"/>
  <c r="FG148" i="1"/>
  <c r="BM115" i="1"/>
  <c r="FI148" i="1"/>
  <c r="BN115" i="1"/>
  <c r="FJ148" i="1"/>
  <c r="BP115" i="1"/>
  <c r="FL148" i="1"/>
  <c r="BQ115" i="1"/>
  <c r="FM148" i="1"/>
  <c r="BS115" i="1"/>
  <c r="FO148" i="1"/>
  <c r="BT115" i="1"/>
  <c r="FP148" i="1"/>
  <c r="BV115" i="1"/>
  <c r="FR148" i="1"/>
  <c r="BW115" i="1"/>
  <c r="FS148" i="1"/>
  <c r="BY115" i="1"/>
  <c r="FU148" i="1"/>
  <c r="BZ115" i="1"/>
  <c r="FV148" i="1"/>
  <c r="CB115" i="1"/>
  <c r="FX148" i="1"/>
  <c r="CC115" i="1"/>
  <c r="FY148" i="1"/>
  <c r="CE115" i="1"/>
  <c r="GA148" i="1"/>
  <c r="CF115" i="1"/>
  <c r="GB148" i="1"/>
  <c r="CH115" i="1"/>
  <c r="GD148" i="1"/>
  <c r="CI115" i="1"/>
  <c r="GE148" i="1"/>
  <c r="CK115" i="1"/>
  <c r="GG148" i="1"/>
  <c r="CL115" i="1"/>
  <c r="GH148" i="1"/>
  <c r="CN115" i="1"/>
  <c r="GJ148" i="1"/>
  <c r="CO115" i="1"/>
  <c r="GK148" i="1"/>
  <c r="GP148" i="1"/>
  <c r="N142" i="1"/>
  <c r="DJ175" i="1"/>
  <c r="O142" i="1"/>
  <c r="DK175" i="1"/>
  <c r="Q142" i="1"/>
  <c r="DM175" i="1"/>
  <c r="R142" i="1"/>
  <c r="DN175" i="1"/>
  <c r="T142" i="1"/>
  <c r="DP175" i="1"/>
  <c r="U142" i="1"/>
  <c r="DQ175" i="1"/>
  <c r="W142" i="1"/>
  <c r="DS175" i="1"/>
  <c r="X142" i="1"/>
  <c r="DT175" i="1"/>
  <c r="Z142" i="1"/>
  <c r="DV175" i="1"/>
  <c r="AA142" i="1"/>
  <c r="DW175" i="1"/>
  <c r="AC142" i="1"/>
  <c r="DY175" i="1"/>
  <c r="AD142" i="1"/>
  <c r="DZ175" i="1"/>
  <c r="AF142" i="1"/>
  <c r="EB175" i="1"/>
  <c r="AG142" i="1"/>
  <c r="EC175" i="1"/>
  <c r="AI142" i="1"/>
  <c r="EE175" i="1"/>
  <c r="AJ142" i="1"/>
  <c r="EF175" i="1"/>
  <c r="AL142" i="1"/>
  <c r="EH175" i="1"/>
  <c r="AM142" i="1"/>
  <c r="EI175" i="1"/>
  <c r="AO142" i="1"/>
  <c r="EK175" i="1"/>
  <c r="AP142" i="1"/>
  <c r="EL175" i="1"/>
  <c r="AR142" i="1"/>
  <c r="EN175" i="1"/>
  <c r="AS142" i="1"/>
  <c r="EO175" i="1"/>
  <c r="AU142" i="1"/>
  <c r="EQ175" i="1"/>
  <c r="AV142" i="1"/>
  <c r="ER175" i="1"/>
  <c r="AX142" i="1"/>
  <c r="ET175" i="1"/>
  <c r="AY142" i="1"/>
  <c r="EU175" i="1"/>
  <c r="BA142" i="1"/>
  <c r="EW175" i="1"/>
  <c r="BB142" i="1"/>
  <c r="EX175" i="1"/>
  <c r="BD142" i="1"/>
  <c r="EZ175" i="1"/>
  <c r="BE142" i="1"/>
  <c r="FA175" i="1"/>
  <c r="BG142" i="1"/>
  <c r="FC175" i="1"/>
  <c r="BH142" i="1"/>
  <c r="FD175" i="1"/>
  <c r="BJ142" i="1"/>
  <c r="FF175" i="1"/>
  <c r="BK142" i="1"/>
  <c r="FG175" i="1"/>
  <c r="BM142" i="1"/>
  <c r="FI175" i="1"/>
  <c r="BN142" i="1"/>
  <c r="FJ175" i="1"/>
  <c r="BP142" i="1"/>
  <c r="FL175" i="1"/>
  <c r="BQ142" i="1"/>
  <c r="FM175" i="1"/>
  <c r="BS142" i="1"/>
  <c r="FO175" i="1"/>
  <c r="BT142" i="1"/>
  <c r="FP175" i="1"/>
  <c r="BV142" i="1"/>
  <c r="FR175" i="1"/>
  <c r="BW142" i="1"/>
  <c r="FS175" i="1"/>
  <c r="BY142" i="1"/>
  <c r="FU175" i="1"/>
  <c r="BZ142" i="1"/>
  <c r="FV175" i="1"/>
  <c r="CB142" i="1"/>
  <c r="FX175" i="1"/>
  <c r="CC142" i="1"/>
  <c r="FY175" i="1"/>
  <c r="CE142" i="1"/>
  <c r="GA175" i="1"/>
  <c r="CF142" i="1"/>
  <c r="GB175" i="1"/>
  <c r="CH142" i="1"/>
  <c r="GD175" i="1"/>
  <c r="CI142" i="1"/>
  <c r="GE175" i="1"/>
  <c r="CK142" i="1"/>
  <c r="GG175" i="1"/>
  <c r="CL142" i="1"/>
  <c r="GH175" i="1"/>
  <c r="CN142" i="1"/>
  <c r="GJ175" i="1"/>
  <c r="CO142" i="1"/>
  <c r="GK175" i="1"/>
  <c r="GP175" i="1"/>
  <c r="GP202" i="1"/>
  <c r="GV148" i="1"/>
  <c r="GV175" i="1"/>
  <c r="GV202" i="1"/>
  <c r="FB385" i="1"/>
  <c r="EY385" i="1"/>
  <c r="EV385" i="1"/>
  <c r="ES385" i="1"/>
  <c r="EP385" i="1"/>
  <c r="EM385" i="1"/>
  <c r="EJ385" i="1"/>
  <c r="EG385" i="1"/>
  <c r="ED385" i="1"/>
  <c r="EA385" i="1"/>
  <c r="DX385" i="1"/>
  <c r="DU385" i="1"/>
  <c r="DR385" i="1"/>
  <c r="DO385" i="1"/>
  <c r="DL385" i="1"/>
  <c r="GL384" i="1"/>
  <c r="GI384" i="1"/>
  <c r="GF384" i="1"/>
  <c r="GC384" i="1"/>
  <c r="FZ384" i="1"/>
  <c r="FW384" i="1"/>
  <c r="FT384" i="1"/>
  <c r="FQ384" i="1"/>
  <c r="FN384" i="1"/>
  <c r="FK384" i="1"/>
  <c r="FH384" i="1"/>
  <c r="FE384" i="1"/>
  <c r="N114" i="1"/>
  <c r="DJ147" i="1"/>
  <c r="O114" i="1"/>
  <c r="DK147" i="1"/>
  <c r="Q114" i="1"/>
  <c r="DM147" i="1"/>
  <c r="R114" i="1"/>
  <c r="DN147" i="1"/>
  <c r="T114" i="1"/>
  <c r="DP147" i="1"/>
  <c r="U114" i="1"/>
  <c r="DQ147" i="1"/>
  <c r="W114" i="1"/>
  <c r="DS147" i="1"/>
  <c r="X114" i="1"/>
  <c r="DT147" i="1"/>
  <c r="Z114" i="1"/>
  <c r="DV147" i="1"/>
  <c r="AA114" i="1"/>
  <c r="DW147" i="1"/>
  <c r="AC114" i="1"/>
  <c r="DY147" i="1"/>
  <c r="AD114" i="1"/>
  <c r="DZ147" i="1"/>
  <c r="AF114" i="1"/>
  <c r="EB147" i="1"/>
  <c r="AG114" i="1"/>
  <c r="EC147" i="1"/>
  <c r="AI114" i="1"/>
  <c r="EE147" i="1"/>
  <c r="AJ114" i="1"/>
  <c r="EF147" i="1"/>
  <c r="AL114" i="1"/>
  <c r="EH147" i="1"/>
  <c r="AM114" i="1"/>
  <c r="EI147" i="1"/>
  <c r="AO114" i="1"/>
  <c r="EK147" i="1"/>
  <c r="AP114" i="1"/>
  <c r="EL147" i="1"/>
  <c r="AR114" i="1"/>
  <c r="EN147" i="1"/>
  <c r="AS114" i="1"/>
  <c r="EO147" i="1"/>
  <c r="AU114" i="1"/>
  <c r="EQ147" i="1"/>
  <c r="AV114" i="1"/>
  <c r="ER147" i="1"/>
  <c r="AX114" i="1"/>
  <c r="ET147" i="1"/>
  <c r="AY114" i="1"/>
  <c r="EU147" i="1"/>
  <c r="BA114" i="1"/>
  <c r="EW147" i="1"/>
  <c r="BB114" i="1"/>
  <c r="EX147" i="1"/>
  <c r="BD114" i="1"/>
  <c r="EZ147" i="1"/>
  <c r="BE114" i="1"/>
  <c r="FA147" i="1"/>
  <c r="BG114" i="1"/>
  <c r="FC147" i="1"/>
  <c r="BH114" i="1"/>
  <c r="FD147" i="1"/>
  <c r="BJ114" i="1"/>
  <c r="FF147" i="1"/>
  <c r="BK114" i="1"/>
  <c r="FG147" i="1"/>
  <c r="BM114" i="1"/>
  <c r="FI147" i="1"/>
  <c r="BN114" i="1"/>
  <c r="FJ147" i="1"/>
  <c r="BP114" i="1"/>
  <c r="FL147" i="1"/>
  <c r="BQ114" i="1"/>
  <c r="FM147" i="1"/>
  <c r="BS114" i="1"/>
  <c r="FO147" i="1"/>
  <c r="BT114" i="1"/>
  <c r="FP147" i="1"/>
  <c r="BV114" i="1"/>
  <c r="FR147" i="1"/>
  <c r="BW114" i="1"/>
  <c r="FS147" i="1"/>
  <c r="BY114" i="1"/>
  <c r="FU147" i="1"/>
  <c r="BZ114" i="1"/>
  <c r="FV147" i="1"/>
  <c r="CB114" i="1"/>
  <c r="FX147" i="1"/>
  <c r="CC114" i="1"/>
  <c r="FY147" i="1"/>
  <c r="CE114" i="1"/>
  <c r="GA147" i="1"/>
  <c r="CF114" i="1"/>
  <c r="GB147" i="1"/>
  <c r="CH114" i="1"/>
  <c r="GD147" i="1"/>
  <c r="CI114" i="1"/>
  <c r="GE147" i="1"/>
  <c r="CK114" i="1"/>
  <c r="GG147" i="1"/>
  <c r="CL114" i="1"/>
  <c r="GH147" i="1"/>
  <c r="CN114" i="1"/>
  <c r="GJ147" i="1"/>
  <c r="CO114" i="1"/>
  <c r="GK147" i="1"/>
  <c r="GP147" i="1"/>
  <c r="N141" i="1"/>
  <c r="DJ174" i="1"/>
  <c r="O141" i="1"/>
  <c r="DK174" i="1"/>
  <c r="Q141" i="1"/>
  <c r="DM174" i="1"/>
  <c r="R141" i="1"/>
  <c r="DN174" i="1"/>
  <c r="T141" i="1"/>
  <c r="DP174" i="1"/>
  <c r="U141" i="1"/>
  <c r="DQ174" i="1"/>
  <c r="W141" i="1"/>
  <c r="DS174" i="1"/>
  <c r="X141" i="1"/>
  <c r="DT174" i="1"/>
  <c r="Z141" i="1"/>
  <c r="DV174" i="1"/>
  <c r="AA141" i="1"/>
  <c r="DW174" i="1"/>
  <c r="AC141" i="1"/>
  <c r="DY174" i="1"/>
  <c r="AD141" i="1"/>
  <c r="DZ174" i="1"/>
  <c r="AF141" i="1"/>
  <c r="EB174" i="1"/>
  <c r="AG141" i="1"/>
  <c r="EC174" i="1"/>
  <c r="AI141" i="1"/>
  <c r="EE174" i="1"/>
  <c r="AJ141" i="1"/>
  <c r="EF174" i="1"/>
  <c r="AL141" i="1"/>
  <c r="EH174" i="1"/>
  <c r="AM141" i="1"/>
  <c r="EI174" i="1"/>
  <c r="AO141" i="1"/>
  <c r="EK174" i="1"/>
  <c r="AP141" i="1"/>
  <c r="EL174" i="1"/>
  <c r="AR141" i="1"/>
  <c r="EN174" i="1"/>
  <c r="AS141" i="1"/>
  <c r="EO174" i="1"/>
  <c r="AU141" i="1"/>
  <c r="EQ174" i="1"/>
  <c r="AV141" i="1"/>
  <c r="ER174" i="1"/>
  <c r="AX141" i="1"/>
  <c r="ET174" i="1"/>
  <c r="AY141" i="1"/>
  <c r="EU174" i="1"/>
  <c r="BA141" i="1"/>
  <c r="EW174" i="1"/>
  <c r="BB141" i="1"/>
  <c r="EX174" i="1"/>
  <c r="BD141" i="1"/>
  <c r="EZ174" i="1"/>
  <c r="BE141" i="1"/>
  <c r="FA174" i="1"/>
  <c r="BG141" i="1"/>
  <c r="FC174" i="1"/>
  <c r="BH141" i="1"/>
  <c r="FD174" i="1"/>
  <c r="BJ141" i="1"/>
  <c r="FF174" i="1"/>
  <c r="BK141" i="1"/>
  <c r="FG174" i="1"/>
  <c r="BM141" i="1"/>
  <c r="FI174" i="1"/>
  <c r="BN141" i="1"/>
  <c r="FJ174" i="1"/>
  <c r="BP141" i="1"/>
  <c r="FL174" i="1"/>
  <c r="BQ141" i="1"/>
  <c r="FM174" i="1"/>
  <c r="BS141" i="1"/>
  <c r="FO174" i="1"/>
  <c r="BT141" i="1"/>
  <c r="FP174" i="1"/>
  <c r="BV141" i="1"/>
  <c r="FR174" i="1"/>
  <c r="BW141" i="1"/>
  <c r="FS174" i="1"/>
  <c r="BY141" i="1"/>
  <c r="FU174" i="1"/>
  <c r="BZ141" i="1"/>
  <c r="FV174" i="1"/>
  <c r="CB141" i="1"/>
  <c r="FX174" i="1"/>
  <c r="CC141" i="1"/>
  <c r="FY174" i="1"/>
  <c r="CE141" i="1"/>
  <c r="GA174" i="1"/>
  <c r="CF141" i="1"/>
  <c r="GB174" i="1"/>
  <c r="CH141" i="1"/>
  <c r="GD174" i="1"/>
  <c r="CI141" i="1"/>
  <c r="GE174" i="1"/>
  <c r="CK141" i="1"/>
  <c r="GG174" i="1"/>
  <c r="CL141" i="1"/>
  <c r="GH174" i="1"/>
  <c r="CN141" i="1"/>
  <c r="GJ174" i="1"/>
  <c r="CO141" i="1"/>
  <c r="GK174" i="1"/>
  <c r="GP174" i="1"/>
  <c r="GP201" i="1"/>
  <c r="GV147" i="1"/>
  <c r="GV174" i="1"/>
  <c r="GV201" i="1"/>
  <c r="FB384" i="1"/>
  <c r="EY384" i="1"/>
  <c r="EV384" i="1"/>
  <c r="ES384" i="1"/>
  <c r="EP384" i="1"/>
  <c r="EM384" i="1"/>
  <c r="EJ384" i="1"/>
  <c r="EG384" i="1"/>
  <c r="ED384" i="1"/>
  <c r="EA384" i="1"/>
  <c r="DX384" i="1"/>
  <c r="DU384" i="1"/>
  <c r="DR384" i="1"/>
  <c r="DO384" i="1"/>
  <c r="DL384" i="1"/>
  <c r="GL383" i="1"/>
  <c r="GI383" i="1"/>
  <c r="GF383" i="1"/>
  <c r="GC383" i="1"/>
  <c r="FZ383" i="1"/>
  <c r="FW383" i="1"/>
  <c r="FT383" i="1"/>
  <c r="FQ383" i="1"/>
  <c r="FN383" i="1"/>
  <c r="FK383" i="1"/>
  <c r="FH383" i="1"/>
  <c r="FE383" i="1"/>
  <c r="N113" i="1"/>
  <c r="DJ146" i="1"/>
  <c r="O113" i="1"/>
  <c r="DK146" i="1"/>
  <c r="Q113" i="1"/>
  <c r="DM146" i="1"/>
  <c r="R113" i="1"/>
  <c r="DN146" i="1"/>
  <c r="T113" i="1"/>
  <c r="DP146" i="1"/>
  <c r="U113" i="1"/>
  <c r="DQ146" i="1"/>
  <c r="W113" i="1"/>
  <c r="DS146" i="1"/>
  <c r="X113" i="1"/>
  <c r="DT146" i="1"/>
  <c r="Z113" i="1"/>
  <c r="DV146" i="1"/>
  <c r="AA113" i="1"/>
  <c r="DW146" i="1"/>
  <c r="AC113" i="1"/>
  <c r="DY146" i="1"/>
  <c r="AD113" i="1"/>
  <c r="DZ146" i="1"/>
  <c r="AF113" i="1"/>
  <c r="EB146" i="1"/>
  <c r="AG113" i="1"/>
  <c r="EC146" i="1"/>
  <c r="AI113" i="1"/>
  <c r="EE146" i="1"/>
  <c r="AJ113" i="1"/>
  <c r="EF146" i="1"/>
  <c r="AL113" i="1"/>
  <c r="EH146" i="1"/>
  <c r="AM113" i="1"/>
  <c r="EI146" i="1"/>
  <c r="AO113" i="1"/>
  <c r="EK146" i="1"/>
  <c r="AP113" i="1"/>
  <c r="EL146" i="1"/>
  <c r="AR113" i="1"/>
  <c r="EN146" i="1"/>
  <c r="AS113" i="1"/>
  <c r="EO146" i="1"/>
  <c r="AU113" i="1"/>
  <c r="EQ146" i="1"/>
  <c r="AV113" i="1"/>
  <c r="ER146" i="1"/>
  <c r="AX113" i="1"/>
  <c r="ET146" i="1"/>
  <c r="AY113" i="1"/>
  <c r="EU146" i="1"/>
  <c r="BA113" i="1"/>
  <c r="EW146" i="1"/>
  <c r="BB113" i="1"/>
  <c r="EX146" i="1"/>
  <c r="BD113" i="1"/>
  <c r="EZ146" i="1"/>
  <c r="BE113" i="1"/>
  <c r="FA146" i="1"/>
  <c r="BG113" i="1"/>
  <c r="FC146" i="1"/>
  <c r="BH113" i="1"/>
  <c r="FD146" i="1"/>
  <c r="BJ113" i="1"/>
  <c r="FF146" i="1"/>
  <c r="BK113" i="1"/>
  <c r="FG146" i="1"/>
  <c r="BM113" i="1"/>
  <c r="FI146" i="1"/>
  <c r="BN113" i="1"/>
  <c r="FJ146" i="1"/>
  <c r="BP113" i="1"/>
  <c r="FL146" i="1"/>
  <c r="BQ113" i="1"/>
  <c r="FM146" i="1"/>
  <c r="BS113" i="1"/>
  <c r="FO146" i="1"/>
  <c r="BT113" i="1"/>
  <c r="FP146" i="1"/>
  <c r="BV113" i="1"/>
  <c r="FR146" i="1"/>
  <c r="BW113" i="1"/>
  <c r="FS146" i="1"/>
  <c r="BY113" i="1"/>
  <c r="FU146" i="1"/>
  <c r="BZ113" i="1"/>
  <c r="FV146" i="1"/>
  <c r="CB113" i="1"/>
  <c r="FX146" i="1"/>
  <c r="CC113" i="1"/>
  <c r="FY146" i="1"/>
  <c r="CE113" i="1"/>
  <c r="GA146" i="1"/>
  <c r="CF113" i="1"/>
  <c r="GB146" i="1"/>
  <c r="CH113" i="1"/>
  <c r="GD146" i="1"/>
  <c r="CI113" i="1"/>
  <c r="GE146" i="1"/>
  <c r="CK113" i="1"/>
  <c r="GG146" i="1"/>
  <c r="CL113" i="1"/>
  <c r="GH146" i="1"/>
  <c r="CN113" i="1"/>
  <c r="GJ146" i="1"/>
  <c r="CO113" i="1"/>
  <c r="GK146" i="1"/>
  <c r="GP146" i="1"/>
  <c r="N140" i="1"/>
  <c r="DJ173" i="1"/>
  <c r="O140" i="1"/>
  <c r="DK173" i="1"/>
  <c r="Q140" i="1"/>
  <c r="DM173" i="1"/>
  <c r="R140" i="1"/>
  <c r="DN173" i="1"/>
  <c r="T140" i="1"/>
  <c r="DP173" i="1"/>
  <c r="U140" i="1"/>
  <c r="DQ173" i="1"/>
  <c r="W140" i="1"/>
  <c r="DS173" i="1"/>
  <c r="X140" i="1"/>
  <c r="DT173" i="1"/>
  <c r="Z140" i="1"/>
  <c r="DV173" i="1"/>
  <c r="AA140" i="1"/>
  <c r="DW173" i="1"/>
  <c r="AC140" i="1"/>
  <c r="DY173" i="1"/>
  <c r="AD140" i="1"/>
  <c r="DZ173" i="1"/>
  <c r="AF140" i="1"/>
  <c r="EB173" i="1"/>
  <c r="AG140" i="1"/>
  <c r="EC173" i="1"/>
  <c r="AI140" i="1"/>
  <c r="EE173" i="1"/>
  <c r="AJ140" i="1"/>
  <c r="EF173" i="1"/>
  <c r="AL140" i="1"/>
  <c r="EH173" i="1"/>
  <c r="AM140" i="1"/>
  <c r="EI173" i="1"/>
  <c r="AO140" i="1"/>
  <c r="EK173" i="1"/>
  <c r="AP140" i="1"/>
  <c r="EL173" i="1"/>
  <c r="AR140" i="1"/>
  <c r="EN173" i="1"/>
  <c r="AS140" i="1"/>
  <c r="EO173" i="1"/>
  <c r="AU140" i="1"/>
  <c r="EQ173" i="1"/>
  <c r="AV140" i="1"/>
  <c r="ER173" i="1"/>
  <c r="AX140" i="1"/>
  <c r="ET173" i="1"/>
  <c r="AY140" i="1"/>
  <c r="EU173" i="1"/>
  <c r="BA140" i="1"/>
  <c r="EW173" i="1"/>
  <c r="BB140" i="1"/>
  <c r="EX173" i="1"/>
  <c r="BD140" i="1"/>
  <c r="EZ173" i="1"/>
  <c r="BE140" i="1"/>
  <c r="FA173" i="1"/>
  <c r="BG140" i="1"/>
  <c r="FC173" i="1"/>
  <c r="BH140" i="1"/>
  <c r="FD173" i="1"/>
  <c r="BJ140" i="1"/>
  <c r="FF173" i="1"/>
  <c r="BK140" i="1"/>
  <c r="FG173" i="1"/>
  <c r="BM140" i="1"/>
  <c r="FI173" i="1"/>
  <c r="BN140" i="1"/>
  <c r="FJ173" i="1"/>
  <c r="BP140" i="1"/>
  <c r="FL173" i="1"/>
  <c r="BQ140" i="1"/>
  <c r="FM173" i="1"/>
  <c r="BS140" i="1"/>
  <c r="FO173" i="1"/>
  <c r="BT140" i="1"/>
  <c r="FP173" i="1"/>
  <c r="BV140" i="1"/>
  <c r="FR173" i="1"/>
  <c r="BW140" i="1"/>
  <c r="FS173" i="1"/>
  <c r="BY140" i="1"/>
  <c r="FU173" i="1"/>
  <c r="BZ140" i="1"/>
  <c r="FV173" i="1"/>
  <c r="CB140" i="1"/>
  <c r="FX173" i="1"/>
  <c r="CC140" i="1"/>
  <c r="FY173" i="1"/>
  <c r="CE140" i="1"/>
  <c r="GA173" i="1"/>
  <c r="CF140" i="1"/>
  <c r="GB173" i="1"/>
  <c r="CH140" i="1"/>
  <c r="GD173" i="1"/>
  <c r="CI140" i="1"/>
  <c r="GE173" i="1"/>
  <c r="CK140" i="1"/>
  <c r="GG173" i="1"/>
  <c r="CL140" i="1"/>
  <c r="GH173" i="1"/>
  <c r="CN140" i="1"/>
  <c r="GJ173" i="1"/>
  <c r="CO140" i="1"/>
  <c r="GK173" i="1"/>
  <c r="GP173" i="1"/>
  <c r="GP200" i="1"/>
  <c r="GV146" i="1"/>
  <c r="GV173" i="1"/>
  <c r="GV200" i="1"/>
  <c r="FB383" i="1"/>
  <c r="EY383" i="1"/>
  <c r="EV383" i="1"/>
  <c r="ES383" i="1"/>
  <c r="EP383" i="1"/>
  <c r="EM383" i="1"/>
  <c r="EJ383" i="1"/>
  <c r="EG383" i="1"/>
  <c r="ED383" i="1"/>
  <c r="EA383" i="1"/>
  <c r="DX383" i="1"/>
  <c r="DU383" i="1"/>
  <c r="DR383" i="1"/>
  <c r="DO383" i="1"/>
  <c r="DL383" i="1"/>
  <c r="GL382" i="1"/>
  <c r="GI382" i="1"/>
  <c r="GF382" i="1"/>
  <c r="GC382" i="1"/>
  <c r="FZ382" i="1"/>
  <c r="FW382" i="1"/>
  <c r="FT382" i="1"/>
  <c r="FQ382" i="1"/>
  <c r="FN382" i="1"/>
  <c r="FK382" i="1"/>
  <c r="FH382" i="1"/>
  <c r="FE382" i="1"/>
  <c r="N112" i="1"/>
  <c r="DJ145" i="1"/>
  <c r="O112" i="1"/>
  <c r="DK145" i="1"/>
  <c r="Q112" i="1"/>
  <c r="DM145" i="1"/>
  <c r="R112" i="1"/>
  <c r="DN145" i="1"/>
  <c r="T112" i="1"/>
  <c r="DP145" i="1"/>
  <c r="U112" i="1"/>
  <c r="DQ145" i="1"/>
  <c r="W112" i="1"/>
  <c r="DS145" i="1"/>
  <c r="X112" i="1"/>
  <c r="DT145" i="1"/>
  <c r="Z112" i="1"/>
  <c r="DV145" i="1"/>
  <c r="AA112" i="1"/>
  <c r="DW145" i="1"/>
  <c r="AC112" i="1"/>
  <c r="DY145" i="1"/>
  <c r="AD112" i="1"/>
  <c r="DZ145" i="1"/>
  <c r="AF112" i="1"/>
  <c r="EB145" i="1"/>
  <c r="AG112" i="1"/>
  <c r="EC145" i="1"/>
  <c r="AI112" i="1"/>
  <c r="EE145" i="1"/>
  <c r="AJ112" i="1"/>
  <c r="EF145" i="1"/>
  <c r="AL112" i="1"/>
  <c r="EH145" i="1"/>
  <c r="AM112" i="1"/>
  <c r="EI145" i="1"/>
  <c r="AO112" i="1"/>
  <c r="EK145" i="1"/>
  <c r="AP112" i="1"/>
  <c r="EL145" i="1"/>
  <c r="AR112" i="1"/>
  <c r="EN145" i="1"/>
  <c r="AS112" i="1"/>
  <c r="EO145" i="1"/>
  <c r="AU112" i="1"/>
  <c r="EQ145" i="1"/>
  <c r="AV112" i="1"/>
  <c r="ER145" i="1"/>
  <c r="AX112" i="1"/>
  <c r="ET145" i="1"/>
  <c r="AY112" i="1"/>
  <c r="EU145" i="1"/>
  <c r="BA112" i="1"/>
  <c r="EW145" i="1"/>
  <c r="BB112" i="1"/>
  <c r="EX145" i="1"/>
  <c r="BD112" i="1"/>
  <c r="EZ145" i="1"/>
  <c r="BE112" i="1"/>
  <c r="FA145" i="1"/>
  <c r="BG112" i="1"/>
  <c r="FC145" i="1"/>
  <c r="BH112" i="1"/>
  <c r="FD145" i="1"/>
  <c r="BJ112" i="1"/>
  <c r="FF145" i="1"/>
  <c r="BK112" i="1"/>
  <c r="FG145" i="1"/>
  <c r="BM112" i="1"/>
  <c r="FI145" i="1"/>
  <c r="BN112" i="1"/>
  <c r="FJ145" i="1"/>
  <c r="BP112" i="1"/>
  <c r="FL145" i="1"/>
  <c r="BQ112" i="1"/>
  <c r="FM145" i="1"/>
  <c r="BS112" i="1"/>
  <c r="FO145" i="1"/>
  <c r="BT112" i="1"/>
  <c r="FP145" i="1"/>
  <c r="BV112" i="1"/>
  <c r="FR145" i="1"/>
  <c r="BW112" i="1"/>
  <c r="FS145" i="1"/>
  <c r="BY112" i="1"/>
  <c r="FU145" i="1"/>
  <c r="BZ112" i="1"/>
  <c r="FV145" i="1"/>
  <c r="CB112" i="1"/>
  <c r="FX145" i="1"/>
  <c r="CC112" i="1"/>
  <c r="FY145" i="1"/>
  <c r="CE112" i="1"/>
  <c r="GA145" i="1"/>
  <c r="CF112" i="1"/>
  <c r="GB145" i="1"/>
  <c r="CH112" i="1"/>
  <c r="GD145" i="1"/>
  <c r="CI112" i="1"/>
  <c r="GE145" i="1"/>
  <c r="CK112" i="1"/>
  <c r="GG145" i="1"/>
  <c r="CL112" i="1"/>
  <c r="GH145" i="1"/>
  <c r="CN112" i="1"/>
  <c r="GJ145" i="1"/>
  <c r="CO112" i="1"/>
  <c r="GK145" i="1"/>
  <c r="GP145" i="1"/>
  <c r="N139" i="1"/>
  <c r="DJ172" i="1"/>
  <c r="O139" i="1"/>
  <c r="DK172" i="1"/>
  <c r="Q139" i="1"/>
  <c r="DM172" i="1"/>
  <c r="R139" i="1"/>
  <c r="DN172" i="1"/>
  <c r="T139" i="1"/>
  <c r="DP172" i="1"/>
  <c r="U139" i="1"/>
  <c r="DQ172" i="1"/>
  <c r="W139" i="1"/>
  <c r="DS172" i="1"/>
  <c r="X139" i="1"/>
  <c r="DT172" i="1"/>
  <c r="Z139" i="1"/>
  <c r="DV172" i="1"/>
  <c r="AA139" i="1"/>
  <c r="DW172" i="1"/>
  <c r="AC139" i="1"/>
  <c r="DY172" i="1"/>
  <c r="AD139" i="1"/>
  <c r="DZ172" i="1"/>
  <c r="AF139" i="1"/>
  <c r="EB172" i="1"/>
  <c r="AG139" i="1"/>
  <c r="EC172" i="1"/>
  <c r="AI139" i="1"/>
  <c r="EE172" i="1"/>
  <c r="AJ139" i="1"/>
  <c r="EF172" i="1"/>
  <c r="AL139" i="1"/>
  <c r="EH172" i="1"/>
  <c r="AM139" i="1"/>
  <c r="EI172" i="1"/>
  <c r="AO139" i="1"/>
  <c r="EK172" i="1"/>
  <c r="AP139" i="1"/>
  <c r="EL172" i="1"/>
  <c r="AR139" i="1"/>
  <c r="EN172" i="1"/>
  <c r="AS139" i="1"/>
  <c r="EO172" i="1"/>
  <c r="AU139" i="1"/>
  <c r="EQ172" i="1"/>
  <c r="AV139" i="1"/>
  <c r="ER172" i="1"/>
  <c r="AX139" i="1"/>
  <c r="ET172" i="1"/>
  <c r="AY139" i="1"/>
  <c r="EU172" i="1"/>
  <c r="BA139" i="1"/>
  <c r="EW172" i="1"/>
  <c r="BB139" i="1"/>
  <c r="EX172" i="1"/>
  <c r="BD139" i="1"/>
  <c r="EZ172" i="1"/>
  <c r="BE139" i="1"/>
  <c r="FA172" i="1"/>
  <c r="BG139" i="1"/>
  <c r="FC172" i="1"/>
  <c r="BH139" i="1"/>
  <c r="FD172" i="1"/>
  <c r="BJ139" i="1"/>
  <c r="FF172" i="1"/>
  <c r="BK139" i="1"/>
  <c r="FG172" i="1"/>
  <c r="BM139" i="1"/>
  <c r="FI172" i="1"/>
  <c r="BN139" i="1"/>
  <c r="FJ172" i="1"/>
  <c r="BP139" i="1"/>
  <c r="FL172" i="1"/>
  <c r="BQ139" i="1"/>
  <c r="FM172" i="1"/>
  <c r="BS139" i="1"/>
  <c r="FO172" i="1"/>
  <c r="BT139" i="1"/>
  <c r="FP172" i="1"/>
  <c r="BV139" i="1"/>
  <c r="FR172" i="1"/>
  <c r="BW139" i="1"/>
  <c r="FS172" i="1"/>
  <c r="BY139" i="1"/>
  <c r="FU172" i="1"/>
  <c r="BZ139" i="1"/>
  <c r="FV172" i="1"/>
  <c r="CB139" i="1"/>
  <c r="FX172" i="1"/>
  <c r="CC139" i="1"/>
  <c r="FY172" i="1"/>
  <c r="CE139" i="1"/>
  <c r="GA172" i="1"/>
  <c r="CF139" i="1"/>
  <c r="GB172" i="1"/>
  <c r="CH139" i="1"/>
  <c r="GD172" i="1"/>
  <c r="CI139" i="1"/>
  <c r="GE172" i="1"/>
  <c r="CK139" i="1"/>
  <c r="GG172" i="1"/>
  <c r="CL139" i="1"/>
  <c r="GH172" i="1"/>
  <c r="CN139" i="1"/>
  <c r="GJ172" i="1"/>
  <c r="CO139" i="1"/>
  <c r="GK172" i="1"/>
  <c r="GP172" i="1"/>
  <c r="GP199" i="1"/>
  <c r="GV145" i="1"/>
  <c r="GV172" i="1"/>
  <c r="GV199" i="1"/>
  <c r="FB382" i="1"/>
  <c r="EY382" i="1"/>
  <c r="EV382" i="1"/>
  <c r="ES382" i="1"/>
  <c r="EP382" i="1"/>
  <c r="EM382" i="1"/>
  <c r="EJ382" i="1"/>
  <c r="EG382" i="1"/>
  <c r="ED382" i="1"/>
  <c r="EA382" i="1"/>
  <c r="DX382" i="1"/>
  <c r="DU382" i="1"/>
  <c r="DR382" i="1"/>
  <c r="DO382" i="1"/>
  <c r="DL382" i="1"/>
  <c r="GL381" i="1"/>
  <c r="GI381" i="1"/>
  <c r="GF381" i="1"/>
  <c r="GC381" i="1"/>
  <c r="FZ381" i="1"/>
  <c r="FW381" i="1"/>
  <c r="FT381" i="1"/>
  <c r="FQ381" i="1"/>
  <c r="FN381" i="1"/>
  <c r="FK381" i="1"/>
  <c r="FH381" i="1"/>
  <c r="FE381" i="1"/>
  <c r="N111" i="1"/>
  <c r="DJ144" i="1"/>
  <c r="O111" i="1"/>
  <c r="DK144" i="1"/>
  <c r="Q111" i="1"/>
  <c r="DM144" i="1"/>
  <c r="R111" i="1"/>
  <c r="DN144" i="1"/>
  <c r="T111" i="1"/>
  <c r="DP144" i="1"/>
  <c r="U111" i="1"/>
  <c r="DQ144" i="1"/>
  <c r="W111" i="1"/>
  <c r="DS144" i="1"/>
  <c r="X111" i="1"/>
  <c r="DT144" i="1"/>
  <c r="Z111" i="1"/>
  <c r="DV144" i="1"/>
  <c r="AA111" i="1"/>
  <c r="DW144" i="1"/>
  <c r="AC111" i="1"/>
  <c r="DY144" i="1"/>
  <c r="AD111" i="1"/>
  <c r="DZ144" i="1"/>
  <c r="AF111" i="1"/>
  <c r="EB144" i="1"/>
  <c r="AG111" i="1"/>
  <c r="EC144" i="1"/>
  <c r="AI111" i="1"/>
  <c r="EE144" i="1"/>
  <c r="AJ111" i="1"/>
  <c r="EF144" i="1"/>
  <c r="AL111" i="1"/>
  <c r="EH144" i="1"/>
  <c r="AM111" i="1"/>
  <c r="EI144" i="1"/>
  <c r="AO111" i="1"/>
  <c r="EK144" i="1"/>
  <c r="AP111" i="1"/>
  <c r="EL144" i="1"/>
  <c r="AR111" i="1"/>
  <c r="EN144" i="1"/>
  <c r="AS111" i="1"/>
  <c r="EO144" i="1"/>
  <c r="AU111" i="1"/>
  <c r="EQ144" i="1"/>
  <c r="AV111" i="1"/>
  <c r="ER144" i="1"/>
  <c r="AX111" i="1"/>
  <c r="ET144" i="1"/>
  <c r="AY111" i="1"/>
  <c r="EU144" i="1"/>
  <c r="BA111" i="1"/>
  <c r="EW144" i="1"/>
  <c r="BB111" i="1"/>
  <c r="EX144" i="1"/>
  <c r="BD111" i="1"/>
  <c r="EZ144" i="1"/>
  <c r="BE111" i="1"/>
  <c r="FA144" i="1"/>
  <c r="BG111" i="1"/>
  <c r="FC144" i="1"/>
  <c r="BH111" i="1"/>
  <c r="FD144" i="1"/>
  <c r="BJ111" i="1"/>
  <c r="FF144" i="1"/>
  <c r="BK111" i="1"/>
  <c r="FG144" i="1"/>
  <c r="BM111" i="1"/>
  <c r="FI144" i="1"/>
  <c r="BN111" i="1"/>
  <c r="FJ144" i="1"/>
  <c r="BP111" i="1"/>
  <c r="FL144" i="1"/>
  <c r="BQ111" i="1"/>
  <c r="FM144" i="1"/>
  <c r="BS111" i="1"/>
  <c r="FO144" i="1"/>
  <c r="BT111" i="1"/>
  <c r="FP144" i="1"/>
  <c r="BV111" i="1"/>
  <c r="FR144" i="1"/>
  <c r="BW111" i="1"/>
  <c r="FS144" i="1"/>
  <c r="BY111" i="1"/>
  <c r="FU144" i="1"/>
  <c r="BZ111" i="1"/>
  <c r="FV144" i="1"/>
  <c r="CB111" i="1"/>
  <c r="FX144" i="1"/>
  <c r="CC111" i="1"/>
  <c r="FY144" i="1"/>
  <c r="CE111" i="1"/>
  <c r="GA144" i="1"/>
  <c r="CF111" i="1"/>
  <c r="GB144" i="1"/>
  <c r="CH111" i="1"/>
  <c r="GD144" i="1"/>
  <c r="CI111" i="1"/>
  <c r="GE144" i="1"/>
  <c r="CK111" i="1"/>
  <c r="GG144" i="1"/>
  <c r="CL111" i="1"/>
  <c r="GH144" i="1"/>
  <c r="CN111" i="1"/>
  <c r="GJ144" i="1"/>
  <c r="CO111" i="1"/>
  <c r="GK144" i="1"/>
  <c r="GP144" i="1"/>
  <c r="N138" i="1"/>
  <c r="DJ171" i="1"/>
  <c r="O138" i="1"/>
  <c r="DK171" i="1"/>
  <c r="Q138" i="1"/>
  <c r="DM171" i="1"/>
  <c r="R138" i="1"/>
  <c r="DN171" i="1"/>
  <c r="T138" i="1"/>
  <c r="DP171" i="1"/>
  <c r="U138" i="1"/>
  <c r="DQ171" i="1"/>
  <c r="W138" i="1"/>
  <c r="DS171" i="1"/>
  <c r="X138" i="1"/>
  <c r="DT171" i="1"/>
  <c r="Z138" i="1"/>
  <c r="DV171" i="1"/>
  <c r="AA138" i="1"/>
  <c r="DW171" i="1"/>
  <c r="AC138" i="1"/>
  <c r="DY171" i="1"/>
  <c r="AD138" i="1"/>
  <c r="DZ171" i="1"/>
  <c r="AF138" i="1"/>
  <c r="EB171" i="1"/>
  <c r="AG138" i="1"/>
  <c r="EC171" i="1"/>
  <c r="AI138" i="1"/>
  <c r="EE171" i="1"/>
  <c r="AJ138" i="1"/>
  <c r="EF171" i="1"/>
  <c r="AL138" i="1"/>
  <c r="EH171" i="1"/>
  <c r="AM138" i="1"/>
  <c r="EI171" i="1"/>
  <c r="AO138" i="1"/>
  <c r="EK171" i="1"/>
  <c r="AP138" i="1"/>
  <c r="EL171" i="1"/>
  <c r="AR138" i="1"/>
  <c r="EN171" i="1"/>
  <c r="AS138" i="1"/>
  <c r="EO171" i="1"/>
  <c r="AU138" i="1"/>
  <c r="EQ171" i="1"/>
  <c r="AV138" i="1"/>
  <c r="ER171" i="1"/>
  <c r="AX138" i="1"/>
  <c r="ET171" i="1"/>
  <c r="AY138" i="1"/>
  <c r="EU171" i="1"/>
  <c r="BA138" i="1"/>
  <c r="EW171" i="1"/>
  <c r="BB138" i="1"/>
  <c r="EX171" i="1"/>
  <c r="BD138" i="1"/>
  <c r="EZ171" i="1"/>
  <c r="BE138" i="1"/>
  <c r="FA171" i="1"/>
  <c r="BG138" i="1"/>
  <c r="FC171" i="1"/>
  <c r="BH138" i="1"/>
  <c r="FD171" i="1"/>
  <c r="BJ138" i="1"/>
  <c r="FF171" i="1"/>
  <c r="BK138" i="1"/>
  <c r="FG171" i="1"/>
  <c r="BM138" i="1"/>
  <c r="FI171" i="1"/>
  <c r="BN138" i="1"/>
  <c r="FJ171" i="1"/>
  <c r="BP138" i="1"/>
  <c r="FL171" i="1"/>
  <c r="BQ138" i="1"/>
  <c r="FM171" i="1"/>
  <c r="BS138" i="1"/>
  <c r="FO171" i="1"/>
  <c r="BT138" i="1"/>
  <c r="FP171" i="1"/>
  <c r="BV138" i="1"/>
  <c r="FR171" i="1"/>
  <c r="BW138" i="1"/>
  <c r="FS171" i="1"/>
  <c r="BY138" i="1"/>
  <c r="FU171" i="1"/>
  <c r="BZ138" i="1"/>
  <c r="FV171" i="1"/>
  <c r="CB138" i="1"/>
  <c r="FX171" i="1"/>
  <c r="CC138" i="1"/>
  <c r="FY171" i="1"/>
  <c r="CE138" i="1"/>
  <c r="GA171" i="1"/>
  <c r="CF138" i="1"/>
  <c r="GB171" i="1"/>
  <c r="CH138" i="1"/>
  <c r="GD171" i="1"/>
  <c r="CI138" i="1"/>
  <c r="GE171" i="1"/>
  <c r="CK138" i="1"/>
  <c r="GG171" i="1"/>
  <c r="CL138" i="1"/>
  <c r="GH171" i="1"/>
  <c r="CN138" i="1"/>
  <c r="GJ171" i="1"/>
  <c r="CO138" i="1"/>
  <c r="GK171" i="1"/>
  <c r="GP171" i="1"/>
  <c r="GP198" i="1"/>
  <c r="GV144" i="1"/>
  <c r="GV171" i="1"/>
  <c r="GV198" i="1"/>
  <c r="FB381" i="1"/>
  <c r="EY381" i="1"/>
  <c r="EV381" i="1"/>
  <c r="ES381" i="1"/>
  <c r="EP381" i="1"/>
  <c r="EM381" i="1"/>
  <c r="EJ381" i="1"/>
  <c r="EG381" i="1"/>
  <c r="ED381" i="1"/>
  <c r="EA381" i="1"/>
  <c r="DX381" i="1"/>
  <c r="DU381" i="1"/>
  <c r="DR381" i="1"/>
  <c r="DO381" i="1"/>
  <c r="DL381" i="1"/>
  <c r="GL380" i="1"/>
  <c r="GI380" i="1"/>
  <c r="GF380" i="1"/>
  <c r="GC380" i="1"/>
  <c r="FZ380" i="1"/>
  <c r="FW380" i="1"/>
  <c r="FT380" i="1"/>
  <c r="FQ380" i="1"/>
  <c r="FN380" i="1"/>
  <c r="FK380" i="1"/>
  <c r="FH380" i="1"/>
  <c r="FE380" i="1"/>
  <c r="N110" i="1"/>
  <c r="DJ143" i="1"/>
  <c r="O110" i="1"/>
  <c r="DK143" i="1"/>
  <c r="Q110" i="1"/>
  <c r="DM143" i="1"/>
  <c r="R110" i="1"/>
  <c r="DN143" i="1"/>
  <c r="T110" i="1"/>
  <c r="DP143" i="1"/>
  <c r="U110" i="1"/>
  <c r="DQ143" i="1"/>
  <c r="W110" i="1"/>
  <c r="DS143" i="1"/>
  <c r="X110" i="1"/>
  <c r="DT143" i="1"/>
  <c r="Z110" i="1"/>
  <c r="DV143" i="1"/>
  <c r="AA110" i="1"/>
  <c r="DW143" i="1"/>
  <c r="AC110" i="1"/>
  <c r="DY143" i="1"/>
  <c r="AD110" i="1"/>
  <c r="DZ143" i="1"/>
  <c r="AF110" i="1"/>
  <c r="EB143" i="1"/>
  <c r="AG110" i="1"/>
  <c r="EC143" i="1"/>
  <c r="AI110" i="1"/>
  <c r="EE143" i="1"/>
  <c r="AJ110" i="1"/>
  <c r="EF143" i="1"/>
  <c r="AL110" i="1"/>
  <c r="EH143" i="1"/>
  <c r="AM110" i="1"/>
  <c r="EI143" i="1"/>
  <c r="AO110" i="1"/>
  <c r="EK143" i="1"/>
  <c r="AP110" i="1"/>
  <c r="EL143" i="1"/>
  <c r="AR110" i="1"/>
  <c r="EN143" i="1"/>
  <c r="AS110" i="1"/>
  <c r="EO143" i="1"/>
  <c r="AU110" i="1"/>
  <c r="EQ143" i="1"/>
  <c r="AV110" i="1"/>
  <c r="ER143" i="1"/>
  <c r="AX110" i="1"/>
  <c r="ET143" i="1"/>
  <c r="AY110" i="1"/>
  <c r="EU143" i="1"/>
  <c r="BA110" i="1"/>
  <c r="EW143" i="1"/>
  <c r="BB110" i="1"/>
  <c r="EX143" i="1"/>
  <c r="BD110" i="1"/>
  <c r="EZ143" i="1"/>
  <c r="BE110" i="1"/>
  <c r="FA143" i="1"/>
  <c r="BG110" i="1"/>
  <c r="FC143" i="1"/>
  <c r="BH110" i="1"/>
  <c r="FD143" i="1"/>
  <c r="BJ110" i="1"/>
  <c r="FF143" i="1"/>
  <c r="BK110" i="1"/>
  <c r="FG143" i="1"/>
  <c r="BM110" i="1"/>
  <c r="FI143" i="1"/>
  <c r="BN110" i="1"/>
  <c r="FJ143" i="1"/>
  <c r="BP110" i="1"/>
  <c r="FL143" i="1"/>
  <c r="BQ110" i="1"/>
  <c r="FM143" i="1"/>
  <c r="BS110" i="1"/>
  <c r="FO143" i="1"/>
  <c r="BT110" i="1"/>
  <c r="FP143" i="1"/>
  <c r="BV110" i="1"/>
  <c r="FR143" i="1"/>
  <c r="BW110" i="1"/>
  <c r="FS143" i="1"/>
  <c r="BY110" i="1"/>
  <c r="FU143" i="1"/>
  <c r="BZ110" i="1"/>
  <c r="FV143" i="1"/>
  <c r="CB110" i="1"/>
  <c r="FX143" i="1"/>
  <c r="CC110" i="1"/>
  <c r="FY143" i="1"/>
  <c r="CE110" i="1"/>
  <c r="GA143" i="1"/>
  <c r="CF110" i="1"/>
  <c r="GB143" i="1"/>
  <c r="CH110" i="1"/>
  <c r="GD143" i="1"/>
  <c r="CI110" i="1"/>
  <c r="GE143" i="1"/>
  <c r="CK110" i="1"/>
  <c r="GG143" i="1"/>
  <c r="CL110" i="1"/>
  <c r="GH143" i="1"/>
  <c r="CN110" i="1"/>
  <c r="GJ143" i="1"/>
  <c r="CO110" i="1"/>
  <c r="GK143" i="1"/>
  <c r="GP143" i="1"/>
  <c r="N137" i="1"/>
  <c r="DJ170" i="1"/>
  <c r="O137" i="1"/>
  <c r="DK170" i="1"/>
  <c r="Q137" i="1"/>
  <c r="DM170" i="1"/>
  <c r="R137" i="1"/>
  <c r="DN170" i="1"/>
  <c r="T137" i="1"/>
  <c r="DP170" i="1"/>
  <c r="U137" i="1"/>
  <c r="DQ170" i="1"/>
  <c r="W137" i="1"/>
  <c r="DS170" i="1"/>
  <c r="X137" i="1"/>
  <c r="DT170" i="1"/>
  <c r="Z137" i="1"/>
  <c r="DV170" i="1"/>
  <c r="AA137" i="1"/>
  <c r="DW170" i="1"/>
  <c r="AC137" i="1"/>
  <c r="DY170" i="1"/>
  <c r="AD137" i="1"/>
  <c r="DZ170" i="1"/>
  <c r="AF137" i="1"/>
  <c r="EB170" i="1"/>
  <c r="AG137" i="1"/>
  <c r="EC170" i="1"/>
  <c r="AI137" i="1"/>
  <c r="EE170" i="1"/>
  <c r="AJ137" i="1"/>
  <c r="EF170" i="1"/>
  <c r="AL137" i="1"/>
  <c r="EH170" i="1"/>
  <c r="AM137" i="1"/>
  <c r="EI170" i="1"/>
  <c r="AO137" i="1"/>
  <c r="EK170" i="1"/>
  <c r="AP137" i="1"/>
  <c r="EL170" i="1"/>
  <c r="AR137" i="1"/>
  <c r="EN170" i="1"/>
  <c r="AS137" i="1"/>
  <c r="EO170" i="1"/>
  <c r="AU137" i="1"/>
  <c r="EQ170" i="1"/>
  <c r="AV137" i="1"/>
  <c r="ER170" i="1"/>
  <c r="AX137" i="1"/>
  <c r="ET170" i="1"/>
  <c r="AY137" i="1"/>
  <c r="EU170" i="1"/>
  <c r="BA137" i="1"/>
  <c r="EW170" i="1"/>
  <c r="BB137" i="1"/>
  <c r="EX170" i="1"/>
  <c r="BD137" i="1"/>
  <c r="EZ170" i="1"/>
  <c r="BE137" i="1"/>
  <c r="FA170" i="1"/>
  <c r="BG137" i="1"/>
  <c r="FC170" i="1"/>
  <c r="BH137" i="1"/>
  <c r="FD170" i="1"/>
  <c r="BJ137" i="1"/>
  <c r="FF170" i="1"/>
  <c r="BK137" i="1"/>
  <c r="FG170" i="1"/>
  <c r="BM137" i="1"/>
  <c r="FI170" i="1"/>
  <c r="BN137" i="1"/>
  <c r="FJ170" i="1"/>
  <c r="BP137" i="1"/>
  <c r="FL170" i="1"/>
  <c r="BQ137" i="1"/>
  <c r="FM170" i="1"/>
  <c r="BS137" i="1"/>
  <c r="FO170" i="1"/>
  <c r="BT137" i="1"/>
  <c r="FP170" i="1"/>
  <c r="BV137" i="1"/>
  <c r="FR170" i="1"/>
  <c r="BW137" i="1"/>
  <c r="FS170" i="1"/>
  <c r="BY137" i="1"/>
  <c r="FU170" i="1"/>
  <c r="BZ137" i="1"/>
  <c r="FV170" i="1"/>
  <c r="CB137" i="1"/>
  <c r="FX170" i="1"/>
  <c r="CC137" i="1"/>
  <c r="FY170" i="1"/>
  <c r="CE137" i="1"/>
  <c r="GA170" i="1"/>
  <c r="CF137" i="1"/>
  <c r="GB170" i="1"/>
  <c r="CH137" i="1"/>
  <c r="GD170" i="1"/>
  <c r="CI137" i="1"/>
  <c r="GE170" i="1"/>
  <c r="CK137" i="1"/>
  <c r="GG170" i="1"/>
  <c r="CL137" i="1"/>
  <c r="GH170" i="1"/>
  <c r="CN137" i="1"/>
  <c r="GJ170" i="1"/>
  <c r="CO137" i="1"/>
  <c r="GK170" i="1"/>
  <c r="GP170" i="1"/>
  <c r="GP197" i="1"/>
  <c r="GV143" i="1"/>
  <c r="GV170" i="1"/>
  <c r="GV197" i="1"/>
  <c r="FB380" i="1"/>
  <c r="EY380" i="1"/>
  <c r="EV380" i="1"/>
  <c r="ES380" i="1"/>
  <c r="EP380" i="1"/>
  <c r="EM380" i="1"/>
  <c r="EJ380" i="1"/>
  <c r="EG380" i="1"/>
  <c r="ED380" i="1"/>
  <c r="EA380" i="1"/>
  <c r="DX380" i="1"/>
  <c r="DU380" i="1"/>
  <c r="DR380" i="1"/>
  <c r="DO380" i="1"/>
  <c r="DL380" i="1"/>
  <c r="GL379" i="1"/>
  <c r="GI379" i="1"/>
  <c r="GF379" i="1"/>
  <c r="GC379" i="1"/>
  <c r="FZ379" i="1"/>
  <c r="FW379" i="1"/>
  <c r="FT379" i="1"/>
  <c r="FQ379" i="1"/>
  <c r="FN379" i="1"/>
  <c r="FK379" i="1"/>
  <c r="FH379" i="1"/>
  <c r="FE379" i="1"/>
  <c r="FB379" i="1"/>
  <c r="EY379" i="1"/>
  <c r="EV379" i="1"/>
  <c r="ES379" i="1"/>
  <c r="EP379" i="1"/>
  <c r="EM379" i="1"/>
  <c r="EJ379" i="1"/>
  <c r="EG379" i="1"/>
  <c r="ED379" i="1"/>
  <c r="EA379" i="1"/>
  <c r="DX379" i="1"/>
  <c r="DU379" i="1"/>
  <c r="DR379" i="1"/>
  <c r="DO379" i="1"/>
  <c r="DL379" i="1"/>
  <c r="GL378" i="1"/>
  <c r="GI378" i="1"/>
  <c r="GF378" i="1"/>
  <c r="GC378" i="1"/>
  <c r="FZ378" i="1"/>
  <c r="FW378" i="1"/>
  <c r="FT378" i="1"/>
  <c r="FQ378" i="1"/>
  <c r="FN378" i="1"/>
  <c r="FK378" i="1"/>
  <c r="FH378" i="1"/>
  <c r="FE378" i="1"/>
  <c r="FB378" i="1"/>
  <c r="EY378" i="1"/>
  <c r="EV378" i="1"/>
  <c r="ES378" i="1"/>
  <c r="EP378" i="1"/>
  <c r="EM378" i="1"/>
  <c r="EJ378" i="1"/>
  <c r="EG378" i="1"/>
  <c r="ED378" i="1"/>
  <c r="EA378" i="1"/>
  <c r="DX378" i="1"/>
  <c r="DU378" i="1"/>
  <c r="DR378" i="1"/>
  <c r="DO378" i="1"/>
  <c r="DL378" i="1"/>
  <c r="GL377" i="1"/>
  <c r="GI377" i="1"/>
  <c r="GF377" i="1"/>
  <c r="GC377" i="1"/>
  <c r="FZ377" i="1"/>
  <c r="FW377" i="1"/>
  <c r="FT377" i="1"/>
  <c r="FQ377" i="1"/>
  <c r="FN377" i="1"/>
  <c r="FK377" i="1"/>
  <c r="FH377" i="1"/>
  <c r="FE377" i="1"/>
  <c r="FB377" i="1"/>
  <c r="EY377" i="1"/>
  <c r="EV377" i="1"/>
  <c r="ES377" i="1"/>
  <c r="EP377" i="1"/>
  <c r="EM377" i="1"/>
  <c r="EJ377" i="1"/>
  <c r="EG377" i="1"/>
  <c r="ED377" i="1"/>
  <c r="EA377" i="1"/>
  <c r="DX377" i="1"/>
  <c r="DU377" i="1"/>
  <c r="DR377" i="1"/>
  <c r="DO377" i="1"/>
  <c r="DL377" i="1"/>
  <c r="GL376" i="1"/>
  <c r="BP134" i="1"/>
  <c r="FL167" i="1"/>
  <c r="BQ134" i="1"/>
  <c r="FM167" i="1"/>
  <c r="BS134" i="1"/>
  <c r="FO167" i="1"/>
  <c r="BT134" i="1"/>
  <c r="FP167" i="1"/>
  <c r="BV134" i="1"/>
  <c r="FR167" i="1"/>
  <c r="BW134" i="1"/>
  <c r="FS167" i="1"/>
  <c r="BY134" i="1"/>
  <c r="FU167" i="1"/>
  <c r="BZ134" i="1"/>
  <c r="FV167" i="1"/>
  <c r="CB134" i="1"/>
  <c r="FX167" i="1"/>
  <c r="CC134" i="1"/>
  <c r="FY167" i="1"/>
  <c r="CE134" i="1"/>
  <c r="GA167" i="1"/>
  <c r="CF134" i="1"/>
  <c r="GB167" i="1"/>
  <c r="CH134" i="1"/>
  <c r="GD167" i="1"/>
  <c r="CL77" i="1"/>
  <c r="CI134" i="1"/>
  <c r="GE167" i="1"/>
  <c r="CK134" i="1"/>
  <c r="GG167" i="1"/>
  <c r="CL134" i="1"/>
  <c r="GH167" i="1"/>
  <c r="CN134" i="1"/>
  <c r="GJ167" i="1"/>
  <c r="CO134" i="1"/>
  <c r="GK167" i="1"/>
  <c r="BP135" i="1"/>
  <c r="FL168" i="1"/>
  <c r="BQ135" i="1"/>
  <c r="FM168" i="1"/>
  <c r="BS135" i="1"/>
  <c r="FO168" i="1"/>
  <c r="BT135" i="1"/>
  <c r="FP168" i="1"/>
  <c r="BV135" i="1"/>
  <c r="FR168" i="1"/>
  <c r="BW135" i="1"/>
  <c r="FS168" i="1"/>
  <c r="BY135" i="1"/>
  <c r="FU168" i="1"/>
  <c r="BZ135" i="1"/>
  <c r="FV168" i="1"/>
  <c r="CB135" i="1"/>
  <c r="FX168" i="1"/>
  <c r="CC135" i="1"/>
  <c r="FY168" i="1"/>
  <c r="CE135" i="1"/>
  <c r="GA168" i="1"/>
  <c r="CF135" i="1"/>
  <c r="GB168" i="1"/>
  <c r="CN77" i="1"/>
  <c r="CH135" i="1"/>
  <c r="GD168" i="1"/>
  <c r="CO77" i="1"/>
  <c r="CI135" i="1"/>
  <c r="GE168" i="1"/>
  <c r="CK135" i="1"/>
  <c r="GG168" i="1"/>
  <c r="CL135" i="1"/>
  <c r="GH168" i="1"/>
  <c r="CN135" i="1"/>
  <c r="GJ168" i="1"/>
  <c r="CO135" i="1"/>
  <c r="GK168" i="1"/>
  <c r="BP136" i="1"/>
  <c r="FL169" i="1"/>
  <c r="BQ136" i="1"/>
  <c r="FM169" i="1"/>
  <c r="BS136" i="1"/>
  <c r="FO169" i="1"/>
  <c r="BT136" i="1"/>
  <c r="FP169" i="1"/>
  <c r="BV136" i="1"/>
  <c r="FR169" i="1"/>
  <c r="BW136" i="1"/>
  <c r="FS169" i="1"/>
  <c r="BY136" i="1"/>
  <c r="FU169" i="1"/>
  <c r="BZ136" i="1"/>
  <c r="FV169" i="1"/>
  <c r="CB136" i="1"/>
  <c r="FX169" i="1"/>
  <c r="CC136" i="1"/>
  <c r="FY169" i="1"/>
  <c r="CE136" i="1"/>
  <c r="GA169" i="1"/>
  <c r="CF136" i="1"/>
  <c r="GB169" i="1"/>
  <c r="CQ77" i="1"/>
  <c r="CH136" i="1"/>
  <c r="GD169" i="1"/>
  <c r="CR77" i="1"/>
  <c r="CI136" i="1"/>
  <c r="GE169" i="1"/>
  <c r="CK136" i="1"/>
  <c r="GG169" i="1"/>
  <c r="CL136" i="1"/>
  <c r="GH169" i="1"/>
  <c r="CN136" i="1"/>
  <c r="GJ169" i="1"/>
  <c r="CO136" i="1"/>
  <c r="GK169" i="1"/>
  <c r="FN267" i="1"/>
  <c r="FQ267" i="1"/>
  <c r="FT267" i="1"/>
  <c r="FW267" i="1"/>
  <c r="FZ267" i="1"/>
  <c r="GC267" i="1"/>
  <c r="GF267" i="1"/>
  <c r="GI267" i="1"/>
  <c r="GI270" i="1"/>
  <c r="GI273" i="1"/>
  <c r="GI276" i="1"/>
  <c r="GI279" i="1"/>
  <c r="GI282" i="1"/>
  <c r="GI285" i="1"/>
  <c r="GI288" i="1"/>
  <c r="GI291" i="1"/>
  <c r="GI376" i="1"/>
  <c r="GF376" i="1"/>
  <c r="GC376" i="1"/>
  <c r="FZ376" i="1"/>
  <c r="FW376" i="1"/>
  <c r="FT376" i="1"/>
  <c r="FQ376" i="1"/>
  <c r="FN376" i="1"/>
  <c r="FK376" i="1"/>
  <c r="FH376" i="1"/>
  <c r="AO134" i="1"/>
  <c r="EK167" i="1"/>
  <c r="AP134" i="1"/>
  <c r="EL167" i="1"/>
  <c r="AR134" i="1"/>
  <c r="EN167" i="1"/>
  <c r="AS134" i="1"/>
  <c r="EO167" i="1"/>
  <c r="AU134" i="1"/>
  <c r="EQ167" i="1"/>
  <c r="AV134" i="1"/>
  <c r="ER167" i="1"/>
  <c r="AX134" i="1"/>
  <c r="ET167" i="1"/>
  <c r="AY134" i="1"/>
  <c r="EU167" i="1"/>
  <c r="BA134" i="1"/>
  <c r="EW167" i="1"/>
  <c r="BB134" i="1"/>
  <c r="EX167" i="1"/>
  <c r="BD134" i="1"/>
  <c r="EZ167" i="1"/>
  <c r="BE134" i="1"/>
  <c r="FA167" i="1"/>
  <c r="BG134" i="1"/>
  <c r="FC167" i="1"/>
  <c r="BH134" i="1"/>
  <c r="FD167" i="1"/>
  <c r="BJ134" i="1"/>
  <c r="FF167" i="1"/>
  <c r="BK134" i="1"/>
  <c r="FG167" i="1"/>
  <c r="BM134" i="1"/>
  <c r="FI167" i="1"/>
  <c r="BN134" i="1"/>
  <c r="FJ167" i="1"/>
  <c r="AO135" i="1"/>
  <c r="EK168" i="1"/>
  <c r="AP135" i="1"/>
  <c r="EL168" i="1"/>
  <c r="AR135" i="1"/>
  <c r="EN168" i="1"/>
  <c r="AS135" i="1"/>
  <c r="EO168" i="1"/>
  <c r="AU135" i="1"/>
  <c r="EQ168" i="1"/>
  <c r="AV135" i="1"/>
  <c r="ER168" i="1"/>
  <c r="AX135" i="1"/>
  <c r="ET168" i="1"/>
  <c r="AY135" i="1"/>
  <c r="EU168" i="1"/>
  <c r="BA135" i="1"/>
  <c r="EW168" i="1"/>
  <c r="BB135" i="1"/>
  <c r="EX168" i="1"/>
  <c r="BD135" i="1"/>
  <c r="EZ168" i="1"/>
  <c r="BE135" i="1"/>
  <c r="FA168" i="1"/>
  <c r="BG135" i="1"/>
  <c r="FC168" i="1"/>
  <c r="BH135" i="1"/>
  <c r="FD168" i="1"/>
  <c r="BJ135" i="1"/>
  <c r="FF168" i="1"/>
  <c r="BK135" i="1"/>
  <c r="FG168" i="1"/>
  <c r="BM135" i="1"/>
  <c r="FI168" i="1"/>
  <c r="BN135" i="1"/>
  <c r="FJ168" i="1"/>
  <c r="AO136" i="1"/>
  <c r="EK169" i="1"/>
  <c r="AP136" i="1"/>
  <c r="EL169" i="1"/>
  <c r="AR136" i="1"/>
  <c r="EN169" i="1"/>
  <c r="AS136" i="1"/>
  <c r="EO169" i="1"/>
  <c r="AU136" i="1"/>
  <c r="EQ169" i="1"/>
  <c r="AV136" i="1"/>
  <c r="ER169" i="1"/>
  <c r="AX136" i="1"/>
  <c r="ET169" i="1"/>
  <c r="AY136" i="1"/>
  <c r="EU169" i="1"/>
  <c r="BA136" i="1"/>
  <c r="EW169" i="1"/>
  <c r="BB136" i="1"/>
  <c r="EX169" i="1"/>
  <c r="BD136" i="1"/>
  <c r="EZ169" i="1"/>
  <c r="BE136" i="1"/>
  <c r="FA169" i="1"/>
  <c r="BG136" i="1"/>
  <c r="FC169" i="1"/>
  <c r="BH136" i="1"/>
  <c r="FD169" i="1"/>
  <c r="BJ136" i="1"/>
  <c r="FF169" i="1"/>
  <c r="BK136" i="1"/>
  <c r="FG169" i="1"/>
  <c r="BM136" i="1"/>
  <c r="FI169" i="1"/>
  <c r="BN136" i="1"/>
  <c r="FJ169" i="1"/>
  <c r="EM267" i="1"/>
  <c r="EP267" i="1"/>
  <c r="ES267" i="1"/>
  <c r="EV267" i="1"/>
  <c r="EY267" i="1"/>
  <c r="FB267" i="1"/>
  <c r="FE267" i="1"/>
  <c r="FE270" i="1"/>
  <c r="FE273" i="1"/>
  <c r="FE276" i="1"/>
  <c r="FE279" i="1"/>
  <c r="FE282" i="1"/>
  <c r="FE285" i="1"/>
  <c r="FE288" i="1"/>
  <c r="FE291" i="1"/>
  <c r="FE376" i="1"/>
  <c r="FB270" i="1"/>
  <c r="FB273" i="1"/>
  <c r="FB276" i="1"/>
  <c r="FB279" i="1"/>
  <c r="FB282" i="1"/>
  <c r="FB285" i="1"/>
  <c r="FB288" i="1"/>
  <c r="FB291" i="1"/>
  <c r="FB376" i="1"/>
  <c r="EY376" i="1"/>
  <c r="EV376" i="1"/>
  <c r="ES376" i="1"/>
  <c r="EP376" i="1"/>
  <c r="EM376" i="1"/>
  <c r="EJ376" i="1"/>
  <c r="EG376" i="1"/>
  <c r="ED376" i="1"/>
  <c r="EA376" i="1"/>
  <c r="DX376" i="1"/>
  <c r="DU376" i="1"/>
  <c r="N134" i="1"/>
  <c r="DJ167" i="1"/>
  <c r="O134" i="1"/>
  <c r="DK167" i="1"/>
  <c r="Q134" i="1"/>
  <c r="DM167" i="1"/>
  <c r="R134" i="1"/>
  <c r="DN167" i="1"/>
  <c r="T134" i="1"/>
  <c r="DP167" i="1"/>
  <c r="U134" i="1"/>
  <c r="DQ167" i="1"/>
  <c r="W134" i="1"/>
  <c r="DS167" i="1"/>
  <c r="X134" i="1"/>
  <c r="DT167" i="1"/>
  <c r="Z134" i="1"/>
  <c r="DV167" i="1"/>
  <c r="AA134" i="1"/>
  <c r="DW167" i="1"/>
  <c r="AC134" i="1"/>
  <c r="DY167" i="1"/>
  <c r="AD134" i="1"/>
  <c r="DZ167" i="1"/>
  <c r="AF134" i="1"/>
  <c r="EB167" i="1"/>
  <c r="AG134" i="1"/>
  <c r="EC167" i="1"/>
  <c r="AI134" i="1"/>
  <c r="EE167" i="1"/>
  <c r="AJ134" i="1"/>
  <c r="EF167" i="1"/>
  <c r="AL134" i="1"/>
  <c r="EH167" i="1"/>
  <c r="AM134" i="1"/>
  <c r="EI167" i="1"/>
  <c r="N135" i="1"/>
  <c r="DJ168" i="1"/>
  <c r="O135" i="1"/>
  <c r="DK168" i="1"/>
  <c r="Q135" i="1"/>
  <c r="DM168" i="1"/>
  <c r="R135" i="1"/>
  <c r="DN168" i="1"/>
  <c r="T135" i="1"/>
  <c r="DP168" i="1"/>
  <c r="U135" i="1"/>
  <c r="DQ168" i="1"/>
  <c r="W135" i="1"/>
  <c r="DS168" i="1"/>
  <c r="X135" i="1"/>
  <c r="DT168" i="1"/>
  <c r="Z135" i="1"/>
  <c r="DV168" i="1"/>
  <c r="AA135" i="1"/>
  <c r="DW168" i="1"/>
  <c r="AC135" i="1"/>
  <c r="DY168" i="1"/>
  <c r="AD135" i="1"/>
  <c r="DZ168" i="1"/>
  <c r="AF135" i="1"/>
  <c r="EB168" i="1"/>
  <c r="AG135" i="1"/>
  <c r="EC168" i="1"/>
  <c r="AI135" i="1"/>
  <c r="EE168" i="1"/>
  <c r="AJ135" i="1"/>
  <c r="EF168" i="1"/>
  <c r="AL135" i="1"/>
  <c r="EH168" i="1"/>
  <c r="AM135" i="1"/>
  <c r="EI168" i="1"/>
  <c r="N136" i="1"/>
  <c r="DJ169" i="1"/>
  <c r="O136" i="1"/>
  <c r="DK169" i="1"/>
  <c r="Q136" i="1"/>
  <c r="DM169" i="1"/>
  <c r="R136" i="1"/>
  <c r="DN169" i="1"/>
  <c r="T136" i="1"/>
  <c r="DP169" i="1"/>
  <c r="U136" i="1"/>
  <c r="DQ169" i="1"/>
  <c r="W136" i="1"/>
  <c r="DS169" i="1"/>
  <c r="X136" i="1"/>
  <c r="DT169" i="1"/>
  <c r="Z136" i="1"/>
  <c r="DV169" i="1"/>
  <c r="AA136" i="1"/>
  <c r="DW169" i="1"/>
  <c r="AC136" i="1"/>
  <c r="DY169" i="1"/>
  <c r="AD136" i="1"/>
  <c r="DZ169" i="1"/>
  <c r="AF136" i="1"/>
  <c r="EB169" i="1"/>
  <c r="AG136" i="1"/>
  <c r="EC169" i="1"/>
  <c r="AI136" i="1"/>
  <c r="EE169" i="1"/>
  <c r="AJ136" i="1"/>
  <c r="EF169" i="1"/>
  <c r="AL136" i="1"/>
  <c r="EH169" i="1"/>
  <c r="AM136" i="1"/>
  <c r="EI169" i="1"/>
  <c r="DL267" i="1"/>
  <c r="DO267" i="1"/>
  <c r="DR267" i="1"/>
  <c r="DR270" i="1"/>
  <c r="DR273" i="1"/>
  <c r="DR276" i="1"/>
  <c r="DR279" i="1"/>
  <c r="DR282" i="1"/>
  <c r="DR285" i="1"/>
  <c r="DR288" i="1"/>
  <c r="DR291" i="1"/>
  <c r="DR376" i="1"/>
  <c r="DO270" i="1"/>
  <c r="DO273" i="1"/>
  <c r="DO276" i="1"/>
  <c r="DO279" i="1"/>
  <c r="DO282" i="1"/>
  <c r="DO285" i="1"/>
  <c r="DO288" i="1"/>
  <c r="DO291" i="1"/>
  <c r="DO376" i="1"/>
  <c r="DL376" i="1"/>
  <c r="GL375" i="1"/>
  <c r="FN266" i="1"/>
  <c r="FQ266" i="1"/>
  <c r="FT266" i="1"/>
  <c r="FW266" i="1"/>
  <c r="FZ266" i="1"/>
  <c r="GC266" i="1"/>
  <c r="GF266" i="1"/>
  <c r="GI266" i="1"/>
  <c r="GI269" i="1"/>
  <c r="GI272" i="1"/>
  <c r="GI275" i="1"/>
  <c r="GI278" i="1"/>
  <c r="GI281" i="1"/>
  <c r="GI284" i="1"/>
  <c r="GI287" i="1"/>
  <c r="GI290" i="1"/>
  <c r="GI375" i="1"/>
  <c r="GF375" i="1"/>
  <c r="GC375" i="1"/>
  <c r="FZ375" i="1"/>
  <c r="FW375" i="1"/>
  <c r="FT375" i="1"/>
  <c r="FQ375" i="1"/>
  <c r="FN375" i="1"/>
  <c r="FK375" i="1"/>
  <c r="FH375" i="1"/>
  <c r="EM266" i="1"/>
  <c r="EP266" i="1"/>
  <c r="ES266" i="1"/>
  <c r="EV266" i="1"/>
  <c r="EY266" i="1"/>
  <c r="FB266" i="1"/>
  <c r="FE266" i="1"/>
  <c r="FE269" i="1"/>
  <c r="FE272" i="1"/>
  <c r="FE275" i="1"/>
  <c r="FE278" i="1"/>
  <c r="FE281" i="1"/>
  <c r="FE284" i="1"/>
  <c r="FE287" i="1"/>
  <c r="FE290" i="1"/>
  <c r="FE375" i="1"/>
  <c r="FB269" i="1"/>
  <c r="FB272" i="1"/>
  <c r="FB275" i="1"/>
  <c r="FB278" i="1"/>
  <c r="FB281" i="1"/>
  <c r="FB284" i="1"/>
  <c r="FB287" i="1"/>
  <c r="FB290" i="1"/>
  <c r="FB375" i="1"/>
  <c r="EY375" i="1"/>
  <c r="EV375" i="1"/>
  <c r="ES375" i="1"/>
  <c r="EP375" i="1"/>
  <c r="EM375" i="1"/>
  <c r="EJ375" i="1"/>
  <c r="EG375" i="1"/>
  <c r="ED375" i="1"/>
  <c r="EA375" i="1"/>
  <c r="DX375" i="1"/>
  <c r="DU375" i="1"/>
  <c r="DL266" i="1"/>
  <c r="DO266" i="1"/>
  <c r="DR266" i="1"/>
  <c r="DR269" i="1"/>
  <c r="DR272" i="1"/>
  <c r="DR275" i="1"/>
  <c r="DR278" i="1"/>
  <c r="DR281" i="1"/>
  <c r="DR284" i="1"/>
  <c r="DR287" i="1"/>
  <c r="DR290" i="1"/>
  <c r="DR375" i="1"/>
  <c r="DO269" i="1"/>
  <c r="DO272" i="1"/>
  <c r="DO275" i="1"/>
  <c r="DO278" i="1"/>
  <c r="DO281" i="1"/>
  <c r="DO284" i="1"/>
  <c r="DO287" i="1"/>
  <c r="DO290" i="1"/>
  <c r="DO375" i="1"/>
  <c r="DL375" i="1"/>
  <c r="GL374" i="1"/>
  <c r="FN265" i="1"/>
  <c r="FQ265" i="1"/>
  <c r="FT265" i="1"/>
  <c r="FW265" i="1"/>
  <c r="FZ265" i="1"/>
  <c r="GC265" i="1"/>
  <c r="GF265" i="1"/>
  <c r="GI265" i="1"/>
  <c r="GI268" i="1"/>
  <c r="GI271" i="1"/>
  <c r="GI274" i="1"/>
  <c r="GI277" i="1"/>
  <c r="GI280" i="1"/>
  <c r="GI283" i="1"/>
  <c r="GI286" i="1"/>
  <c r="GI289" i="1"/>
  <c r="GI374" i="1"/>
  <c r="GF374" i="1"/>
  <c r="GC374" i="1"/>
  <c r="FZ374" i="1"/>
  <c r="FW374" i="1"/>
  <c r="FT374" i="1"/>
  <c r="FQ374" i="1"/>
  <c r="FN374" i="1"/>
  <c r="FK374" i="1"/>
  <c r="FH374" i="1"/>
  <c r="EM265" i="1"/>
  <c r="EP265" i="1"/>
  <c r="ES265" i="1"/>
  <c r="EV265" i="1"/>
  <c r="EY265" i="1"/>
  <c r="FB265" i="1"/>
  <c r="FE265" i="1"/>
  <c r="FE268" i="1"/>
  <c r="FE271" i="1"/>
  <c r="FE274" i="1"/>
  <c r="FE277" i="1"/>
  <c r="FE280" i="1"/>
  <c r="FE283" i="1"/>
  <c r="FE286" i="1"/>
  <c r="FE289" i="1"/>
  <c r="FE374" i="1"/>
  <c r="FB268" i="1"/>
  <c r="FB271" i="1"/>
  <c r="FB274" i="1"/>
  <c r="FB277" i="1"/>
  <c r="FB280" i="1"/>
  <c r="FB283" i="1"/>
  <c r="FB286" i="1"/>
  <c r="FB289" i="1"/>
  <c r="FB374" i="1"/>
  <c r="EY374" i="1"/>
  <c r="EV374" i="1"/>
  <c r="ES374" i="1"/>
  <c r="EP374" i="1"/>
  <c r="EM374" i="1"/>
  <c r="EJ374" i="1"/>
  <c r="EG374" i="1"/>
  <c r="ED374" i="1"/>
  <c r="EA374" i="1"/>
  <c r="DX374" i="1"/>
  <c r="DU374" i="1"/>
  <c r="DL265" i="1"/>
  <c r="DO265" i="1"/>
  <c r="DR265" i="1"/>
  <c r="DR268" i="1"/>
  <c r="DR271" i="1"/>
  <c r="DR274" i="1"/>
  <c r="DR277" i="1"/>
  <c r="DR280" i="1"/>
  <c r="DR283" i="1"/>
  <c r="DR286" i="1"/>
  <c r="DR289" i="1"/>
  <c r="DR374" i="1"/>
  <c r="DO268" i="1"/>
  <c r="DO271" i="1"/>
  <c r="DO274" i="1"/>
  <c r="DO277" i="1"/>
  <c r="DO280" i="1"/>
  <c r="DO283" i="1"/>
  <c r="DO286" i="1"/>
  <c r="DO289" i="1"/>
  <c r="DO374" i="1"/>
  <c r="DL374" i="1"/>
  <c r="GL267" i="1"/>
  <c r="GL270" i="1"/>
  <c r="GL273" i="1"/>
  <c r="GL276" i="1"/>
  <c r="GL279" i="1"/>
  <c r="GL282" i="1"/>
  <c r="GL285" i="1"/>
  <c r="GL288" i="1"/>
  <c r="GL373" i="1"/>
  <c r="GI373" i="1"/>
  <c r="GF373" i="1"/>
  <c r="GC373" i="1"/>
  <c r="FZ373" i="1"/>
  <c r="FW373" i="1"/>
  <c r="FT373" i="1"/>
  <c r="FQ373" i="1"/>
  <c r="FN373" i="1"/>
  <c r="FK373" i="1"/>
  <c r="FH267" i="1"/>
  <c r="FH270" i="1"/>
  <c r="FH273" i="1"/>
  <c r="FH276" i="1"/>
  <c r="FH279" i="1"/>
  <c r="FH282" i="1"/>
  <c r="FH285" i="1"/>
  <c r="FH288" i="1"/>
  <c r="FH373" i="1"/>
  <c r="FE373" i="1"/>
  <c r="FB373" i="1"/>
  <c r="EY270" i="1"/>
  <c r="EY273" i="1"/>
  <c r="EY276" i="1"/>
  <c r="EY279" i="1"/>
  <c r="EY282" i="1"/>
  <c r="EY285" i="1"/>
  <c r="EY288" i="1"/>
  <c r="EY373" i="1"/>
  <c r="EV373" i="1"/>
  <c r="ES373" i="1"/>
  <c r="EP373" i="1"/>
  <c r="EM373" i="1"/>
  <c r="EJ373" i="1"/>
  <c r="EG373" i="1"/>
  <c r="ED373" i="1"/>
  <c r="EA373" i="1"/>
  <c r="DU267" i="1"/>
  <c r="DX267" i="1"/>
  <c r="DX270" i="1"/>
  <c r="DX273" i="1"/>
  <c r="DX276" i="1"/>
  <c r="DX279" i="1"/>
  <c r="DX282" i="1"/>
  <c r="DX285" i="1"/>
  <c r="DX288" i="1"/>
  <c r="DX373" i="1"/>
  <c r="DU270" i="1"/>
  <c r="DU273" i="1"/>
  <c r="DU276" i="1"/>
  <c r="DU279" i="1"/>
  <c r="DU282" i="1"/>
  <c r="DU285" i="1"/>
  <c r="DU288" i="1"/>
  <c r="DU373" i="1"/>
  <c r="DR373" i="1"/>
  <c r="DO373" i="1"/>
  <c r="DL270" i="1"/>
  <c r="DL273" i="1"/>
  <c r="DL276" i="1"/>
  <c r="DL279" i="1"/>
  <c r="DL282" i="1"/>
  <c r="DL285" i="1"/>
  <c r="DL288" i="1"/>
  <c r="DL373" i="1"/>
  <c r="GL266" i="1"/>
  <c r="GL269" i="1"/>
  <c r="GL272" i="1"/>
  <c r="GL275" i="1"/>
  <c r="GL278" i="1"/>
  <c r="GL281" i="1"/>
  <c r="GL284" i="1"/>
  <c r="GL287" i="1"/>
  <c r="GL372" i="1"/>
  <c r="GI372" i="1"/>
  <c r="GF372" i="1"/>
  <c r="GC372" i="1"/>
  <c r="FZ372" i="1"/>
  <c r="FW372" i="1"/>
  <c r="FT372" i="1"/>
  <c r="FQ372" i="1"/>
  <c r="FN372" i="1"/>
  <c r="FK372" i="1"/>
  <c r="FH266" i="1"/>
  <c r="FH269" i="1"/>
  <c r="FH272" i="1"/>
  <c r="FH275" i="1"/>
  <c r="FH278" i="1"/>
  <c r="FH281" i="1"/>
  <c r="FH284" i="1"/>
  <c r="FH287" i="1"/>
  <c r="FH372" i="1"/>
  <c r="FE372" i="1"/>
  <c r="FB372" i="1"/>
  <c r="EY269" i="1"/>
  <c r="EY272" i="1"/>
  <c r="EY275" i="1"/>
  <c r="EY278" i="1"/>
  <c r="EY281" i="1"/>
  <c r="EY284" i="1"/>
  <c r="EY287" i="1"/>
  <c r="EY372" i="1"/>
  <c r="EV372" i="1"/>
  <c r="ES372" i="1"/>
  <c r="EP372" i="1"/>
  <c r="EM372" i="1"/>
  <c r="EJ372" i="1"/>
  <c r="EG372" i="1"/>
  <c r="ED372" i="1"/>
  <c r="EA372" i="1"/>
  <c r="DU266" i="1"/>
  <c r="DX266" i="1"/>
  <c r="DX269" i="1"/>
  <c r="DX272" i="1"/>
  <c r="DX275" i="1"/>
  <c r="DX278" i="1"/>
  <c r="DX281" i="1"/>
  <c r="DX284" i="1"/>
  <c r="DX287" i="1"/>
  <c r="DX372" i="1"/>
  <c r="DU269" i="1"/>
  <c r="DU272" i="1"/>
  <c r="DU275" i="1"/>
  <c r="DU278" i="1"/>
  <c r="DU281" i="1"/>
  <c r="DU284" i="1"/>
  <c r="DU287" i="1"/>
  <c r="DU372" i="1"/>
  <c r="DR372" i="1"/>
  <c r="DO372" i="1"/>
  <c r="DL269" i="1"/>
  <c r="DL272" i="1"/>
  <c r="DL275" i="1"/>
  <c r="DL278" i="1"/>
  <c r="DL281" i="1"/>
  <c r="DL284" i="1"/>
  <c r="DL287" i="1"/>
  <c r="DL372" i="1"/>
  <c r="GL265" i="1"/>
  <c r="GL268" i="1"/>
  <c r="GL271" i="1"/>
  <c r="GL274" i="1"/>
  <c r="GL277" i="1"/>
  <c r="GL280" i="1"/>
  <c r="GL283" i="1"/>
  <c r="GL286" i="1"/>
  <c r="GL371" i="1"/>
  <c r="GI371" i="1"/>
  <c r="GF371" i="1"/>
  <c r="GC371" i="1"/>
  <c r="FZ371" i="1"/>
  <c r="FW371" i="1"/>
  <c r="FT371" i="1"/>
  <c r="FQ371" i="1"/>
  <c r="FN371" i="1"/>
  <c r="FK371" i="1"/>
  <c r="FH265" i="1"/>
  <c r="FH268" i="1"/>
  <c r="FH271" i="1"/>
  <c r="FH274" i="1"/>
  <c r="FH277" i="1"/>
  <c r="FH280" i="1"/>
  <c r="FH283" i="1"/>
  <c r="FH286" i="1"/>
  <c r="FH371" i="1"/>
  <c r="FE371" i="1"/>
  <c r="FB371" i="1"/>
  <c r="EY268" i="1"/>
  <c r="EY271" i="1"/>
  <c r="EY274" i="1"/>
  <c r="EY277" i="1"/>
  <c r="EY280" i="1"/>
  <c r="EY283" i="1"/>
  <c r="EY286" i="1"/>
  <c r="EY371" i="1"/>
  <c r="EV371" i="1"/>
  <c r="ES371" i="1"/>
  <c r="EP371" i="1"/>
  <c r="EM371" i="1"/>
  <c r="EJ371" i="1"/>
  <c r="EG371" i="1"/>
  <c r="ED371" i="1"/>
  <c r="EA371" i="1"/>
  <c r="DU265" i="1"/>
  <c r="DX265" i="1"/>
  <c r="DX268" i="1"/>
  <c r="DX271" i="1"/>
  <c r="DX274" i="1"/>
  <c r="DX277" i="1"/>
  <c r="DX280" i="1"/>
  <c r="DX283" i="1"/>
  <c r="DX286" i="1"/>
  <c r="DX371" i="1"/>
  <c r="DU268" i="1"/>
  <c r="DU271" i="1"/>
  <c r="DU274" i="1"/>
  <c r="DU277" i="1"/>
  <c r="DU280" i="1"/>
  <c r="DU283" i="1"/>
  <c r="DU286" i="1"/>
  <c r="DU371" i="1"/>
  <c r="DR371" i="1"/>
  <c r="DO371" i="1"/>
  <c r="DL268" i="1"/>
  <c r="DL271" i="1"/>
  <c r="DL274" i="1"/>
  <c r="DL277" i="1"/>
  <c r="DL280" i="1"/>
  <c r="DL283" i="1"/>
  <c r="DL286" i="1"/>
  <c r="DL371" i="1"/>
  <c r="GL370" i="1"/>
  <c r="GI370" i="1"/>
  <c r="GF270" i="1"/>
  <c r="GF273" i="1"/>
  <c r="GF276" i="1"/>
  <c r="GF279" i="1"/>
  <c r="GF282" i="1"/>
  <c r="GF285" i="1"/>
  <c r="GF370" i="1"/>
  <c r="GC270" i="1"/>
  <c r="GC273" i="1"/>
  <c r="GC276" i="1"/>
  <c r="GC279" i="1"/>
  <c r="GC282" i="1"/>
  <c r="GC285" i="1"/>
  <c r="GC370" i="1"/>
  <c r="FZ270" i="1"/>
  <c r="FZ273" i="1"/>
  <c r="FZ276" i="1"/>
  <c r="FZ279" i="1"/>
  <c r="FZ282" i="1"/>
  <c r="FZ285" i="1"/>
  <c r="FZ370" i="1"/>
  <c r="FW370" i="1"/>
  <c r="FT370" i="1"/>
  <c r="FQ370" i="1"/>
  <c r="FN370" i="1"/>
  <c r="FK267" i="1"/>
  <c r="FK270" i="1"/>
  <c r="FK273" i="1"/>
  <c r="FK276" i="1"/>
  <c r="FK279" i="1"/>
  <c r="FK282" i="1"/>
  <c r="FK285" i="1"/>
  <c r="FK370" i="1"/>
  <c r="FH370" i="1"/>
  <c r="FE370" i="1"/>
  <c r="FB370" i="1"/>
  <c r="EY370" i="1"/>
  <c r="EV270" i="1"/>
  <c r="EV273" i="1"/>
  <c r="EV276" i="1"/>
  <c r="EV279" i="1"/>
  <c r="EV282" i="1"/>
  <c r="EV285" i="1"/>
  <c r="EV370" i="1"/>
  <c r="ES370" i="1"/>
  <c r="EP270" i="1"/>
  <c r="EP273" i="1"/>
  <c r="EP276" i="1"/>
  <c r="EP279" i="1"/>
  <c r="EP282" i="1"/>
  <c r="EP285" i="1"/>
  <c r="EP370" i="1"/>
  <c r="EM370" i="1"/>
  <c r="EJ370" i="1"/>
  <c r="EG370" i="1"/>
  <c r="EA267" i="1"/>
  <c r="ED267" i="1"/>
  <c r="ED270" i="1"/>
  <c r="ED273" i="1"/>
  <c r="ED276" i="1"/>
  <c r="ED279" i="1"/>
  <c r="ED282" i="1"/>
  <c r="ED285" i="1"/>
  <c r="ED370" i="1"/>
  <c r="EA270" i="1"/>
  <c r="EA273" i="1"/>
  <c r="EA276" i="1"/>
  <c r="EA279" i="1"/>
  <c r="EA282" i="1"/>
  <c r="EA285" i="1"/>
  <c r="EA370" i="1"/>
  <c r="DX370" i="1"/>
  <c r="DU370" i="1"/>
  <c r="DR370" i="1"/>
  <c r="DO370" i="1"/>
  <c r="DL370" i="1"/>
  <c r="GL369" i="1"/>
  <c r="GI369" i="1"/>
  <c r="GF269" i="1"/>
  <c r="GF272" i="1"/>
  <c r="GF275" i="1"/>
  <c r="GF278" i="1"/>
  <c r="GF281" i="1"/>
  <c r="GF284" i="1"/>
  <c r="GF369" i="1"/>
  <c r="GC269" i="1"/>
  <c r="GC272" i="1"/>
  <c r="GC275" i="1"/>
  <c r="GC278" i="1"/>
  <c r="GC281" i="1"/>
  <c r="GC284" i="1"/>
  <c r="GC369" i="1"/>
  <c r="FZ269" i="1"/>
  <c r="FZ272" i="1"/>
  <c r="FZ275" i="1"/>
  <c r="FZ278" i="1"/>
  <c r="FZ281" i="1"/>
  <c r="FZ284" i="1"/>
  <c r="FZ369" i="1"/>
  <c r="FW369" i="1"/>
  <c r="FT369" i="1"/>
  <c r="FQ369" i="1"/>
  <c r="FN369" i="1"/>
  <c r="FK266" i="1"/>
  <c r="FK269" i="1"/>
  <c r="FK272" i="1"/>
  <c r="FK275" i="1"/>
  <c r="FK278" i="1"/>
  <c r="FK281" i="1"/>
  <c r="FK284" i="1"/>
  <c r="FK369" i="1"/>
  <c r="FH369" i="1"/>
  <c r="FE369" i="1"/>
  <c r="FB369" i="1"/>
  <c r="EY369" i="1"/>
  <c r="EV269" i="1"/>
  <c r="EV272" i="1"/>
  <c r="EV275" i="1"/>
  <c r="EV278" i="1"/>
  <c r="EV281" i="1"/>
  <c r="EV284" i="1"/>
  <c r="EV369" i="1"/>
  <c r="ES369" i="1"/>
  <c r="EP269" i="1"/>
  <c r="EP272" i="1"/>
  <c r="EP275" i="1"/>
  <c r="EP278" i="1"/>
  <c r="EP281" i="1"/>
  <c r="EP284" i="1"/>
  <c r="EP369" i="1"/>
  <c r="EM369" i="1"/>
  <c r="EJ369" i="1"/>
  <c r="EG369" i="1"/>
  <c r="EA266" i="1"/>
  <c r="ED266" i="1"/>
  <c r="ED269" i="1"/>
  <c r="ED272" i="1"/>
  <c r="ED275" i="1"/>
  <c r="ED278" i="1"/>
  <c r="ED281" i="1"/>
  <c r="ED284" i="1"/>
  <c r="ED369" i="1"/>
  <c r="EA269" i="1"/>
  <c r="EA272" i="1"/>
  <c r="EA275" i="1"/>
  <c r="EA278" i="1"/>
  <c r="EA281" i="1"/>
  <c r="EA284" i="1"/>
  <c r="EA369" i="1"/>
  <c r="DX369" i="1"/>
  <c r="DU369" i="1"/>
  <c r="DR369" i="1"/>
  <c r="DO369" i="1"/>
  <c r="DL369" i="1"/>
  <c r="GL368" i="1"/>
  <c r="GI368" i="1"/>
  <c r="GF268" i="1"/>
  <c r="GF271" i="1"/>
  <c r="GF274" i="1"/>
  <c r="GF277" i="1"/>
  <c r="GF280" i="1"/>
  <c r="GF283" i="1"/>
  <c r="GF368" i="1"/>
  <c r="GC268" i="1"/>
  <c r="GC271" i="1"/>
  <c r="GC274" i="1"/>
  <c r="GC277" i="1"/>
  <c r="GC280" i="1"/>
  <c r="GC283" i="1"/>
  <c r="GC368" i="1"/>
  <c r="FZ268" i="1"/>
  <c r="FZ271" i="1"/>
  <c r="FZ274" i="1"/>
  <c r="FZ277" i="1"/>
  <c r="FZ280" i="1"/>
  <c r="FZ283" i="1"/>
  <c r="FZ368" i="1"/>
  <c r="FW368" i="1"/>
  <c r="FT368" i="1"/>
  <c r="FQ368" i="1"/>
  <c r="FN368" i="1"/>
  <c r="FK265" i="1"/>
  <c r="FK268" i="1"/>
  <c r="FK271" i="1"/>
  <c r="FK274" i="1"/>
  <c r="FK277" i="1"/>
  <c r="FK280" i="1"/>
  <c r="FK283" i="1"/>
  <c r="FK368" i="1"/>
  <c r="FH368" i="1"/>
  <c r="FE368" i="1"/>
  <c r="FB368" i="1"/>
  <c r="EY368" i="1"/>
  <c r="EV268" i="1"/>
  <c r="EV271" i="1"/>
  <c r="EV274" i="1"/>
  <c r="EV277" i="1"/>
  <c r="EV280" i="1"/>
  <c r="EV283" i="1"/>
  <c r="EV368" i="1"/>
  <c r="ES368" i="1"/>
  <c r="EP268" i="1"/>
  <c r="EP271" i="1"/>
  <c r="EP274" i="1"/>
  <c r="EP277" i="1"/>
  <c r="EP280" i="1"/>
  <c r="EP283" i="1"/>
  <c r="EP368" i="1"/>
  <c r="EM368" i="1"/>
  <c r="EJ368" i="1"/>
  <c r="EG368" i="1"/>
  <c r="EA265" i="1"/>
  <c r="ED265" i="1"/>
  <c r="ED268" i="1"/>
  <c r="ED271" i="1"/>
  <c r="ED274" i="1"/>
  <c r="ED277" i="1"/>
  <c r="ED280" i="1"/>
  <c r="ED283" i="1"/>
  <c r="ED368" i="1"/>
  <c r="EA268" i="1"/>
  <c r="EA271" i="1"/>
  <c r="EA274" i="1"/>
  <c r="EA277" i="1"/>
  <c r="EA280" i="1"/>
  <c r="EA283" i="1"/>
  <c r="EA368" i="1"/>
  <c r="DX368" i="1"/>
  <c r="DU368" i="1"/>
  <c r="DR368" i="1"/>
  <c r="DO368" i="1"/>
  <c r="DL368" i="1"/>
  <c r="GL367" i="1"/>
  <c r="GI367" i="1"/>
  <c r="GF367" i="1"/>
  <c r="GC367" i="1"/>
  <c r="FZ367" i="1"/>
  <c r="FW367" i="1"/>
  <c r="FT367" i="1"/>
  <c r="FQ367" i="1"/>
  <c r="FN367" i="1"/>
  <c r="FK367" i="1"/>
  <c r="FH367" i="1"/>
  <c r="FE367" i="1"/>
  <c r="FB367" i="1"/>
  <c r="EY367" i="1"/>
  <c r="EV367" i="1"/>
  <c r="ES270" i="1"/>
  <c r="ES273" i="1"/>
  <c r="ES276" i="1"/>
  <c r="ES279" i="1"/>
  <c r="ES282" i="1"/>
  <c r="ES367" i="1"/>
  <c r="EP367" i="1"/>
  <c r="EM367" i="1"/>
  <c r="EJ367" i="1"/>
  <c r="EG367" i="1"/>
  <c r="ED367" i="1"/>
  <c r="EA367" i="1"/>
  <c r="DX367" i="1"/>
  <c r="DU367" i="1"/>
  <c r="DR367" i="1"/>
  <c r="DO367" i="1"/>
  <c r="DL367" i="1"/>
  <c r="GL366" i="1"/>
  <c r="GI366" i="1"/>
  <c r="GF366" i="1"/>
  <c r="GC366" i="1"/>
  <c r="FZ366" i="1"/>
  <c r="FW366" i="1"/>
  <c r="FT366" i="1"/>
  <c r="FQ366" i="1"/>
  <c r="FN366" i="1"/>
  <c r="FK366" i="1"/>
  <c r="FH366" i="1"/>
  <c r="FE366" i="1"/>
  <c r="FB366" i="1"/>
  <c r="EY366" i="1"/>
  <c r="EV366" i="1"/>
  <c r="ES269" i="1"/>
  <c r="ES272" i="1"/>
  <c r="ES275" i="1"/>
  <c r="ES278" i="1"/>
  <c r="ES281" i="1"/>
  <c r="ES366" i="1"/>
  <c r="EP366" i="1"/>
  <c r="EM366" i="1"/>
  <c r="EJ366" i="1"/>
  <c r="EG366" i="1"/>
  <c r="ED366" i="1"/>
  <c r="EA366" i="1"/>
  <c r="DX366" i="1"/>
  <c r="DU366" i="1"/>
  <c r="DR366" i="1"/>
  <c r="DO366" i="1"/>
  <c r="DL366" i="1"/>
  <c r="GL365" i="1"/>
  <c r="GI365" i="1"/>
  <c r="GF365" i="1"/>
  <c r="GC365" i="1"/>
  <c r="FZ365" i="1"/>
  <c r="FW365" i="1"/>
  <c r="FT365" i="1"/>
  <c r="FQ365" i="1"/>
  <c r="FN365" i="1"/>
  <c r="FK365" i="1"/>
  <c r="FH365" i="1"/>
  <c r="FE365" i="1"/>
  <c r="FB365" i="1"/>
  <c r="EY365" i="1"/>
  <c r="EV365" i="1"/>
  <c r="ES268" i="1"/>
  <c r="ES271" i="1"/>
  <c r="ES274" i="1"/>
  <c r="ES277" i="1"/>
  <c r="ES280" i="1"/>
  <c r="ES365" i="1"/>
  <c r="EP365" i="1"/>
  <c r="EM365" i="1"/>
  <c r="EJ365" i="1"/>
  <c r="EG365" i="1"/>
  <c r="ED365" i="1"/>
  <c r="EA365" i="1"/>
  <c r="DX365" i="1"/>
  <c r="DU365" i="1"/>
  <c r="DR365" i="1"/>
  <c r="DO365" i="1"/>
  <c r="DL365" i="1"/>
  <c r="GL364" i="1"/>
  <c r="GI364" i="1"/>
  <c r="GF364" i="1"/>
  <c r="GC364" i="1"/>
  <c r="FZ364" i="1"/>
  <c r="FW364" i="1"/>
  <c r="FT364" i="1"/>
  <c r="FQ364" i="1"/>
  <c r="FN364" i="1"/>
  <c r="FK364" i="1"/>
  <c r="FH364" i="1"/>
  <c r="FE364" i="1"/>
  <c r="FB364" i="1"/>
  <c r="EY364" i="1"/>
  <c r="EV364" i="1"/>
  <c r="ES364" i="1"/>
  <c r="EP364" i="1"/>
  <c r="EM270" i="1"/>
  <c r="EM273" i="1"/>
  <c r="EM276" i="1"/>
  <c r="EM279" i="1"/>
  <c r="EM364" i="1"/>
  <c r="EJ364" i="1"/>
  <c r="EG364" i="1"/>
  <c r="ED364" i="1"/>
  <c r="EA364" i="1"/>
  <c r="DX364" i="1"/>
  <c r="DU364" i="1"/>
  <c r="DR364" i="1"/>
  <c r="DO364" i="1"/>
  <c r="DL364" i="1"/>
  <c r="GL363" i="1"/>
  <c r="GI363" i="1"/>
  <c r="GF363" i="1"/>
  <c r="GC363" i="1"/>
  <c r="FZ363" i="1"/>
  <c r="FW363" i="1"/>
  <c r="FT363" i="1"/>
  <c r="FQ363" i="1"/>
  <c r="FN363" i="1"/>
  <c r="FK363" i="1"/>
  <c r="FH363" i="1"/>
  <c r="FE363" i="1"/>
  <c r="FB363" i="1"/>
  <c r="EY363" i="1"/>
  <c r="EV363" i="1"/>
  <c r="ES363" i="1"/>
  <c r="EP363" i="1"/>
  <c r="EM269" i="1"/>
  <c r="EM272" i="1"/>
  <c r="EM275" i="1"/>
  <c r="EM278" i="1"/>
  <c r="EM363" i="1"/>
  <c r="EJ363" i="1"/>
  <c r="EG363" i="1"/>
  <c r="ED363" i="1"/>
  <c r="EA363" i="1"/>
  <c r="DX363" i="1"/>
  <c r="DU363" i="1"/>
  <c r="DR363" i="1"/>
  <c r="DO363" i="1"/>
  <c r="DL363" i="1"/>
  <c r="GL362" i="1"/>
  <c r="GI362" i="1"/>
  <c r="GF362" i="1"/>
  <c r="GC362" i="1"/>
  <c r="FZ362" i="1"/>
  <c r="FW362" i="1"/>
  <c r="FT362" i="1"/>
  <c r="FQ362" i="1"/>
  <c r="FN362" i="1"/>
  <c r="FK362" i="1"/>
  <c r="FH362" i="1"/>
  <c r="FE362" i="1"/>
  <c r="FB362" i="1"/>
  <c r="EY362" i="1"/>
  <c r="EV362" i="1"/>
  <c r="ES362" i="1"/>
  <c r="EP362" i="1"/>
  <c r="EM268" i="1"/>
  <c r="EM271" i="1"/>
  <c r="EM274" i="1"/>
  <c r="EM277" i="1"/>
  <c r="EM362" i="1"/>
  <c r="EJ362" i="1"/>
  <c r="EG362" i="1"/>
  <c r="ED362" i="1"/>
  <c r="EA362" i="1"/>
  <c r="DX362" i="1"/>
  <c r="DU362" i="1"/>
  <c r="DR362" i="1"/>
  <c r="DO362" i="1"/>
  <c r="DL362" i="1"/>
  <c r="GL361" i="1"/>
  <c r="GI361" i="1"/>
  <c r="GF361" i="1"/>
  <c r="GC361" i="1"/>
  <c r="FZ361" i="1"/>
  <c r="FW270" i="1"/>
  <c r="FW273" i="1"/>
  <c r="FW276" i="1"/>
  <c r="FW361" i="1"/>
  <c r="FT361" i="1"/>
  <c r="FQ361" i="1"/>
  <c r="FN361" i="1"/>
  <c r="FK361" i="1"/>
  <c r="FH361" i="1"/>
  <c r="FE361" i="1"/>
  <c r="FB361" i="1"/>
  <c r="EY361" i="1"/>
  <c r="EV361" i="1"/>
  <c r="ES361" i="1"/>
  <c r="EP361" i="1"/>
  <c r="EM361" i="1"/>
  <c r="EJ361" i="1"/>
  <c r="EG361" i="1"/>
  <c r="ED361" i="1"/>
  <c r="EA361" i="1"/>
  <c r="DX361" i="1"/>
  <c r="DU361" i="1"/>
  <c r="DR361" i="1"/>
  <c r="DO361" i="1"/>
  <c r="DL361" i="1"/>
  <c r="GL360" i="1"/>
  <c r="GI360" i="1"/>
  <c r="GF360" i="1"/>
  <c r="GC360" i="1"/>
  <c r="FZ360" i="1"/>
  <c r="FW269" i="1"/>
  <c r="FW272" i="1"/>
  <c r="FW275" i="1"/>
  <c r="FW360" i="1"/>
  <c r="FT360" i="1"/>
  <c r="FQ360" i="1"/>
  <c r="FN360" i="1"/>
  <c r="FK360" i="1"/>
  <c r="FH360" i="1"/>
  <c r="FE360" i="1"/>
  <c r="FB360" i="1"/>
  <c r="EY360" i="1"/>
  <c r="EV360" i="1"/>
  <c r="ES360" i="1"/>
  <c r="EP360" i="1"/>
  <c r="EM360" i="1"/>
  <c r="EJ360" i="1"/>
  <c r="EG360" i="1"/>
  <c r="ED360" i="1"/>
  <c r="EA360" i="1"/>
  <c r="DX360" i="1"/>
  <c r="DU360" i="1"/>
  <c r="DR360" i="1"/>
  <c r="DO360" i="1"/>
  <c r="DL360" i="1"/>
  <c r="GL359" i="1"/>
  <c r="GI359" i="1"/>
  <c r="GF359" i="1"/>
  <c r="GC359" i="1"/>
  <c r="FZ359" i="1"/>
  <c r="FW268" i="1"/>
  <c r="FW271" i="1"/>
  <c r="FW274" i="1"/>
  <c r="FW359" i="1"/>
  <c r="FT359" i="1"/>
  <c r="FQ359" i="1"/>
  <c r="FN359" i="1"/>
  <c r="FK359" i="1"/>
  <c r="FH359" i="1"/>
  <c r="FE359" i="1"/>
  <c r="FB359" i="1"/>
  <c r="EY359" i="1"/>
  <c r="EV359" i="1"/>
  <c r="ES359" i="1"/>
  <c r="EP359" i="1"/>
  <c r="EM359" i="1"/>
  <c r="EJ359" i="1"/>
  <c r="EG359" i="1"/>
  <c r="ED359" i="1"/>
  <c r="EA359" i="1"/>
  <c r="DX359" i="1"/>
  <c r="DU359" i="1"/>
  <c r="DR359" i="1"/>
  <c r="DO359" i="1"/>
  <c r="DL359" i="1"/>
  <c r="GL358" i="1"/>
  <c r="GI358" i="1"/>
  <c r="GF358" i="1"/>
  <c r="GC358" i="1"/>
  <c r="FZ358" i="1"/>
  <c r="FW358" i="1"/>
  <c r="FT358" i="1"/>
  <c r="FQ358" i="1"/>
  <c r="FN358" i="1"/>
  <c r="FK358" i="1"/>
  <c r="FH358" i="1"/>
  <c r="FE358" i="1"/>
  <c r="FB358" i="1"/>
  <c r="EY358" i="1"/>
  <c r="EV358" i="1"/>
  <c r="ES358" i="1"/>
  <c r="EP358" i="1"/>
  <c r="EM358" i="1"/>
  <c r="EJ358" i="1"/>
  <c r="EG358" i="1"/>
  <c r="ED358" i="1"/>
  <c r="EA358" i="1"/>
  <c r="DX358" i="1"/>
  <c r="DU358" i="1"/>
  <c r="DR358" i="1"/>
  <c r="DO358" i="1"/>
  <c r="DL358" i="1"/>
  <c r="GL357" i="1"/>
  <c r="GI357" i="1"/>
  <c r="GF357" i="1"/>
  <c r="GC357" i="1"/>
  <c r="FZ357" i="1"/>
  <c r="FW357" i="1"/>
  <c r="FT357" i="1"/>
  <c r="FQ357" i="1"/>
  <c r="FN357" i="1"/>
  <c r="FK357" i="1"/>
  <c r="FH357" i="1"/>
  <c r="FE357" i="1"/>
  <c r="FB357" i="1"/>
  <c r="EY357" i="1"/>
  <c r="EV357" i="1"/>
  <c r="ES357" i="1"/>
  <c r="EP357" i="1"/>
  <c r="EM357" i="1"/>
  <c r="EJ357" i="1"/>
  <c r="EG357" i="1"/>
  <c r="ED357" i="1"/>
  <c r="EA357" i="1"/>
  <c r="DX357" i="1"/>
  <c r="DU357" i="1"/>
  <c r="DR357" i="1"/>
  <c r="DO357" i="1"/>
  <c r="DL357" i="1"/>
  <c r="GL356" i="1"/>
  <c r="GI356" i="1"/>
  <c r="GF356" i="1"/>
  <c r="GC356" i="1"/>
  <c r="FZ356" i="1"/>
  <c r="FW356" i="1"/>
  <c r="FT356" i="1"/>
  <c r="FQ356" i="1"/>
  <c r="FN356" i="1"/>
  <c r="FK356" i="1"/>
  <c r="FH356" i="1"/>
  <c r="FE356" i="1"/>
  <c r="FB356" i="1"/>
  <c r="EY356" i="1"/>
  <c r="EV356" i="1"/>
  <c r="ES356" i="1"/>
  <c r="EP356" i="1"/>
  <c r="EM356" i="1"/>
  <c r="EJ356" i="1"/>
  <c r="EG356" i="1"/>
  <c r="ED356" i="1"/>
  <c r="EA356" i="1"/>
  <c r="DX356" i="1"/>
  <c r="DU356" i="1"/>
  <c r="DR356" i="1"/>
  <c r="DO356" i="1"/>
  <c r="DL356" i="1"/>
  <c r="GL355" i="1"/>
  <c r="GI355" i="1"/>
  <c r="GF355" i="1"/>
  <c r="GC355" i="1"/>
  <c r="FZ355" i="1"/>
  <c r="FW355" i="1"/>
  <c r="FT355" i="1"/>
  <c r="FQ355" i="1"/>
  <c r="FN355" i="1"/>
  <c r="FK355" i="1"/>
  <c r="FH355" i="1"/>
  <c r="FE355" i="1"/>
  <c r="FB355" i="1"/>
  <c r="EY355" i="1"/>
  <c r="EV355" i="1"/>
  <c r="ES355" i="1"/>
  <c r="EP355" i="1"/>
  <c r="EM355" i="1"/>
  <c r="EJ355" i="1"/>
  <c r="EG355" i="1"/>
  <c r="ED355" i="1"/>
  <c r="EA355" i="1"/>
  <c r="DX355" i="1"/>
  <c r="DU355" i="1"/>
  <c r="DR355" i="1"/>
  <c r="DO355" i="1"/>
  <c r="DL355" i="1"/>
  <c r="GL354" i="1"/>
  <c r="GI354" i="1"/>
  <c r="GF354" i="1"/>
  <c r="GC354" i="1"/>
  <c r="FZ354" i="1"/>
  <c r="FW354" i="1"/>
  <c r="FT354" i="1"/>
  <c r="FQ354" i="1"/>
  <c r="FN354" i="1"/>
  <c r="FK354" i="1"/>
  <c r="FH354" i="1"/>
  <c r="FE354" i="1"/>
  <c r="FB354" i="1"/>
  <c r="EY354" i="1"/>
  <c r="EV354" i="1"/>
  <c r="ES354" i="1"/>
  <c r="EP354" i="1"/>
  <c r="EM354" i="1"/>
  <c r="EJ354" i="1"/>
  <c r="EG354" i="1"/>
  <c r="ED354" i="1"/>
  <c r="EA354" i="1"/>
  <c r="DX354" i="1"/>
  <c r="DU354" i="1"/>
  <c r="DR354" i="1"/>
  <c r="DO354" i="1"/>
  <c r="DL354" i="1"/>
  <c r="GL353" i="1"/>
  <c r="GI353" i="1"/>
  <c r="GF353" i="1"/>
  <c r="GC353" i="1"/>
  <c r="FZ353" i="1"/>
  <c r="FW353" i="1"/>
  <c r="FT353" i="1"/>
  <c r="FQ353" i="1"/>
  <c r="FN353" i="1"/>
  <c r="FK353" i="1"/>
  <c r="FH353" i="1"/>
  <c r="FE353" i="1"/>
  <c r="FB353" i="1"/>
  <c r="EY353" i="1"/>
  <c r="EV353" i="1"/>
  <c r="ES353" i="1"/>
  <c r="EP353" i="1"/>
  <c r="EM353" i="1"/>
  <c r="EJ353" i="1"/>
  <c r="EG353" i="1"/>
  <c r="ED353" i="1"/>
  <c r="EA353" i="1"/>
  <c r="DX353" i="1"/>
  <c r="DU353" i="1"/>
  <c r="DR353" i="1"/>
  <c r="DO353" i="1"/>
  <c r="DL353" i="1"/>
  <c r="N109" i="1"/>
  <c r="DJ142" i="1"/>
  <c r="O109" i="1"/>
  <c r="DK142" i="1"/>
  <c r="Q109" i="1"/>
  <c r="DM142" i="1"/>
  <c r="R109" i="1"/>
  <c r="DN142" i="1"/>
  <c r="T109" i="1"/>
  <c r="DP142" i="1"/>
  <c r="U109" i="1"/>
  <c r="DQ142" i="1"/>
  <c r="W109" i="1"/>
  <c r="DS142" i="1"/>
  <c r="X109" i="1"/>
  <c r="DT142" i="1"/>
  <c r="Z109" i="1"/>
  <c r="DV142" i="1"/>
  <c r="AA109" i="1"/>
  <c r="DW142" i="1"/>
  <c r="AC109" i="1"/>
  <c r="DY142" i="1"/>
  <c r="AD109" i="1"/>
  <c r="DZ142" i="1"/>
  <c r="AF109" i="1"/>
  <c r="EB142" i="1"/>
  <c r="AG109" i="1"/>
  <c r="EC142" i="1"/>
  <c r="AI109" i="1"/>
  <c r="EE142" i="1"/>
  <c r="AJ109" i="1"/>
  <c r="EF142" i="1"/>
  <c r="AL109" i="1"/>
  <c r="EH142" i="1"/>
  <c r="AM109" i="1"/>
  <c r="EI142" i="1"/>
  <c r="AO109" i="1"/>
  <c r="EK142" i="1"/>
  <c r="AP109" i="1"/>
  <c r="EL142" i="1"/>
  <c r="AR109" i="1"/>
  <c r="EN142" i="1"/>
  <c r="AS109" i="1"/>
  <c r="EO142" i="1"/>
  <c r="AU109" i="1"/>
  <c r="EQ142" i="1"/>
  <c r="AV109" i="1"/>
  <c r="ER142" i="1"/>
  <c r="AX109" i="1"/>
  <c r="ET142" i="1"/>
  <c r="AY109" i="1"/>
  <c r="EU142" i="1"/>
  <c r="BA109" i="1"/>
  <c r="EW142" i="1"/>
  <c r="BB109" i="1"/>
  <c r="EX142" i="1"/>
  <c r="BD109" i="1"/>
  <c r="EZ142" i="1"/>
  <c r="BE109" i="1"/>
  <c r="FA142" i="1"/>
  <c r="BG109" i="1"/>
  <c r="FC142" i="1"/>
  <c r="BH109" i="1"/>
  <c r="FD142" i="1"/>
  <c r="BJ109" i="1"/>
  <c r="FF142" i="1"/>
  <c r="BK109" i="1"/>
  <c r="FG142" i="1"/>
  <c r="BM109" i="1"/>
  <c r="FI142" i="1"/>
  <c r="BN109" i="1"/>
  <c r="FJ142" i="1"/>
  <c r="BP109" i="1"/>
  <c r="FL142" i="1"/>
  <c r="BQ109" i="1"/>
  <c r="FM142" i="1"/>
  <c r="BS109" i="1"/>
  <c r="FO142" i="1"/>
  <c r="BT109" i="1"/>
  <c r="FP142" i="1"/>
  <c r="BV109" i="1"/>
  <c r="FR142" i="1"/>
  <c r="BW109" i="1"/>
  <c r="FS142" i="1"/>
  <c r="BY109" i="1"/>
  <c r="FU142" i="1"/>
  <c r="BZ109" i="1"/>
  <c r="FV142" i="1"/>
  <c r="CB109" i="1"/>
  <c r="FX142" i="1"/>
  <c r="CC109" i="1"/>
  <c r="FY142" i="1"/>
  <c r="CE109" i="1"/>
  <c r="GA142" i="1"/>
  <c r="CF109" i="1"/>
  <c r="GB142" i="1"/>
  <c r="CH109" i="1"/>
  <c r="GD142" i="1"/>
  <c r="CI109" i="1"/>
  <c r="GE142" i="1"/>
  <c r="CK109" i="1"/>
  <c r="GG142" i="1"/>
  <c r="CL109" i="1"/>
  <c r="GH142" i="1"/>
  <c r="CN109" i="1"/>
  <c r="GJ142" i="1"/>
  <c r="CO109" i="1"/>
  <c r="GK142" i="1"/>
  <c r="GP142" i="1"/>
  <c r="GP169" i="1"/>
  <c r="GP196" i="1"/>
  <c r="GV142" i="1"/>
  <c r="GV169" i="1"/>
  <c r="GL352" i="1"/>
  <c r="GI352" i="1"/>
  <c r="GF352" i="1"/>
  <c r="GC352" i="1"/>
  <c r="FZ352" i="1"/>
  <c r="FW352" i="1"/>
  <c r="FT352" i="1"/>
  <c r="FQ352" i="1"/>
  <c r="FN352" i="1"/>
  <c r="FK352" i="1"/>
  <c r="FH352" i="1"/>
  <c r="FE352" i="1"/>
  <c r="FB352" i="1"/>
  <c r="EY352" i="1"/>
  <c r="EV352" i="1"/>
  <c r="ES352" i="1"/>
  <c r="EP352" i="1"/>
  <c r="EM352" i="1"/>
  <c r="EJ352" i="1"/>
  <c r="EG352" i="1"/>
  <c r="ED352" i="1"/>
  <c r="EA352" i="1"/>
  <c r="DX352" i="1"/>
  <c r="DU352" i="1"/>
  <c r="DR352" i="1"/>
  <c r="DO352" i="1"/>
  <c r="DL352" i="1"/>
  <c r="N108" i="1"/>
  <c r="DJ141" i="1"/>
  <c r="O108" i="1"/>
  <c r="DK141" i="1"/>
  <c r="Q108" i="1"/>
  <c r="DM141" i="1"/>
  <c r="R108" i="1"/>
  <c r="DN141" i="1"/>
  <c r="T108" i="1"/>
  <c r="DP141" i="1"/>
  <c r="U108" i="1"/>
  <c r="DQ141" i="1"/>
  <c r="W108" i="1"/>
  <c r="DS141" i="1"/>
  <c r="X108" i="1"/>
  <c r="DT141" i="1"/>
  <c r="Z108" i="1"/>
  <c r="DV141" i="1"/>
  <c r="AA108" i="1"/>
  <c r="DW141" i="1"/>
  <c r="AC108" i="1"/>
  <c r="DY141" i="1"/>
  <c r="AD108" i="1"/>
  <c r="DZ141" i="1"/>
  <c r="AF108" i="1"/>
  <c r="EB141" i="1"/>
  <c r="AG108" i="1"/>
  <c r="EC141" i="1"/>
  <c r="AI108" i="1"/>
  <c r="EE141" i="1"/>
  <c r="AJ108" i="1"/>
  <c r="EF141" i="1"/>
  <c r="AL108" i="1"/>
  <c r="EH141" i="1"/>
  <c r="AM108" i="1"/>
  <c r="EI141" i="1"/>
  <c r="AO108" i="1"/>
  <c r="EK141" i="1"/>
  <c r="AP108" i="1"/>
  <c r="EL141" i="1"/>
  <c r="AR108" i="1"/>
  <c r="EN141" i="1"/>
  <c r="AS108" i="1"/>
  <c r="EO141" i="1"/>
  <c r="AU108" i="1"/>
  <c r="EQ141" i="1"/>
  <c r="AV108" i="1"/>
  <c r="ER141" i="1"/>
  <c r="AX108" i="1"/>
  <c r="ET141" i="1"/>
  <c r="AY108" i="1"/>
  <c r="EU141" i="1"/>
  <c r="BA108" i="1"/>
  <c r="EW141" i="1"/>
  <c r="BB108" i="1"/>
  <c r="EX141" i="1"/>
  <c r="BD108" i="1"/>
  <c r="EZ141" i="1"/>
  <c r="BE108" i="1"/>
  <c r="FA141" i="1"/>
  <c r="BG108" i="1"/>
  <c r="FC141" i="1"/>
  <c r="BH108" i="1"/>
  <c r="FD141" i="1"/>
  <c r="BJ108" i="1"/>
  <c r="FF141" i="1"/>
  <c r="BK108" i="1"/>
  <c r="FG141" i="1"/>
  <c r="BM108" i="1"/>
  <c r="FI141" i="1"/>
  <c r="BN108" i="1"/>
  <c r="FJ141" i="1"/>
  <c r="BP108" i="1"/>
  <c r="FL141" i="1"/>
  <c r="BQ108" i="1"/>
  <c r="FM141" i="1"/>
  <c r="BS108" i="1"/>
  <c r="FO141" i="1"/>
  <c r="BT108" i="1"/>
  <c r="FP141" i="1"/>
  <c r="BV108" i="1"/>
  <c r="FR141" i="1"/>
  <c r="BW108" i="1"/>
  <c r="FS141" i="1"/>
  <c r="BY108" i="1"/>
  <c r="FU141" i="1"/>
  <c r="BZ108" i="1"/>
  <c r="FV141" i="1"/>
  <c r="CB108" i="1"/>
  <c r="FX141" i="1"/>
  <c r="CC108" i="1"/>
  <c r="FY141" i="1"/>
  <c r="CE108" i="1"/>
  <c r="GA141" i="1"/>
  <c r="CF108" i="1"/>
  <c r="GB141" i="1"/>
  <c r="CH108" i="1"/>
  <c r="GD141" i="1"/>
  <c r="CI108" i="1"/>
  <c r="GE141" i="1"/>
  <c r="CK108" i="1"/>
  <c r="GG141" i="1"/>
  <c r="CL108" i="1"/>
  <c r="GH141" i="1"/>
  <c r="CN108" i="1"/>
  <c r="GJ141" i="1"/>
  <c r="CO108" i="1"/>
  <c r="GK141" i="1"/>
  <c r="GP141" i="1"/>
  <c r="GP168" i="1"/>
  <c r="GP195" i="1"/>
  <c r="GV141" i="1"/>
  <c r="GV168" i="1"/>
  <c r="GL351" i="1"/>
  <c r="GI351" i="1"/>
  <c r="GF351" i="1"/>
  <c r="GC351" i="1"/>
  <c r="FZ351" i="1"/>
  <c r="FW351" i="1"/>
  <c r="FT351" i="1"/>
  <c r="FQ351" i="1"/>
  <c r="FN351" i="1"/>
  <c r="FK351" i="1"/>
  <c r="FH351" i="1"/>
  <c r="FE351" i="1"/>
  <c r="FB351" i="1"/>
  <c r="EY351" i="1"/>
  <c r="EV351" i="1"/>
  <c r="ES351" i="1"/>
  <c r="EP351" i="1"/>
  <c r="EM351" i="1"/>
  <c r="EJ351" i="1"/>
  <c r="EG351" i="1"/>
  <c r="ED351" i="1"/>
  <c r="EA351" i="1"/>
  <c r="DX351" i="1"/>
  <c r="DU351" i="1"/>
  <c r="DR351" i="1"/>
  <c r="DO351" i="1"/>
  <c r="DL351" i="1"/>
  <c r="N107" i="1"/>
  <c r="DJ140" i="1"/>
  <c r="O107" i="1"/>
  <c r="DK140" i="1"/>
  <c r="Q107" i="1"/>
  <c r="DM140" i="1"/>
  <c r="R107" i="1"/>
  <c r="DN140" i="1"/>
  <c r="T107" i="1"/>
  <c r="DP140" i="1"/>
  <c r="U107" i="1"/>
  <c r="DQ140" i="1"/>
  <c r="W107" i="1"/>
  <c r="DS140" i="1"/>
  <c r="X107" i="1"/>
  <c r="DT140" i="1"/>
  <c r="Z107" i="1"/>
  <c r="DV140" i="1"/>
  <c r="AA107" i="1"/>
  <c r="DW140" i="1"/>
  <c r="AC107" i="1"/>
  <c r="DY140" i="1"/>
  <c r="AD107" i="1"/>
  <c r="DZ140" i="1"/>
  <c r="AF107" i="1"/>
  <c r="EB140" i="1"/>
  <c r="AG107" i="1"/>
  <c r="EC140" i="1"/>
  <c r="AI107" i="1"/>
  <c r="EE140" i="1"/>
  <c r="AJ107" i="1"/>
  <c r="EF140" i="1"/>
  <c r="AL107" i="1"/>
  <c r="EH140" i="1"/>
  <c r="AM107" i="1"/>
  <c r="EI140" i="1"/>
  <c r="AO107" i="1"/>
  <c r="EK140" i="1"/>
  <c r="AP107" i="1"/>
  <c r="EL140" i="1"/>
  <c r="AR107" i="1"/>
  <c r="EN140" i="1"/>
  <c r="AS107" i="1"/>
  <c r="EO140" i="1"/>
  <c r="AU107" i="1"/>
  <c r="EQ140" i="1"/>
  <c r="AV107" i="1"/>
  <c r="ER140" i="1"/>
  <c r="AX107" i="1"/>
  <c r="ET140" i="1"/>
  <c r="AY107" i="1"/>
  <c r="EU140" i="1"/>
  <c r="BA107" i="1"/>
  <c r="EW140" i="1"/>
  <c r="BB107" i="1"/>
  <c r="EX140" i="1"/>
  <c r="BD107" i="1"/>
  <c r="EZ140" i="1"/>
  <c r="BE107" i="1"/>
  <c r="FA140" i="1"/>
  <c r="FC140" i="1"/>
  <c r="BH107" i="1"/>
  <c r="FD140" i="1"/>
  <c r="BJ107" i="1"/>
  <c r="FF140" i="1"/>
  <c r="BK107" i="1"/>
  <c r="FG140" i="1"/>
  <c r="BM107" i="1"/>
  <c r="FI140" i="1"/>
  <c r="BN107" i="1"/>
  <c r="FJ140" i="1"/>
  <c r="BP107" i="1"/>
  <c r="FL140" i="1"/>
  <c r="BQ107" i="1"/>
  <c r="FM140" i="1"/>
  <c r="BS107" i="1"/>
  <c r="FO140" i="1"/>
  <c r="BT107" i="1"/>
  <c r="FP140" i="1"/>
  <c r="BV107" i="1"/>
  <c r="FR140" i="1"/>
  <c r="BW107" i="1"/>
  <c r="FS140" i="1"/>
  <c r="BY107" i="1"/>
  <c r="FU140" i="1"/>
  <c r="BZ107" i="1"/>
  <c r="FV140" i="1"/>
  <c r="CB107" i="1"/>
  <c r="FX140" i="1"/>
  <c r="CC107" i="1"/>
  <c r="FY140" i="1"/>
  <c r="CE107" i="1"/>
  <c r="GA140" i="1"/>
  <c r="CF107" i="1"/>
  <c r="GB140" i="1"/>
  <c r="CH107" i="1"/>
  <c r="GD140" i="1"/>
  <c r="CI107" i="1"/>
  <c r="GE140" i="1"/>
  <c r="CK107" i="1"/>
  <c r="GG140" i="1"/>
  <c r="CL107" i="1"/>
  <c r="GH140" i="1"/>
  <c r="CN107" i="1"/>
  <c r="GJ140" i="1"/>
  <c r="CO107" i="1"/>
  <c r="GK140" i="1"/>
  <c r="GP140" i="1"/>
  <c r="GP167" i="1"/>
  <c r="GP194" i="1"/>
  <c r="GV140" i="1"/>
  <c r="GV167" i="1"/>
  <c r="GL350" i="1"/>
  <c r="GI350" i="1"/>
  <c r="GF350" i="1"/>
  <c r="GC350" i="1"/>
  <c r="FZ350" i="1"/>
  <c r="FW350" i="1"/>
  <c r="FT350" i="1"/>
  <c r="FQ350" i="1"/>
  <c r="FN350" i="1"/>
  <c r="FK350" i="1"/>
  <c r="FH350" i="1"/>
  <c r="FE350" i="1"/>
  <c r="FB350" i="1"/>
  <c r="EY350" i="1"/>
  <c r="EV350" i="1"/>
  <c r="ES350" i="1"/>
  <c r="EP350" i="1"/>
  <c r="EM350" i="1"/>
  <c r="EJ350" i="1"/>
  <c r="EG350" i="1"/>
  <c r="ED350" i="1"/>
  <c r="EA350" i="1"/>
  <c r="DX350" i="1"/>
  <c r="DU350" i="1"/>
  <c r="DR350" i="1"/>
  <c r="DO350" i="1"/>
  <c r="DL350" i="1"/>
  <c r="FN240" i="1"/>
  <c r="FQ240" i="1"/>
  <c r="FT240" i="1"/>
  <c r="FW240" i="1"/>
  <c r="FZ240" i="1"/>
  <c r="GC240" i="1"/>
  <c r="GF240" i="1"/>
  <c r="GI240" i="1"/>
  <c r="GL240" i="1"/>
  <c r="GL243" i="1"/>
  <c r="GL246" i="1"/>
  <c r="GL249" i="1"/>
  <c r="GL252" i="1"/>
  <c r="GL255" i="1"/>
  <c r="GL258" i="1"/>
  <c r="GL261" i="1"/>
  <c r="GL264" i="1"/>
  <c r="GL349" i="1"/>
  <c r="GI349" i="1"/>
  <c r="GF349" i="1"/>
  <c r="GC349" i="1"/>
  <c r="FZ349" i="1"/>
  <c r="FW349" i="1"/>
  <c r="FT349" i="1"/>
  <c r="FQ349" i="1"/>
  <c r="FN349" i="1"/>
  <c r="FK349" i="1"/>
  <c r="FH349" i="1"/>
  <c r="FE349" i="1"/>
  <c r="FB349" i="1"/>
  <c r="EY349" i="1"/>
  <c r="EV349" i="1"/>
  <c r="ES349" i="1"/>
  <c r="EP349" i="1"/>
  <c r="EM349" i="1"/>
  <c r="EJ349" i="1"/>
  <c r="EG349" i="1"/>
  <c r="ED349" i="1"/>
  <c r="EA349" i="1"/>
  <c r="DX349" i="1"/>
  <c r="DU349" i="1"/>
  <c r="DR349" i="1"/>
  <c r="DO349" i="1"/>
  <c r="DL349" i="1"/>
  <c r="FN239" i="1"/>
  <c r="FQ239" i="1"/>
  <c r="FT239" i="1"/>
  <c r="FW239" i="1"/>
  <c r="FZ239" i="1"/>
  <c r="GC239" i="1"/>
  <c r="GF239" i="1"/>
  <c r="GI239" i="1"/>
  <c r="GL239" i="1"/>
  <c r="GL242" i="1"/>
  <c r="GL245" i="1"/>
  <c r="GL248" i="1"/>
  <c r="GL251" i="1"/>
  <c r="GL254" i="1"/>
  <c r="GL257" i="1"/>
  <c r="GL260" i="1"/>
  <c r="GL263" i="1"/>
  <c r="GL348" i="1"/>
  <c r="GI348" i="1"/>
  <c r="GF348" i="1"/>
  <c r="GC348" i="1"/>
  <c r="FZ348" i="1"/>
  <c r="FW348" i="1"/>
  <c r="FT348" i="1"/>
  <c r="FQ348" i="1"/>
  <c r="FN348" i="1"/>
  <c r="FK348" i="1"/>
  <c r="FH348" i="1"/>
  <c r="FE348" i="1"/>
  <c r="FB348" i="1"/>
  <c r="EY348" i="1"/>
  <c r="EV348" i="1"/>
  <c r="ES348" i="1"/>
  <c r="EP348" i="1"/>
  <c r="EM348" i="1"/>
  <c r="EJ348" i="1"/>
  <c r="EG348" i="1"/>
  <c r="ED348" i="1"/>
  <c r="EA348" i="1"/>
  <c r="DX348" i="1"/>
  <c r="DU348" i="1"/>
  <c r="DR348" i="1"/>
  <c r="DO348" i="1"/>
  <c r="DL348" i="1"/>
  <c r="FN238" i="1"/>
  <c r="FQ238" i="1"/>
  <c r="FT238" i="1"/>
  <c r="FW238" i="1"/>
  <c r="FZ238" i="1"/>
  <c r="GC238" i="1"/>
  <c r="GF238" i="1"/>
  <c r="GI238" i="1"/>
  <c r="GL238" i="1"/>
  <c r="GL241" i="1"/>
  <c r="GL244" i="1"/>
  <c r="GL247" i="1"/>
  <c r="GL250" i="1"/>
  <c r="GL253" i="1"/>
  <c r="GL256" i="1"/>
  <c r="GL259" i="1"/>
  <c r="GL262" i="1"/>
  <c r="GL347" i="1"/>
  <c r="GI347" i="1"/>
  <c r="GF347" i="1"/>
  <c r="GC347" i="1"/>
  <c r="FZ347" i="1"/>
  <c r="FW347" i="1"/>
  <c r="FT347" i="1"/>
  <c r="FQ347" i="1"/>
  <c r="FN347" i="1"/>
  <c r="FK347" i="1"/>
  <c r="FH347" i="1"/>
  <c r="FE347" i="1"/>
  <c r="FB347" i="1"/>
  <c r="EY347" i="1"/>
  <c r="EV347" i="1"/>
  <c r="ES347" i="1"/>
  <c r="EP347" i="1"/>
  <c r="EM347" i="1"/>
  <c r="EJ347" i="1"/>
  <c r="EG347" i="1"/>
  <c r="ED347" i="1"/>
  <c r="EA347" i="1"/>
  <c r="DX347" i="1"/>
  <c r="DU347" i="1"/>
  <c r="DR347" i="1"/>
  <c r="DO347" i="1"/>
  <c r="DL347" i="1"/>
  <c r="GL346" i="1"/>
  <c r="GI346" i="1"/>
  <c r="GF346" i="1"/>
  <c r="GC346" i="1"/>
  <c r="FZ346" i="1"/>
  <c r="FW346" i="1"/>
  <c r="FT346" i="1"/>
  <c r="FQ346" i="1"/>
  <c r="FN346" i="1"/>
  <c r="FK346" i="1"/>
  <c r="FH346" i="1"/>
  <c r="FE346" i="1"/>
  <c r="FB346" i="1"/>
  <c r="EY346" i="1"/>
  <c r="EV346" i="1"/>
  <c r="ES346" i="1"/>
  <c r="EP346" i="1"/>
  <c r="EM346" i="1"/>
  <c r="EJ346" i="1"/>
  <c r="EG346" i="1"/>
  <c r="ED346" i="1"/>
  <c r="EA346" i="1"/>
  <c r="DX346" i="1"/>
  <c r="DU346" i="1"/>
  <c r="DR346" i="1"/>
  <c r="DO346" i="1"/>
  <c r="DL346" i="1"/>
  <c r="GL345" i="1"/>
  <c r="GI345" i="1"/>
  <c r="GF345" i="1"/>
  <c r="GC345" i="1"/>
  <c r="FZ345" i="1"/>
  <c r="FW345" i="1"/>
  <c r="FT345" i="1"/>
  <c r="FQ345" i="1"/>
  <c r="FN345" i="1"/>
  <c r="FK345" i="1"/>
  <c r="FH345" i="1"/>
  <c r="FE345" i="1"/>
  <c r="FB345" i="1"/>
  <c r="EY345" i="1"/>
  <c r="EV345" i="1"/>
  <c r="ES345" i="1"/>
  <c r="EP345" i="1"/>
  <c r="EM345" i="1"/>
  <c r="EJ345" i="1"/>
  <c r="EG345" i="1"/>
  <c r="ED345" i="1"/>
  <c r="EA345" i="1"/>
  <c r="DX345" i="1"/>
  <c r="DU345" i="1"/>
  <c r="DR345" i="1"/>
  <c r="DO345" i="1"/>
  <c r="DL345" i="1"/>
  <c r="GL344" i="1"/>
  <c r="GI344" i="1"/>
  <c r="GF344" i="1"/>
  <c r="GC344" i="1"/>
  <c r="FZ344" i="1"/>
  <c r="FW344" i="1"/>
  <c r="FT344" i="1"/>
  <c r="FQ344" i="1"/>
  <c r="FN344" i="1"/>
  <c r="FK344" i="1"/>
  <c r="FH344" i="1"/>
  <c r="FE344" i="1"/>
  <c r="FB344" i="1"/>
  <c r="EY344" i="1"/>
  <c r="EV344" i="1"/>
  <c r="ES344" i="1"/>
  <c r="EP344" i="1"/>
  <c r="EM344" i="1"/>
  <c r="EJ344" i="1"/>
  <c r="EG344" i="1"/>
  <c r="ED344" i="1"/>
  <c r="EA344" i="1"/>
  <c r="DX344" i="1"/>
  <c r="DU344" i="1"/>
  <c r="DR344" i="1"/>
  <c r="DO344" i="1"/>
  <c r="DL344" i="1"/>
  <c r="GL343" i="1"/>
  <c r="GI343" i="1"/>
  <c r="GF343" i="1"/>
  <c r="GC343" i="1"/>
  <c r="FZ343" i="1"/>
  <c r="FW343" i="1"/>
  <c r="FT343" i="1"/>
  <c r="FQ343" i="1"/>
  <c r="FN343" i="1"/>
  <c r="FK343" i="1"/>
  <c r="EM240" i="1"/>
  <c r="EP240" i="1"/>
  <c r="ES240" i="1"/>
  <c r="EV240" i="1"/>
  <c r="EY240" i="1"/>
  <c r="FB240" i="1"/>
  <c r="FE240" i="1"/>
  <c r="FH240" i="1"/>
  <c r="FH243" i="1"/>
  <c r="FH246" i="1"/>
  <c r="FH249" i="1"/>
  <c r="FH252" i="1"/>
  <c r="FH255" i="1"/>
  <c r="FH258" i="1"/>
  <c r="FH343" i="1"/>
  <c r="FE343" i="1"/>
  <c r="FB343" i="1"/>
  <c r="EY343" i="1"/>
  <c r="EV343" i="1"/>
  <c r="ES343" i="1"/>
  <c r="EP343" i="1"/>
  <c r="EM343" i="1"/>
  <c r="EJ343" i="1"/>
  <c r="EG343" i="1"/>
  <c r="ED343" i="1"/>
  <c r="EA343" i="1"/>
  <c r="DX343" i="1"/>
  <c r="DU343" i="1"/>
  <c r="DR343" i="1"/>
  <c r="DL240" i="1"/>
  <c r="DO240" i="1"/>
  <c r="DO243" i="1"/>
  <c r="DO246" i="1"/>
  <c r="DO249" i="1"/>
  <c r="DO252" i="1"/>
  <c r="DO255" i="1"/>
  <c r="DO258" i="1"/>
  <c r="DO343" i="1"/>
  <c r="DL343" i="1"/>
  <c r="GL342" i="1"/>
  <c r="GI342" i="1"/>
  <c r="GF342" i="1"/>
  <c r="GC342" i="1"/>
  <c r="FZ342" i="1"/>
  <c r="FW342" i="1"/>
  <c r="FT342" i="1"/>
  <c r="FQ342" i="1"/>
  <c r="FN342" i="1"/>
  <c r="FK342" i="1"/>
  <c r="EM239" i="1"/>
  <c r="EP239" i="1"/>
  <c r="ES239" i="1"/>
  <c r="EV239" i="1"/>
  <c r="EY239" i="1"/>
  <c r="FB239" i="1"/>
  <c r="FE239" i="1"/>
  <c r="FH239" i="1"/>
  <c r="FH242" i="1"/>
  <c r="FH245" i="1"/>
  <c r="FH248" i="1"/>
  <c r="FH251" i="1"/>
  <c r="FH254" i="1"/>
  <c r="FH257" i="1"/>
  <c r="FH342" i="1"/>
  <c r="FE342" i="1"/>
  <c r="FB342" i="1"/>
  <c r="EY342" i="1"/>
  <c r="EV342" i="1"/>
  <c r="ES342" i="1"/>
  <c r="EP342" i="1"/>
  <c r="EM342" i="1"/>
  <c r="EJ342" i="1"/>
  <c r="EG342" i="1"/>
  <c r="ED342" i="1"/>
  <c r="EA342" i="1"/>
  <c r="DX342" i="1"/>
  <c r="DU342" i="1"/>
  <c r="DR342" i="1"/>
  <c r="DL239" i="1"/>
  <c r="DO239" i="1"/>
  <c r="DO242" i="1"/>
  <c r="DO245" i="1"/>
  <c r="DO248" i="1"/>
  <c r="DO251" i="1"/>
  <c r="DO254" i="1"/>
  <c r="DO257" i="1"/>
  <c r="DO342" i="1"/>
  <c r="DL342" i="1"/>
  <c r="GL341" i="1"/>
  <c r="GI341" i="1"/>
  <c r="GF341" i="1"/>
  <c r="GC341" i="1"/>
  <c r="FZ341" i="1"/>
  <c r="FW341" i="1"/>
  <c r="FT341" i="1"/>
  <c r="FQ341" i="1"/>
  <c r="FN341" i="1"/>
  <c r="FK341" i="1"/>
  <c r="EM238" i="1"/>
  <c r="EP238" i="1"/>
  <c r="ES238" i="1"/>
  <c r="EV238" i="1"/>
  <c r="EY238" i="1"/>
  <c r="FB238" i="1"/>
  <c r="FE238" i="1"/>
  <c r="FH238" i="1"/>
  <c r="FH241" i="1"/>
  <c r="FH244" i="1"/>
  <c r="FH247" i="1"/>
  <c r="FH250" i="1"/>
  <c r="FH253" i="1"/>
  <c r="FH256" i="1"/>
  <c r="FH341" i="1"/>
  <c r="FE341" i="1"/>
  <c r="FB341" i="1"/>
  <c r="EY341" i="1"/>
  <c r="EV341" i="1"/>
  <c r="ES341" i="1"/>
  <c r="EP341" i="1"/>
  <c r="EM341" i="1"/>
  <c r="EJ341" i="1"/>
  <c r="EG341" i="1"/>
  <c r="ED341" i="1"/>
  <c r="EA341" i="1"/>
  <c r="DX341" i="1"/>
  <c r="DU341" i="1"/>
  <c r="DR341" i="1"/>
  <c r="DL238" i="1"/>
  <c r="DO238" i="1"/>
  <c r="DO241" i="1"/>
  <c r="DO244" i="1"/>
  <c r="DO247" i="1"/>
  <c r="DO250" i="1"/>
  <c r="DO253" i="1"/>
  <c r="DO256" i="1"/>
  <c r="DO341" i="1"/>
  <c r="DL341" i="1"/>
  <c r="GL340" i="1"/>
  <c r="GI243" i="1"/>
  <c r="GI246" i="1"/>
  <c r="GI249" i="1"/>
  <c r="GI252" i="1"/>
  <c r="GI255" i="1"/>
  <c r="GI340" i="1"/>
  <c r="GF340" i="1"/>
  <c r="GC340" i="1"/>
  <c r="FZ340" i="1"/>
  <c r="FW340" i="1"/>
  <c r="FT340" i="1"/>
  <c r="FQ340" i="1"/>
  <c r="FN340" i="1"/>
  <c r="FK340" i="1"/>
  <c r="FH340" i="1"/>
  <c r="FE243" i="1"/>
  <c r="FE246" i="1"/>
  <c r="FE249" i="1"/>
  <c r="FE252" i="1"/>
  <c r="FE255" i="1"/>
  <c r="FE340" i="1"/>
  <c r="FB340" i="1"/>
  <c r="EY340" i="1"/>
  <c r="EV340" i="1"/>
  <c r="ES340" i="1"/>
  <c r="EP340" i="1"/>
  <c r="EM340" i="1"/>
  <c r="EJ340" i="1"/>
  <c r="EG340" i="1"/>
  <c r="ED340" i="1"/>
  <c r="EA340" i="1"/>
  <c r="DX340" i="1"/>
  <c r="DU340" i="1"/>
  <c r="DR340" i="1"/>
  <c r="DO340" i="1"/>
  <c r="DL243" i="1"/>
  <c r="DL246" i="1"/>
  <c r="DL249" i="1"/>
  <c r="DL252" i="1"/>
  <c r="DL255" i="1"/>
  <c r="DL340" i="1"/>
  <c r="GL339" i="1"/>
  <c r="GI242" i="1"/>
  <c r="GI245" i="1"/>
  <c r="GI248" i="1"/>
  <c r="GI251" i="1"/>
  <c r="GI254" i="1"/>
  <c r="GI339" i="1"/>
  <c r="GF339" i="1"/>
  <c r="GC339" i="1"/>
  <c r="FZ339" i="1"/>
  <c r="FW339" i="1"/>
  <c r="FT339" i="1"/>
  <c r="FQ339" i="1"/>
  <c r="FN339" i="1"/>
  <c r="FK339" i="1"/>
  <c r="FH339" i="1"/>
  <c r="FE242" i="1"/>
  <c r="FE245" i="1"/>
  <c r="FE248" i="1"/>
  <c r="FE251" i="1"/>
  <c r="FE254" i="1"/>
  <c r="FE339" i="1"/>
  <c r="FB339" i="1"/>
  <c r="EY339" i="1"/>
  <c r="EV339" i="1"/>
  <c r="ES339" i="1"/>
  <c r="EP339" i="1"/>
  <c r="EM339" i="1"/>
  <c r="EJ339" i="1"/>
  <c r="EG339" i="1"/>
  <c r="ED339" i="1"/>
  <c r="EA339" i="1"/>
  <c r="DX339" i="1"/>
  <c r="DU339" i="1"/>
  <c r="DR339" i="1"/>
  <c r="DO339" i="1"/>
  <c r="DL242" i="1"/>
  <c r="DL245" i="1"/>
  <c r="DL248" i="1"/>
  <c r="DL251" i="1"/>
  <c r="DL254" i="1"/>
  <c r="DL339" i="1"/>
  <c r="GL338" i="1"/>
  <c r="GI241" i="1"/>
  <c r="GI244" i="1"/>
  <c r="GI247" i="1"/>
  <c r="GI250" i="1"/>
  <c r="GI253" i="1"/>
  <c r="GI338" i="1"/>
  <c r="GF338" i="1"/>
  <c r="GC338" i="1"/>
  <c r="FZ338" i="1"/>
  <c r="FW338" i="1"/>
  <c r="FT338" i="1"/>
  <c r="FQ338" i="1"/>
  <c r="FN338" i="1"/>
  <c r="FK338" i="1"/>
  <c r="FH338" i="1"/>
  <c r="FE241" i="1"/>
  <c r="FE244" i="1"/>
  <c r="FE247" i="1"/>
  <c r="FE250" i="1"/>
  <c r="FE253" i="1"/>
  <c r="FE338" i="1"/>
  <c r="FB338" i="1"/>
  <c r="EY338" i="1"/>
  <c r="EV338" i="1"/>
  <c r="ES338" i="1"/>
  <c r="EP338" i="1"/>
  <c r="EM338" i="1"/>
  <c r="EJ338" i="1"/>
  <c r="EG338" i="1"/>
  <c r="ED338" i="1"/>
  <c r="EA338" i="1"/>
  <c r="DX338" i="1"/>
  <c r="DU338" i="1"/>
  <c r="DR338" i="1"/>
  <c r="DO338" i="1"/>
  <c r="DL241" i="1"/>
  <c r="DL244" i="1"/>
  <c r="DL247" i="1"/>
  <c r="DL250" i="1"/>
  <c r="DL253" i="1"/>
  <c r="DL338" i="1"/>
  <c r="GL337" i="1"/>
  <c r="GI337" i="1"/>
  <c r="GF243" i="1"/>
  <c r="GF246" i="1"/>
  <c r="GF249" i="1"/>
  <c r="GF252" i="1"/>
  <c r="GF337" i="1"/>
  <c r="GC337" i="1"/>
  <c r="FZ337" i="1"/>
  <c r="FW337" i="1"/>
  <c r="FT337" i="1"/>
  <c r="FQ337" i="1"/>
  <c r="FN337" i="1"/>
  <c r="FK337" i="1"/>
  <c r="FH337" i="1"/>
  <c r="FE337" i="1"/>
  <c r="FB243" i="1"/>
  <c r="FB246" i="1"/>
  <c r="FB249" i="1"/>
  <c r="FB252" i="1"/>
  <c r="FB337" i="1"/>
  <c r="EY243" i="1"/>
  <c r="EY246" i="1"/>
  <c r="EY249" i="1"/>
  <c r="EY252" i="1"/>
  <c r="EY337" i="1"/>
  <c r="EV337" i="1"/>
  <c r="ES337" i="1"/>
  <c r="EP337" i="1"/>
  <c r="EM337" i="1"/>
  <c r="EJ337" i="1"/>
  <c r="EG337" i="1"/>
  <c r="ED337" i="1"/>
  <c r="EA337" i="1"/>
  <c r="DX337" i="1"/>
  <c r="DU337" i="1"/>
  <c r="DR240" i="1"/>
  <c r="DR243" i="1"/>
  <c r="DR246" i="1"/>
  <c r="DR249" i="1"/>
  <c r="DR252" i="1"/>
  <c r="DR337" i="1"/>
  <c r="DO337" i="1"/>
  <c r="DL337" i="1"/>
  <c r="GL336" i="1"/>
  <c r="GI336" i="1"/>
  <c r="GF242" i="1"/>
  <c r="GF245" i="1"/>
  <c r="GF248" i="1"/>
  <c r="GF251" i="1"/>
  <c r="GF336" i="1"/>
  <c r="GC336" i="1"/>
  <c r="FZ336" i="1"/>
  <c r="FW336" i="1"/>
  <c r="FT336" i="1"/>
  <c r="FQ336" i="1"/>
  <c r="FN336" i="1"/>
  <c r="FK336" i="1"/>
  <c r="FH336" i="1"/>
  <c r="FE336" i="1"/>
  <c r="FB242" i="1"/>
  <c r="FB245" i="1"/>
  <c r="FB248" i="1"/>
  <c r="FB251" i="1"/>
  <c r="FB336" i="1"/>
  <c r="EY242" i="1"/>
  <c r="EY245" i="1"/>
  <c r="EY248" i="1"/>
  <c r="EY251" i="1"/>
  <c r="EY336" i="1"/>
  <c r="EV336" i="1"/>
  <c r="ES336" i="1"/>
  <c r="EP336" i="1"/>
  <c r="EM336" i="1"/>
  <c r="EJ336" i="1"/>
  <c r="EG336" i="1"/>
  <c r="ED336" i="1"/>
  <c r="EA336" i="1"/>
  <c r="DX336" i="1"/>
  <c r="DU336" i="1"/>
  <c r="DR239" i="1"/>
  <c r="DR242" i="1"/>
  <c r="DR245" i="1"/>
  <c r="DR248" i="1"/>
  <c r="DR251" i="1"/>
  <c r="DR336" i="1"/>
  <c r="DO336" i="1"/>
  <c r="DL336" i="1"/>
  <c r="GL335" i="1"/>
  <c r="GI335" i="1"/>
  <c r="GF241" i="1"/>
  <c r="GF244" i="1"/>
  <c r="GF247" i="1"/>
  <c r="GF250" i="1"/>
  <c r="GF335" i="1"/>
  <c r="GC335" i="1"/>
  <c r="FZ335" i="1"/>
  <c r="FW335" i="1"/>
  <c r="FT335" i="1"/>
  <c r="FQ335" i="1"/>
  <c r="FN335" i="1"/>
  <c r="FK335" i="1"/>
  <c r="FH335" i="1"/>
  <c r="FE335" i="1"/>
  <c r="FB241" i="1"/>
  <c r="FB244" i="1"/>
  <c r="FB247" i="1"/>
  <c r="FB250" i="1"/>
  <c r="FB335" i="1"/>
  <c r="EY241" i="1"/>
  <c r="EY244" i="1"/>
  <c r="EY247" i="1"/>
  <c r="EY250" i="1"/>
  <c r="EY335" i="1"/>
  <c r="EV335" i="1"/>
  <c r="ES335" i="1"/>
  <c r="EP335" i="1"/>
  <c r="EM335" i="1"/>
  <c r="EJ335" i="1"/>
  <c r="EG335" i="1"/>
  <c r="ED335" i="1"/>
  <c r="EA335" i="1"/>
  <c r="DX335" i="1"/>
  <c r="DU335" i="1"/>
  <c r="DR238" i="1"/>
  <c r="DR241" i="1"/>
  <c r="DR244" i="1"/>
  <c r="DR247" i="1"/>
  <c r="DR250" i="1"/>
  <c r="DR335" i="1"/>
  <c r="DO335" i="1"/>
  <c r="DL335" i="1"/>
  <c r="GL334" i="1"/>
  <c r="GI334" i="1"/>
  <c r="GF334" i="1"/>
  <c r="GC243" i="1"/>
  <c r="GC246" i="1"/>
  <c r="GC249" i="1"/>
  <c r="GC334" i="1"/>
  <c r="FZ334" i="1"/>
  <c r="FW334" i="1"/>
  <c r="FT334" i="1"/>
  <c r="FQ334" i="1"/>
  <c r="FN334" i="1"/>
  <c r="FK334" i="1"/>
  <c r="FH334" i="1"/>
  <c r="FE334" i="1"/>
  <c r="FB334" i="1"/>
  <c r="EY334" i="1"/>
  <c r="EV243" i="1"/>
  <c r="EV246" i="1"/>
  <c r="EV249" i="1"/>
  <c r="EV334" i="1"/>
  <c r="ES243" i="1"/>
  <c r="ES246" i="1"/>
  <c r="ES249" i="1"/>
  <c r="ES334" i="1"/>
  <c r="EP334" i="1"/>
  <c r="EM334" i="1"/>
  <c r="EJ334" i="1"/>
  <c r="EG334" i="1"/>
  <c r="ED334" i="1"/>
  <c r="EA334" i="1"/>
  <c r="DX334" i="1"/>
  <c r="DU240" i="1"/>
  <c r="DU243" i="1"/>
  <c r="DU246" i="1"/>
  <c r="DU249" i="1"/>
  <c r="DU334" i="1"/>
  <c r="DR334" i="1"/>
  <c r="DO334" i="1"/>
  <c r="DL334" i="1"/>
  <c r="GL333" i="1"/>
  <c r="GI333" i="1"/>
  <c r="GF333" i="1"/>
  <c r="GC242" i="1"/>
  <c r="GC245" i="1"/>
  <c r="GC248" i="1"/>
  <c r="GC333" i="1"/>
  <c r="FZ333" i="1"/>
  <c r="FW333" i="1"/>
  <c r="FT333" i="1"/>
  <c r="FQ333" i="1"/>
  <c r="FN333" i="1"/>
  <c r="FK333" i="1"/>
  <c r="FH333" i="1"/>
  <c r="FE333" i="1"/>
  <c r="FB333" i="1"/>
  <c r="EY333" i="1"/>
  <c r="EV242" i="1"/>
  <c r="EV245" i="1"/>
  <c r="EV248" i="1"/>
  <c r="EV333" i="1"/>
  <c r="ES242" i="1"/>
  <c r="ES245" i="1"/>
  <c r="ES248" i="1"/>
  <c r="ES333" i="1"/>
  <c r="EP333" i="1"/>
  <c r="EM333" i="1"/>
  <c r="EJ333" i="1"/>
  <c r="EG333" i="1"/>
  <c r="ED333" i="1"/>
  <c r="EA333" i="1"/>
  <c r="DX333" i="1"/>
  <c r="DU239" i="1"/>
  <c r="DU242" i="1"/>
  <c r="DU245" i="1"/>
  <c r="DU248" i="1"/>
  <c r="DU333" i="1"/>
  <c r="DR333" i="1"/>
  <c r="DO333" i="1"/>
  <c r="DL333" i="1"/>
  <c r="GL332" i="1"/>
  <c r="GI332" i="1"/>
  <c r="GF332" i="1"/>
  <c r="GC241" i="1"/>
  <c r="GC244" i="1"/>
  <c r="GC247" i="1"/>
  <c r="GC332" i="1"/>
  <c r="FZ332" i="1"/>
  <c r="FW332" i="1"/>
  <c r="FT332" i="1"/>
  <c r="FQ332" i="1"/>
  <c r="FN332" i="1"/>
  <c r="FK332" i="1"/>
  <c r="FH332" i="1"/>
  <c r="FE332" i="1"/>
  <c r="FB332" i="1"/>
  <c r="EY332" i="1"/>
  <c r="EV241" i="1"/>
  <c r="EV244" i="1"/>
  <c r="EV247" i="1"/>
  <c r="EV332" i="1"/>
  <c r="ES241" i="1"/>
  <c r="ES244" i="1"/>
  <c r="ES247" i="1"/>
  <c r="ES332" i="1"/>
  <c r="EP332" i="1"/>
  <c r="EM332" i="1"/>
  <c r="EJ332" i="1"/>
  <c r="EG332" i="1"/>
  <c r="ED332" i="1"/>
  <c r="EA332" i="1"/>
  <c r="DX332" i="1"/>
  <c r="DU238" i="1"/>
  <c r="DU241" i="1"/>
  <c r="DU244" i="1"/>
  <c r="DU247" i="1"/>
  <c r="DU332" i="1"/>
  <c r="DR332" i="1"/>
  <c r="DO332" i="1"/>
  <c r="DL332" i="1"/>
  <c r="GL331" i="1"/>
  <c r="GI331" i="1"/>
  <c r="GF331" i="1"/>
  <c r="GC331" i="1"/>
  <c r="FZ243" i="1"/>
  <c r="FZ246" i="1"/>
  <c r="FZ331" i="1"/>
  <c r="FW243" i="1"/>
  <c r="FW246" i="1"/>
  <c r="FW331" i="1"/>
  <c r="FT331" i="1"/>
  <c r="FQ331" i="1"/>
  <c r="FN331" i="1"/>
  <c r="FK240" i="1"/>
  <c r="FK243" i="1"/>
  <c r="FK246" i="1"/>
  <c r="FK331" i="1"/>
  <c r="FH331" i="1"/>
  <c r="FE331" i="1"/>
  <c r="FB331" i="1"/>
  <c r="EY331" i="1"/>
  <c r="EV331" i="1"/>
  <c r="ES331" i="1"/>
  <c r="EP243" i="1"/>
  <c r="EP246" i="1"/>
  <c r="EP331" i="1"/>
  <c r="EM331" i="1"/>
  <c r="EJ331" i="1"/>
  <c r="EG331" i="1"/>
  <c r="ED331" i="1"/>
  <c r="EA331" i="1"/>
  <c r="DX331" i="1"/>
  <c r="DU331" i="1"/>
  <c r="DR331" i="1"/>
  <c r="DO331" i="1"/>
  <c r="DL331" i="1"/>
  <c r="GL330" i="1"/>
  <c r="GI330" i="1"/>
  <c r="GF330" i="1"/>
  <c r="GC330" i="1"/>
  <c r="FZ242" i="1"/>
  <c r="FZ245" i="1"/>
  <c r="FZ330" i="1"/>
  <c r="FW242" i="1"/>
  <c r="FW245" i="1"/>
  <c r="FW330" i="1"/>
  <c r="FT330" i="1"/>
  <c r="FQ330" i="1"/>
  <c r="FN330" i="1"/>
  <c r="FK239" i="1"/>
  <c r="FK242" i="1"/>
  <c r="FK245" i="1"/>
  <c r="FK330" i="1"/>
  <c r="FH330" i="1"/>
  <c r="FE330" i="1"/>
  <c r="FB330" i="1"/>
  <c r="EY330" i="1"/>
  <c r="EV330" i="1"/>
  <c r="ES330" i="1"/>
  <c r="EP242" i="1"/>
  <c r="EP245" i="1"/>
  <c r="EP330" i="1"/>
  <c r="EM330" i="1"/>
  <c r="EJ330" i="1"/>
  <c r="EG330" i="1"/>
  <c r="ED330" i="1"/>
  <c r="EA330" i="1"/>
  <c r="DX330" i="1"/>
  <c r="DU330" i="1"/>
  <c r="DR330" i="1"/>
  <c r="DO330" i="1"/>
  <c r="DL330" i="1"/>
  <c r="GL329" i="1"/>
  <c r="GI329" i="1"/>
  <c r="GF329" i="1"/>
  <c r="GC329" i="1"/>
  <c r="FZ241" i="1"/>
  <c r="FZ244" i="1"/>
  <c r="FZ329" i="1"/>
  <c r="FW241" i="1"/>
  <c r="FW244" i="1"/>
  <c r="FW329" i="1"/>
  <c r="FT329" i="1"/>
  <c r="FQ329" i="1"/>
  <c r="FN329" i="1"/>
  <c r="FK238" i="1"/>
  <c r="FK241" i="1"/>
  <c r="FK244" i="1"/>
  <c r="FK329" i="1"/>
  <c r="FH329" i="1"/>
  <c r="FE329" i="1"/>
  <c r="FB329" i="1"/>
  <c r="EY329" i="1"/>
  <c r="EV329" i="1"/>
  <c r="ES329" i="1"/>
  <c r="EP241" i="1"/>
  <c r="EP244" i="1"/>
  <c r="EP329" i="1"/>
  <c r="EM329" i="1"/>
  <c r="EJ329" i="1"/>
  <c r="EG329" i="1"/>
  <c r="ED329" i="1"/>
  <c r="EA329" i="1"/>
  <c r="DX329" i="1"/>
  <c r="DU329" i="1"/>
  <c r="DR329" i="1"/>
  <c r="DO329" i="1"/>
  <c r="DL329" i="1"/>
  <c r="GL328" i="1"/>
  <c r="GI328" i="1"/>
  <c r="GF328" i="1"/>
  <c r="GC328" i="1"/>
  <c r="FZ328" i="1"/>
  <c r="FW328" i="1"/>
  <c r="FT328" i="1"/>
  <c r="FQ328" i="1"/>
  <c r="FN328" i="1"/>
  <c r="FK328" i="1"/>
  <c r="FH328" i="1"/>
  <c r="FE328" i="1"/>
  <c r="FB328" i="1"/>
  <c r="EY328" i="1"/>
  <c r="EV328" i="1"/>
  <c r="ES328" i="1"/>
  <c r="EP328" i="1"/>
  <c r="EM328" i="1"/>
  <c r="EJ328" i="1"/>
  <c r="EG328" i="1"/>
  <c r="ED328" i="1"/>
  <c r="EA328" i="1"/>
  <c r="DX240" i="1"/>
  <c r="DX243" i="1"/>
  <c r="DX328" i="1"/>
  <c r="DU328" i="1"/>
  <c r="DR328" i="1"/>
  <c r="DO328" i="1"/>
  <c r="DL328" i="1"/>
  <c r="GL327" i="1"/>
  <c r="GI327" i="1"/>
  <c r="GF327" i="1"/>
  <c r="GC327" i="1"/>
  <c r="FZ327" i="1"/>
  <c r="FW327" i="1"/>
  <c r="FT327" i="1"/>
  <c r="FQ327" i="1"/>
  <c r="FN327" i="1"/>
  <c r="FK327" i="1"/>
  <c r="FH327" i="1"/>
  <c r="FE327" i="1"/>
  <c r="FB327" i="1"/>
  <c r="EY327" i="1"/>
  <c r="EV327" i="1"/>
  <c r="ES327" i="1"/>
  <c r="EP327" i="1"/>
  <c r="EM327" i="1"/>
  <c r="EJ327" i="1"/>
  <c r="EG327" i="1"/>
  <c r="ED327" i="1"/>
  <c r="EA327" i="1"/>
  <c r="DX239" i="1"/>
  <c r="DX242" i="1"/>
  <c r="DX327" i="1"/>
  <c r="DU327" i="1"/>
  <c r="DR327" i="1"/>
  <c r="DO327" i="1"/>
  <c r="DL327" i="1"/>
  <c r="GL326" i="1"/>
  <c r="GI326" i="1"/>
  <c r="GF326" i="1"/>
  <c r="GC326" i="1"/>
  <c r="FZ326" i="1"/>
  <c r="FW326" i="1"/>
  <c r="FT326" i="1"/>
  <c r="FQ326" i="1"/>
  <c r="FN326" i="1"/>
  <c r="FK326" i="1"/>
  <c r="FH326" i="1"/>
  <c r="FE326" i="1"/>
  <c r="FB326" i="1"/>
  <c r="EY326" i="1"/>
  <c r="EV326" i="1"/>
  <c r="ES326" i="1"/>
  <c r="EP326" i="1"/>
  <c r="EM326" i="1"/>
  <c r="EJ326" i="1"/>
  <c r="EG326" i="1"/>
  <c r="ED326" i="1"/>
  <c r="EA326" i="1"/>
  <c r="DX238" i="1"/>
  <c r="DX241" i="1"/>
  <c r="DX326" i="1"/>
  <c r="DU326" i="1"/>
  <c r="DR326" i="1"/>
  <c r="DO326" i="1"/>
  <c r="DL326" i="1"/>
  <c r="GL325" i="1"/>
  <c r="GI325" i="1"/>
  <c r="GF325" i="1"/>
  <c r="GC325" i="1"/>
  <c r="FZ325" i="1"/>
  <c r="FW325" i="1"/>
  <c r="FT325" i="1"/>
  <c r="FQ325" i="1"/>
  <c r="FN325" i="1"/>
  <c r="FK325" i="1"/>
  <c r="FH325" i="1"/>
  <c r="FE325" i="1"/>
  <c r="FB325" i="1"/>
  <c r="EY325" i="1"/>
  <c r="EV325" i="1"/>
  <c r="ES325" i="1"/>
  <c r="EP325" i="1"/>
  <c r="EM325" i="1"/>
  <c r="EJ325" i="1"/>
  <c r="EG325" i="1"/>
  <c r="ED325" i="1"/>
  <c r="EA325" i="1"/>
  <c r="DX325" i="1"/>
  <c r="DU325" i="1"/>
  <c r="DR325" i="1"/>
  <c r="DO325" i="1"/>
  <c r="DL325" i="1"/>
  <c r="GL324" i="1"/>
  <c r="GI324" i="1"/>
  <c r="GF324" i="1"/>
  <c r="GC324" i="1"/>
  <c r="FZ324" i="1"/>
  <c r="FW324" i="1"/>
  <c r="FT324" i="1"/>
  <c r="FQ324" i="1"/>
  <c r="FN324" i="1"/>
  <c r="FK324" i="1"/>
  <c r="FH324" i="1"/>
  <c r="FE324" i="1"/>
  <c r="FB324" i="1"/>
  <c r="EY324" i="1"/>
  <c r="EV324" i="1"/>
  <c r="ES324" i="1"/>
  <c r="EP324" i="1"/>
  <c r="EM324" i="1"/>
  <c r="EJ324" i="1"/>
  <c r="EG324" i="1"/>
  <c r="ED324" i="1"/>
  <c r="EA324" i="1"/>
  <c r="DX324" i="1"/>
  <c r="DU324" i="1"/>
  <c r="DR324" i="1"/>
  <c r="DO324" i="1"/>
  <c r="DL324" i="1"/>
  <c r="GL323" i="1"/>
  <c r="GI323" i="1"/>
  <c r="GF323" i="1"/>
  <c r="GC323" i="1"/>
  <c r="FZ323" i="1"/>
  <c r="FW323" i="1"/>
  <c r="FT323" i="1"/>
  <c r="FQ323" i="1"/>
  <c r="FN323" i="1"/>
  <c r="FK323" i="1"/>
  <c r="FH323" i="1"/>
  <c r="FE323" i="1"/>
  <c r="FB323" i="1"/>
  <c r="EY323" i="1"/>
  <c r="EV323" i="1"/>
  <c r="ES323" i="1"/>
  <c r="EP323" i="1"/>
  <c r="EM323" i="1"/>
  <c r="EJ323" i="1"/>
  <c r="EG323" i="1"/>
  <c r="ED323" i="1"/>
  <c r="EA323" i="1"/>
  <c r="DX323" i="1"/>
  <c r="DU323" i="1"/>
  <c r="DR323" i="1"/>
  <c r="DO323" i="1"/>
  <c r="DL323" i="1"/>
  <c r="FM294" i="1"/>
  <c r="FP294" i="1"/>
  <c r="FS294" i="1"/>
  <c r="FV294" i="1"/>
  <c r="FY294" i="1"/>
  <c r="GB294" i="1"/>
  <c r="GE294" i="1"/>
  <c r="GH294" i="1"/>
  <c r="GK294" i="1"/>
  <c r="GK297" i="1"/>
  <c r="GK300" i="1"/>
  <c r="GK303" i="1"/>
  <c r="GK306" i="1"/>
  <c r="GK309" i="1"/>
  <c r="GK312" i="1"/>
  <c r="GK315" i="1"/>
  <c r="GK318" i="1"/>
  <c r="EI224" i="1"/>
  <c r="FJ224" i="1"/>
  <c r="GK224" i="1"/>
  <c r="EI230" i="1"/>
  <c r="FJ230" i="1"/>
  <c r="GK230" i="1"/>
  <c r="GO166" i="1"/>
  <c r="GO193" i="1"/>
  <c r="GO220" i="1"/>
  <c r="GU166" i="1"/>
  <c r="GU193" i="1"/>
  <c r="GU220" i="1"/>
  <c r="GK403" i="1"/>
  <c r="GH297" i="1"/>
  <c r="GH300" i="1"/>
  <c r="GH303" i="1"/>
  <c r="GH306" i="1"/>
  <c r="GH309" i="1"/>
  <c r="GH312" i="1"/>
  <c r="GH315" i="1"/>
  <c r="GH318" i="1"/>
  <c r="EF224" i="1"/>
  <c r="FG224" i="1"/>
  <c r="GH224" i="1"/>
  <c r="EF230" i="1"/>
  <c r="FG230" i="1"/>
  <c r="GH230" i="1"/>
  <c r="GH403" i="1"/>
  <c r="GE297" i="1"/>
  <c r="GE300" i="1"/>
  <c r="GE303" i="1"/>
  <c r="GE306" i="1"/>
  <c r="GE309" i="1"/>
  <c r="GE312" i="1"/>
  <c r="GE315" i="1"/>
  <c r="GE318" i="1"/>
  <c r="EC224" i="1"/>
  <c r="FD224" i="1"/>
  <c r="GE224" i="1"/>
  <c r="EC230" i="1"/>
  <c r="FD230" i="1"/>
  <c r="GE230" i="1"/>
  <c r="GE403" i="1"/>
  <c r="GB297" i="1"/>
  <c r="GB300" i="1"/>
  <c r="GB303" i="1"/>
  <c r="GB306" i="1"/>
  <c r="GB309" i="1"/>
  <c r="GB312" i="1"/>
  <c r="GB315" i="1"/>
  <c r="GB318" i="1"/>
  <c r="DZ224" i="1"/>
  <c r="FA224" i="1"/>
  <c r="GB224" i="1"/>
  <c r="DZ230" i="1"/>
  <c r="FA230" i="1"/>
  <c r="GB230" i="1"/>
  <c r="GB403" i="1"/>
  <c r="FY297" i="1"/>
  <c r="FY300" i="1"/>
  <c r="FY303" i="1"/>
  <c r="FY306" i="1"/>
  <c r="FY309" i="1"/>
  <c r="FY312" i="1"/>
  <c r="FY315" i="1"/>
  <c r="FY318" i="1"/>
  <c r="DW224" i="1"/>
  <c r="EX224" i="1"/>
  <c r="FY224" i="1"/>
  <c r="DW230" i="1"/>
  <c r="EX230" i="1"/>
  <c r="FY230" i="1"/>
  <c r="FY403" i="1"/>
  <c r="FV297" i="1"/>
  <c r="FV300" i="1"/>
  <c r="FV303" i="1"/>
  <c r="FV306" i="1"/>
  <c r="FV309" i="1"/>
  <c r="FV312" i="1"/>
  <c r="FV315" i="1"/>
  <c r="FV318" i="1"/>
  <c r="DT224" i="1"/>
  <c r="EU224" i="1"/>
  <c r="FV224" i="1"/>
  <c r="DT230" i="1"/>
  <c r="EU230" i="1"/>
  <c r="FV230" i="1"/>
  <c r="FV403" i="1"/>
  <c r="FS297" i="1"/>
  <c r="FS300" i="1"/>
  <c r="FS303" i="1"/>
  <c r="FS306" i="1"/>
  <c r="FS309" i="1"/>
  <c r="FS312" i="1"/>
  <c r="FS315" i="1"/>
  <c r="FS318" i="1"/>
  <c r="DQ224" i="1"/>
  <c r="ER224" i="1"/>
  <c r="FS224" i="1"/>
  <c r="DQ230" i="1"/>
  <c r="ER230" i="1"/>
  <c r="FS230" i="1"/>
  <c r="FS403" i="1"/>
  <c r="FP403" i="1"/>
  <c r="FM403" i="1"/>
  <c r="EL294" i="1"/>
  <c r="EO294" i="1"/>
  <c r="ER294" i="1"/>
  <c r="EU294" i="1"/>
  <c r="EX294" i="1"/>
  <c r="FA294" i="1"/>
  <c r="FD294" i="1"/>
  <c r="FG294" i="1"/>
  <c r="FJ294" i="1"/>
  <c r="FJ297" i="1"/>
  <c r="FJ300" i="1"/>
  <c r="FJ303" i="1"/>
  <c r="FJ306" i="1"/>
  <c r="FJ309" i="1"/>
  <c r="FJ312" i="1"/>
  <c r="FJ315" i="1"/>
  <c r="FJ318" i="1"/>
  <c r="FJ403" i="1"/>
  <c r="FG297" i="1"/>
  <c r="FG300" i="1"/>
  <c r="FG303" i="1"/>
  <c r="FG306" i="1"/>
  <c r="FG309" i="1"/>
  <c r="FG312" i="1"/>
  <c r="FG315" i="1"/>
  <c r="FG318" i="1"/>
  <c r="FG403" i="1"/>
  <c r="FD297" i="1"/>
  <c r="FD300" i="1"/>
  <c r="FD303" i="1"/>
  <c r="FD306" i="1"/>
  <c r="FD309" i="1"/>
  <c r="FD312" i="1"/>
  <c r="FD315" i="1"/>
  <c r="FD318" i="1"/>
  <c r="FD403" i="1"/>
  <c r="FA297" i="1"/>
  <c r="FA300" i="1"/>
  <c r="FA303" i="1"/>
  <c r="FA306" i="1"/>
  <c r="FA309" i="1"/>
  <c r="FA312" i="1"/>
  <c r="FA315" i="1"/>
  <c r="FA318" i="1"/>
  <c r="FA403" i="1"/>
  <c r="EX297" i="1"/>
  <c r="EX300" i="1"/>
  <c r="EX303" i="1"/>
  <c r="EX306" i="1"/>
  <c r="EX309" i="1"/>
  <c r="EX312" i="1"/>
  <c r="EX315" i="1"/>
  <c r="EX318" i="1"/>
  <c r="EX403" i="1"/>
  <c r="EU297" i="1"/>
  <c r="EU300" i="1"/>
  <c r="EU303" i="1"/>
  <c r="EU306" i="1"/>
  <c r="EU309" i="1"/>
  <c r="EU312" i="1"/>
  <c r="EU315" i="1"/>
  <c r="EU318" i="1"/>
  <c r="EU403" i="1"/>
  <c r="ER297" i="1"/>
  <c r="ER300" i="1"/>
  <c r="ER303" i="1"/>
  <c r="ER306" i="1"/>
  <c r="ER309" i="1"/>
  <c r="ER312" i="1"/>
  <c r="ER315" i="1"/>
  <c r="ER318" i="1"/>
  <c r="ER403" i="1"/>
  <c r="EO297" i="1"/>
  <c r="EO300" i="1"/>
  <c r="EO303" i="1"/>
  <c r="EO306" i="1"/>
  <c r="EO309" i="1"/>
  <c r="EO312" i="1"/>
  <c r="EO315" i="1"/>
  <c r="EO318" i="1"/>
  <c r="DN224" i="1"/>
  <c r="EO224" i="1"/>
  <c r="FP224" i="1"/>
  <c r="DN230" i="1"/>
  <c r="EO230" i="1"/>
  <c r="EO403" i="1"/>
  <c r="EL403" i="1"/>
  <c r="EI403" i="1"/>
  <c r="EF403" i="1"/>
  <c r="EC403" i="1"/>
  <c r="DZ403" i="1"/>
  <c r="DK294" i="1"/>
  <c r="DN294" i="1"/>
  <c r="DQ294" i="1"/>
  <c r="DT294" i="1"/>
  <c r="DW294" i="1"/>
  <c r="DW297" i="1"/>
  <c r="DW300" i="1"/>
  <c r="DW303" i="1"/>
  <c r="DW306" i="1"/>
  <c r="DW309" i="1"/>
  <c r="DW312" i="1"/>
  <c r="DW315" i="1"/>
  <c r="DW318" i="1"/>
  <c r="DW403" i="1"/>
  <c r="DT297" i="1"/>
  <c r="DT300" i="1"/>
  <c r="DT303" i="1"/>
  <c r="DT306" i="1"/>
  <c r="DT309" i="1"/>
  <c r="DT312" i="1"/>
  <c r="DT315" i="1"/>
  <c r="DT318" i="1"/>
  <c r="DT403" i="1"/>
  <c r="DQ297" i="1"/>
  <c r="DQ300" i="1"/>
  <c r="DQ303" i="1"/>
  <c r="DQ306" i="1"/>
  <c r="DQ309" i="1"/>
  <c r="DQ312" i="1"/>
  <c r="DQ315" i="1"/>
  <c r="DQ318" i="1"/>
  <c r="DQ403" i="1"/>
  <c r="DN297" i="1"/>
  <c r="DN300" i="1"/>
  <c r="DN303" i="1"/>
  <c r="DN306" i="1"/>
  <c r="DN309" i="1"/>
  <c r="DN312" i="1"/>
  <c r="DN315" i="1"/>
  <c r="DN318" i="1"/>
  <c r="DN403" i="1"/>
  <c r="DK297" i="1"/>
  <c r="DK300" i="1"/>
  <c r="DK303" i="1"/>
  <c r="DK306" i="1"/>
  <c r="DK309" i="1"/>
  <c r="DK312" i="1"/>
  <c r="DK315" i="1"/>
  <c r="DK318" i="1"/>
  <c r="DK224" i="1"/>
  <c r="EL224" i="1"/>
  <c r="FM224" i="1"/>
  <c r="DK230" i="1"/>
  <c r="DK403" i="1"/>
  <c r="FM293" i="1"/>
  <c r="FP293" i="1"/>
  <c r="FS293" i="1"/>
  <c r="FV293" i="1"/>
  <c r="FY293" i="1"/>
  <c r="GB293" i="1"/>
  <c r="GE293" i="1"/>
  <c r="GH293" i="1"/>
  <c r="GK293" i="1"/>
  <c r="GK296" i="1"/>
  <c r="GK299" i="1"/>
  <c r="GK302" i="1"/>
  <c r="GK305" i="1"/>
  <c r="GK308" i="1"/>
  <c r="GK311" i="1"/>
  <c r="GK314" i="1"/>
  <c r="GK317" i="1"/>
  <c r="EI223" i="1"/>
  <c r="FJ223" i="1"/>
  <c r="GK223" i="1"/>
  <c r="EI229" i="1"/>
  <c r="FJ229" i="1"/>
  <c r="GK229" i="1"/>
  <c r="GO165" i="1"/>
  <c r="GO192" i="1"/>
  <c r="GO219" i="1"/>
  <c r="GU165" i="1"/>
  <c r="GU192" i="1"/>
  <c r="GU219" i="1"/>
  <c r="GK402" i="1"/>
  <c r="GH296" i="1"/>
  <c r="GH299" i="1"/>
  <c r="GH302" i="1"/>
  <c r="GH305" i="1"/>
  <c r="GH308" i="1"/>
  <c r="GH311" i="1"/>
  <c r="GH314" i="1"/>
  <c r="GH317" i="1"/>
  <c r="EF223" i="1"/>
  <c r="FG223" i="1"/>
  <c r="GH223" i="1"/>
  <c r="EF229" i="1"/>
  <c r="FG229" i="1"/>
  <c r="GH229" i="1"/>
  <c r="GH402" i="1"/>
  <c r="GE296" i="1"/>
  <c r="GE299" i="1"/>
  <c r="GE302" i="1"/>
  <c r="GE305" i="1"/>
  <c r="GE308" i="1"/>
  <c r="GE311" i="1"/>
  <c r="GE314" i="1"/>
  <c r="GE317" i="1"/>
  <c r="EC223" i="1"/>
  <c r="FD223" i="1"/>
  <c r="GE223" i="1"/>
  <c r="EC229" i="1"/>
  <c r="FD229" i="1"/>
  <c r="GE229" i="1"/>
  <c r="GE402" i="1"/>
  <c r="GB296" i="1"/>
  <c r="GB299" i="1"/>
  <c r="GB302" i="1"/>
  <c r="GB305" i="1"/>
  <c r="GB308" i="1"/>
  <c r="GB311" i="1"/>
  <c r="GB314" i="1"/>
  <c r="GB317" i="1"/>
  <c r="DZ223" i="1"/>
  <c r="FA223" i="1"/>
  <c r="GB223" i="1"/>
  <c r="DZ229" i="1"/>
  <c r="FA229" i="1"/>
  <c r="GB229" i="1"/>
  <c r="GB402" i="1"/>
  <c r="FY296" i="1"/>
  <c r="FY299" i="1"/>
  <c r="FY302" i="1"/>
  <c r="FY305" i="1"/>
  <c r="FY308" i="1"/>
  <c r="FY311" i="1"/>
  <c r="FY314" i="1"/>
  <c r="FY317" i="1"/>
  <c r="DW223" i="1"/>
  <c r="EX223" i="1"/>
  <c r="FY223" i="1"/>
  <c r="DW229" i="1"/>
  <c r="EX229" i="1"/>
  <c r="FY229" i="1"/>
  <c r="FY402" i="1"/>
  <c r="FV296" i="1"/>
  <c r="FV299" i="1"/>
  <c r="FV302" i="1"/>
  <c r="FV305" i="1"/>
  <c r="FV308" i="1"/>
  <c r="FV311" i="1"/>
  <c r="FV314" i="1"/>
  <c r="FV317" i="1"/>
  <c r="DT223" i="1"/>
  <c r="EU223" i="1"/>
  <c r="FV223" i="1"/>
  <c r="DT229" i="1"/>
  <c r="EU229" i="1"/>
  <c r="FV229" i="1"/>
  <c r="FV402" i="1"/>
  <c r="FS296" i="1"/>
  <c r="FS299" i="1"/>
  <c r="FS302" i="1"/>
  <c r="FS305" i="1"/>
  <c r="FS308" i="1"/>
  <c r="FS311" i="1"/>
  <c r="FS314" i="1"/>
  <c r="FS317" i="1"/>
  <c r="DQ223" i="1"/>
  <c r="ER223" i="1"/>
  <c r="FS223" i="1"/>
  <c r="DQ229" i="1"/>
  <c r="ER229" i="1"/>
  <c r="FS229" i="1"/>
  <c r="FS402" i="1"/>
  <c r="FP402" i="1"/>
  <c r="FM402" i="1"/>
  <c r="EL293" i="1"/>
  <c r="EO293" i="1"/>
  <c r="ER293" i="1"/>
  <c r="EU293" i="1"/>
  <c r="EX293" i="1"/>
  <c r="FA293" i="1"/>
  <c r="FD293" i="1"/>
  <c r="FG293" i="1"/>
  <c r="FJ293" i="1"/>
  <c r="FJ296" i="1"/>
  <c r="FJ299" i="1"/>
  <c r="FJ302" i="1"/>
  <c r="FJ305" i="1"/>
  <c r="FJ308" i="1"/>
  <c r="FJ311" i="1"/>
  <c r="FJ314" i="1"/>
  <c r="FJ317" i="1"/>
  <c r="FJ402" i="1"/>
  <c r="FG296" i="1"/>
  <c r="FG299" i="1"/>
  <c r="FG302" i="1"/>
  <c r="FG305" i="1"/>
  <c r="FG308" i="1"/>
  <c r="FG311" i="1"/>
  <c r="FG314" i="1"/>
  <c r="FG317" i="1"/>
  <c r="FG402" i="1"/>
  <c r="FD296" i="1"/>
  <c r="FD299" i="1"/>
  <c r="FD302" i="1"/>
  <c r="FD305" i="1"/>
  <c r="FD308" i="1"/>
  <c r="FD311" i="1"/>
  <c r="FD314" i="1"/>
  <c r="FD317" i="1"/>
  <c r="FD402" i="1"/>
  <c r="FA296" i="1"/>
  <c r="FA299" i="1"/>
  <c r="FA302" i="1"/>
  <c r="FA305" i="1"/>
  <c r="FA308" i="1"/>
  <c r="FA311" i="1"/>
  <c r="FA314" i="1"/>
  <c r="FA317" i="1"/>
  <c r="FA402" i="1"/>
  <c r="EX296" i="1"/>
  <c r="EX299" i="1"/>
  <c r="EX302" i="1"/>
  <c r="EX305" i="1"/>
  <c r="EX308" i="1"/>
  <c r="EX311" i="1"/>
  <c r="EX314" i="1"/>
  <c r="EX317" i="1"/>
  <c r="EX402" i="1"/>
  <c r="EU296" i="1"/>
  <c r="EU299" i="1"/>
  <c r="EU302" i="1"/>
  <c r="EU305" i="1"/>
  <c r="EU308" i="1"/>
  <c r="EU311" i="1"/>
  <c r="EU314" i="1"/>
  <c r="EU317" i="1"/>
  <c r="EU402" i="1"/>
  <c r="ER296" i="1"/>
  <c r="ER299" i="1"/>
  <c r="ER302" i="1"/>
  <c r="ER305" i="1"/>
  <c r="ER308" i="1"/>
  <c r="ER311" i="1"/>
  <c r="ER314" i="1"/>
  <c r="ER317" i="1"/>
  <c r="ER402" i="1"/>
  <c r="EO296" i="1"/>
  <c r="EO299" i="1"/>
  <c r="EO302" i="1"/>
  <c r="EO305" i="1"/>
  <c r="EO308" i="1"/>
  <c r="EO311" i="1"/>
  <c r="EO314" i="1"/>
  <c r="EO317" i="1"/>
  <c r="DN223" i="1"/>
  <c r="EO223" i="1"/>
  <c r="FP223" i="1"/>
  <c r="DN229" i="1"/>
  <c r="EO229" i="1"/>
  <c r="EO402" i="1"/>
  <c r="EL402" i="1"/>
  <c r="EI402" i="1"/>
  <c r="EF402" i="1"/>
  <c r="EC402" i="1"/>
  <c r="DZ402" i="1"/>
  <c r="DK293" i="1"/>
  <c r="DN293" i="1"/>
  <c r="DQ293" i="1"/>
  <c r="DT293" i="1"/>
  <c r="DW293" i="1"/>
  <c r="DW296" i="1"/>
  <c r="DW299" i="1"/>
  <c r="DW302" i="1"/>
  <c r="DW305" i="1"/>
  <c r="DW308" i="1"/>
  <c r="DW311" i="1"/>
  <c r="DW314" i="1"/>
  <c r="DW317" i="1"/>
  <c r="DW402" i="1"/>
  <c r="DT296" i="1"/>
  <c r="DT299" i="1"/>
  <c r="DT302" i="1"/>
  <c r="DT305" i="1"/>
  <c r="DT308" i="1"/>
  <c r="DT311" i="1"/>
  <c r="DT314" i="1"/>
  <c r="DT317" i="1"/>
  <c r="DT402" i="1"/>
  <c r="DQ296" i="1"/>
  <c r="DQ299" i="1"/>
  <c r="DQ302" i="1"/>
  <c r="DQ305" i="1"/>
  <c r="DQ308" i="1"/>
  <c r="DQ311" i="1"/>
  <c r="DQ314" i="1"/>
  <c r="DQ317" i="1"/>
  <c r="DQ402" i="1"/>
  <c r="DN296" i="1"/>
  <c r="DN299" i="1"/>
  <c r="DN302" i="1"/>
  <c r="DN305" i="1"/>
  <c r="DN308" i="1"/>
  <c r="DN311" i="1"/>
  <c r="DN314" i="1"/>
  <c r="DN317" i="1"/>
  <c r="DN402" i="1"/>
  <c r="DK296" i="1"/>
  <c r="DK299" i="1"/>
  <c r="DK302" i="1"/>
  <c r="DK305" i="1"/>
  <c r="DK308" i="1"/>
  <c r="DK311" i="1"/>
  <c r="DK314" i="1"/>
  <c r="DK317" i="1"/>
  <c r="DK223" i="1"/>
  <c r="EL223" i="1"/>
  <c r="FM223" i="1"/>
  <c r="DK229" i="1"/>
  <c r="DK402" i="1"/>
  <c r="FM292" i="1"/>
  <c r="FP292" i="1"/>
  <c r="FS292" i="1"/>
  <c r="FV292" i="1"/>
  <c r="FY292" i="1"/>
  <c r="GB292" i="1"/>
  <c r="GE292" i="1"/>
  <c r="GH292" i="1"/>
  <c r="GK292" i="1"/>
  <c r="GK295" i="1"/>
  <c r="GK298" i="1"/>
  <c r="GK301" i="1"/>
  <c r="GK304" i="1"/>
  <c r="GK307" i="1"/>
  <c r="GK310" i="1"/>
  <c r="GK313" i="1"/>
  <c r="GK316" i="1"/>
  <c r="EI222" i="1"/>
  <c r="FJ222" i="1"/>
  <c r="GK222" i="1"/>
  <c r="EI228" i="1"/>
  <c r="FJ228" i="1"/>
  <c r="GK228" i="1"/>
  <c r="GO164" i="1"/>
  <c r="GO191" i="1"/>
  <c r="GO218" i="1"/>
  <c r="GU164" i="1"/>
  <c r="GU191" i="1"/>
  <c r="GU218" i="1"/>
  <c r="GK401" i="1"/>
  <c r="GH295" i="1"/>
  <c r="GH298" i="1"/>
  <c r="GH301" i="1"/>
  <c r="GH304" i="1"/>
  <c r="GH307" i="1"/>
  <c r="GH310" i="1"/>
  <c r="GH313" i="1"/>
  <c r="GH316" i="1"/>
  <c r="EF222" i="1"/>
  <c r="FG222" i="1"/>
  <c r="GH222" i="1"/>
  <c r="EF228" i="1"/>
  <c r="FG228" i="1"/>
  <c r="GH228" i="1"/>
  <c r="GH401" i="1"/>
  <c r="GE295" i="1"/>
  <c r="GE298" i="1"/>
  <c r="GE301" i="1"/>
  <c r="GE304" i="1"/>
  <c r="GE307" i="1"/>
  <c r="GE310" i="1"/>
  <c r="GE313" i="1"/>
  <c r="GE316" i="1"/>
  <c r="EC222" i="1"/>
  <c r="FD222" i="1"/>
  <c r="GE222" i="1"/>
  <c r="EC228" i="1"/>
  <c r="FD228" i="1"/>
  <c r="GE228" i="1"/>
  <c r="GE401" i="1"/>
  <c r="GB295" i="1"/>
  <c r="GB298" i="1"/>
  <c r="GB301" i="1"/>
  <c r="GB304" i="1"/>
  <c r="GB307" i="1"/>
  <c r="GB310" i="1"/>
  <c r="GB313" i="1"/>
  <c r="GB316" i="1"/>
  <c r="DZ222" i="1"/>
  <c r="FA222" i="1"/>
  <c r="GB222" i="1"/>
  <c r="DZ228" i="1"/>
  <c r="FA228" i="1"/>
  <c r="GB228" i="1"/>
  <c r="GB401" i="1"/>
  <c r="FY295" i="1"/>
  <c r="FY298" i="1"/>
  <c r="FY301" i="1"/>
  <c r="FY304" i="1"/>
  <c r="FY307" i="1"/>
  <c r="FY310" i="1"/>
  <c r="FY313" i="1"/>
  <c r="FY316" i="1"/>
  <c r="DW222" i="1"/>
  <c r="EX222" i="1"/>
  <c r="FY222" i="1"/>
  <c r="DW228" i="1"/>
  <c r="EX228" i="1"/>
  <c r="FY228" i="1"/>
  <c r="FY401" i="1"/>
  <c r="FV295" i="1"/>
  <c r="FV298" i="1"/>
  <c r="FV301" i="1"/>
  <c r="FV304" i="1"/>
  <c r="FV307" i="1"/>
  <c r="FV310" i="1"/>
  <c r="FV313" i="1"/>
  <c r="FV316" i="1"/>
  <c r="DT222" i="1"/>
  <c r="EU222" i="1"/>
  <c r="FV222" i="1"/>
  <c r="DT228" i="1"/>
  <c r="EU228" i="1"/>
  <c r="FV228" i="1"/>
  <c r="FV401" i="1"/>
  <c r="FS295" i="1"/>
  <c r="FS298" i="1"/>
  <c r="FS301" i="1"/>
  <c r="FS304" i="1"/>
  <c r="FS307" i="1"/>
  <c r="FS310" i="1"/>
  <c r="FS313" i="1"/>
  <c r="FS316" i="1"/>
  <c r="DQ222" i="1"/>
  <c r="ER222" i="1"/>
  <c r="FS222" i="1"/>
  <c r="DQ228" i="1"/>
  <c r="ER228" i="1"/>
  <c r="FS228" i="1"/>
  <c r="FS401" i="1"/>
  <c r="FP401" i="1"/>
  <c r="FM401" i="1"/>
  <c r="EL292" i="1"/>
  <c r="EO292" i="1"/>
  <c r="ER292" i="1"/>
  <c r="EU292" i="1"/>
  <c r="EX292" i="1"/>
  <c r="FA292" i="1"/>
  <c r="FD292" i="1"/>
  <c r="FG292" i="1"/>
  <c r="FJ292" i="1"/>
  <c r="FJ295" i="1"/>
  <c r="FJ298" i="1"/>
  <c r="FJ301" i="1"/>
  <c r="FJ304" i="1"/>
  <c r="FJ307" i="1"/>
  <c r="FJ310" i="1"/>
  <c r="FJ313" i="1"/>
  <c r="FJ316" i="1"/>
  <c r="FJ401" i="1"/>
  <c r="FG295" i="1"/>
  <c r="FG298" i="1"/>
  <c r="FG301" i="1"/>
  <c r="FG304" i="1"/>
  <c r="FG307" i="1"/>
  <c r="FG310" i="1"/>
  <c r="FG313" i="1"/>
  <c r="FG316" i="1"/>
  <c r="FG401" i="1"/>
  <c r="FD295" i="1"/>
  <c r="FD298" i="1"/>
  <c r="FD301" i="1"/>
  <c r="FD304" i="1"/>
  <c r="FD307" i="1"/>
  <c r="FD310" i="1"/>
  <c r="FD313" i="1"/>
  <c r="FD316" i="1"/>
  <c r="FD401" i="1"/>
  <c r="FA295" i="1"/>
  <c r="FA298" i="1"/>
  <c r="FA301" i="1"/>
  <c r="FA304" i="1"/>
  <c r="FA307" i="1"/>
  <c r="FA310" i="1"/>
  <c r="FA313" i="1"/>
  <c r="FA316" i="1"/>
  <c r="FA401" i="1"/>
  <c r="EX295" i="1"/>
  <c r="EX298" i="1"/>
  <c r="EX301" i="1"/>
  <c r="EX304" i="1"/>
  <c r="EX307" i="1"/>
  <c r="EX310" i="1"/>
  <c r="EX313" i="1"/>
  <c r="EX316" i="1"/>
  <c r="EX401" i="1"/>
  <c r="EU295" i="1"/>
  <c r="EU298" i="1"/>
  <c r="EU301" i="1"/>
  <c r="EU304" i="1"/>
  <c r="EU307" i="1"/>
  <c r="EU310" i="1"/>
  <c r="EU313" i="1"/>
  <c r="EU316" i="1"/>
  <c r="EU401" i="1"/>
  <c r="ER295" i="1"/>
  <c r="ER298" i="1"/>
  <c r="ER301" i="1"/>
  <c r="ER304" i="1"/>
  <c r="ER307" i="1"/>
  <c r="ER310" i="1"/>
  <c r="ER313" i="1"/>
  <c r="ER316" i="1"/>
  <c r="ER401" i="1"/>
  <c r="EO295" i="1"/>
  <c r="EO298" i="1"/>
  <c r="EO301" i="1"/>
  <c r="EO304" i="1"/>
  <c r="EO307" i="1"/>
  <c r="EO310" i="1"/>
  <c r="EO313" i="1"/>
  <c r="EO316" i="1"/>
  <c r="DN222" i="1"/>
  <c r="EO222" i="1"/>
  <c r="FP222" i="1"/>
  <c r="DN228" i="1"/>
  <c r="EO228" i="1"/>
  <c r="EO401" i="1"/>
  <c r="EL401" i="1"/>
  <c r="EI401" i="1"/>
  <c r="EF401" i="1"/>
  <c r="EC401" i="1"/>
  <c r="DZ401" i="1"/>
  <c r="DK292" i="1"/>
  <c r="DN292" i="1"/>
  <c r="DQ292" i="1"/>
  <c r="DT292" i="1"/>
  <c r="DW292" i="1"/>
  <c r="DW295" i="1"/>
  <c r="DW298" i="1"/>
  <c r="DW301" i="1"/>
  <c r="DW304" i="1"/>
  <c r="DW307" i="1"/>
  <c r="DW310" i="1"/>
  <c r="DW313" i="1"/>
  <c r="DW316" i="1"/>
  <c r="DW401" i="1"/>
  <c r="DT295" i="1"/>
  <c r="DT298" i="1"/>
  <c r="DT301" i="1"/>
  <c r="DT304" i="1"/>
  <c r="DT307" i="1"/>
  <c r="DT310" i="1"/>
  <c r="DT313" i="1"/>
  <c r="DT316" i="1"/>
  <c r="DT401" i="1"/>
  <c r="DQ295" i="1"/>
  <c r="DQ298" i="1"/>
  <c r="DQ301" i="1"/>
  <c r="DQ304" i="1"/>
  <c r="DQ307" i="1"/>
  <c r="DQ310" i="1"/>
  <c r="DQ313" i="1"/>
  <c r="DQ316" i="1"/>
  <c r="DQ401" i="1"/>
  <c r="DN295" i="1"/>
  <c r="DN298" i="1"/>
  <c r="DN301" i="1"/>
  <c r="DN304" i="1"/>
  <c r="DN307" i="1"/>
  <c r="DN310" i="1"/>
  <c r="DN313" i="1"/>
  <c r="DN316" i="1"/>
  <c r="DN401" i="1"/>
  <c r="DK295" i="1"/>
  <c r="DK298" i="1"/>
  <c r="DK301" i="1"/>
  <c r="DK304" i="1"/>
  <c r="DK307" i="1"/>
  <c r="DK310" i="1"/>
  <c r="DK313" i="1"/>
  <c r="DK316" i="1"/>
  <c r="DK222" i="1"/>
  <c r="EL222" i="1"/>
  <c r="FM222" i="1"/>
  <c r="DK228" i="1"/>
  <c r="DK401" i="1"/>
  <c r="GO163" i="1"/>
  <c r="GO190" i="1"/>
  <c r="GO217" i="1"/>
  <c r="GU163" i="1"/>
  <c r="GU190" i="1"/>
  <c r="GU217" i="1"/>
  <c r="GK400" i="1"/>
  <c r="GH400" i="1"/>
  <c r="GE400" i="1"/>
  <c r="GB400" i="1"/>
  <c r="FY400" i="1"/>
  <c r="FV400" i="1"/>
  <c r="FS400" i="1"/>
  <c r="FP400" i="1"/>
  <c r="FM400" i="1"/>
  <c r="FJ400" i="1"/>
  <c r="FG400" i="1"/>
  <c r="FD400" i="1"/>
  <c r="FA400" i="1"/>
  <c r="EX400" i="1"/>
  <c r="EU400" i="1"/>
  <c r="ER400" i="1"/>
  <c r="EO400" i="1"/>
  <c r="EL297" i="1"/>
  <c r="EL300" i="1"/>
  <c r="EL303" i="1"/>
  <c r="EL306" i="1"/>
  <c r="EL309" i="1"/>
  <c r="EL312" i="1"/>
  <c r="EL315" i="1"/>
  <c r="EL230" i="1"/>
  <c r="EL400" i="1"/>
  <c r="EI400" i="1"/>
  <c r="EF400" i="1"/>
  <c r="EC400" i="1"/>
  <c r="DZ294" i="1"/>
  <c r="DZ297" i="1"/>
  <c r="DZ300" i="1"/>
  <c r="DZ303" i="1"/>
  <c r="DZ306" i="1"/>
  <c r="DZ309" i="1"/>
  <c r="DZ312" i="1"/>
  <c r="DZ315" i="1"/>
  <c r="DZ400" i="1"/>
  <c r="DW400" i="1"/>
  <c r="DT400" i="1"/>
  <c r="DQ400" i="1"/>
  <c r="DN400" i="1"/>
  <c r="DK400" i="1"/>
  <c r="GO162" i="1"/>
  <c r="GO189" i="1"/>
  <c r="GO216" i="1"/>
  <c r="GU162" i="1"/>
  <c r="GU189" i="1"/>
  <c r="GU216" i="1"/>
  <c r="GK399" i="1"/>
  <c r="GH399" i="1"/>
  <c r="GE399" i="1"/>
  <c r="GB399" i="1"/>
  <c r="FY399" i="1"/>
  <c r="FV399" i="1"/>
  <c r="FS399" i="1"/>
  <c r="FP399" i="1"/>
  <c r="FM399" i="1"/>
  <c r="FJ399" i="1"/>
  <c r="FG399" i="1"/>
  <c r="FD399" i="1"/>
  <c r="FA399" i="1"/>
  <c r="EX399" i="1"/>
  <c r="EU399" i="1"/>
  <c r="ER399" i="1"/>
  <c r="EO399" i="1"/>
  <c r="EL296" i="1"/>
  <c r="EL299" i="1"/>
  <c r="EL302" i="1"/>
  <c r="EL305" i="1"/>
  <c r="EL308" i="1"/>
  <c r="EL311" i="1"/>
  <c r="EL314" i="1"/>
  <c r="EL229" i="1"/>
  <c r="EL399" i="1"/>
  <c r="EI399" i="1"/>
  <c r="EF399" i="1"/>
  <c r="EC399" i="1"/>
  <c r="DZ293" i="1"/>
  <c r="DZ296" i="1"/>
  <c r="DZ299" i="1"/>
  <c r="DZ302" i="1"/>
  <c r="DZ305" i="1"/>
  <c r="DZ308" i="1"/>
  <c r="DZ311" i="1"/>
  <c r="DZ314" i="1"/>
  <c r="DZ399" i="1"/>
  <c r="DW399" i="1"/>
  <c r="DT399" i="1"/>
  <c r="DQ399" i="1"/>
  <c r="DN399" i="1"/>
  <c r="DK399" i="1"/>
  <c r="GO161" i="1"/>
  <c r="GO188" i="1"/>
  <c r="GO215" i="1"/>
  <c r="GU161" i="1"/>
  <c r="GU188" i="1"/>
  <c r="GU215" i="1"/>
  <c r="GK398" i="1"/>
  <c r="GH398" i="1"/>
  <c r="GE398" i="1"/>
  <c r="GB398" i="1"/>
  <c r="FY398" i="1"/>
  <c r="FV398" i="1"/>
  <c r="FS398" i="1"/>
  <c r="FP398" i="1"/>
  <c r="FM398" i="1"/>
  <c r="FJ398" i="1"/>
  <c r="FG398" i="1"/>
  <c r="FD398" i="1"/>
  <c r="FA398" i="1"/>
  <c r="EX398" i="1"/>
  <c r="EU398" i="1"/>
  <c r="ER398" i="1"/>
  <c r="EO398" i="1"/>
  <c r="EL295" i="1"/>
  <c r="EL298" i="1"/>
  <c r="EL301" i="1"/>
  <c r="EL304" i="1"/>
  <c r="EL307" i="1"/>
  <c r="EL310" i="1"/>
  <c r="EL313" i="1"/>
  <c r="EL228" i="1"/>
  <c r="EL398" i="1"/>
  <c r="EI398" i="1"/>
  <c r="EF398" i="1"/>
  <c r="EC398" i="1"/>
  <c r="DZ292" i="1"/>
  <c r="DZ295" i="1"/>
  <c r="DZ298" i="1"/>
  <c r="DZ301" i="1"/>
  <c r="DZ304" i="1"/>
  <c r="DZ307" i="1"/>
  <c r="DZ310" i="1"/>
  <c r="DZ313" i="1"/>
  <c r="DZ398" i="1"/>
  <c r="DW398" i="1"/>
  <c r="DT398" i="1"/>
  <c r="DQ398" i="1"/>
  <c r="DN398" i="1"/>
  <c r="DK398" i="1"/>
  <c r="GO160" i="1"/>
  <c r="GO187" i="1"/>
  <c r="GO214" i="1"/>
  <c r="GU160" i="1"/>
  <c r="GU187" i="1"/>
  <c r="GU214" i="1"/>
  <c r="GK397" i="1"/>
  <c r="GH397" i="1"/>
  <c r="GE397" i="1"/>
  <c r="GB397" i="1"/>
  <c r="FY397" i="1"/>
  <c r="FV397" i="1"/>
  <c r="FS397" i="1"/>
  <c r="FP397" i="1"/>
  <c r="FM397" i="1"/>
  <c r="FJ397" i="1"/>
  <c r="FG397" i="1"/>
  <c r="FD397" i="1"/>
  <c r="FA397" i="1"/>
  <c r="EX397" i="1"/>
  <c r="EU397" i="1"/>
  <c r="ER397" i="1"/>
  <c r="EO397" i="1"/>
  <c r="EL397" i="1"/>
  <c r="EI397" i="1"/>
  <c r="EF397" i="1"/>
  <c r="EC397" i="1"/>
  <c r="DZ397" i="1"/>
  <c r="DW397" i="1"/>
  <c r="DT397" i="1"/>
  <c r="DQ397" i="1"/>
  <c r="DN397" i="1"/>
  <c r="DK397" i="1"/>
  <c r="GO159" i="1"/>
  <c r="GO186" i="1"/>
  <c r="GO213" i="1"/>
  <c r="GU159" i="1"/>
  <c r="GU186" i="1"/>
  <c r="GU213" i="1"/>
  <c r="GK396" i="1"/>
  <c r="GH396" i="1"/>
  <c r="GE396" i="1"/>
  <c r="GB396" i="1"/>
  <c r="FY396" i="1"/>
  <c r="FV396" i="1"/>
  <c r="FS396" i="1"/>
  <c r="FP396" i="1"/>
  <c r="FM396" i="1"/>
  <c r="FJ396" i="1"/>
  <c r="FG396" i="1"/>
  <c r="FD396" i="1"/>
  <c r="FA396" i="1"/>
  <c r="EX396" i="1"/>
  <c r="EU396" i="1"/>
  <c r="ER396" i="1"/>
  <c r="EO396" i="1"/>
  <c r="EL396" i="1"/>
  <c r="EI396" i="1"/>
  <c r="EF396" i="1"/>
  <c r="EC396" i="1"/>
  <c r="DZ396" i="1"/>
  <c r="DW396" i="1"/>
  <c r="DT396" i="1"/>
  <c r="DQ396" i="1"/>
  <c r="DN396" i="1"/>
  <c r="DK396" i="1"/>
  <c r="GO158" i="1"/>
  <c r="GO185" i="1"/>
  <c r="GO212" i="1"/>
  <c r="GU158" i="1"/>
  <c r="GU185" i="1"/>
  <c r="GU212" i="1"/>
  <c r="GK395" i="1"/>
  <c r="GH395" i="1"/>
  <c r="GE395" i="1"/>
  <c r="GB395" i="1"/>
  <c r="FY395" i="1"/>
  <c r="FV395" i="1"/>
  <c r="FS395" i="1"/>
  <c r="FP395" i="1"/>
  <c r="FM395" i="1"/>
  <c r="FJ395" i="1"/>
  <c r="FG395" i="1"/>
  <c r="FD395" i="1"/>
  <c r="FA395" i="1"/>
  <c r="EX395" i="1"/>
  <c r="EU395" i="1"/>
  <c r="ER395" i="1"/>
  <c r="EO395" i="1"/>
  <c r="EL395" i="1"/>
  <c r="EI395" i="1"/>
  <c r="EF395" i="1"/>
  <c r="EC395" i="1"/>
  <c r="DZ395" i="1"/>
  <c r="DW395" i="1"/>
  <c r="DT395" i="1"/>
  <c r="DQ395" i="1"/>
  <c r="DN395" i="1"/>
  <c r="DK395" i="1"/>
  <c r="GO157" i="1"/>
  <c r="GO184" i="1"/>
  <c r="GO211" i="1"/>
  <c r="GU157" i="1"/>
  <c r="GU184" i="1"/>
  <c r="GU211" i="1"/>
  <c r="GK394" i="1"/>
  <c r="GH394" i="1"/>
  <c r="GE394" i="1"/>
  <c r="GB394" i="1"/>
  <c r="FY394" i="1"/>
  <c r="FV394" i="1"/>
  <c r="FS394" i="1"/>
  <c r="FP394" i="1"/>
  <c r="FM394" i="1"/>
  <c r="FJ394" i="1"/>
  <c r="FG394" i="1"/>
  <c r="FD394" i="1"/>
  <c r="FA394" i="1"/>
  <c r="EX394" i="1"/>
  <c r="EU394" i="1"/>
  <c r="ER394" i="1"/>
  <c r="EO394" i="1"/>
  <c r="EL394" i="1"/>
  <c r="EI394" i="1"/>
  <c r="EF394" i="1"/>
  <c r="EC394" i="1"/>
  <c r="DZ394" i="1"/>
  <c r="DW394" i="1"/>
  <c r="DT394" i="1"/>
  <c r="DQ394" i="1"/>
  <c r="DN394" i="1"/>
  <c r="DK394" i="1"/>
  <c r="GO156" i="1"/>
  <c r="GO183" i="1"/>
  <c r="GO210" i="1"/>
  <c r="GU156" i="1"/>
  <c r="GU183" i="1"/>
  <c r="GU210" i="1"/>
  <c r="GK393" i="1"/>
  <c r="GH393" i="1"/>
  <c r="GE393" i="1"/>
  <c r="GB393" i="1"/>
  <c r="FY393" i="1"/>
  <c r="FV393" i="1"/>
  <c r="FS393" i="1"/>
  <c r="FP393" i="1"/>
  <c r="FM393" i="1"/>
  <c r="FJ393" i="1"/>
  <c r="FG393" i="1"/>
  <c r="FD393" i="1"/>
  <c r="FA393" i="1"/>
  <c r="EX393" i="1"/>
  <c r="EU393" i="1"/>
  <c r="ER393" i="1"/>
  <c r="EO393" i="1"/>
  <c r="EL393" i="1"/>
  <c r="EI393" i="1"/>
  <c r="EF393" i="1"/>
  <c r="EC393" i="1"/>
  <c r="DZ393" i="1"/>
  <c r="DW393" i="1"/>
  <c r="DT393" i="1"/>
  <c r="DQ393" i="1"/>
  <c r="DN393" i="1"/>
  <c r="DK393" i="1"/>
  <c r="GO155" i="1"/>
  <c r="GO182" i="1"/>
  <c r="GO209" i="1"/>
  <c r="GU155" i="1"/>
  <c r="GU182" i="1"/>
  <c r="GU209" i="1"/>
  <c r="GK392" i="1"/>
  <c r="GH392" i="1"/>
  <c r="GE392" i="1"/>
  <c r="GB392" i="1"/>
  <c r="FY392" i="1"/>
  <c r="FV392" i="1"/>
  <c r="FS392" i="1"/>
  <c r="FP392" i="1"/>
  <c r="FM392" i="1"/>
  <c r="FJ392" i="1"/>
  <c r="FG392" i="1"/>
  <c r="FD392" i="1"/>
  <c r="FA392" i="1"/>
  <c r="EX392" i="1"/>
  <c r="EU392" i="1"/>
  <c r="ER392" i="1"/>
  <c r="EO392" i="1"/>
  <c r="EL392" i="1"/>
  <c r="EI392" i="1"/>
  <c r="EF392" i="1"/>
  <c r="EC392" i="1"/>
  <c r="DZ392" i="1"/>
  <c r="DW392" i="1"/>
  <c r="DT392" i="1"/>
  <c r="DQ392" i="1"/>
  <c r="DN392" i="1"/>
  <c r="DK392" i="1"/>
  <c r="GO154" i="1"/>
  <c r="GO181" i="1"/>
  <c r="GO208" i="1"/>
  <c r="GU154" i="1"/>
  <c r="GU181" i="1"/>
  <c r="GU208" i="1"/>
  <c r="GK391" i="1"/>
  <c r="GH391" i="1"/>
  <c r="GE391" i="1"/>
  <c r="GB391" i="1"/>
  <c r="FY391" i="1"/>
  <c r="FV391" i="1"/>
  <c r="FS391" i="1"/>
  <c r="FP391" i="1"/>
  <c r="FM391" i="1"/>
  <c r="FJ391" i="1"/>
  <c r="FG391" i="1"/>
  <c r="FD391" i="1"/>
  <c r="FA391" i="1"/>
  <c r="EX391" i="1"/>
  <c r="EU391" i="1"/>
  <c r="ER391" i="1"/>
  <c r="EO391" i="1"/>
  <c r="EL391" i="1"/>
  <c r="EI391" i="1"/>
  <c r="EF391" i="1"/>
  <c r="EC391" i="1"/>
  <c r="DZ391" i="1"/>
  <c r="DW391" i="1"/>
  <c r="DT391" i="1"/>
  <c r="DQ391" i="1"/>
  <c r="DN391" i="1"/>
  <c r="DK391" i="1"/>
  <c r="GO153" i="1"/>
  <c r="GO180" i="1"/>
  <c r="GO207" i="1"/>
  <c r="GU153" i="1"/>
  <c r="GU180" i="1"/>
  <c r="GU207" i="1"/>
  <c r="GK390" i="1"/>
  <c r="GH390" i="1"/>
  <c r="GE390" i="1"/>
  <c r="GB390" i="1"/>
  <c r="FY390" i="1"/>
  <c r="FV390" i="1"/>
  <c r="FS390" i="1"/>
  <c r="FP390" i="1"/>
  <c r="FM390" i="1"/>
  <c r="FJ390" i="1"/>
  <c r="FG390" i="1"/>
  <c r="FD390" i="1"/>
  <c r="FA390" i="1"/>
  <c r="EX390" i="1"/>
  <c r="EU390" i="1"/>
  <c r="ER390" i="1"/>
  <c r="EO390" i="1"/>
  <c r="EL390" i="1"/>
  <c r="EI390" i="1"/>
  <c r="EF390" i="1"/>
  <c r="EC390" i="1"/>
  <c r="DZ390" i="1"/>
  <c r="DW390" i="1"/>
  <c r="DT390" i="1"/>
  <c r="DQ390" i="1"/>
  <c r="DN390" i="1"/>
  <c r="DK390" i="1"/>
  <c r="GO152" i="1"/>
  <c r="GO179" i="1"/>
  <c r="GO206" i="1"/>
  <c r="GU152" i="1"/>
  <c r="GU179" i="1"/>
  <c r="GU206" i="1"/>
  <c r="GK389" i="1"/>
  <c r="GH389" i="1"/>
  <c r="GE389" i="1"/>
  <c r="GB389" i="1"/>
  <c r="FY389" i="1"/>
  <c r="FV389" i="1"/>
  <c r="FS389" i="1"/>
  <c r="FP389" i="1"/>
  <c r="FM389" i="1"/>
  <c r="FJ389" i="1"/>
  <c r="FG389" i="1"/>
  <c r="FD389" i="1"/>
  <c r="FA389" i="1"/>
  <c r="EX389" i="1"/>
  <c r="EU389" i="1"/>
  <c r="ER389" i="1"/>
  <c r="EO389" i="1"/>
  <c r="EL389" i="1"/>
  <c r="EI389" i="1"/>
  <c r="EF389" i="1"/>
  <c r="EC389" i="1"/>
  <c r="DZ389" i="1"/>
  <c r="DW389" i="1"/>
  <c r="DT389" i="1"/>
  <c r="DQ389" i="1"/>
  <c r="DN389" i="1"/>
  <c r="DK389" i="1"/>
  <c r="GK388" i="1"/>
  <c r="GH388" i="1"/>
  <c r="GO151" i="1"/>
  <c r="GO178" i="1"/>
  <c r="GO205" i="1"/>
  <c r="GU151" i="1"/>
  <c r="GU178" i="1"/>
  <c r="GU205" i="1"/>
  <c r="GE388" i="1"/>
  <c r="GB388" i="1"/>
  <c r="FY388" i="1"/>
  <c r="FV388" i="1"/>
  <c r="FS388" i="1"/>
  <c r="FP388" i="1"/>
  <c r="FM388" i="1"/>
  <c r="FJ388" i="1"/>
  <c r="FG388" i="1"/>
  <c r="FD388" i="1"/>
  <c r="FA388" i="1"/>
  <c r="EX388" i="1"/>
  <c r="EU388" i="1"/>
  <c r="ER388" i="1"/>
  <c r="EO388" i="1"/>
  <c r="EL388" i="1"/>
  <c r="EI388" i="1"/>
  <c r="EF388" i="1"/>
  <c r="EC388" i="1"/>
  <c r="DZ388" i="1"/>
  <c r="DW388" i="1"/>
  <c r="DT388" i="1"/>
  <c r="DQ388" i="1"/>
  <c r="DN388" i="1"/>
  <c r="DK388" i="1"/>
  <c r="GK387" i="1"/>
  <c r="GH387" i="1"/>
  <c r="GO150" i="1"/>
  <c r="GO177" i="1"/>
  <c r="GO204" i="1"/>
  <c r="GU150" i="1"/>
  <c r="GU177" i="1"/>
  <c r="GU204" i="1"/>
  <c r="GE387" i="1"/>
  <c r="GB387" i="1"/>
  <c r="FY387" i="1"/>
  <c r="FV387" i="1"/>
  <c r="FS387" i="1"/>
  <c r="FP387" i="1"/>
  <c r="FM387" i="1"/>
  <c r="FJ387" i="1"/>
  <c r="FG387" i="1"/>
  <c r="FD387" i="1"/>
  <c r="FA387" i="1"/>
  <c r="EX387" i="1"/>
  <c r="EU387" i="1"/>
  <c r="ER387" i="1"/>
  <c r="EO387" i="1"/>
  <c r="EL387" i="1"/>
  <c r="EI387" i="1"/>
  <c r="EF387" i="1"/>
  <c r="EC387" i="1"/>
  <c r="DZ387" i="1"/>
  <c r="DW387" i="1"/>
  <c r="DT387" i="1"/>
  <c r="DQ387" i="1"/>
  <c r="DN387" i="1"/>
  <c r="DK387" i="1"/>
  <c r="GK386" i="1"/>
  <c r="GH386" i="1"/>
  <c r="GO149" i="1"/>
  <c r="GO176" i="1"/>
  <c r="GO203" i="1"/>
  <c r="GU149" i="1"/>
  <c r="GU176" i="1"/>
  <c r="GU203" i="1"/>
  <c r="GE386" i="1"/>
  <c r="GB386" i="1"/>
  <c r="FY386" i="1"/>
  <c r="FV386" i="1"/>
  <c r="FS386" i="1"/>
  <c r="FP386" i="1"/>
  <c r="FM386" i="1"/>
  <c r="FJ386" i="1"/>
  <c r="FG386" i="1"/>
  <c r="FD386" i="1"/>
  <c r="FA386" i="1"/>
  <c r="EX386" i="1"/>
  <c r="EU386" i="1"/>
  <c r="ER386" i="1"/>
  <c r="EO386" i="1"/>
  <c r="EL386" i="1"/>
  <c r="EI386" i="1"/>
  <c r="EF386" i="1"/>
  <c r="EC386" i="1"/>
  <c r="DZ386" i="1"/>
  <c r="DW386" i="1"/>
  <c r="DT386" i="1"/>
  <c r="DQ386" i="1"/>
  <c r="DN386" i="1"/>
  <c r="DK386" i="1"/>
  <c r="GK385" i="1"/>
  <c r="GH385" i="1"/>
  <c r="GE385" i="1"/>
  <c r="GB385" i="1"/>
  <c r="FY385" i="1"/>
  <c r="FV385" i="1"/>
  <c r="FS385" i="1"/>
  <c r="FP385" i="1"/>
  <c r="FM385" i="1"/>
  <c r="FJ385" i="1"/>
  <c r="FG385" i="1"/>
  <c r="FD385" i="1"/>
  <c r="GO148" i="1"/>
  <c r="GO175" i="1"/>
  <c r="GO202" i="1"/>
  <c r="GU148" i="1"/>
  <c r="GU175" i="1"/>
  <c r="GU202" i="1"/>
  <c r="FA385" i="1"/>
  <c r="EX385" i="1"/>
  <c r="EU385" i="1"/>
  <c r="ER385" i="1"/>
  <c r="EO385" i="1"/>
  <c r="EL385" i="1"/>
  <c r="EI385" i="1"/>
  <c r="EF385" i="1"/>
  <c r="EC385" i="1"/>
  <c r="DZ385" i="1"/>
  <c r="DW385" i="1"/>
  <c r="DT385" i="1"/>
  <c r="DQ385" i="1"/>
  <c r="DN385" i="1"/>
  <c r="DK385" i="1"/>
  <c r="GK384" i="1"/>
  <c r="GH384" i="1"/>
  <c r="GE384" i="1"/>
  <c r="GB384" i="1"/>
  <c r="FY384" i="1"/>
  <c r="FV384" i="1"/>
  <c r="FS384" i="1"/>
  <c r="FP384" i="1"/>
  <c r="FM384" i="1"/>
  <c r="FJ384" i="1"/>
  <c r="FG384" i="1"/>
  <c r="FD384" i="1"/>
  <c r="GO147" i="1"/>
  <c r="GO174" i="1"/>
  <c r="GO201" i="1"/>
  <c r="GU147" i="1"/>
  <c r="GU174" i="1"/>
  <c r="GU201" i="1"/>
  <c r="FA384" i="1"/>
  <c r="EX384" i="1"/>
  <c r="EU384" i="1"/>
  <c r="ER384" i="1"/>
  <c r="EO384" i="1"/>
  <c r="EL384" i="1"/>
  <c r="EI384" i="1"/>
  <c r="EF384" i="1"/>
  <c r="EC384" i="1"/>
  <c r="DZ384" i="1"/>
  <c r="DW384" i="1"/>
  <c r="DT384" i="1"/>
  <c r="DQ384" i="1"/>
  <c r="DN384" i="1"/>
  <c r="DK384" i="1"/>
  <c r="GK383" i="1"/>
  <c r="GH383" i="1"/>
  <c r="GE383" i="1"/>
  <c r="GB383" i="1"/>
  <c r="FY383" i="1"/>
  <c r="FV383" i="1"/>
  <c r="FS383" i="1"/>
  <c r="FP383" i="1"/>
  <c r="FM383" i="1"/>
  <c r="FJ383" i="1"/>
  <c r="FG383" i="1"/>
  <c r="FD383" i="1"/>
  <c r="GO146" i="1"/>
  <c r="GO173" i="1"/>
  <c r="GO200" i="1"/>
  <c r="GU146" i="1"/>
  <c r="GU173" i="1"/>
  <c r="GU200" i="1"/>
  <c r="FA383" i="1"/>
  <c r="EX383" i="1"/>
  <c r="EU383" i="1"/>
  <c r="ER383" i="1"/>
  <c r="EO383" i="1"/>
  <c r="EL383" i="1"/>
  <c r="EI383" i="1"/>
  <c r="EF383" i="1"/>
  <c r="EC383" i="1"/>
  <c r="DZ383" i="1"/>
  <c r="DW383" i="1"/>
  <c r="DT383" i="1"/>
  <c r="DQ383" i="1"/>
  <c r="DN383" i="1"/>
  <c r="DK383" i="1"/>
  <c r="GK382" i="1"/>
  <c r="GH382" i="1"/>
  <c r="GE382" i="1"/>
  <c r="GB382" i="1"/>
  <c r="FY382" i="1"/>
  <c r="FV382" i="1"/>
  <c r="FS382" i="1"/>
  <c r="FP382" i="1"/>
  <c r="FM382" i="1"/>
  <c r="FJ382" i="1"/>
  <c r="FG382" i="1"/>
  <c r="FD382" i="1"/>
  <c r="GO145" i="1"/>
  <c r="GO172" i="1"/>
  <c r="GO199" i="1"/>
  <c r="GU145" i="1"/>
  <c r="GU172" i="1"/>
  <c r="GU199" i="1"/>
  <c r="FA382" i="1"/>
  <c r="EX382" i="1"/>
  <c r="EU382" i="1"/>
  <c r="ER382" i="1"/>
  <c r="EO382" i="1"/>
  <c r="EL382" i="1"/>
  <c r="EI382" i="1"/>
  <c r="EF382" i="1"/>
  <c r="EC382" i="1"/>
  <c r="DZ382" i="1"/>
  <c r="DW382" i="1"/>
  <c r="DT382" i="1"/>
  <c r="DQ382" i="1"/>
  <c r="DN382" i="1"/>
  <c r="DK382" i="1"/>
  <c r="GK381" i="1"/>
  <c r="GH381" i="1"/>
  <c r="GE381" i="1"/>
  <c r="GB381" i="1"/>
  <c r="FY381" i="1"/>
  <c r="FV381" i="1"/>
  <c r="FS381" i="1"/>
  <c r="FP381" i="1"/>
  <c r="FM381" i="1"/>
  <c r="FJ381" i="1"/>
  <c r="FG381" i="1"/>
  <c r="FD381" i="1"/>
  <c r="GO144" i="1"/>
  <c r="GO171" i="1"/>
  <c r="GO198" i="1"/>
  <c r="GU144" i="1"/>
  <c r="GU171" i="1"/>
  <c r="GU198" i="1"/>
  <c r="FA381" i="1"/>
  <c r="EX381" i="1"/>
  <c r="EU381" i="1"/>
  <c r="ER381" i="1"/>
  <c r="EO381" i="1"/>
  <c r="EL381" i="1"/>
  <c r="EI381" i="1"/>
  <c r="EF381" i="1"/>
  <c r="EC381" i="1"/>
  <c r="DZ381" i="1"/>
  <c r="DW381" i="1"/>
  <c r="DT381" i="1"/>
  <c r="DQ381" i="1"/>
  <c r="DN381" i="1"/>
  <c r="DK381" i="1"/>
  <c r="GK380" i="1"/>
  <c r="GH380" i="1"/>
  <c r="GE380" i="1"/>
  <c r="GB380" i="1"/>
  <c r="FY380" i="1"/>
  <c r="FV380" i="1"/>
  <c r="FS380" i="1"/>
  <c r="FP380" i="1"/>
  <c r="FM380" i="1"/>
  <c r="FJ380" i="1"/>
  <c r="FG380" i="1"/>
  <c r="FD380" i="1"/>
  <c r="GO143" i="1"/>
  <c r="GO170" i="1"/>
  <c r="GO197" i="1"/>
  <c r="GU143" i="1"/>
  <c r="GU170" i="1"/>
  <c r="GU197" i="1"/>
  <c r="FA380" i="1"/>
  <c r="EX380" i="1"/>
  <c r="EU380" i="1"/>
  <c r="ER380" i="1"/>
  <c r="EO380" i="1"/>
  <c r="EL380" i="1"/>
  <c r="EI380" i="1"/>
  <c r="EF380" i="1"/>
  <c r="EC380" i="1"/>
  <c r="DZ380" i="1"/>
  <c r="DW380" i="1"/>
  <c r="DT380" i="1"/>
  <c r="DQ380" i="1"/>
  <c r="DN380" i="1"/>
  <c r="DK380" i="1"/>
  <c r="GK379" i="1"/>
  <c r="GH379" i="1"/>
  <c r="GE379" i="1"/>
  <c r="GB379" i="1"/>
  <c r="FY379" i="1"/>
  <c r="FV379" i="1"/>
  <c r="FS379" i="1"/>
  <c r="FP379" i="1"/>
  <c r="FM379" i="1"/>
  <c r="FJ379" i="1"/>
  <c r="FG379" i="1"/>
  <c r="FD379" i="1"/>
  <c r="FA379" i="1"/>
  <c r="EX379" i="1"/>
  <c r="EU379" i="1"/>
  <c r="ER379" i="1"/>
  <c r="EO379" i="1"/>
  <c r="EL379" i="1"/>
  <c r="EI379" i="1"/>
  <c r="EF379" i="1"/>
  <c r="EC379" i="1"/>
  <c r="DZ379" i="1"/>
  <c r="DW379" i="1"/>
  <c r="DT379" i="1"/>
  <c r="DQ379" i="1"/>
  <c r="DN379" i="1"/>
  <c r="DK379" i="1"/>
  <c r="GK378" i="1"/>
  <c r="GH378" i="1"/>
  <c r="GE378" i="1"/>
  <c r="GB378" i="1"/>
  <c r="FY378" i="1"/>
  <c r="FV378" i="1"/>
  <c r="FS378" i="1"/>
  <c r="FP378" i="1"/>
  <c r="FM378" i="1"/>
  <c r="FJ378" i="1"/>
  <c r="FG378" i="1"/>
  <c r="FD378" i="1"/>
  <c r="FA378" i="1"/>
  <c r="EX378" i="1"/>
  <c r="EU378" i="1"/>
  <c r="ER378" i="1"/>
  <c r="EO378" i="1"/>
  <c r="EL378" i="1"/>
  <c r="EI378" i="1"/>
  <c r="EF378" i="1"/>
  <c r="EC378" i="1"/>
  <c r="DZ378" i="1"/>
  <c r="DW378" i="1"/>
  <c r="DT378" i="1"/>
  <c r="DQ378" i="1"/>
  <c r="DN378" i="1"/>
  <c r="DK378" i="1"/>
  <c r="GK377" i="1"/>
  <c r="GH377" i="1"/>
  <c r="GE377" i="1"/>
  <c r="GB377" i="1"/>
  <c r="FY377" i="1"/>
  <c r="FV377" i="1"/>
  <c r="FS377" i="1"/>
  <c r="FP377" i="1"/>
  <c r="FM377" i="1"/>
  <c r="FJ377" i="1"/>
  <c r="FG377" i="1"/>
  <c r="FD377" i="1"/>
  <c r="FA377" i="1"/>
  <c r="EX377" i="1"/>
  <c r="EU377" i="1"/>
  <c r="ER377" i="1"/>
  <c r="EO377" i="1"/>
  <c r="EL377" i="1"/>
  <c r="EI377" i="1"/>
  <c r="EF377" i="1"/>
  <c r="EC377" i="1"/>
  <c r="DZ377" i="1"/>
  <c r="DW377" i="1"/>
  <c r="DT377" i="1"/>
  <c r="DQ377" i="1"/>
  <c r="DN377" i="1"/>
  <c r="DK377" i="1"/>
  <c r="GK376" i="1"/>
  <c r="FM267" i="1"/>
  <c r="FP267" i="1"/>
  <c r="FS267" i="1"/>
  <c r="FV267" i="1"/>
  <c r="FY267" i="1"/>
  <c r="GB267" i="1"/>
  <c r="GE267" i="1"/>
  <c r="GH267" i="1"/>
  <c r="GH270" i="1"/>
  <c r="GH273" i="1"/>
  <c r="GH276" i="1"/>
  <c r="GH279" i="1"/>
  <c r="GH282" i="1"/>
  <c r="GH285" i="1"/>
  <c r="GH288" i="1"/>
  <c r="GH291" i="1"/>
  <c r="GH376" i="1"/>
  <c r="GE376" i="1"/>
  <c r="GB376" i="1"/>
  <c r="FY376" i="1"/>
  <c r="FV376" i="1"/>
  <c r="FS376" i="1"/>
  <c r="FP376" i="1"/>
  <c r="FM376" i="1"/>
  <c r="FJ376" i="1"/>
  <c r="FG376" i="1"/>
  <c r="EL267" i="1"/>
  <c r="EO267" i="1"/>
  <c r="ER267" i="1"/>
  <c r="EU267" i="1"/>
  <c r="EX267" i="1"/>
  <c r="FA267" i="1"/>
  <c r="FD267" i="1"/>
  <c r="FD270" i="1"/>
  <c r="FD273" i="1"/>
  <c r="FD276" i="1"/>
  <c r="FD279" i="1"/>
  <c r="FD282" i="1"/>
  <c r="FD285" i="1"/>
  <c r="FD288" i="1"/>
  <c r="FD291" i="1"/>
  <c r="FD376" i="1"/>
  <c r="FA270" i="1"/>
  <c r="FA273" i="1"/>
  <c r="FA276" i="1"/>
  <c r="FA279" i="1"/>
  <c r="FA282" i="1"/>
  <c r="FA285" i="1"/>
  <c r="FA288" i="1"/>
  <c r="FA291" i="1"/>
  <c r="FA376" i="1"/>
  <c r="EX376" i="1"/>
  <c r="EU376" i="1"/>
  <c r="ER376" i="1"/>
  <c r="EO376" i="1"/>
  <c r="EL376" i="1"/>
  <c r="EI376" i="1"/>
  <c r="EF376" i="1"/>
  <c r="EC376" i="1"/>
  <c r="DZ376" i="1"/>
  <c r="DW376" i="1"/>
  <c r="DT376" i="1"/>
  <c r="DK267" i="1"/>
  <c r="DN267" i="1"/>
  <c r="DQ267" i="1"/>
  <c r="DQ270" i="1"/>
  <c r="DQ273" i="1"/>
  <c r="DQ276" i="1"/>
  <c r="DQ279" i="1"/>
  <c r="DQ282" i="1"/>
  <c r="DQ285" i="1"/>
  <c r="DQ288" i="1"/>
  <c r="DQ291" i="1"/>
  <c r="DQ376" i="1"/>
  <c r="DN270" i="1"/>
  <c r="DN273" i="1"/>
  <c r="DN276" i="1"/>
  <c r="DN279" i="1"/>
  <c r="DN282" i="1"/>
  <c r="DN285" i="1"/>
  <c r="DN288" i="1"/>
  <c r="DN291" i="1"/>
  <c r="DN376" i="1"/>
  <c r="DK376" i="1"/>
  <c r="GK375" i="1"/>
  <c r="FM266" i="1"/>
  <c r="FP266" i="1"/>
  <c r="FS266" i="1"/>
  <c r="FV266" i="1"/>
  <c r="FY266" i="1"/>
  <c r="GB266" i="1"/>
  <c r="GE266" i="1"/>
  <c r="GH266" i="1"/>
  <c r="GH269" i="1"/>
  <c r="GH272" i="1"/>
  <c r="GH275" i="1"/>
  <c r="GH278" i="1"/>
  <c r="GH281" i="1"/>
  <c r="GH284" i="1"/>
  <c r="GH287" i="1"/>
  <c r="GH290" i="1"/>
  <c r="GH375" i="1"/>
  <c r="GE375" i="1"/>
  <c r="GB375" i="1"/>
  <c r="FY375" i="1"/>
  <c r="FV375" i="1"/>
  <c r="FS375" i="1"/>
  <c r="FP375" i="1"/>
  <c r="FM375" i="1"/>
  <c r="FJ375" i="1"/>
  <c r="FG375" i="1"/>
  <c r="EL266" i="1"/>
  <c r="EO266" i="1"/>
  <c r="ER266" i="1"/>
  <c r="EU266" i="1"/>
  <c r="EX266" i="1"/>
  <c r="FA266" i="1"/>
  <c r="FD266" i="1"/>
  <c r="FD269" i="1"/>
  <c r="FD272" i="1"/>
  <c r="FD275" i="1"/>
  <c r="FD278" i="1"/>
  <c r="FD281" i="1"/>
  <c r="FD284" i="1"/>
  <c r="FD287" i="1"/>
  <c r="FD290" i="1"/>
  <c r="FD375" i="1"/>
  <c r="FA269" i="1"/>
  <c r="FA272" i="1"/>
  <c r="FA275" i="1"/>
  <c r="FA278" i="1"/>
  <c r="FA281" i="1"/>
  <c r="FA284" i="1"/>
  <c r="FA287" i="1"/>
  <c r="FA290" i="1"/>
  <c r="FA375" i="1"/>
  <c r="EX375" i="1"/>
  <c r="EU375" i="1"/>
  <c r="ER375" i="1"/>
  <c r="EO375" i="1"/>
  <c r="EL375" i="1"/>
  <c r="EI375" i="1"/>
  <c r="EF375" i="1"/>
  <c r="EC375" i="1"/>
  <c r="DZ375" i="1"/>
  <c r="DW375" i="1"/>
  <c r="DT375" i="1"/>
  <c r="DK266" i="1"/>
  <c r="DN266" i="1"/>
  <c r="DQ266" i="1"/>
  <c r="DQ269" i="1"/>
  <c r="DQ272" i="1"/>
  <c r="DQ275" i="1"/>
  <c r="DQ278" i="1"/>
  <c r="DQ281" i="1"/>
  <c r="DQ284" i="1"/>
  <c r="DQ287" i="1"/>
  <c r="DQ290" i="1"/>
  <c r="DQ375" i="1"/>
  <c r="DN269" i="1"/>
  <c r="DN272" i="1"/>
  <c r="DN275" i="1"/>
  <c r="DN278" i="1"/>
  <c r="DN281" i="1"/>
  <c r="DN284" i="1"/>
  <c r="DN287" i="1"/>
  <c r="DN290" i="1"/>
  <c r="DN375" i="1"/>
  <c r="DK375" i="1"/>
  <c r="GK374" i="1"/>
  <c r="FM265" i="1"/>
  <c r="FP265" i="1"/>
  <c r="FS265" i="1"/>
  <c r="FV265" i="1"/>
  <c r="FY265" i="1"/>
  <c r="GB265" i="1"/>
  <c r="GE265" i="1"/>
  <c r="GH265" i="1"/>
  <c r="GH268" i="1"/>
  <c r="GH271" i="1"/>
  <c r="GH274" i="1"/>
  <c r="GH277" i="1"/>
  <c r="GH280" i="1"/>
  <c r="GH283" i="1"/>
  <c r="GH286" i="1"/>
  <c r="GH289" i="1"/>
  <c r="GH374" i="1"/>
  <c r="GE374" i="1"/>
  <c r="GB374" i="1"/>
  <c r="FY374" i="1"/>
  <c r="FV374" i="1"/>
  <c r="FS374" i="1"/>
  <c r="FP374" i="1"/>
  <c r="FM374" i="1"/>
  <c r="FJ374" i="1"/>
  <c r="FG374" i="1"/>
  <c r="EL265" i="1"/>
  <c r="EO265" i="1"/>
  <c r="ER265" i="1"/>
  <c r="EU265" i="1"/>
  <c r="EX265" i="1"/>
  <c r="FA265" i="1"/>
  <c r="FD265" i="1"/>
  <c r="FD268" i="1"/>
  <c r="FD271" i="1"/>
  <c r="FD274" i="1"/>
  <c r="FD277" i="1"/>
  <c r="FD280" i="1"/>
  <c r="FD283" i="1"/>
  <c r="FD286" i="1"/>
  <c r="FD289" i="1"/>
  <c r="FD374" i="1"/>
  <c r="FA268" i="1"/>
  <c r="FA271" i="1"/>
  <c r="FA274" i="1"/>
  <c r="FA277" i="1"/>
  <c r="FA280" i="1"/>
  <c r="FA283" i="1"/>
  <c r="FA286" i="1"/>
  <c r="FA289" i="1"/>
  <c r="FA374" i="1"/>
  <c r="EX374" i="1"/>
  <c r="EU374" i="1"/>
  <c r="ER374" i="1"/>
  <c r="EO374" i="1"/>
  <c r="EL374" i="1"/>
  <c r="EI374" i="1"/>
  <c r="EF374" i="1"/>
  <c r="EC374" i="1"/>
  <c r="DZ374" i="1"/>
  <c r="DW374" i="1"/>
  <c r="DT374" i="1"/>
  <c r="DK265" i="1"/>
  <c r="DN265" i="1"/>
  <c r="DQ265" i="1"/>
  <c r="DQ268" i="1"/>
  <c r="DQ271" i="1"/>
  <c r="DQ274" i="1"/>
  <c r="DQ277" i="1"/>
  <c r="DQ280" i="1"/>
  <c r="DQ283" i="1"/>
  <c r="DQ286" i="1"/>
  <c r="DQ289" i="1"/>
  <c r="DQ374" i="1"/>
  <c r="DN268" i="1"/>
  <c r="DN271" i="1"/>
  <c r="DN274" i="1"/>
  <c r="DN277" i="1"/>
  <c r="DN280" i="1"/>
  <c r="DN283" i="1"/>
  <c r="DN286" i="1"/>
  <c r="DN289" i="1"/>
  <c r="DN374" i="1"/>
  <c r="DK374" i="1"/>
  <c r="GK267" i="1"/>
  <c r="GK270" i="1"/>
  <c r="GK273" i="1"/>
  <c r="GK276" i="1"/>
  <c r="GK279" i="1"/>
  <c r="GK282" i="1"/>
  <c r="GK285" i="1"/>
  <c r="GK288" i="1"/>
  <c r="GK373" i="1"/>
  <c r="GH373" i="1"/>
  <c r="GE373" i="1"/>
  <c r="GB373" i="1"/>
  <c r="FY373" i="1"/>
  <c r="FV373" i="1"/>
  <c r="FS373" i="1"/>
  <c r="FP373" i="1"/>
  <c r="FM373" i="1"/>
  <c r="FJ373" i="1"/>
  <c r="FG267" i="1"/>
  <c r="FG270" i="1"/>
  <c r="FG273" i="1"/>
  <c r="FG276" i="1"/>
  <c r="FG279" i="1"/>
  <c r="FG282" i="1"/>
  <c r="FG285" i="1"/>
  <c r="FG288" i="1"/>
  <c r="FG373" i="1"/>
  <c r="FD373" i="1"/>
  <c r="FA373" i="1"/>
  <c r="EX270" i="1"/>
  <c r="EX273" i="1"/>
  <c r="EX276" i="1"/>
  <c r="EX279" i="1"/>
  <c r="EX282" i="1"/>
  <c r="EX285" i="1"/>
  <c r="EX288" i="1"/>
  <c r="EX373" i="1"/>
  <c r="EU373" i="1"/>
  <c r="ER373" i="1"/>
  <c r="EO373" i="1"/>
  <c r="EL373" i="1"/>
  <c r="EI373" i="1"/>
  <c r="EF373" i="1"/>
  <c r="EC373" i="1"/>
  <c r="DZ373" i="1"/>
  <c r="DT267" i="1"/>
  <c r="DW267" i="1"/>
  <c r="DW270" i="1"/>
  <c r="DW273" i="1"/>
  <c r="DW276" i="1"/>
  <c r="DW279" i="1"/>
  <c r="DW282" i="1"/>
  <c r="DW285" i="1"/>
  <c r="DW288" i="1"/>
  <c r="DW373" i="1"/>
  <c r="DT270" i="1"/>
  <c r="DT273" i="1"/>
  <c r="DT276" i="1"/>
  <c r="DT279" i="1"/>
  <c r="DT282" i="1"/>
  <c r="DT285" i="1"/>
  <c r="DT288" i="1"/>
  <c r="DT373" i="1"/>
  <c r="DQ373" i="1"/>
  <c r="DN373" i="1"/>
  <c r="DK270" i="1"/>
  <c r="DK273" i="1"/>
  <c r="DK276" i="1"/>
  <c r="DK279" i="1"/>
  <c r="DK282" i="1"/>
  <c r="DK285" i="1"/>
  <c r="DK288" i="1"/>
  <c r="DK373" i="1"/>
  <c r="GK266" i="1"/>
  <c r="GK269" i="1"/>
  <c r="GK272" i="1"/>
  <c r="GK275" i="1"/>
  <c r="GK278" i="1"/>
  <c r="GK281" i="1"/>
  <c r="GK284" i="1"/>
  <c r="GK287" i="1"/>
  <c r="GK372" i="1"/>
  <c r="GH372" i="1"/>
  <c r="GE372" i="1"/>
  <c r="GB372" i="1"/>
  <c r="FY372" i="1"/>
  <c r="FV372" i="1"/>
  <c r="FS372" i="1"/>
  <c r="FP372" i="1"/>
  <c r="FM372" i="1"/>
  <c r="FJ372" i="1"/>
  <c r="FG266" i="1"/>
  <c r="FG269" i="1"/>
  <c r="FG272" i="1"/>
  <c r="FG275" i="1"/>
  <c r="FG278" i="1"/>
  <c r="FG281" i="1"/>
  <c r="FG284" i="1"/>
  <c r="FG287" i="1"/>
  <c r="FG372" i="1"/>
  <c r="FD372" i="1"/>
  <c r="FA372" i="1"/>
  <c r="EX269" i="1"/>
  <c r="EX272" i="1"/>
  <c r="EX275" i="1"/>
  <c r="EX278" i="1"/>
  <c r="EX281" i="1"/>
  <c r="EX284" i="1"/>
  <c r="EX287" i="1"/>
  <c r="EX372" i="1"/>
  <c r="EU372" i="1"/>
  <c r="ER372" i="1"/>
  <c r="EO372" i="1"/>
  <c r="EL372" i="1"/>
  <c r="EI372" i="1"/>
  <c r="EF372" i="1"/>
  <c r="EC372" i="1"/>
  <c r="DZ372" i="1"/>
  <c r="DT266" i="1"/>
  <c r="DW266" i="1"/>
  <c r="DW269" i="1"/>
  <c r="DW272" i="1"/>
  <c r="DW275" i="1"/>
  <c r="DW278" i="1"/>
  <c r="DW281" i="1"/>
  <c r="DW284" i="1"/>
  <c r="DW287" i="1"/>
  <c r="DW372" i="1"/>
  <c r="DT269" i="1"/>
  <c r="DT272" i="1"/>
  <c r="DT275" i="1"/>
  <c r="DT278" i="1"/>
  <c r="DT281" i="1"/>
  <c r="DT284" i="1"/>
  <c r="DT287" i="1"/>
  <c r="DT372" i="1"/>
  <c r="DQ372" i="1"/>
  <c r="DN372" i="1"/>
  <c r="DK269" i="1"/>
  <c r="DK272" i="1"/>
  <c r="DK275" i="1"/>
  <c r="DK278" i="1"/>
  <c r="DK281" i="1"/>
  <c r="DK284" i="1"/>
  <c r="DK287" i="1"/>
  <c r="DK372" i="1"/>
  <c r="GK265" i="1"/>
  <c r="GK268" i="1"/>
  <c r="GK271" i="1"/>
  <c r="GK274" i="1"/>
  <c r="GK277" i="1"/>
  <c r="GK280" i="1"/>
  <c r="GK283" i="1"/>
  <c r="GK286" i="1"/>
  <c r="GK371" i="1"/>
  <c r="GH371" i="1"/>
  <c r="GE371" i="1"/>
  <c r="GB371" i="1"/>
  <c r="FY371" i="1"/>
  <c r="FV371" i="1"/>
  <c r="FS371" i="1"/>
  <c r="FP371" i="1"/>
  <c r="FM371" i="1"/>
  <c r="FJ371" i="1"/>
  <c r="FG265" i="1"/>
  <c r="FG268" i="1"/>
  <c r="FG271" i="1"/>
  <c r="FG274" i="1"/>
  <c r="FG277" i="1"/>
  <c r="FG280" i="1"/>
  <c r="FG283" i="1"/>
  <c r="FG286" i="1"/>
  <c r="FG371" i="1"/>
  <c r="FD371" i="1"/>
  <c r="FA371" i="1"/>
  <c r="EX268" i="1"/>
  <c r="EX271" i="1"/>
  <c r="EX274" i="1"/>
  <c r="EX277" i="1"/>
  <c r="EX280" i="1"/>
  <c r="EX283" i="1"/>
  <c r="EX286" i="1"/>
  <c r="EX371" i="1"/>
  <c r="EU371" i="1"/>
  <c r="ER371" i="1"/>
  <c r="EO371" i="1"/>
  <c r="EL371" i="1"/>
  <c r="EI371" i="1"/>
  <c r="EF371" i="1"/>
  <c r="EC371" i="1"/>
  <c r="DZ371" i="1"/>
  <c r="DT265" i="1"/>
  <c r="DW265" i="1"/>
  <c r="DW268" i="1"/>
  <c r="DW271" i="1"/>
  <c r="DW274" i="1"/>
  <c r="DW277" i="1"/>
  <c r="DW280" i="1"/>
  <c r="DW283" i="1"/>
  <c r="DW286" i="1"/>
  <c r="DW371" i="1"/>
  <c r="DT268" i="1"/>
  <c r="DT271" i="1"/>
  <c r="DT274" i="1"/>
  <c r="DT277" i="1"/>
  <c r="DT280" i="1"/>
  <c r="DT283" i="1"/>
  <c r="DT286" i="1"/>
  <c r="DT371" i="1"/>
  <c r="DQ371" i="1"/>
  <c r="DN371" i="1"/>
  <c r="DK268" i="1"/>
  <c r="DK271" i="1"/>
  <c r="DK274" i="1"/>
  <c r="DK277" i="1"/>
  <c r="DK280" i="1"/>
  <c r="DK283" i="1"/>
  <c r="DK286" i="1"/>
  <c r="DK371" i="1"/>
  <c r="GK370" i="1"/>
  <c r="GH370" i="1"/>
  <c r="GE270" i="1"/>
  <c r="GE273" i="1"/>
  <c r="GE276" i="1"/>
  <c r="GE279" i="1"/>
  <c r="GE282" i="1"/>
  <c r="GE285" i="1"/>
  <c r="GE370" i="1"/>
  <c r="GB270" i="1"/>
  <c r="GB273" i="1"/>
  <c r="GB276" i="1"/>
  <c r="GB279" i="1"/>
  <c r="GB282" i="1"/>
  <c r="GB285" i="1"/>
  <c r="GB370" i="1"/>
  <c r="FY270" i="1"/>
  <c r="FY273" i="1"/>
  <c r="FY276" i="1"/>
  <c r="FY279" i="1"/>
  <c r="FY282" i="1"/>
  <c r="FY285" i="1"/>
  <c r="FY370" i="1"/>
  <c r="FV370" i="1"/>
  <c r="FS370" i="1"/>
  <c r="FP370" i="1"/>
  <c r="FM370" i="1"/>
  <c r="FJ267" i="1"/>
  <c r="FJ270" i="1"/>
  <c r="FJ273" i="1"/>
  <c r="FJ276" i="1"/>
  <c r="FJ279" i="1"/>
  <c r="FJ282" i="1"/>
  <c r="FJ285" i="1"/>
  <c r="FJ370" i="1"/>
  <c r="FG370" i="1"/>
  <c r="FD370" i="1"/>
  <c r="FA370" i="1"/>
  <c r="EX370" i="1"/>
  <c r="EU270" i="1"/>
  <c r="EU273" i="1"/>
  <c r="EU276" i="1"/>
  <c r="EU279" i="1"/>
  <c r="EU282" i="1"/>
  <c r="EU285" i="1"/>
  <c r="EU370" i="1"/>
  <c r="ER370" i="1"/>
  <c r="EO270" i="1"/>
  <c r="EO273" i="1"/>
  <c r="EO276" i="1"/>
  <c r="EO279" i="1"/>
  <c r="EO282" i="1"/>
  <c r="EO285" i="1"/>
  <c r="EO370" i="1"/>
  <c r="EL370" i="1"/>
  <c r="EI370" i="1"/>
  <c r="EF370" i="1"/>
  <c r="DZ267" i="1"/>
  <c r="EC267" i="1"/>
  <c r="EC270" i="1"/>
  <c r="EC273" i="1"/>
  <c r="EC276" i="1"/>
  <c r="EC279" i="1"/>
  <c r="EC282" i="1"/>
  <c r="EC285" i="1"/>
  <c r="EC370" i="1"/>
  <c r="DZ270" i="1"/>
  <c r="DZ273" i="1"/>
  <c r="DZ276" i="1"/>
  <c r="DZ279" i="1"/>
  <c r="DZ282" i="1"/>
  <c r="DZ285" i="1"/>
  <c r="DZ370" i="1"/>
  <c r="DW370" i="1"/>
  <c r="DT370" i="1"/>
  <c r="DQ370" i="1"/>
  <c r="DN370" i="1"/>
  <c r="DK370" i="1"/>
  <c r="GK369" i="1"/>
  <c r="GH369" i="1"/>
  <c r="GE269" i="1"/>
  <c r="GE272" i="1"/>
  <c r="GE275" i="1"/>
  <c r="GE278" i="1"/>
  <c r="GE281" i="1"/>
  <c r="GE284" i="1"/>
  <c r="GE369" i="1"/>
  <c r="GB269" i="1"/>
  <c r="GB272" i="1"/>
  <c r="GB275" i="1"/>
  <c r="GB278" i="1"/>
  <c r="GB281" i="1"/>
  <c r="GB284" i="1"/>
  <c r="GB369" i="1"/>
  <c r="FY269" i="1"/>
  <c r="FY272" i="1"/>
  <c r="FY275" i="1"/>
  <c r="FY278" i="1"/>
  <c r="FY281" i="1"/>
  <c r="FY284" i="1"/>
  <c r="FY369" i="1"/>
  <c r="FV369" i="1"/>
  <c r="FS369" i="1"/>
  <c r="FP369" i="1"/>
  <c r="FM369" i="1"/>
  <c r="FJ266" i="1"/>
  <c r="FJ269" i="1"/>
  <c r="FJ272" i="1"/>
  <c r="FJ275" i="1"/>
  <c r="FJ278" i="1"/>
  <c r="FJ281" i="1"/>
  <c r="FJ284" i="1"/>
  <c r="FJ369" i="1"/>
  <c r="FG369" i="1"/>
  <c r="FD369" i="1"/>
  <c r="FA369" i="1"/>
  <c r="EX369" i="1"/>
  <c r="EU269" i="1"/>
  <c r="EU272" i="1"/>
  <c r="EU275" i="1"/>
  <c r="EU278" i="1"/>
  <c r="EU281" i="1"/>
  <c r="EU284" i="1"/>
  <c r="EU369" i="1"/>
  <c r="ER369" i="1"/>
  <c r="EO269" i="1"/>
  <c r="EO272" i="1"/>
  <c r="EO275" i="1"/>
  <c r="EO278" i="1"/>
  <c r="EO281" i="1"/>
  <c r="EO284" i="1"/>
  <c r="EO369" i="1"/>
  <c r="EL369" i="1"/>
  <c r="EI369" i="1"/>
  <c r="EF369" i="1"/>
  <c r="DZ266" i="1"/>
  <c r="EC266" i="1"/>
  <c r="EC269" i="1"/>
  <c r="EC272" i="1"/>
  <c r="EC275" i="1"/>
  <c r="EC278" i="1"/>
  <c r="EC281" i="1"/>
  <c r="EC284" i="1"/>
  <c r="EC369" i="1"/>
  <c r="DZ269" i="1"/>
  <c r="DZ272" i="1"/>
  <c r="DZ275" i="1"/>
  <c r="DZ278" i="1"/>
  <c r="DZ281" i="1"/>
  <c r="DZ284" i="1"/>
  <c r="DZ369" i="1"/>
  <c r="DW369" i="1"/>
  <c r="DT369" i="1"/>
  <c r="DQ369" i="1"/>
  <c r="DN369" i="1"/>
  <c r="DK369" i="1"/>
  <c r="GK368" i="1"/>
  <c r="GH368" i="1"/>
  <c r="GE268" i="1"/>
  <c r="GE271" i="1"/>
  <c r="GE274" i="1"/>
  <c r="GE277" i="1"/>
  <c r="GE280" i="1"/>
  <c r="GE283" i="1"/>
  <c r="GE368" i="1"/>
  <c r="GB268" i="1"/>
  <c r="GB271" i="1"/>
  <c r="GB274" i="1"/>
  <c r="GB277" i="1"/>
  <c r="GB280" i="1"/>
  <c r="GB283" i="1"/>
  <c r="GB368" i="1"/>
  <c r="FY268" i="1"/>
  <c r="FY271" i="1"/>
  <c r="FY274" i="1"/>
  <c r="FY277" i="1"/>
  <c r="FY280" i="1"/>
  <c r="FY283" i="1"/>
  <c r="FY368" i="1"/>
  <c r="FV368" i="1"/>
  <c r="FS368" i="1"/>
  <c r="FP368" i="1"/>
  <c r="FM368" i="1"/>
  <c r="FJ265" i="1"/>
  <c r="FJ268" i="1"/>
  <c r="FJ271" i="1"/>
  <c r="FJ274" i="1"/>
  <c r="FJ277" i="1"/>
  <c r="FJ280" i="1"/>
  <c r="FJ283" i="1"/>
  <c r="FJ368" i="1"/>
  <c r="FG368" i="1"/>
  <c r="FD368" i="1"/>
  <c r="FA368" i="1"/>
  <c r="EX368" i="1"/>
  <c r="EU268" i="1"/>
  <c r="EU271" i="1"/>
  <c r="EU274" i="1"/>
  <c r="EU277" i="1"/>
  <c r="EU280" i="1"/>
  <c r="EU283" i="1"/>
  <c r="EU368" i="1"/>
  <c r="ER368" i="1"/>
  <c r="EO268" i="1"/>
  <c r="EO271" i="1"/>
  <c r="EO274" i="1"/>
  <c r="EO277" i="1"/>
  <c r="EO280" i="1"/>
  <c r="EO283" i="1"/>
  <c r="EO368" i="1"/>
  <c r="EL368" i="1"/>
  <c r="EI368" i="1"/>
  <c r="EF368" i="1"/>
  <c r="DZ265" i="1"/>
  <c r="EC265" i="1"/>
  <c r="EC268" i="1"/>
  <c r="EC271" i="1"/>
  <c r="EC274" i="1"/>
  <c r="EC277" i="1"/>
  <c r="EC280" i="1"/>
  <c r="EC283" i="1"/>
  <c r="EC368" i="1"/>
  <c r="DZ268" i="1"/>
  <c r="DZ271" i="1"/>
  <c r="DZ274" i="1"/>
  <c r="DZ277" i="1"/>
  <c r="DZ280" i="1"/>
  <c r="DZ283" i="1"/>
  <c r="DZ368" i="1"/>
  <c r="DW368" i="1"/>
  <c r="DT368" i="1"/>
  <c r="DQ368" i="1"/>
  <c r="DN368" i="1"/>
  <c r="DK368" i="1"/>
  <c r="GK367" i="1"/>
  <c r="GH367" i="1"/>
  <c r="GE367" i="1"/>
  <c r="GB367" i="1"/>
  <c r="FY367" i="1"/>
  <c r="FV367" i="1"/>
  <c r="FS367" i="1"/>
  <c r="FP367" i="1"/>
  <c r="FM367" i="1"/>
  <c r="FJ367" i="1"/>
  <c r="FG367" i="1"/>
  <c r="FD367" i="1"/>
  <c r="FA367" i="1"/>
  <c r="EX367" i="1"/>
  <c r="EU367" i="1"/>
  <c r="ER270" i="1"/>
  <c r="ER273" i="1"/>
  <c r="ER276" i="1"/>
  <c r="ER279" i="1"/>
  <c r="ER282" i="1"/>
  <c r="ER367" i="1"/>
  <c r="EO367" i="1"/>
  <c r="EL367" i="1"/>
  <c r="EI367" i="1"/>
  <c r="EF367" i="1"/>
  <c r="EC367" i="1"/>
  <c r="DZ367" i="1"/>
  <c r="DW367" i="1"/>
  <c r="DT367" i="1"/>
  <c r="DQ367" i="1"/>
  <c r="DN367" i="1"/>
  <c r="DK367" i="1"/>
  <c r="GK366" i="1"/>
  <c r="GH366" i="1"/>
  <c r="GE366" i="1"/>
  <c r="GB366" i="1"/>
  <c r="FY366" i="1"/>
  <c r="FV366" i="1"/>
  <c r="FS366" i="1"/>
  <c r="FP366" i="1"/>
  <c r="FM366" i="1"/>
  <c r="FJ366" i="1"/>
  <c r="FG366" i="1"/>
  <c r="FD366" i="1"/>
  <c r="FA366" i="1"/>
  <c r="EX366" i="1"/>
  <c r="EU366" i="1"/>
  <c r="ER269" i="1"/>
  <c r="ER272" i="1"/>
  <c r="ER275" i="1"/>
  <c r="ER278" i="1"/>
  <c r="ER281" i="1"/>
  <c r="ER366" i="1"/>
  <c r="EO366" i="1"/>
  <c r="EL366" i="1"/>
  <c r="EI366" i="1"/>
  <c r="EF366" i="1"/>
  <c r="EC366" i="1"/>
  <c r="DZ366" i="1"/>
  <c r="DW366" i="1"/>
  <c r="DT366" i="1"/>
  <c r="DQ366" i="1"/>
  <c r="DN366" i="1"/>
  <c r="DK366" i="1"/>
  <c r="GK365" i="1"/>
  <c r="GH365" i="1"/>
  <c r="GE365" i="1"/>
  <c r="GB365" i="1"/>
  <c r="FY365" i="1"/>
  <c r="FV365" i="1"/>
  <c r="FS365" i="1"/>
  <c r="FP365" i="1"/>
  <c r="FM365" i="1"/>
  <c r="FJ365" i="1"/>
  <c r="FG365" i="1"/>
  <c r="FD365" i="1"/>
  <c r="FA365" i="1"/>
  <c r="EX365" i="1"/>
  <c r="EU365" i="1"/>
  <c r="ER268" i="1"/>
  <c r="ER271" i="1"/>
  <c r="ER274" i="1"/>
  <c r="ER277" i="1"/>
  <c r="ER280" i="1"/>
  <c r="ER365" i="1"/>
  <c r="EO365" i="1"/>
  <c r="EL365" i="1"/>
  <c r="EI365" i="1"/>
  <c r="EF365" i="1"/>
  <c r="EC365" i="1"/>
  <c r="DZ365" i="1"/>
  <c r="DW365" i="1"/>
  <c r="DT365" i="1"/>
  <c r="DQ365" i="1"/>
  <c r="DN365" i="1"/>
  <c r="DK365" i="1"/>
  <c r="GK364" i="1"/>
  <c r="GH364" i="1"/>
  <c r="GE364" i="1"/>
  <c r="GB364" i="1"/>
  <c r="FY364" i="1"/>
  <c r="FV364" i="1"/>
  <c r="FS364" i="1"/>
  <c r="FP364" i="1"/>
  <c r="FM364" i="1"/>
  <c r="FJ364" i="1"/>
  <c r="FG364" i="1"/>
  <c r="FD364" i="1"/>
  <c r="FA364" i="1"/>
  <c r="EX364" i="1"/>
  <c r="EU364" i="1"/>
  <c r="ER364" i="1"/>
  <c r="EO364" i="1"/>
  <c r="EL270" i="1"/>
  <c r="EL273" i="1"/>
  <c r="EL276" i="1"/>
  <c r="EL279" i="1"/>
  <c r="EL364" i="1"/>
  <c r="EI364" i="1"/>
  <c r="EF364" i="1"/>
  <c r="EC364" i="1"/>
  <c r="DZ364" i="1"/>
  <c r="DW364" i="1"/>
  <c r="DT364" i="1"/>
  <c r="DQ364" i="1"/>
  <c r="DN364" i="1"/>
  <c r="DK364" i="1"/>
  <c r="GK363" i="1"/>
  <c r="GH363" i="1"/>
  <c r="GE363" i="1"/>
  <c r="GB363" i="1"/>
  <c r="FY363" i="1"/>
  <c r="FV363" i="1"/>
  <c r="FS363" i="1"/>
  <c r="FP363" i="1"/>
  <c r="FM363" i="1"/>
  <c r="FJ363" i="1"/>
  <c r="FG363" i="1"/>
  <c r="FD363" i="1"/>
  <c r="FA363" i="1"/>
  <c r="EX363" i="1"/>
  <c r="EU363" i="1"/>
  <c r="ER363" i="1"/>
  <c r="EO363" i="1"/>
  <c r="EL269" i="1"/>
  <c r="EL272" i="1"/>
  <c r="EL275" i="1"/>
  <c r="EL278" i="1"/>
  <c r="EL363" i="1"/>
  <c r="EI363" i="1"/>
  <c r="EF363" i="1"/>
  <c r="EC363" i="1"/>
  <c r="DZ363" i="1"/>
  <c r="DW363" i="1"/>
  <c r="DT363" i="1"/>
  <c r="DQ363" i="1"/>
  <c r="DN363" i="1"/>
  <c r="DK363" i="1"/>
  <c r="GK362" i="1"/>
  <c r="GH362" i="1"/>
  <c r="GE362" i="1"/>
  <c r="GB362" i="1"/>
  <c r="FY362" i="1"/>
  <c r="FV362" i="1"/>
  <c r="FS362" i="1"/>
  <c r="FP362" i="1"/>
  <c r="FM362" i="1"/>
  <c r="FJ362" i="1"/>
  <c r="FG362" i="1"/>
  <c r="FD362" i="1"/>
  <c r="FA362" i="1"/>
  <c r="EX362" i="1"/>
  <c r="EU362" i="1"/>
  <c r="ER362" i="1"/>
  <c r="EO362" i="1"/>
  <c r="EL268" i="1"/>
  <c r="EL271" i="1"/>
  <c r="EL274" i="1"/>
  <c r="EL277" i="1"/>
  <c r="EL362" i="1"/>
  <c r="EI362" i="1"/>
  <c r="EF362" i="1"/>
  <c r="EC362" i="1"/>
  <c r="DZ362" i="1"/>
  <c r="DW362" i="1"/>
  <c r="DT362" i="1"/>
  <c r="DQ362" i="1"/>
  <c r="DN362" i="1"/>
  <c r="DK362" i="1"/>
  <c r="GK361" i="1"/>
  <c r="GH361" i="1"/>
  <c r="GE361" i="1"/>
  <c r="GB361" i="1"/>
  <c r="FY361" i="1"/>
  <c r="FV270" i="1"/>
  <c r="FV273" i="1"/>
  <c r="FV276" i="1"/>
  <c r="FV361" i="1"/>
  <c r="FS361" i="1"/>
  <c r="FP361" i="1"/>
  <c r="FM361" i="1"/>
  <c r="FJ361" i="1"/>
  <c r="FG361" i="1"/>
  <c r="FD361" i="1"/>
  <c r="FA361" i="1"/>
  <c r="EX361" i="1"/>
  <c r="EU361" i="1"/>
  <c r="ER361" i="1"/>
  <c r="EO361" i="1"/>
  <c r="EL361" i="1"/>
  <c r="EI361" i="1"/>
  <c r="EF361" i="1"/>
  <c r="EC361" i="1"/>
  <c r="DZ361" i="1"/>
  <c r="DW361" i="1"/>
  <c r="DT361" i="1"/>
  <c r="DQ361" i="1"/>
  <c r="DN361" i="1"/>
  <c r="DK361" i="1"/>
  <c r="GK360" i="1"/>
  <c r="GH360" i="1"/>
  <c r="GE360" i="1"/>
  <c r="GB360" i="1"/>
  <c r="FY360" i="1"/>
  <c r="FV269" i="1"/>
  <c r="FV272" i="1"/>
  <c r="FV275" i="1"/>
  <c r="FV360" i="1"/>
  <c r="FS360" i="1"/>
  <c r="FP360" i="1"/>
  <c r="FM360" i="1"/>
  <c r="FJ360" i="1"/>
  <c r="FG360" i="1"/>
  <c r="FD360" i="1"/>
  <c r="FA360" i="1"/>
  <c r="EX360" i="1"/>
  <c r="EU360" i="1"/>
  <c r="ER360" i="1"/>
  <c r="EO360" i="1"/>
  <c r="EL360" i="1"/>
  <c r="EI360" i="1"/>
  <c r="EF360" i="1"/>
  <c r="EC360" i="1"/>
  <c r="DZ360" i="1"/>
  <c r="DW360" i="1"/>
  <c r="DT360" i="1"/>
  <c r="DQ360" i="1"/>
  <c r="DN360" i="1"/>
  <c r="DK360" i="1"/>
  <c r="GK359" i="1"/>
  <c r="GH359" i="1"/>
  <c r="GE359" i="1"/>
  <c r="GB359" i="1"/>
  <c r="FY359" i="1"/>
  <c r="FV268" i="1"/>
  <c r="FV271" i="1"/>
  <c r="FV274" i="1"/>
  <c r="FV359" i="1"/>
  <c r="FS359" i="1"/>
  <c r="FP359" i="1"/>
  <c r="FM359" i="1"/>
  <c r="FJ359" i="1"/>
  <c r="FG359" i="1"/>
  <c r="FD359" i="1"/>
  <c r="FA359" i="1"/>
  <c r="EX359" i="1"/>
  <c r="EU359" i="1"/>
  <c r="ER359" i="1"/>
  <c r="EO359" i="1"/>
  <c r="EL359" i="1"/>
  <c r="EI359" i="1"/>
  <c r="EF359" i="1"/>
  <c r="EC359" i="1"/>
  <c r="DZ359" i="1"/>
  <c r="DW359" i="1"/>
  <c r="DT359" i="1"/>
  <c r="DQ359" i="1"/>
  <c r="DN359" i="1"/>
  <c r="DK359" i="1"/>
  <c r="GK358" i="1"/>
  <c r="GH358" i="1"/>
  <c r="GE358" i="1"/>
  <c r="GB358" i="1"/>
  <c r="FY358" i="1"/>
  <c r="FV358" i="1"/>
  <c r="FS358" i="1"/>
  <c r="FP358" i="1"/>
  <c r="FM358" i="1"/>
  <c r="FJ358" i="1"/>
  <c r="FG358" i="1"/>
  <c r="FD358" i="1"/>
  <c r="FA358" i="1"/>
  <c r="EX358" i="1"/>
  <c r="EU358" i="1"/>
  <c r="ER358" i="1"/>
  <c r="EO358" i="1"/>
  <c r="EL358" i="1"/>
  <c r="EI358" i="1"/>
  <c r="EF358" i="1"/>
  <c r="EC358" i="1"/>
  <c r="DZ358" i="1"/>
  <c r="DW358" i="1"/>
  <c r="DT358" i="1"/>
  <c r="DQ358" i="1"/>
  <c r="DN358" i="1"/>
  <c r="DK358" i="1"/>
  <c r="GK357" i="1"/>
  <c r="GH357" i="1"/>
  <c r="GE357" i="1"/>
  <c r="GB357" i="1"/>
  <c r="FY357" i="1"/>
  <c r="FV357" i="1"/>
  <c r="FS357" i="1"/>
  <c r="FP357" i="1"/>
  <c r="FM357" i="1"/>
  <c r="FJ357" i="1"/>
  <c r="FG357" i="1"/>
  <c r="FD357" i="1"/>
  <c r="FA357" i="1"/>
  <c r="EX357" i="1"/>
  <c r="EU357" i="1"/>
  <c r="ER357" i="1"/>
  <c r="EO357" i="1"/>
  <c r="EL357" i="1"/>
  <c r="EI357" i="1"/>
  <c r="EF357" i="1"/>
  <c r="EC357" i="1"/>
  <c r="DZ357" i="1"/>
  <c r="DW357" i="1"/>
  <c r="DT357" i="1"/>
  <c r="DQ357" i="1"/>
  <c r="DN357" i="1"/>
  <c r="DK357" i="1"/>
  <c r="GK356" i="1"/>
  <c r="GH356" i="1"/>
  <c r="GE356" i="1"/>
  <c r="GB356" i="1"/>
  <c r="FY356" i="1"/>
  <c r="FV356" i="1"/>
  <c r="FS356" i="1"/>
  <c r="FP356" i="1"/>
  <c r="FM356" i="1"/>
  <c r="FJ356" i="1"/>
  <c r="FG356" i="1"/>
  <c r="FD356" i="1"/>
  <c r="FA356" i="1"/>
  <c r="EX356" i="1"/>
  <c r="EU356" i="1"/>
  <c r="ER356" i="1"/>
  <c r="EO356" i="1"/>
  <c r="EL356" i="1"/>
  <c r="EI356" i="1"/>
  <c r="EF356" i="1"/>
  <c r="EC356" i="1"/>
  <c r="DZ356" i="1"/>
  <c r="DW356" i="1"/>
  <c r="DT356" i="1"/>
  <c r="DQ356" i="1"/>
  <c r="DN356" i="1"/>
  <c r="DK356" i="1"/>
  <c r="GK355" i="1"/>
  <c r="GH355" i="1"/>
  <c r="GE355" i="1"/>
  <c r="GB355" i="1"/>
  <c r="FY355" i="1"/>
  <c r="FV355" i="1"/>
  <c r="FS355" i="1"/>
  <c r="FP355" i="1"/>
  <c r="FM355" i="1"/>
  <c r="FJ355" i="1"/>
  <c r="FG355" i="1"/>
  <c r="FD355" i="1"/>
  <c r="FA355" i="1"/>
  <c r="EX355" i="1"/>
  <c r="EU355" i="1"/>
  <c r="ER355" i="1"/>
  <c r="EO355" i="1"/>
  <c r="EL355" i="1"/>
  <c r="EI355" i="1"/>
  <c r="EF355" i="1"/>
  <c r="EC355" i="1"/>
  <c r="DZ355" i="1"/>
  <c r="DW355" i="1"/>
  <c r="DT355" i="1"/>
  <c r="DQ355" i="1"/>
  <c r="DN355" i="1"/>
  <c r="DK355" i="1"/>
  <c r="GK354" i="1"/>
  <c r="GH354" i="1"/>
  <c r="GE354" i="1"/>
  <c r="GB354" i="1"/>
  <c r="FY354" i="1"/>
  <c r="FV354" i="1"/>
  <c r="FS354" i="1"/>
  <c r="FP354" i="1"/>
  <c r="FM354" i="1"/>
  <c r="FJ354" i="1"/>
  <c r="FG354" i="1"/>
  <c r="FD354" i="1"/>
  <c r="FA354" i="1"/>
  <c r="EX354" i="1"/>
  <c r="EU354" i="1"/>
  <c r="ER354" i="1"/>
  <c r="EO354" i="1"/>
  <c r="EL354" i="1"/>
  <c r="EI354" i="1"/>
  <c r="EF354" i="1"/>
  <c r="EC354" i="1"/>
  <c r="DZ354" i="1"/>
  <c r="DW354" i="1"/>
  <c r="DT354" i="1"/>
  <c r="DQ354" i="1"/>
  <c r="DN354" i="1"/>
  <c r="DK354" i="1"/>
  <c r="GK353" i="1"/>
  <c r="GH353" i="1"/>
  <c r="GE353" i="1"/>
  <c r="GB353" i="1"/>
  <c r="FY353" i="1"/>
  <c r="FV353" i="1"/>
  <c r="FS353" i="1"/>
  <c r="FP353" i="1"/>
  <c r="FM353" i="1"/>
  <c r="FJ353" i="1"/>
  <c r="FG353" i="1"/>
  <c r="FD353" i="1"/>
  <c r="FA353" i="1"/>
  <c r="EX353" i="1"/>
  <c r="EU353" i="1"/>
  <c r="ER353" i="1"/>
  <c r="EO353" i="1"/>
  <c r="EL353" i="1"/>
  <c r="EI353" i="1"/>
  <c r="EF353" i="1"/>
  <c r="EC353" i="1"/>
  <c r="DZ353" i="1"/>
  <c r="DW353" i="1"/>
  <c r="DT353" i="1"/>
  <c r="DQ353" i="1"/>
  <c r="DN353" i="1"/>
  <c r="DK353" i="1"/>
  <c r="GO142" i="1"/>
  <c r="GO169" i="1"/>
  <c r="GO196" i="1"/>
  <c r="GU142" i="1"/>
  <c r="GU169" i="1"/>
  <c r="GK352" i="1"/>
  <c r="GH352" i="1"/>
  <c r="GE352" i="1"/>
  <c r="GB352" i="1"/>
  <c r="FY352" i="1"/>
  <c r="FV352" i="1"/>
  <c r="FS352" i="1"/>
  <c r="FP352" i="1"/>
  <c r="FM352" i="1"/>
  <c r="FJ352" i="1"/>
  <c r="FG352" i="1"/>
  <c r="FD352" i="1"/>
  <c r="FA352" i="1"/>
  <c r="EX352" i="1"/>
  <c r="EU352" i="1"/>
  <c r="ER352" i="1"/>
  <c r="EO352" i="1"/>
  <c r="EL352" i="1"/>
  <c r="EI352" i="1"/>
  <c r="EF352" i="1"/>
  <c r="EC352" i="1"/>
  <c r="DZ352" i="1"/>
  <c r="DW352" i="1"/>
  <c r="DT352" i="1"/>
  <c r="DQ352" i="1"/>
  <c r="DN352" i="1"/>
  <c r="DK352" i="1"/>
  <c r="GO141" i="1"/>
  <c r="GO168" i="1"/>
  <c r="GO195" i="1"/>
  <c r="GU141" i="1"/>
  <c r="GU168" i="1"/>
  <c r="GK351" i="1"/>
  <c r="GH351" i="1"/>
  <c r="GE351" i="1"/>
  <c r="GB351" i="1"/>
  <c r="FY351" i="1"/>
  <c r="FV351" i="1"/>
  <c r="FS351" i="1"/>
  <c r="FP351" i="1"/>
  <c r="FM351" i="1"/>
  <c r="FJ351" i="1"/>
  <c r="FG351" i="1"/>
  <c r="FD351" i="1"/>
  <c r="FA351" i="1"/>
  <c r="EX351" i="1"/>
  <c r="EU351" i="1"/>
  <c r="ER351" i="1"/>
  <c r="EO351" i="1"/>
  <c r="EL351" i="1"/>
  <c r="EI351" i="1"/>
  <c r="EF351" i="1"/>
  <c r="EC351" i="1"/>
  <c r="DZ351" i="1"/>
  <c r="DW351" i="1"/>
  <c r="DT351" i="1"/>
  <c r="DQ351" i="1"/>
  <c r="DN351" i="1"/>
  <c r="DK351" i="1"/>
  <c r="GO140" i="1"/>
  <c r="GO167" i="1"/>
  <c r="GO194" i="1"/>
  <c r="GU140" i="1"/>
  <c r="GU167" i="1"/>
  <c r="GK350" i="1"/>
  <c r="GH350" i="1"/>
  <c r="GE350" i="1"/>
  <c r="GB350" i="1"/>
  <c r="FY350" i="1"/>
  <c r="FV350" i="1"/>
  <c r="FS350" i="1"/>
  <c r="FP350" i="1"/>
  <c r="FM350" i="1"/>
  <c r="FJ350" i="1"/>
  <c r="FG350" i="1"/>
  <c r="FD350" i="1"/>
  <c r="FA350" i="1"/>
  <c r="EX350" i="1"/>
  <c r="EU350" i="1"/>
  <c r="ER350" i="1"/>
  <c r="EO350" i="1"/>
  <c r="EL350" i="1"/>
  <c r="EI350" i="1"/>
  <c r="EF350" i="1"/>
  <c r="EC350" i="1"/>
  <c r="DZ350" i="1"/>
  <c r="DW350" i="1"/>
  <c r="DT350" i="1"/>
  <c r="DQ350" i="1"/>
  <c r="DN350" i="1"/>
  <c r="DK350" i="1"/>
  <c r="FM240" i="1"/>
  <c r="FP240" i="1"/>
  <c r="FS240" i="1"/>
  <c r="FV240" i="1"/>
  <c r="FY240" i="1"/>
  <c r="GB240" i="1"/>
  <c r="GE240" i="1"/>
  <c r="GH240" i="1"/>
  <c r="GK240" i="1"/>
  <c r="GK243" i="1"/>
  <c r="GK246" i="1"/>
  <c r="GK249" i="1"/>
  <c r="GK252" i="1"/>
  <c r="GK255" i="1"/>
  <c r="GK258" i="1"/>
  <c r="GK261" i="1"/>
  <c r="GK264" i="1"/>
  <c r="GK349" i="1"/>
  <c r="GH349" i="1"/>
  <c r="GE349" i="1"/>
  <c r="GB349" i="1"/>
  <c r="FY349" i="1"/>
  <c r="FV349" i="1"/>
  <c r="FS349" i="1"/>
  <c r="FP349" i="1"/>
  <c r="FM349" i="1"/>
  <c r="FJ349" i="1"/>
  <c r="FG349" i="1"/>
  <c r="FD349" i="1"/>
  <c r="FA349" i="1"/>
  <c r="EX349" i="1"/>
  <c r="EU349" i="1"/>
  <c r="ER349" i="1"/>
  <c r="EO349" i="1"/>
  <c r="EL349" i="1"/>
  <c r="EI349" i="1"/>
  <c r="EF349" i="1"/>
  <c r="EC349" i="1"/>
  <c r="DZ349" i="1"/>
  <c r="DW349" i="1"/>
  <c r="DT349" i="1"/>
  <c r="DQ349" i="1"/>
  <c r="DN349" i="1"/>
  <c r="DK349" i="1"/>
  <c r="FM239" i="1"/>
  <c r="FP239" i="1"/>
  <c r="FS239" i="1"/>
  <c r="FV239" i="1"/>
  <c r="FY239" i="1"/>
  <c r="GB239" i="1"/>
  <c r="GE239" i="1"/>
  <c r="GH239" i="1"/>
  <c r="GK239" i="1"/>
  <c r="GK242" i="1"/>
  <c r="GK245" i="1"/>
  <c r="GK248" i="1"/>
  <c r="GK251" i="1"/>
  <c r="GK254" i="1"/>
  <c r="GK257" i="1"/>
  <c r="GK260" i="1"/>
  <c r="GK263" i="1"/>
  <c r="GK348" i="1"/>
  <c r="GH348" i="1"/>
  <c r="GE348" i="1"/>
  <c r="GB348" i="1"/>
  <c r="FY348" i="1"/>
  <c r="FV348" i="1"/>
  <c r="FS348" i="1"/>
  <c r="FP348" i="1"/>
  <c r="FM348" i="1"/>
  <c r="FJ348" i="1"/>
  <c r="FG348" i="1"/>
  <c r="FD348" i="1"/>
  <c r="FA348" i="1"/>
  <c r="EX348" i="1"/>
  <c r="EU348" i="1"/>
  <c r="ER348" i="1"/>
  <c r="EO348" i="1"/>
  <c r="EL348" i="1"/>
  <c r="EI348" i="1"/>
  <c r="EF348" i="1"/>
  <c r="EC348" i="1"/>
  <c r="DZ348" i="1"/>
  <c r="DW348" i="1"/>
  <c r="DT348" i="1"/>
  <c r="DQ348" i="1"/>
  <c r="DN348" i="1"/>
  <c r="DK348" i="1"/>
  <c r="FM238" i="1"/>
  <c r="FP238" i="1"/>
  <c r="FS238" i="1"/>
  <c r="FV238" i="1"/>
  <c r="FY238" i="1"/>
  <c r="GB238" i="1"/>
  <c r="GE238" i="1"/>
  <c r="GH238" i="1"/>
  <c r="GK238" i="1"/>
  <c r="GK241" i="1"/>
  <c r="GK244" i="1"/>
  <c r="GK247" i="1"/>
  <c r="GK250" i="1"/>
  <c r="GK253" i="1"/>
  <c r="GK256" i="1"/>
  <c r="GK259" i="1"/>
  <c r="GK262" i="1"/>
  <c r="GK347" i="1"/>
  <c r="GH347" i="1"/>
  <c r="GE347" i="1"/>
  <c r="GB347" i="1"/>
  <c r="FY347" i="1"/>
  <c r="FV347" i="1"/>
  <c r="FS347" i="1"/>
  <c r="FP347" i="1"/>
  <c r="FM347" i="1"/>
  <c r="FJ347" i="1"/>
  <c r="FG347" i="1"/>
  <c r="FD347" i="1"/>
  <c r="FA347" i="1"/>
  <c r="EX347" i="1"/>
  <c r="EU347" i="1"/>
  <c r="ER347" i="1"/>
  <c r="EO347" i="1"/>
  <c r="EL347" i="1"/>
  <c r="EI347" i="1"/>
  <c r="EF347" i="1"/>
  <c r="EC347" i="1"/>
  <c r="DZ347" i="1"/>
  <c r="DW347" i="1"/>
  <c r="DT347" i="1"/>
  <c r="DQ347" i="1"/>
  <c r="DN347" i="1"/>
  <c r="DK347" i="1"/>
  <c r="GK346" i="1"/>
  <c r="GH346" i="1"/>
  <c r="GE346" i="1"/>
  <c r="GB346" i="1"/>
  <c r="FY346" i="1"/>
  <c r="FV346" i="1"/>
  <c r="FS346" i="1"/>
  <c r="FP346" i="1"/>
  <c r="FM346" i="1"/>
  <c r="FJ346" i="1"/>
  <c r="FG346" i="1"/>
  <c r="FD346" i="1"/>
  <c r="FA346" i="1"/>
  <c r="EX346" i="1"/>
  <c r="EU346" i="1"/>
  <c r="ER346" i="1"/>
  <c r="EO346" i="1"/>
  <c r="EL346" i="1"/>
  <c r="EI346" i="1"/>
  <c r="EF346" i="1"/>
  <c r="EC346" i="1"/>
  <c r="DZ346" i="1"/>
  <c r="DW346" i="1"/>
  <c r="DT346" i="1"/>
  <c r="DQ346" i="1"/>
  <c r="DN346" i="1"/>
  <c r="DK346" i="1"/>
  <c r="GK345" i="1"/>
  <c r="GH345" i="1"/>
  <c r="GE345" i="1"/>
  <c r="GB345" i="1"/>
  <c r="FY345" i="1"/>
  <c r="FV345" i="1"/>
  <c r="FS345" i="1"/>
  <c r="FP345" i="1"/>
  <c r="FM345" i="1"/>
  <c r="FJ345" i="1"/>
  <c r="FG345" i="1"/>
  <c r="FD345" i="1"/>
  <c r="FA345" i="1"/>
  <c r="EX345" i="1"/>
  <c r="EU345" i="1"/>
  <c r="ER345" i="1"/>
  <c r="EO345" i="1"/>
  <c r="EL345" i="1"/>
  <c r="EI345" i="1"/>
  <c r="EF345" i="1"/>
  <c r="EC345" i="1"/>
  <c r="DZ345" i="1"/>
  <c r="DW345" i="1"/>
  <c r="DT345" i="1"/>
  <c r="DQ345" i="1"/>
  <c r="DN345" i="1"/>
  <c r="DK345" i="1"/>
  <c r="GK344" i="1"/>
  <c r="GH344" i="1"/>
  <c r="GE344" i="1"/>
  <c r="GB344" i="1"/>
  <c r="FY344" i="1"/>
  <c r="FV344" i="1"/>
  <c r="FS344" i="1"/>
  <c r="FP344" i="1"/>
  <c r="FM344" i="1"/>
  <c r="FJ344" i="1"/>
  <c r="FG344" i="1"/>
  <c r="FD344" i="1"/>
  <c r="FA344" i="1"/>
  <c r="EX344" i="1"/>
  <c r="EU344" i="1"/>
  <c r="ER344" i="1"/>
  <c r="EO344" i="1"/>
  <c r="EL344" i="1"/>
  <c r="EI344" i="1"/>
  <c r="EF344" i="1"/>
  <c r="EC344" i="1"/>
  <c r="DZ344" i="1"/>
  <c r="DW344" i="1"/>
  <c r="DT344" i="1"/>
  <c r="DQ344" i="1"/>
  <c r="DN344" i="1"/>
  <c r="DK344" i="1"/>
  <c r="GK343" i="1"/>
  <c r="GH343" i="1"/>
  <c r="GE343" i="1"/>
  <c r="GB343" i="1"/>
  <c r="FY343" i="1"/>
  <c r="FV343" i="1"/>
  <c r="FS343" i="1"/>
  <c r="FP343" i="1"/>
  <c r="FM343" i="1"/>
  <c r="FJ343" i="1"/>
  <c r="EL240" i="1"/>
  <c r="EO240" i="1"/>
  <c r="ER240" i="1"/>
  <c r="EU240" i="1"/>
  <c r="EX240" i="1"/>
  <c r="FA240" i="1"/>
  <c r="FD240" i="1"/>
  <c r="FG240" i="1"/>
  <c r="FG243" i="1"/>
  <c r="FG246" i="1"/>
  <c r="FG249" i="1"/>
  <c r="FG252" i="1"/>
  <c r="FG255" i="1"/>
  <c r="FG258" i="1"/>
  <c r="FG343" i="1"/>
  <c r="FD343" i="1"/>
  <c r="FA343" i="1"/>
  <c r="EX343" i="1"/>
  <c r="EU343" i="1"/>
  <c r="ER343" i="1"/>
  <c r="EO343" i="1"/>
  <c r="EL343" i="1"/>
  <c r="EI343" i="1"/>
  <c r="EF343" i="1"/>
  <c r="EC343" i="1"/>
  <c r="DZ343" i="1"/>
  <c r="DW343" i="1"/>
  <c r="DT343" i="1"/>
  <c r="DQ343" i="1"/>
  <c r="DK240" i="1"/>
  <c r="DN240" i="1"/>
  <c r="DN243" i="1"/>
  <c r="DN246" i="1"/>
  <c r="DN249" i="1"/>
  <c r="DN252" i="1"/>
  <c r="DN255" i="1"/>
  <c r="DN258" i="1"/>
  <c r="DN343" i="1"/>
  <c r="DK343" i="1"/>
  <c r="GK342" i="1"/>
  <c r="GH342" i="1"/>
  <c r="GE342" i="1"/>
  <c r="GB342" i="1"/>
  <c r="FY342" i="1"/>
  <c r="FV342" i="1"/>
  <c r="FS342" i="1"/>
  <c r="FP342" i="1"/>
  <c r="FM342" i="1"/>
  <c r="FJ342" i="1"/>
  <c r="EL239" i="1"/>
  <c r="EO239" i="1"/>
  <c r="ER239" i="1"/>
  <c r="EU239" i="1"/>
  <c r="EX239" i="1"/>
  <c r="FA239" i="1"/>
  <c r="FD239" i="1"/>
  <c r="FG239" i="1"/>
  <c r="FG242" i="1"/>
  <c r="FG245" i="1"/>
  <c r="FG248" i="1"/>
  <c r="FG251" i="1"/>
  <c r="FG254" i="1"/>
  <c r="FG257" i="1"/>
  <c r="FG342" i="1"/>
  <c r="FD342" i="1"/>
  <c r="FA342" i="1"/>
  <c r="EX342" i="1"/>
  <c r="EU342" i="1"/>
  <c r="ER342" i="1"/>
  <c r="EO342" i="1"/>
  <c r="EL342" i="1"/>
  <c r="EI342" i="1"/>
  <c r="EF342" i="1"/>
  <c r="EC342" i="1"/>
  <c r="DZ342" i="1"/>
  <c r="DW342" i="1"/>
  <c r="DT342" i="1"/>
  <c r="DQ342" i="1"/>
  <c r="DK239" i="1"/>
  <c r="DN239" i="1"/>
  <c r="DN242" i="1"/>
  <c r="DN245" i="1"/>
  <c r="DN248" i="1"/>
  <c r="DN251" i="1"/>
  <c r="DN254" i="1"/>
  <c r="DN257" i="1"/>
  <c r="DN342" i="1"/>
  <c r="DK342" i="1"/>
  <c r="GK341" i="1"/>
  <c r="GH341" i="1"/>
  <c r="GE341" i="1"/>
  <c r="GB341" i="1"/>
  <c r="FY341" i="1"/>
  <c r="FV341" i="1"/>
  <c r="FS341" i="1"/>
  <c r="FP341" i="1"/>
  <c r="FM341" i="1"/>
  <c r="FJ341" i="1"/>
  <c r="EL238" i="1"/>
  <c r="EO238" i="1"/>
  <c r="ER238" i="1"/>
  <c r="EU238" i="1"/>
  <c r="EX238" i="1"/>
  <c r="FA238" i="1"/>
  <c r="FD238" i="1"/>
  <c r="FG238" i="1"/>
  <c r="FG241" i="1"/>
  <c r="FG244" i="1"/>
  <c r="FG247" i="1"/>
  <c r="FG250" i="1"/>
  <c r="FG253" i="1"/>
  <c r="FG256" i="1"/>
  <c r="FG341" i="1"/>
  <c r="FD341" i="1"/>
  <c r="FA341" i="1"/>
  <c r="EX341" i="1"/>
  <c r="EU341" i="1"/>
  <c r="ER341" i="1"/>
  <c r="EO341" i="1"/>
  <c r="EL341" i="1"/>
  <c r="EI341" i="1"/>
  <c r="EF341" i="1"/>
  <c r="EC341" i="1"/>
  <c r="DZ341" i="1"/>
  <c r="DW341" i="1"/>
  <c r="DT341" i="1"/>
  <c r="DQ341" i="1"/>
  <c r="DK238" i="1"/>
  <c r="DN238" i="1"/>
  <c r="DN241" i="1"/>
  <c r="DN244" i="1"/>
  <c r="DN247" i="1"/>
  <c r="DN250" i="1"/>
  <c r="DN253" i="1"/>
  <c r="DN256" i="1"/>
  <c r="DN341" i="1"/>
  <c r="DK341" i="1"/>
  <c r="GK340" i="1"/>
  <c r="GH243" i="1"/>
  <c r="GH246" i="1"/>
  <c r="GH249" i="1"/>
  <c r="GH252" i="1"/>
  <c r="GH255" i="1"/>
  <c r="GH340" i="1"/>
  <c r="GE340" i="1"/>
  <c r="GB340" i="1"/>
  <c r="FY340" i="1"/>
  <c r="FV340" i="1"/>
  <c r="FS340" i="1"/>
  <c r="FP340" i="1"/>
  <c r="FM340" i="1"/>
  <c r="FJ340" i="1"/>
  <c r="FG340" i="1"/>
  <c r="FD243" i="1"/>
  <c r="FD246" i="1"/>
  <c r="FD249" i="1"/>
  <c r="FD252" i="1"/>
  <c r="FD255" i="1"/>
  <c r="FD340" i="1"/>
  <c r="FA340" i="1"/>
  <c r="EX340" i="1"/>
  <c r="EU340" i="1"/>
  <c r="ER340" i="1"/>
  <c r="EO340" i="1"/>
  <c r="EL340" i="1"/>
  <c r="EI340" i="1"/>
  <c r="EF340" i="1"/>
  <c r="EC340" i="1"/>
  <c r="DZ340" i="1"/>
  <c r="DW340" i="1"/>
  <c r="DT340" i="1"/>
  <c r="DQ340" i="1"/>
  <c r="DN340" i="1"/>
  <c r="DK243" i="1"/>
  <c r="DK246" i="1"/>
  <c r="DK249" i="1"/>
  <c r="DK252" i="1"/>
  <c r="DK255" i="1"/>
  <c r="DK340" i="1"/>
  <c r="GK339" i="1"/>
  <c r="GH242" i="1"/>
  <c r="GH245" i="1"/>
  <c r="GH248" i="1"/>
  <c r="GH251" i="1"/>
  <c r="GH254" i="1"/>
  <c r="GH339" i="1"/>
  <c r="GE339" i="1"/>
  <c r="GB339" i="1"/>
  <c r="FY339" i="1"/>
  <c r="FV339" i="1"/>
  <c r="FS339" i="1"/>
  <c r="FP339" i="1"/>
  <c r="FM339" i="1"/>
  <c r="FJ339" i="1"/>
  <c r="FG339" i="1"/>
  <c r="FD242" i="1"/>
  <c r="FD245" i="1"/>
  <c r="FD248" i="1"/>
  <c r="FD251" i="1"/>
  <c r="FD254" i="1"/>
  <c r="FD339" i="1"/>
  <c r="FA339" i="1"/>
  <c r="EX339" i="1"/>
  <c r="EU339" i="1"/>
  <c r="ER339" i="1"/>
  <c r="EO339" i="1"/>
  <c r="EL339" i="1"/>
  <c r="EI339" i="1"/>
  <c r="EF339" i="1"/>
  <c r="EC339" i="1"/>
  <c r="DZ339" i="1"/>
  <c r="DW339" i="1"/>
  <c r="DT339" i="1"/>
  <c r="DQ339" i="1"/>
  <c r="DN339" i="1"/>
  <c r="DK242" i="1"/>
  <c r="DK245" i="1"/>
  <c r="DK248" i="1"/>
  <c r="DK251" i="1"/>
  <c r="DK254" i="1"/>
  <c r="DK339" i="1"/>
  <c r="GK338" i="1"/>
  <c r="GH241" i="1"/>
  <c r="GH244" i="1"/>
  <c r="GH247" i="1"/>
  <c r="GH250" i="1"/>
  <c r="GH253" i="1"/>
  <c r="GH338" i="1"/>
  <c r="GE338" i="1"/>
  <c r="GB338" i="1"/>
  <c r="FY338" i="1"/>
  <c r="FV338" i="1"/>
  <c r="FS338" i="1"/>
  <c r="FP338" i="1"/>
  <c r="FM338" i="1"/>
  <c r="FJ338" i="1"/>
  <c r="FG338" i="1"/>
  <c r="FD241" i="1"/>
  <c r="FD244" i="1"/>
  <c r="FD247" i="1"/>
  <c r="FD250" i="1"/>
  <c r="FD253" i="1"/>
  <c r="FD338" i="1"/>
  <c r="FA338" i="1"/>
  <c r="EX338" i="1"/>
  <c r="EU338" i="1"/>
  <c r="ER338" i="1"/>
  <c r="EO338" i="1"/>
  <c r="EL338" i="1"/>
  <c r="EI338" i="1"/>
  <c r="EF338" i="1"/>
  <c r="EC338" i="1"/>
  <c r="DZ338" i="1"/>
  <c r="DW338" i="1"/>
  <c r="DT338" i="1"/>
  <c r="DQ338" i="1"/>
  <c r="DN338" i="1"/>
  <c r="DK241" i="1"/>
  <c r="DK244" i="1"/>
  <c r="DK247" i="1"/>
  <c r="DK250" i="1"/>
  <c r="DK253" i="1"/>
  <c r="DK338" i="1"/>
  <c r="GK337" i="1"/>
  <c r="GH337" i="1"/>
  <c r="GE243" i="1"/>
  <c r="GE246" i="1"/>
  <c r="GE249" i="1"/>
  <c r="GE252" i="1"/>
  <c r="GE337" i="1"/>
  <c r="GB337" i="1"/>
  <c r="FY337" i="1"/>
  <c r="FV337" i="1"/>
  <c r="FS337" i="1"/>
  <c r="FP337" i="1"/>
  <c r="FM337" i="1"/>
  <c r="FJ337" i="1"/>
  <c r="FG337" i="1"/>
  <c r="FD337" i="1"/>
  <c r="FA243" i="1"/>
  <c r="FA246" i="1"/>
  <c r="FA249" i="1"/>
  <c r="FA252" i="1"/>
  <c r="FA337" i="1"/>
  <c r="EX243" i="1"/>
  <c r="EX246" i="1"/>
  <c r="EX249" i="1"/>
  <c r="EX252" i="1"/>
  <c r="EX337" i="1"/>
  <c r="EU337" i="1"/>
  <c r="ER337" i="1"/>
  <c r="EO337" i="1"/>
  <c r="EL337" i="1"/>
  <c r="EI337" i="1"/>
  <c r="EF337" i="1"/>
  <c r="EC337" i="1"/>
  <c r="DZ337" i="1"/>
  <c r="DW337" i="1"/>
  <c r="DT337" i="1"/>
  <c r="DQ240" i="1"/>
  <c r="DQ243" i="1"/>
  <c r="DQ246" i="1"/>
  <c r="DQ249" i="1"/>
  <c r="DQ252" i="1"/>
  <c r="DQ337" i="1"/>
  <c r="DN337" i="1"/>
  <c r="DK337" i="1"/>
  <c r="GK336" i="1"/>
  <c r="GH336" i="1"/>
  <c r="GE242" i="1"/>
  <c r="GE245" i="1"/>
  <c r="GE248" i="1"/>
  <c r="GE251" i="1"/>
  <c r="GE336" i="1"/>
  <c r="GB336" i="1"/>
  <c r="FY336" i="1"/>
  <c r="FV336" i="1"/>
  <c r="FS336" i="1"/>
  <c r="FP336" i="1"/>
  <c r="FM336" i="1"/>
  <c r="FJ336" i="1"/>
  <c r="FG336" i="1"/>
  <c r="FD336" i="1"/>
  <c r="FA242" i="1"/>
  <c r="FA245" i="1"/>
  <c r="FA248" i="1"/>
  <c r="FA251" i="1"/>
  <c r="FA336" i="1"/>
  <c r="EX242" i="1"/>
  <c r="EX245" i="1"/>
  <c r="EX248" i="1"/>
  <c r="EX251" i="1"/>
  <c r="EX336" i="1"/>
  <c r="EU336" i="1"/>
  <c r="ER336" i="1"/>
  <c r="EO336" i="1"/>
  <c r="EL336" i="1"/>
  <c r="EI336" i="1"/>
  <c r="EF336" i="1"/>
  <c r="EC336" i="1"/>
  <c r="DZ336" i="1"/>
  <c r="DW336" i="1"/>
  <c r="DT336" i="1"/>
  <c r="DQ239" i="1"/>
  <c r="DQ242" i="1"/>
  <c r="DQ245" i="1"/>
  <c r="DQ248" i="1"/>
  <c r="DQ251" i="1"/>
  <c r="DQ336" i="1"/>
  <c r="DN336" i="1"/>
  <c r="DK336" i="1"/>
  <c r="GK335" i="1"/>
  <c r="GH335" i="1"/>
  <c r="GE241" i="1"/>
  <c r="GE244" i="1"/>
  <c r="GE247" i="1"/>
  <c r="GE250" i="1"/>
  <c r="GE335" i="1"/>
  <c r="GB335" i="1"/>
  <c r="FY335" i="1"/>
  <c r="FV335" i="1"/>
  <c r="FS335" i="1"/>
  <c r="FP335" i="1"/>
  <c r="FM335" i="1"/>
  <c r="FJ335" i="1"/>
  <c r="FG335" i="1"/>
  <c r="FD335" i="1"/>
  <c r="FA241" i="1"/>
  <c r="FA244" i="1"/>
  <c r="FA247" i="1"/>
  <c r="FA250" i="1"/>
  <c r="FA335" i="1"/>
  <c r="EX241" i="1"/>
  <c r="EX244" i="1"/>
  <c r="EX247" i="1"/>
  <c r="EX250" i="1"/>
  <c r="EX335" i="1"/>
  <c r="EU335" i="1"/>
  <c r="ER335" i="1"/>
  <c r="EO335" i="1"/>
  <c r="EL335" i="1"/>
  <c r="EI335" i="1"/>
  <c r="EF335" i="1"/>
  <c r="EC335" i="1"/>
  <c r="DZ335" i="1"/>
  <c r="DW335" i="1"/>
  <c r="DT335" i="1"/>
  <c r="DQ238" i="1"/>
  <c r="DQ241" i="1"/>
  <c r="DQ244" i="1"/>
  <c r="DQ247" i="1"/>
  <c r="DQ250" i="1"/>
  <c r="DQ335" i="1"/>
  <c r="DN335" i="1"/>
  <c r="DK335" i="1"/>
  <c r="GK334" i="1"/>
  <c r="GH334" i="1"/>
  <c r="GE334" i="1"/>
  <c r="GB243" i="1"/>
  <c r="GB246" i="1"/>
  <c r="GB249" i="1"/>
  <c r="GB334" i="1"/>
  <c r="FY334" i="1"/>
  <c r="FV334" i="1"/>
  <c r="FS334" i="1"/>
  <c r="FP334" i="1"/>
  <c r="FM334" i="1"/>
  <c r="FJ334" i="1"/>
  <c r="FG334" i="1"/>
  <c r="FD334" i="1"/>
  <c r="FA334" i="1"/>
  <c r="EX334" i="1"/>
  <c r="EU243" i="1"/>
  <c r="EU246" i="1"/>
  <c r="EU249" i="1"/>
  <c r="EU334" i="1"/>
  <c r="ER243" i="1"/>
  <c r="ER246" i="1"/>
  <c r="ER249" i="1"/>
  <c r="ER334" i="1"/>
  <c r="EO334" i="1"/>
  <c r="EL334" i="1"/>
  <c r="EI334" i="1"/>
  <c r="EF334" i="1"/>
  <c r="EC334" i="1"/>
  <c r="DZ334" i="1"/>
  <c r="DW334" i="1"/>
  <c r="DT240" i="1"/>
  <c r="DT243" i="1"/>
  <c r="DT246" i="1"/>
  <c r="DT249" i="1"/>
  <c r="DT334" i="1"/>
  <c r="DQ334" i="1"/>
  <c r="DN334" i="1"/>
  <c r="DK334" i="1"/>
  <c r="GK333" i="1"/>
  <c r="GH333" i="1"/>
  <c r="GE333" i="1"/>
  <c r="GB242" i="1"/>
  <c r="GB245" i="1"/>
  <c r="GB248" i="1"/>
  <c r="GB333" i="1"/>
  <c r="FY333" i="1"/>
  <c r="FV333" i="1"/>
  <c r="FS333" i="1"/>
  <c r="FP333" i="1"/>
  <c r="FM333" i="1"/>
  <c r="FJ333" i="1"/>
  <c r="FG333" i="1"/>
  <c r="FD333" i="1"/>
  <c r="FA333" i="1"/>
  <c r="EX333" i="1"/>
  <c r="EU242" i="1"/>
  <c r="EU245" i="1"/>
  <c r="EU248" i="1"/>
  <c r="EU333" i="1"/>
  <c r="ER242" i="1"/>
  <c r="ER245" i="1"/>
  <c r="ER248" i="1"/>
  <c r="ER333" i="1"/>
  <c r="EO333" i="1"/>
  <c r="EL333" i="1"/>
  <c r="EI333" i="1"/>
  <c r="EF333" i="1"/>
  <c r="EC333" i="1"/>
  <c r="DZ333" i="1"/>
  <c r="DW333" i="1"/>
  <c r="DT239" i="1"/>
  <c r="DT242" i="1"/>
  <c r="DT245" i="1"/>
  <c r="DT248" i="1"/>
  <c r="DT333" i="1"/>
  <c r="DQ333" i="1"/>
  <c r="DN333" i="1"/>
  <c r="DK333" i="1"/>
  <c r="GK332" i="1"/>
  <c r="GH332" i="1"/>
  <c r="GE332" i="1"/>
  <c r="GB241" i="1"/>
  <c r="GB244" i="1"/>
  <c r="GB247" i="1"/>
  <c r="GB332" i="1"/>
  <c r="FY332" i="1"/>
  <c r="FV332" i="1"/>
  <c r="FS332" i="1"/>
  <c r="FP332" i="1"/>
  <c r="FM332" i="1"/>
  <c r="FJ332" i="1"/>
  <c r="FG332" i="1"/>
  <c r="FD332" i="1"/>
  <c r="FA332" i="1"/>
  <c r="EX332" i="1"/>
  <c r="EU241" i="1"/>
  <c r="EU244" i="1"/>
  <c r="EU247" i="1"/>
  <c r="EU332" i="1"/>
  <c r="ER241" i="1"/>
  <c r="ER244" i="1"/>
  <c r="ER247" i="1"/>
  <c r="ER332" i="1"/>
  <c r="EO332" i="1"/>
  <c r="EL332" i="1"/>
  <c r="EI332" i="1"/>
  <c r="EF332" i="1"/>
  <c r="EC332" i="1"/>
  <c r="DZ332" i="1"/>
  <c r="DW332" i="1"/>
  <c r="DT238" i="1"/>
  <c r="DT241" i="1"/>
  <c r="DT244" i="1"/>
  <c r="DT247" i="1"/>
  <c r="DT332" i="1"/>
  <c r="DQ332" i="1"/>
  <c r="DN332" i="1"/>
  <c r="DK332" i="1"/>
  <c r="GK331" i="1"/>
  <c r="GH331" i="1"/>
  <c r="GE331" i="1"/>
  <c r="GB331" i="1"/>
  <c r="FY243" i="1"/>
  <c r="FY246" i="1"/>
  <c r="FY331" i="1"/>
  <c r="FV243" i="1"/>
  <c r="FV246" i="1"/>
  <c r="FV331" i="1"/>
  <c r="FS331" i="1"/>
  <c r="FP331" i="1"/>
  <c r="FM331" i="1"/>
  <c r="FJ240" i="1"/>
  <c r="FJ243" i="1"/>
  <c r="FJ246" i="1"/>
  <c r="FJ331" i="1"/>
  <c r="FG331" i="1"/>
  <c r="FD331" i="1"/>
  <c r="FA331" i="1"/>
  <c r="EX331" i="1"/>
  <c r="EU331" i="1"/>
  <c r="ER331" i="1"/>
  <c r="EO243" i="1"/>
  <c r="EO246" i="1"/>
  <c r="EO331" i="1"/>
  <c r="EL331" i="1"/>
  <c r="EI331" i="1"/>
  <c r="EF331" i="1"/>
  <c r="EC331" i="1"/>
  <c r="DZ331" i="1"/>
  <c r="DW331" i="1"/>
  <c r="DT331" i="1"/>
  <c r="DQ331" i="1"/>
  <c r="DN331" i="1"/>
  <c r="DK331" i="1"/>
  <c r="GK330" i="1"/>
  <c r="GH330" i="1"/>
  <c r="GE330" i="1"/>
  <c r="GB330" i="1"/>
  <c r="FY242" i="1"/>
  <c r="FY245" i="1"/>
  <c r="FY330" i="1"/>
  <c r="FV242" i="1"/>
  <c r="FV245" i="1"/>
  <c r="FV330" i="1"/>
  <c r="FS330" i="1"/>
  <c r="FP330" i="1"/>
  <c r="FM330" i="1"/>
  <c r="FJ239" i="1"/>
  <c r="FJ242" i="1"/>
  <c r="FJ245" i="1"/>
  <c r="FJ330" i="1"/>
  <c r="FG330" i="1"/>
  <c r="FD330" i="1"/>
  <c r="FA330" i="1"/>
  <c r="EX330" i="1"/>
  <c r="EU330" i="1"/>
  <c r="ER330" i="1"/>
  <c r="EO242" i="1"/>
  <c r="EO245" i="1"/>
  <c r="EO330" i="1"/>
  <c r="EL330" i="1"/>
  <c r="EI330" i="1"/>
  <c r="EF330" i="1"/>
  <c r="EC330" i="1"/>
  <c r="DZ330" i="1"/>
  <c r="DW330" i="1"/>
  <c r="DT330" i="1"/>
  <c r="DQ330" i="1"/>
  <c r="DN330" i="1"/>
  <c r="DK330" i="1"/>
  <c r="GK329" i="1"/>
  <c r="GH329" i="1"/>
  <c r="GE329" i="1"/>
  <c r="GB329" i="1"/>
  <c r="FY241" i="1"/>
  <c r="FY244" i="1"/>
  <c r="FY329" i="1"/>
  <c r="FV241" i="1"/>
  <c r="FV244" i="1"/>
  <c r="FV329" i="1"/>
  <c r="FS329" i="1"/>
  <c r="FP329" i="1"/>
  <c r="FM329" i="1"/>
  <c r="FJ238" i="1"/>
  <c r="FJ241" i="1"/>
  <c r="FJ244" i="1"/>
  <c r="FJ329" i="1"/>
  <c r="FG329" i="1"/>
  <c r="FD329" i="1"/>
  <c r="FA329" i="1"/>
  <c r="EX329" i="1"/>
  <c r="EU329" i="1"/>
  <c r="ER329" i="1"/>
  <c r="EO241" i="1"/>
  <c r="EO244" i="1"/>
  <c r="EO329" i="1"/>
  <c r="EL329" i="1"/>
  <c r="EI329" i="1"/>
  <c r="EF329" i="1"/>
  <c r="EC329" i="1"/>
  <c r="DZ329" i="1"/>
  <c r="DW329" i="1"/>
  <c r="DT329" i="1"/>
  <c r="DQ329" i="1"/>
  <c r="DN329" i="1"/>
  <c r="DK329" i="1"/>
  <c r="GK328" i="1"/>
  <c r="GH328" i="1"/>
  <c r="GE328" i="1"/>
  <c r="GB328" i="1"/>
  <c r="FY328" i="1"/>
  <c r="FV328" i="1"/>
  <c r="FS328" i="1"/>
  <c r="FP328" i="1"/>
  <c r="FM328" i="1"/>
  <c r="FJ328" i="1"/>
  <c r="FG328" i="1"/>
  <c r="FD328" i="1"/>
  <c r="FA328" i="1"/>
  <c r="EX328" i="1"/>
  <c r="EU328" i="1"/>
  <c r="ER328" i="1"/>
  <c r="EO328" i="1"/>
  <c r="EL328" i="1"/>
  <c r="EI328" i="1"/>
  <c r="EF328" i="1"/>
  <c r="EC328" i="1"/>
  <c r="DZ328" i="1"/>
  <c r="DW240" i="1"/>
  <c r="DW243" i="1"/>
  <c r="DW328" i="1"/>
  <c r="DT328" i="1"/>
  <c r="DQ328" i="1"/>
  <c r="DN328" i="1"/>
  <c r="DK328" i="1"/>
  <c r="GK327" i="1"/>
  <c r="GH327" i="1"/>
  <c r="GE327" i="1"/>
  <c r="GB327" i="1"/>
  <c r="FY327" i="1"/>
  <c r="FV327" i="1"/>
  <c r="FS327" i="1"/>
  <c r="FP327" i="1"/>
  <c r="FM327" i="1"/>
  <c r="FJ327" i="1"/>
  <c r="FG327" i="1"/>
  <c r="FD327" i="1"/>
  <c r="FA327" i="1"/>
  <c r="EX327" i="1"/>
  <c r="EU327" i="1"/>
  <c r="ER327" i="1"/>
  <c r="EO327" i="1"/>
  <c r="EL327" i="1"/>
  <c r="EI327" i="1"/>
  <c r="EF327" i="1"/>
  <c r="EC327" i="1"/>
  <c r="DZ327" i="1"/>
  <c r="DW239" i="1"/>
  <c r="DW242" i="1"/>
  <c r="DW327" i="1"/>
  <c r="DT327" i="1"/>
  <c r="DQ327" i="1"/>
  <c r="DN327" i="1"/>
  <c r="DK327" i="1"/>
  <c r="GK326" i="1"/>
  <c r="GH326" i="1"/>
  <c r="GE326" i="1"/>
  <c r="GB326" i="1"/>
  <c r="FY326" i="1"/>
  <c r="FV326" i="1"/>
  <c r="FS326" i="1"/>
  <c r="FP326" i="1"/>
  <c r="FM326" i="1"/>
  <c r="FJ326" i="1"/>
  <c r="FG326" i="1"/>
  <c r="FD326" i="1"/>
  <c r="FA326" i="1"/>
  <c r="EX326" i="1"/>
  <c r="EU326" i="1"/>
  <c r="ER326" i="1"/>
  <c r="EO326" i="1"/>
  <c r="EL326" i="1"/>
  <c r="EI326" i="1"/>
  <c r="EF326" i="1"/>
  <c r="EC326" i="1"/>
  <c r="DZ326" i="1"/>
  <c r="DW238" i="1"/>
  <c r="DW241" i="1"/>
  <c r="DW326" i="1"/>
  <c r="DT326" i="1"/>
  <c r="DQ326" i="1"/>
  <c r="DN326" i="1"/>
  <c r="DK326" i="1"/>
  <c r="GK325" i="1"/>
  <c r="GH325" i="1"/>
  <c r="GE325" i="1"/>
  <c r="GB325" i="1"/>
  <c r="FY325" i="1"/>
  <c r="FV325" i="1"/>
  <c r="FS325" i="1"/>
  <c r="FP325" i="1"/>
  <c r="FM325" i="1"/>
  <c r="FJ325" i="1"/>
  <c r="FG325" i="1"/>
  <c r="FD325" i="1"/>
  <c r="FA325" i="1"/>
  <c r="EX325" i="1"/>
  <c r="EU325" i="1"/>
  <c r="ER325" i="1"/>
  <c r="EO325" i="1"/>
  <c r="EL325" i="1"/>
  <c r="EI325" i="1"/>
  <c r="EF325" i="1"/>
  <c r="EC325" i="1"/>
  <c r="DZ325" i="1"/>
  <c r="DW325" i="1"/>
  <c r="DT325" i="1"/>
  <c r="DQ325" i="1"/>
  <c r="DN325" i="1"/>
  <c r="DK325" i="1"/>
  <c r="GK324" i="1"/>
  <c r="GH324" i="1"/>
  <c r="GE324" i="1"/>
  <c r="GB324" i="1"/>
  <c r="FY324" i="1"/>
  <c r="FV324" i="1"/>
  <c r="FS324" i="1"/>
  <c r="FP324" i="1"/>
  <c r="FM324" i="1"/>
  <c r="FJ324" i="1"/>
  <c r="FG324" i="1"/>
  <c r="FD324" i="1"/>
  <c r="FA324" i="1"/>
  <c r="EX324" i="1"/>
  <c r="EU324" i="1"/>
  <c r="ER324" i="1"/>
  <c r="EO324" i="1"/>
  <c r="EL324" i="1"/>
  <c r="EI324" i="1"/>
  <c r="EF324" i="1"/>
  <c r="EC324" i="1"/>
  <c r="DZ324" i="1"/>
  <c r="DW324" i="1"/>
  <c r="DT324" i="1"/>
  <c r="DQ324" i="1"/>
  <c r="DN324" i="1"/>
  <c r="DK324" i="1"/>
  <c r="GK323" i="1"/>
  <c r="GH323" i="1"/>
  <c r="GE323" i="1"/>
  <c r="GB323" i="1"/>
  <c r="FY323" i="1"/>
  <c r="FV323" i="1"/>
  <c r="FS323" i="1"/>
  <c r="FP323" i="1"/>
  <c r="FM323" i="1"/>
  <c r="FJ323" i="1"/>
  <c r="FG323" i="1"/>
  <c r="FD323" i="1"/>
  <c r="FA323" i="1"/>
  <c r="EX323" i="1"/>
  <c r="EU323" i="1"/>
  <c r="ER323" i="1"/>
  <c r="EO323" i="1"/>
  <c r="EL323" i="1"/>
  <c r="EI323" i="1"/>
  <c r="EF323" i="1"/>
  <c r="EC323" i="1"/>
  <c r="DZ323" i="1"/>
  <c r="DW323" i="1"/>
  <c r="DT323" i="1"/>
  <c r="DQ323" i="1"/>
  <c r="DN323" i="1"/>
  <c r="DK323" i="1"/>
  <c r="FL294" i="1"/>
  <c r="FO294" i="1"/>
  <c r="FR294" i="1"/>
  <c r="FU294" i="1"/>
  <c r="FX294" i="1"/>
  <c r="GA294" i="1"/>
  <c r="GD294" i="1"/>
  <c r="GG294" i="1"/>
  <c r="GJ294" i="1"/>
  <c r="GJ297" i="1"/>
  <c r="GJ300" i="1"/>
  <c r="GJ303" i="1"/>
  <c r="GJ306" i="1"/>
  <c r="GJ309" i="1"/>
  <c r="GJ312" i="1"/>
  <c r="GJ315" i="1"/>
  <c r="GJ318" i="1"/>
  <c r="EH224" i="1"/>
  <c r="FI224" i="1"/>
  <c r="GJ224" i="1"/>
  <c r="EH230" i="1"/>
  <c r="FI230" i="1"/>
  <c r="GJ230" i="1"/>
  <c r="GN166" i="1"/>
  <c r="GN193" i="1"/>
  <c r="GN220" i="1"/>
  <c r="GT166" i="1"/>
  <c r="GT193" i="1"/>
  <c r="GT220" i="1"/>
  <c r="GJ403" i="1"/>
  <c r="GG297" i="1"/>
  <c r="GG300" i="1"/>
  <c r="GG303" i="1"/>
  <c r="GG306" i="1"/>
  <c r="GG309" i="1"/>
  <c r="GG312" i="1"/>
  <c r="GG315" i="1"/>
  <c r="GG318" i="1"/>
  <c r="EE224" i="1"/>
  <c r="FF224" i="1"/>
  <c r="GG224" i="1"/>
  <c r="EE230" i="1"/>
  <c r="FF230" i="1"/>
  <c r="GG230" i="1"/>
  <c r="GG403" i="1"/>
  <c r="GD297" i="1"/>
  <c r="GD300" i="1"/>
  <c r="GD303" i="1"/>
  <c r="GD306" i="1"/>
  <c r="GD309" i="1"/>
  <c r="GD312" i="1"/>
  <c r="GD315" i="1"/>
  <c r="GD318" i="1"/>
  <c r="EB224" i="1"/>
  <c r="FC224" i="1"/>
  <c r="GD224" i="1"/>
  <c r="EB230" i="1"/>
  <c r="FC230" i="1"/>
  <c r="GD230" i="1"/>
  <c r="GD403" i="1"/>
  <c r="GA297" i="1"/>
  <c r="GA300" i="1"/>
  <c r="GA303" i="1"/>
  <c r="GA306" i="1"/>
  <c r="GA309" i="1"/>
  <c r="GA312" i="1"/>
  <c r="GA315" i="1"/>
  <c r="GA318" i="1"/>
  <c r="DY224" i="1"/>
  <c r="EZ224" i="1"/>
  <c r="GA224" i="1"/>
  <c r="DY230" i="1"/>
  <c r="EZ230" i="1"/>
  <c r="GA230" i="1"/>
  <c r="GA403" i="1"/>
  <c r="FX297" i="1"/>
  <c r="FX300" i="1"/>
  <c r="FX303" i="1"/>
  <c r="FX306" i="1"/>
  <c r="FX309" i="1"/>
  <c r="FX312" i="1"/>
  <c r="FX315" i="1"/>
  <c r="FX318" i="1"/>
  <c r="DV224" i="1"/>
  <c r="EW224" i="1"/>
  <c r="FX224" i="1"/>
  <c r="DV230" i="1"/>
  <c r="EW230" i="1"/>
  <c r="FX230" i="1"/>
  <c r="FX403" i="1"/>
  <c r="FU297" i="1"/>
  <c r="FU300" i="1"/>
  <c r="FU303" i="1"/>
  <c r="FU306" i="1"/>
  <c r="FU309" i="1"/>
  <c r="FU312" i="1"/>
  <c r="FU315" i="1"/>
  <c r="FU318" i="1"/>
  <c r="DS224" i="1"/>
  <c r="ET224" i="1"/>
  <c r="FU224" i="1"/>
  <c r="DS230" i="1"/>
  <c r="ET230" i="1"/>
  <c r="FU230" i="1"/>
  <c r="FU403" i="1"/>
  <c r="FR297" i="1"/>
  <c r="FR300" i="1"/>
  <c r="FR303" i="1"/>
  <c r="FR306" i="1"/>
  <c r="FR309" i="1"/>
  <c r="FR312" i="1"/>
  <c r="FR315" i="1"/>
  <c r="FR318" i="1"/>
  <c r="DP224" i="1"/>
  <c r="EQ224" i="1"/>
  <c r="FR224" i="1"/>
  <c r="DP230" i="1"/>
  <c r="EQ230" i="1"/>
  <c r="FR230" i="1"/>
  <c r="FR403" i="1"/>
  <c r="FO403" i="1"/>
  <c r="FL403" i="1"/>
  <c r="EK294" i="1"/>
  <c r="EN294" i="1"/>
  <c r="EQ294" i="1"/>
  <c r="ET294" i="1"/>
  <c r="EW294" i="1"/>
  <c r="EZ294" i="1"/>
  <c r="FC294" i="1"/>
  <c r="FF294" i="1"/>
  <c r="FI294" i="1"/>
  <c r="FI297" i="1"/>
  <c r="FI300" i="1"/>
  <c r="FI303" i="1"/>
  <c r="FI306" i="1"/>
  <c r="FI309" i="1"/>
  <c r="FI312" i="1"/>
  <c r="FI315" i="1"/>
  <c r="FI318" i="1"/>
  <c r="FI403" i="1"/>
  <c r="FF297" i="1"/>
  <c r="FF300" i="1"/>
  <c r="FF303" i="1"/>
  <c r="FF306" i="1"/>
  <c r="FF309" i="1"/>
  <c r="FF312" i="1"/>
  <c r="FF315" i="1"/>
  <c r="FF318" i="1"/>
  <c r="FF403" i="1"/>
  <c r="FC297" i="1"/>
  <c r="FC300" i="1"/>
  <c r="FC303" i="1"/>
  <c r="FC306" i="1"/>
  <c r="FC309" i="1"/>
  <c r="FC312" i="1"/>
  <c r="FC315" i="1"/>
  <c r="FC318" i="1"/>
  <c r="FC403" i="1"/>
  <c r="EZ297" i="1"/>
  <c r="EZ300" i="1"/>
  <c r="EZ303" i="1"/>
  <c r="EZ306" i="1"/>
  <c r="EZ309" i="1"/>
  <c r="EZ312" i="1"/>
  <c r="EZ315" i="1"/>
  <c r="EZ318" i="1"/>
  <c r="EZ403" i="1"/>
  <c r="EW297" i="1"/>
  <c r="EW300" i="1"/>
  <c r="EW303" i="1"/>
  <c r="EW306" i="1"/>
  <c r="EW309" i="1"/>
  <c r="EW312" i="1"/>
  <c r="EW315" i="1"/>
  <c r="EW318" i="1"/>
  <c r="EW403" i="1"/>
  <c r="ET297" i="1"/>
  <c r="ET300" i="1"/>
  <c r="ET303" i="1"/>
  <c r="ET306" i="1"/>
  <c r="ET309" i="1"/>
  <c r="ET312" i="1"/>
  <c r="ET315" i="1"/>
  <c r="ET318" i="1"/>
  <c r="ET403" i="1"/>
  <c r="EQ297" i="1"/>
  <c r="EQ300" i="1"/>
  <c r="EQ303" i="1"/>
  <c r="EQ306" i="1"/>
  <c r="EQ309" i="1"/>
  <c r="EQ312" i="1"/>
  <c r="EQ315" i="1"/>
  <c r="EQ318" i="1"/>
  <c r="EQ403" i="1"/>
  <c r="EN297" i="1"/>
  <c r="EN300" i="1"/>
  <c r="EN303" i="1"/>
  <c r="EN306" i="1"/>
  <c r="EN309" i="1"/>
  <c r="EN312" i="1"/>
  <c r="EN315" i="1"/>
  <c r="EN318" i="1"/>
  <c r="DM224" i="1"/>
  <c r="EN224" i="1"/>
  <c r="FO224" i="1"/>
  <c r="DM230" i="1"/>
  <c r="EN230" i="1"/>
  <c r="EN403" i="1"/>
  <c r="EK403" i="1"/>
  <c r="EH403" i="1"/>
  <c r="EE403" i="1"/>
  <c r="EB403" i="1"/>
  <c r="DY403" i="1"/>
  <c r="DJ294" i="1"/>
  <c r="DM294" i="1"/>
  <c r="DP294" i="1"/>
  <c r="DS294" i="1"/>
  <c r="DV294" i="1"/>
  <c r="DV297" i="1"/>
  <c r="DV300" i="1"/>
  <c r="DV303" i="1"/>
  <c r="DV306" i="1"/>
  <c r="DV309" i="1"/>
  <c r="DV312" i="1"/>
  <c r="DV315" i="1"/>
  <c r="DV318" i="1"/>
  <c r="DV403" i="1"/>
  <c r="DS297" i="1"/>
  <c r="DS300" i="1"/>
  <c r="DS303" i="1"/>
  <c r="DS306" i="1"/>
  <c r="DS309" i="1"/>
  <c r="DS312" i="1"/>
  <c r="DS315" i="1"/>
  <c r="DS318" i="1"/>
  <c r="DS403" i="1"/>
  <c r="DP297" i="1"/>
  <c r="DP300" i="1"/>
  <c r="DP303" i="1"/>
  <c r="DP306" i="1"/>
  <c r="DP309" i="1"/>
  <c r="DP312" i="1"/>
  <c r="DP315" i="1"/>
  <c r="DP318" i="1"/>
  <c r="DP403" i="1"/>
  <c r="DM297" i="1"/>
  <c r="DM300" i="1"/>
  <c r="DM303" i="1"/>
  <c r="DM306" i="1"/>
  <c r="DM309" i="1"/>
  <c r="DM312" i="1"/>
  <c r="DM315" i="1"/>
  <c r="DM318" i="1"/>
  <c r="DM403" i="1"/>
  <c r="DJ297" i="1"/>
  <c r="DJ300" i="1"/>
  <c r="DJ303" i="1"/>
  <c r="DJ306" i="1"/>
  <c r="DJ309" i="1"/>
  <c r="DJ312" i="1"/>
  <c r="DJ315" i="1"/>
  <c r="DJ318" i="1"/>
  <c r="DJ224" i="1"/>
  <c r="EK224" i="1"/>
  <c r="FL224" i="1"/>
  <c r="DJ230" i="1"/>
  <c r="DJ403" i="1"/>
  <c r="FL293" i="1"/>
  <c r="FO293" i="1"/>
  <c r="FR293" i="1"/>
  <c r="FU293" i="1"/>
  <c r="FX293" i="1"/>
  <c r="GA293" i="1"/>
  <c r="GD293" i="1"/>
  <c r="GG293" i="1"/>
  <c r="GJ293" i="1"/>
  <c r="GJ296" i="1"/>
  <c r="GJ299" i="1"/>
  <c r="GJ302" i="1"/>
  <c r="GJ305" i="1"/>
  <c r="GJ308" i="1"/>
  <c r="GJ311" i="1"/>
  <c r="GJ314" i="1"/>
  <c r="GJ317" i="1"/>
  <c r="EH223" i="1"/>
  <c r="FI223" i="1"/>
  <c r="GJ223" i="1"/>
  <c r="EH229" i="1"/>
  <c r="FI229" i="1"/>
  <c r="GJ229" i="1"/>
  <c r="GN165" i="1"/>
  <c r="GN192" i="1"/>
  <c r="GN219" i="1"/>
  <c r="GT165" i="1"/>
  <c r="GT192" i="1"/>
  <c r="GT219" i="1"/>
  <c r="GJ402" i="1"/>
  <c r="GG296" i="1"/>
  <c r="GG299" i="1"/>
  <c r="GG302" i="1"/>
  <c r="GG305" i="1"/>
  <c r="GG308" i="1"/>
  <c r="GG311" i="1"/>
  <c r="GG314" i="1"/>
  <c r="GG317" i="1"/>
  <c r="EE223" i="1"/>
  <c r="FF223" i="1"/>
  <c r="GG223" i="1"/>
  <c r="EE229" i="1"/>
  <c r="FF229" i="1"/>
  <c r="GG229" i="1"/>
  <c r="GG402" i="1"/>
  <c r="GD296" i="1"/>
  <c r="GD299" i="1"/>
  <c r="GD302" i="1"/>
  <c r="GD305" i="1"/>
  <c r="GD308" i="1"/>
  <c r="GD311" i="1"/>
  <c r="GD314" i="1"/>
  <c r="GD317" i="1"/>
  <c r="EB223" i="1"/>
  <c r="FC223" i="1"/>
  <c r="GD223" i="1"/>
  <c r="EB229" i="1"/>
  <c r="FC229" i="1"/>
  <c r="GD229" i="1"/>
  <c r="GD402" i="1"/>
  <c r="GA296" i="1"/>
  <c r="GA299" i="1"/>
  <c r="GA302" i="1"/>
  <c r="GA305" i="1"/>
  <c r="GA308" i="1"/>
  <c r="GA311" i="1"/>
  <c r="GA314" i="1"/>
  <c r="GA317" i="1"/>
  <c r="DY223" i="1"/>
  <c r="EZ223" i="1"/>
  <c r="GA223" i="1"/>
  <c r="DY229" i="1"/>
  <c r="EZ229" i="1"/>
  <c r="GA229" i="1"/>
  <c r="GA402" i="1"/>
  <c r="FX296" i="1"/>
  <c r="FX299" i="1"/>
  <c r="FX302" i="1"/>
  <c r="FX305" i="1"/>
  <c r="FX308" i="1"/>
  <c r="FX311" i="1"/>
  <c r="FX314" i="1"/>
  <c r="FX317" i="1"/>
  <c r="DV223" i="1"/>
  <c r="EW223" i="1"/>
  <c r="FX223" i="1"/>
  <c r="DV229" i="1"/>
  <c r="EW229" i="1"/>
  <c r="FX229" i="1"/>
  <c r="FX402" i="1"/>
  <c r="FU296" i="1"/>
  <c r="FU299" i="1"/>
  <c r="FU302" i="1"/>
  <c r="FU305" i="1"/>
  <c r="FU308" i="1"/>
  <c r="FU311" i="1"/>
  <c r="FU314" i="1"/>
  <c r="FU317" i="1"/>
  <c r="DS223" i="1"/>
  <c r="ET223" i="1"/>
  <c r="FU223" i="1"/>
  <c r="DS229" i="1"/>
  <c r="ET229" i="1"/>
  <c r="FU229" i="1"/>
  <c r="FU402" i="1"/>
  <c r="FR296" i="1"/>
  <c r="FR299" i="1"/>
  <c r="FR302" i="1"/>
  <c r="FR305" i="1"/>
  <c r="FR308" i="1"/>
  <c r="FR311" i="1"/>
  <c r="FR314" i="1"/>
  <c r="FR317" i="1"/>
  <c r="DP223" i="1"/>
  <c r="EQ223" i="1"/>
  <c r="FR223" i="1"/>
  <c r="DP229" i="1"/>
  <c r="EQ229" i="1"/>
  <c r="FR229" i="1"/>
  <c r="FR402" i="1"/>
  <c r="FO402" i="1"/>
  <c r="FL402" i="1"/>
  <c r="EK293" i="1"/>
  <c r="EN293" i="1"/>
  <c r="EQ293" i="1"/>
  <c r="ET293" i="1"/>
  <c r="EW293" i="1"/>
  <c r="EZ293" i="1"/>
  <c r="FC293" i="1"/>
  <c r="FF293" i="1"/>
  <c r="FI293" i="1"/>
  <c r="FI296" i="1"/>
  <c r="FI299" i="1"/>
  <c r="FI302" i="1"/>
  <c r="FI305" i="1"/>
  <c r="FI308" i="1"/>
  <c r="FI311" i="1"/>
  <c r="FI314" i="1"/>
  <c r="FI317" i="1"/>
  <c r="FI402" i="1"/>
  <c r="FF296" i="1"/>
  <c r="FF299" i="1"/>
  <c r="FF302" i="1"/>
  <c r="FF305" i="1"/>
  <c r="FF308" i="1"/>
  <c r="FF311" i="1"/>
  <c r="FF314" i="1"/>
  <c r="FF317" i="1"/>
  <c r="FF402" i="1"/>
  <c r="FC296" i="1"/>
  <c r="FC299" i="1"/>
  <c r="FC302" i="1"/>
  <c r="FC305" i="1"/>
  <c r="FC308" i="1"/>
  <c r="FC311" i="1"/>
  <c r="FC314" i="1"/>
  <c r="FC317" i="1"/>
  <c r="FC402" i="1"/>
  <c r="EZ296" i="1"/>
  <c r="EZ299" i="1"/>
  <c r="EZ302" i="1"/>
  <c r="EZ305" i="1"/>
  <c r="EZ308" i="1"/>
  <c r="EZ311" i="1"/>
  <c r="EZ314" i="1"/>
  <c r="EZ317" i="1"/>
  <c r="EZ402" i="1"/>
  <c r="EW296" i="1"/>
  <c r="EW299" i="1"/>
  <c r="EW302" i="1"/>
  <c r="EW305" i="1"/>
  <c r="EW308" i="1"/>
  <c r="EW311" i="1"/>
  <c r="EW314" i="1"/>
  <c r="EW317" i="1"/>
  <c r="EW402" i="1"/>
  <c r="ET296" i="1"/>
  <c r="ET299" i="1"/>
  <c r="ET302" i="1"/>
  <c r="ET305" i="1"/>
  <c r="ET308" i="1"/>
  <c r="ET311" i="1"/>
  <c r="ET314" i="1"/>
  <c r="ET317" i="1"/>
  <c r="ET402" i="1"/>
  <c r="EQ296" i="1"/>
  <c r="EQ299" i="1"/>
  <c r="EQ302" i="1"/>
  <c r="EQ305" i="1"/>
  <c r="EQ308" i="1"/>
  <c r="EQ311" i="1"/>
  <c r="EQ314" i="1"/>
  <c r="EQ317" i="1"/>
  <c r="EQ402" i="1"/>
  <c r="EN296" i="1"/>
  <c r="EN299" i="1"/>
  <c r="EN302" i="1"/>
  <c r="EN305" i="1"/>
  <c r="EN308" i="1"/>
  <c r="EN311" i="1"/>
  <c r="EN314" i="1"/>
  <c r="EN317" i="1"/>
  <c r="DM223" i="1"/>
  <c r="EN223" i="1"/>
  <c r="FO223" i="1"/>
  <c r="DM229" i="1"/>
  <c r="EN229" i="1"/>
  <c r="EN402" i="1"/>
  <c r="EK402" i="1"/>
  <c r="EH402" i="1"/>
  <c r="EE402" i="1"/>
  <c r="EB402" i="1"/>
  <c r="DY402" i="1"/>
  <c r="DJ293" i="1"/>
  <c r="DM293" i="1"/>
  <c r="DP293" i="1"/>
  <c r="DS293" i="1"/>
  <c r="DV293" i="1"/>
  <c r="DV296" i="1"/>
  <c r="DV299" i="1"/>
  <c r="DV302" i="1"/>
  <c r="DV305" i="1"/>
  <c r="DV308" i="1"/>
  <c r="DV311" i="1"/>
  <c r="DV314" i="1"/>
  <c r="DV317" i="1"/>
  <c r="DV402" i="1"/>
  <c r="DS296" i="1"/>
  <c r="DS299" i="1"/>
  <c r="DS302" i="1"/>
  <c r="DS305" i="1"/>
  <c r="DS308" i="1"/>
  <c r="DS311" i="1"/>
  <c r="DS314" i="1"/>
  <c r="DS317" i="1"/>
  <c r="DS402" i="1"/>
  <c r="DP296" i="1"/>
  <c r="DP299" i="1"/>
  <c r="DP302" i="1"/>
  <c r="DP305" i="1"/>
  <c r="DP308" i="1"/>
  <c r="DP311" i="1"/>
  <c r="DP314" i="1"/>
  <c r="DP317" i="1"/>
  <c r="DP402" i="1"/>
  <c r="DM296" i="1"/>
  <c r="DM299" i="1"/>
  <c r="DM302" i="1"/>
  <c r="DM305" i="1"/>
  <c r="DM308" i="1"/>
  <c r="DM311" i="1"/>
  <c r="DM314" i="1"/>
  <c r="DM317" i="1"/>
  <c r="DM402" i="1"/>
  <c r="DJ296" i="1"/>
  <c r="DJ299" i="1"/>
  <c r="DJ302" i="1"/>
  <c r="DJ305" i="1"/>
  <c r="DJ308" i="1"/>
  <c r="DJ311" i="1"/>
  <c r="DJ314" i="1"/>
  <c r="DJ317" i="1"/>
  <c r="DJ223" i="1"/>
  <c r="EK223" i="1"/>
  <c r="FL223" i="1"/>
  <c r="DJ229" i="1"/>
  <c r="DJ402" i="1"/>
  <c r="FL292" i="1"/>
  <c r="FO292" i="1"/>
  <c r="FR292" i="1"/>
  <c r="FU292" i="1"/>
  <c r="FX292" i="1"/>
  <c r="GA292" i="1"/>
  <c r="GD292" i="1"/>
  <c r="GG292" i="1"/>
  <c r="GJ292" i="1"/>
  <c r="GJ295" i="1"/>
  <c r="GJ298" i="1"/>
  <c r="GJ301" i="1"/>
  <c r="GJ304" i="1"/>
  <c r="GJ307" i="1"/>
  <c r="GJ310" i="1"/>
  <c r="GJ313" i="1"/>
  <c r="GJ316" i="1"/>
  <c r="EH222" i="1"/>
  <c r="FI222" i="1"/>
  <c r="GJ222" i="1"/>
  <c r="EH228" i="1"/>
  <c r="FI228" i="1"/>
  <c r="GJ228" i="1"/>
  <c r="GN164" i="1"/>
  <c r="GN191" i="1"/>
  <c r="GN218" i="1"/>
  <c r="GT164" i="1"/>
  <c r="GT191" i="1"/>
  <c r="GT218" i="1"/>
  <c r="GJ401" i="1"/>
  <c r="GG295" i="1"/>
  <c r="GG298" i="1"/>
  <c r="GG301" i="1"/>
  <c r="GG304" i="1"/>
  <c r="GG307" i="1"/>
  <c r="GG310" i="1"/>
  <c r="GG313" i="1"/>
  <c r="GG316" i="1"/>
  <c r="EE222" i="1"/>
  <c r="FF222" i="1"/>
  <c r="GG222" i="1"/>
  <c r="EE228" i="1"/>
  <c r="FF228" i="1"/>
  <c r="GG228" i="1"/>
  <c r="GG401" i="1"/>
  <c r="GD295" i="1"/>
  <c r="GD298" i="1"/>
  <c r="GD301" i="1"/>
  <c r="GD304" i="1"/>
  <c r="GD307" i="1"/>
  <c r="GD310" i="1"/>
  <c r="GD313" i="1"/>
  <c r="GD316" i="1"/>
  <c r="EB222" i="1"/>
  <c r="FC222" i="1"/>
  <c r="GD222" i="1"/>
  <c r="EB228" i="1"/>
  <c r="FC228" i="1"/>
  <c r="GD228" i="1"/>
  <c r="GD401" i="1"/>
  <c r="GA295" i="1"/>
  <c r="GA298" i="1"/>
  <c r="GA301" i="1"/>
  <c r="GA304" i="1"/>
  <c r="GA307" i="1"/>
  <c r="GA310" i="1"/>
  <c r="GA313" i="1"/>
  <c r="GA316" i="1"/>
  <c r="DY222" i="1"/>
  <c r="EZ222" i="1"/>
  <c r="GA222" i="1"/>
  <c r="DY228" i="1"/>
  <c r="EZ228" i="1"/>
  <c r="GA228" i="1"/>
  <c r="GA401" i="1"/>
  <c r="FX295" i="1"/>
  <c r="FX298" i="1"/>
  <c r="FX301" i="1"/>
  <c r="FX304" i="1"/>
  <c r="FX307" i="1"/>
  <c r="FX310" i="1"/>
  <c r="FX313" i="1"/>
  <c r="FX316" i="1"/>
  <c r="DV222" i="1"/>
  <c r="EW222" i="1"/>
  <c r="FX222" i="1"/>
  <c r="DV228" i="1"/>
  <c r="EW228" i="1"/>
  <c r="FX228" i="1"/>
  <c r="FX401" i="1"/>
  <c r="FU295" i="1"/>
  <c r="FU298" i="1"/>
  <c r="FU301" i="1"/>
  <c r="FU304" i="1"/>
  <c r="FU307" i="1"/>
  <c r="FU310" i="1"/>
  <c r="FU313" i="1"/>
  <c r="FU316" i="1"/>
  <c r="DS222" i="1"/>
  <c r="ET222" i="1"/>
  <c r="FU222" i="1"/>
  <c r="DS228" i="1"/>
  <c r="ET228" i="1"/>
  <c r="FU228" i="1"/>
  <c r="FU401" i="1"/>
  <c r="FR295" i="1"/>
  <c r="FR298" i="1"/>
  <c r="FR301" i="1"/>
  <c r="FR304" i="1"/>
  <c r="FR307" i="1"/>
  <c r="FR310" i="1"/>
  <c r="FR313" i="1"/>
  <c r="FR316" i="1"/>
  <c r="DP222" i="1"/>
  <c r="EQ222" i="1"/>
  <c r="FR222" i="1"/>
  <c r="DP228" i="1"/>
  <c r="EQ228" i="1"/>
  <c r="FR228" i="1"/>
  <c r="FR401" i="1"/>
  <c r="FO401" i="1"/>
  <c r="FL401" i="1"/>
  <c r="EK292" i="1"/>
  <c r="EN292" i="1"/>
  <c r="EQ292" i="1"/>
  <c r="ET292" i="1"/>
  <c r="EW292" i="1"/>
  <c r="EZ292" i="1"/>
  <c r="FC292" i="1"/>
  <c r="FF292" i="1"/>
  <c r="FI292" i="1"/>
  <c r="FI295" i="1"/>
  <c r="FI298" i="1"/>
  <c r="FI301" i="1"/>
  <c r="FI304" i="1"/>
  <c r="FI307" i="1"/>
  <c r="FI310" i="1"/>
  <c r="FI313" i="1"/>
  <c r="FI316" i="1"/>
  <c r="FI401" i="1"/>
  <c r="FF295" i="1"/>
  <c r="FF298" i="1"/>
  <c r="FF301" i="1"/>
  <c r="FF304" i="1"/>
  <c r="FF307" i="1"/>
  <c r="FF310" i="1"/>
  <c r="FF313" i="1"/>
  <c r="FF316" i="1"/>
  <c r="FF401" i="1"/>
  <c r="FC295" i="1"/>
  <c r="FC298" i="1"/>
  <c r="FC301" i="1"/>
  <c r="FC304" i="1"/>
  <c r="FC307" i="1"/>
  <c r="FC310" i="1"/>
  <c r="FC313" i="1"/>
  <c r="FC316" i="1"/>
  <c r="FC401" i="1"/>
  <c r="EZ295" i="1"/>
  <c r="EZ298" i="1"/>
  <c r="EZ301" i="1"/>
  <c r="EZ304" i="1"/>
  <c r="EZ307" i="1"/>
  <c r="EZ310" i="1"/>
  <c r="EZ313" i="1"/>
  <c r="EZ316" i="1"/>
  <c r="EZ401" i="1"/>
  <c r="EW295" i="1"/>
  <c r="EW298" i="1"/>
  <c r="EW301" i="1"/>
  <c r="EW304" i="1"/>
  <c r="EW307" i="1"/>
  <c r="EW310" i="1"/>
  <c r="EW313" i="1"/>
  <c r="EW316" i="1"/>
  <c r="EW401" i="1"/>
  <c r="ET295" i="1"/>
  <c r="ET298" i="1"/>
  <c r="ET301" i="1"/>
  <c r="ET304" i="1"/>
  <c r="ET307" i="1"/>
  <c r="ET310" i="1"/>
  <c r="ET313" i="1"/>
  <c r="ET316" i="1"/>
  <c r="ET401" i="1"/>
  <c r="EQ295" i="1"/>
  <c r="EQ298" i="1"/>
  <c r="EQ301" i="1"/>
  <c r="EQ304" i="1"/>
  <c r="EQ307" i="1"/>
  <c r="EQ310" i="1"/>
  <c r="EQ313" i="1"/>
  <c r="EQ316" i="1"/>
  <c r="EQ401" i="1"/>
  <c r="EN295" i="1"/>
  <c r="EN298" i="1"/>
  <c r="EN301" i="1"/>
  <c r="EN304" i="1"/>
  <c r="EN307" i="1"/>
  <c r="EN310" i="1"/>
  <c r="EN313" i="1"/>
  <c r="EN316" i="1"/>
  <c r="DM222" i="1"/>
  <c r="EN222" i="1"/>
  <c r="FO222" i="1"/>
  <c r="DM228" i="1"/>
  <c r="EN228" i="1"/>
  <c r="EN401" i="1"/>
  <c r="EK401" i="1"/>
  <c r="EH401" i="1"/>
  <c r="EE401" i="1"/>
  <c r="EB401" i="1"/>
  <c r="DY401" i="1"/>
  <c r="DJ292" i="1"/>
  <c r="DM292" i="1"/>
  <c r="DP292" i="1"/>
  <c r="DS292" i="1"/>
  <c r="DV292" i="1"/>
  <c r="DV295" i="1"/>
  <c r="DV298" i="1"/>
  <c r="DV301" i="1"/>
  <c r="DV304" i="1"/>
  <c r="DV307" i="1"/>
  <c r="DV310" i="1"/>
  <c r="DV313" i="1"/>
  <c r="DV316" i="1"/>
  <c r="DV401" i="1"/>
  <c r="DS295" i="1"/>
  <c r="DS298" i="1"/>
  <c r="DS301" i="1"/>
  <c r="DS304" i="1"/>
  <c r="DS307" i="1"/>
  <c r="DS310" i="1"/>
  <c r="DS313" i="1"/>
  <c r="DS316" i="1"/>
  <c r="DS401" i="1"/>
  <c r="DP295" i="1"/>
  <c r="DP298" i="1"/>
  <c r="DP301" i="1"/>
  <c r="DP304" i="1"/>
  <c r="DP307" i="1"/>
  <c r="DP310" i="1"/>
  <c r="DP313" i="1"/>
  <c r="DP316" i="1"/>
  <c r="DP401" i="1"/>
  <c r="DM295" i="1"/>
  <c r="DM298" i="1"/>
  <c r="DM301" i="1"/>
  <c r="DM304" i="1"/>
  <c r="DM307" i="1"/>
  <c r="DM310" i="1"/>
  <c r="DM313" i="1"/>
  <c r="DM316" i="1"/>
  <c r="DM401" i="1"/>
  <c r="DJ295" i="1"/>
  <c r="DJ298" i="1"/>
  <c r="DJ301" i="1"/>
  <c r="DJ304" i="1"/>
  <c r="DJ307" i="1"/>
  <c r="DJ310" i="1"/>
  <c r="DJ313" i="1"/>
  <c r="DJ316" i="1"/>
  <c r="DJ222" i="1"/>
  <c r="EK222" i="1"/>
  <c r="FL222" i="1"/>
  <c r="DJ228" i="1"/>
  <c r="DJ401" i="1"/>
  <c r="GN163" i="1"/>
  <c r="GN190" i="1"/>
  <c r="GN217" i="1"/>
  <c r="GT163" i="1"/>
  <c r="GT190" i="1"/>
  <c r="GT217" i="1"/>
  <c r="GJ400" i="1"/>
  <c r="GG400" i="1"/>
  <c r="GD400" i="1"/>
  <c r="GA400" i="1"/>
  <c r="FX400" i="1"/>
  <c r="FU400" i="1"/>
  <c r="FR400" i="1"/>
  <c r="FO400" i="1"/>
  <c r="FL400" i="1"/>
  <c r="FI400" i="1"/>
  <c r="FF400" i="1"/>
  <c r="FC400" i="1"/>
  <c r="EZ400" i="1"/>
  <c r="EW400" i="1"/>
  <c r="ET400" i="1"/>
  <c r="EQ400" i="1"/>
  <c r="EN400" i="1"/>
  <c r="EK297" i="1"/>
  <c r="EK300" i="1"/>
  <c r="EK303" i="1"/>
  <c r="EK306" i="1"/>
  <c r="EK309" i="1"/>
  <c r="EK312" i="1"/>
  <c r="EK315" i="1"/>
  <c r="EK230" i="1"/>
  <c r="EK400" i="1"/>
  <c r="EH400" i="1"/>
  <c r="EE400" i="1"/>
  <c r="EB400" i="1"/>
  <c r="DY294" i="1"/>
  <c r="DY297" i="1"/>
  <c r="DY300" i="1"/>
  <c r="DY303" i="1"/>
  <c r="DY306" i="1"/>
  <c r="DY309" i="1"/>
  <c r="DY312" i="1"/>
  <c r="DY315" i="1"/>
  <c r="DY400" i="1"/>
  <c r="DV400" i="1"/>
  <c r="DS400" i="1"/>
  <c r="DP400" i="1"/>
  <c r="DM400" i="1"/>
  <c r="DJ400" i="1"/>
  <c r="GN162" i="1"/>
  <c r="GN189" i="1"/>
  <c r="GN216" i="1"/>
  <c r="GT162" i="1"/>
  <c r="GT189" i="1"/>
  <c r="GT216" i="1"/>
  <c r="GJ399" i="1"/>
  <c r="GG399" i="1"/>
  <c r="GD399" i="1"/>
  <c r="GA399" i="1"/>
  <c r="FX399" i="1"/>
  <c r="FU399" i="1"/>
  <c r="FR399" i="1"/>
  <c r="FO399" i="1"/>
  <c r="FL399" i="1"/>
  <c r="FI399" i="1"/>
  <c r="FF399" i="1"/>
  <c r="FC399" i="1"/>
  <c r="EZ399" i="1"/>
  <c r="EW399" i="1"/>
  <c r="ET399" i="1"/>
  <c r="EQ399" i="1"/>
  <c r="EN399" i="1"/>
  <c r="EK296" i="1"/>
  <c r="EK299" i="1"/>
  <c r="EK302" i="1"/>
  <c r="EK305" i="1"/>
  <c r="EK308" i="1"/>
  <c r="EK311" i="1"/>
  <c r="EK314" i="1"/>
  <c r="EK229" i="1"/>
  <c r="EK399" i="1"/>
  <c r="EH399" i="1"/>
  <c r="EE399" i="1"/>
  <c r="EB399" i="1"/>
  <c r="DY293" i="1"/>
  <c r="DY296" i="1"/>
  <c r="DY299" i="1"/>
  <c r="DY302" i="1"/>
  <c r="DY305" i="1"/>
  <c r="DY308" i="1"/>
  <c r="DY311" i="1"/>
  <c r="DY314" i="1"/>
  <c r="DY399" i="1"/>
  <c r="DV399" i="1"/>
  <c r="DS399" i="1"/>
  <c r="DP399" i="1"/>
  <c r="DM399" i="1"/>
  <c r="DJ399" i="1"/>
  <c r="GN161" i="1"/>
  <c r="GN188" i="1"/>
  <c r="GN215" i="1"/>
  <c r="GT161" i="1"/>
  <c r="GT188" i="1"/>
  <c r="GT215" i="1"/>
  <c r="GJ398" i="1"/>
  <c r="GG398" i="1"/>
  <c r="GD398" i="1"/>
  <c r="GA398" i="1"/>
  <c r="FX398" i="1"/>
  <c r="FU398" i="1"/>
  <c r="FR398" i="1"/>
  <c r="FO398" i="1"/>
  <c r="FL398" i="1"/>
  <c r="FI398" i="1"/>
  <c r="FF398" i="1"/>
  <c r="FC398" i="1"/>
  <c r="EZ398" i="1"/>
  <c r="EW398" i="1"/>
  <c r="ET398" i="1"/>
  <c r="EQ398" i="1"/>
  <c r="EN398" i="1"/>
  <c r="EK295" i="1"/>
  <c r="EK298" i="1"/>
  <c r="EK301" i="1"/>
  <c r="EK304" i="1"/>
  <c r="EK307" i="1"/>
  <c r="EK310" i="1"/>
  <c r="EK313" i="1"/>
  <c r="EK228" i="1"/>
  <c r="EK398" i="1"/>
  <c r="EH398" i="1"/>
  <c r="EE398" i="1"/>
  <c r="EB398" i="1"/>
  <c r="DY292" i="1"/>
  <c r="DY295" i="1"/>
  <c r="DY298" i="1"/>
  <c r="DY301" i="1"/>
  <c r="DY304" i="1"/>
  <c r="DY307" i="1"/>
  <c r="DY310" i="1"/>
  <c r="DY313" i="1"/>
  <c r="DY398" i="1"/>
  <c r="DV398" i="1"/>
  <c r="DS398" i="1"/>
  <c r="DP398" i="1"/>
  <c r="DM398" i="1"/>
  <c r="DJ398" i="1"/>
  <c r="GN160" i="1"/>
  <c r="GN187" i="1"/>
  <c r="GN214" i="1"/>
  <c r="GT160" i="1"/>
  <c r="GT187" i="1"/>
  <c r="GT214" i="1"/>
  <c r="GJ397" i="1"/>
  <c r="GG397" i="1"/>
  <c r="GD397" i="1"/>
  <c r="GA397" i="1"/>
  <c r="FX397" i="1"/>
  <c r="FU397" i="1"/>
  <c r="FR397" i="1"/>
  <c r="FO397" i="1"/>
  <c r="FL397" i="1"/>
  <c r="FI397" i="1"/>
  <c r="FF397" i="1"/>
  <c r="FC397" i="1"/>
  <c r="EZ397" i="1"/>
  <c r="EW397" i="1"/>
  <c r="ET397" i="1"/>
  <c r="EQ397" i="1"/>
  <c r="EN397" i="1"/>
  <c r="EK397" i="1"/>
  <c r="EH397" i="1"/>
  <c r="EE397" i="1"/>
  <c r="EB397" i="1"/>
  <c r="DY397" i="1"/>
  <c r="DV397" i="1"/>
  <c r="DS397" i="1"/>
  <c r="DP397" i="1"/>
  <c r="DM397" i="1"/>
  <c r="DJ397" i="1"/>
  <c r="GN159" i="1"/>
  <c r="GN186" i="1"/>
  <c r="GN213" i="1"/>
  <c r="GT159" i="1"/>
  <c r="GT186" i="1"/>
  <c r="GT213" i="1"/>
  <c r="GJ396" i="1"/>
  <c r="GG396" i="1"/>
  <c r="GD396" i="1"/>
  <c r="GA396" i="1"/>
  <c r="FX396" i="1"/>
  <c r="FU396" i="1"/>
  <c r="FR396" i="1"/>
  <c r="FO396" i="1"/>
  <c r="FL396" i="1"/>
  <c r="FI396" i="1"/>
  <c r="FF396" i="1"/>
  <c r="FC396" i="1"/>
  <c r="EZ396" i="1"/>
  <c r="EW396" i="1"/>
  <c r="ET396" i="1"/>
  <c r="EQ396" i="1"/>
  <c r="EN396" i="1"/>
  <c r="EK396" i="1"/>
  <c r="EH396" i="1"/>
  <c r="EE396" i="1"/>
  <c r="EB396" i="1"/>
  <c r="DY396" i="1"/>
  <c r="DV396" i="1"/>
  <c r="DS396" i="1"/>
  <c r="DP396" i="1"/>
  <c r="DM396" i="1"/>
  <c r="DJ396" i="1"/>
  <c r="GN158" i="1"/>
  <c r="GN185" i="1"/>
  <c r="GN212" i="1"/>
  <c r="GT158" i="1"/>
  <c r="GT185" i="1"/>
  <c r="GT212" i="1"/>
  <c r="GJ395" i="1"/>
  <c r="GG395" i="1"/>
  <c r="GD395" i="1"/>
  <c r="GA395" i="1"/>
  <c r="FX395" i="1"/>
  <c r="FU395" i="1"/>
  <c r="FR395" i="1"/>
  <c r="FO395" i="1"/>
  <c r="FL395" i="1"/>
  <c r="FI395" i="1"/>
  <c r="FF395" i="1"/>
  <c r="FC395" i="1"/>
  <c r="EZ395" i="1"/>
  <c r="EW395" i="1"/>
  <c r="ET395" i="1"/>
  <c r="EQ395" i="1"/>
  <c r="EN395" i="1"/>
  <c r="EK395" i="1"/>
  <c r="EH395" i="1"/>
  <c r="EE395" i="1"/>
  <c r="EB395" i="1"/>
  <c r="DY395" i="1"/>
  <c r="DV395" i="1"/>
  <c r="DS395" i="1"/>
  <c r="DP395" i="1"/>
  <c r="DM395" i="1"/>
  <c r="DJ395" i="1"/>
  <c r="GN157" i="1"/>
  <c r="GN184" i="1"/>
  <c r="GN211" i="1"/>
  <c r="GT157" i="1"/>
  <c r="GT184" i="1"/>
  <c r="GT211" i="1"/>
  <c r="GJ394" i="1"/>
  <c r="GG394" i="1"/>
  <c r="GD394" i="1"/>
  <c r="GA394" i="1"/>
  <c r="FX394" i="1"/>
  <c r="FU394" i="1"/>
  <c r="FR394" i="1"/>
  <c r="FO394" i="1"/>
  <c r="FL394" i="1"/>
  <c r="FI394" i="1"/>
  <c r="FF394" i="1"/>
  <c r="FC394" i="1"/>
  <c r="EZ394" i="1"/>
  <c r="EW394" i="1"/>
  <c r="ET394" i="1"/>
  <c r="EQ394" i="1"/>
  <c r="EN394" i="1"/>
  <c r="EK394" i="1"/>
  <c r="EH394" i="1"/>
  <c r="EE394" i="1"/>
  <c r="EB394" i="1"/>
  <c r="DY394" i="1"/>
  <c r="DV394" i="1"/>
  <c r="DS394" i="1"/>
  <c r="DP394" i="1"/>
  <c r="DM394" i="1"/>
  <c r="DJ394" i="1"/>
  <c r="GN156" i="1"/>
  <c r="GN183" i="1"/>
  <c r="GN210" i="1"/>
  <c r="GT156" i="1"/>
  <c r="GT183" i="1"/>
  <c r="GT210" i="1"/>
  <c r="GJ393" i="1"/>
  <c r="GG393" i="1"/>
  <c r="GD393" i="1"/>
  <c r="GA393" i="1"/>
  <c r="FX393" i="1"/>
  <c r="FU393" i="1"/>
  <c r="FR393" i="1"/>
  <c r="FO393" i="1"/>
  <c r="FL393" i="1"/>
  <c r="FI393" i="1"/>
  <c r="FF393" i="1"/>
  <c r="FC393" i="1"/>
  <c r="EZ393" i="1"/>
  <c r="EW393" i="1"/>
  <c r="ET393" i="1"/>
  <c r="EQ393" i="1"/>
  <c r="EN393" i="1"/>
  <c r="EK393" i="1"/>
  <c r="EH393" i="1"/>
  <c r="EE393" i="1"/>
  <c r="EB393" i="1"/>
  <c r="DY393" i="1"/>
  <c r="DV393" i="1"/>
  <c r="DS393" i="1"/>
  <c r="DP393" i="1"/>
  <c r="DM393" i="1"/>
  <c r="DJ393" i="1"/>
  <c r="GN155" i="1"/>
  <c r="GN182" i="1"/>
  <c r="GN209" i="1"/>
  <c r="GT155" i="1"/>
  <c r="GT182" i="1"/>
  <c r="GT209" i="1"/>
  <c r="GJ392" i="1"/>
  <c r="GG392" i="1"/>
  <c r="GD392" i="1"/>
  <c r="GA392" i="1"/>
  <c r="FX392" i="1"/>
  <c r="FU392" i="1"/>
  <c r="FR392" i="1"/>
  <c r="FO392" i="1"/>
  <c r="FL392" i="1"/>
  <c r="FI392" i="1"/>
  <c r="FF392" i="1"/>
  <c r="FC392" i="1"/>
  <c r="EZ392" i="1"/>
  <c r="EW392" i="1"/>
  <c r="ET392" i="1"/>
  <c r="EQ392" i="1"/>
  <c r="EN392" i="1"/>
  <c r="EK392" i="1"/>
  <c r="EH392" i="1"/>
  <c r="EE392" i="1"/>
  <c r="EB392" i="1"/>
  <c r="DY392" i="1"/>
  <c r="DV392" i="1"/>
  <c r="DS392" i="1"/>
  <c r="DP392" i="1"/>
  <c r="DM392" i="1"/>
  <c r="DJ392" i="1"/>
  <c r="GN154" i="1"/>
  <c r="GN181" i="1"/>
  <c r="GN208" i="1"/>
  <c r="GT154" i="1"/>
  <c r="GT181" i="1"/>
  <c r="GT208" i="1"/>
  <c r="GJ391" i="1"/>
  <c r="GG391" i="1"/>
  <c r="GD391" i="1"/>
  <c r="GA391" i="1"/>
  <c r="FX391" i="1"/>
  <c r="FU391" i="1"/>
  <c r="FR391" i="1"/>
  <c r="FO391" i="1"/>
  <c r="FL391" i="1"/>
  <c r="FI391" i="1"/>
  <c r="FF391" i="1"/>
  <c r="FC391" i="1"/>
  <c r="EZ391" i="1"/>
  <c r="EW391" i="1"/>
  <c r="ET391" i="1"/>
  <c r="EQ391" i="1"/>
  <c r="EN391" i="1"/>
  <c r="EK391" i="1"/>
  <c r="EH391" i="1"/>
  <c r="EE391" i="1"/>
  <c r="EB391" i="1"/>
  <c r="DY391" i="1"/>
  <c r="DV391" i="1"/>
  <c r="DS391" i="1"/>
  <c r="DP391" i="1"/>
  <c r="DM391" i="1"/>
  <c r="DJ391" i="1"/>
  <c r="GN153" i="1"/>
  <c r="GN180" i="1"/>
  <c r="GN207" i="1"/>
  <c r="GT153" i="1"/>
  <c r="GT180" i="1"/>
  <c r="GT207" i="1"/>
  <c r="GJ390" i="1"/>
  <c r="GG390" i="1"/>
  <c r="GD390" i="1"/>
  <c r="GA390" i="1"/>
  <c r="FX390" i="1"/>
  <c r="FU390" i="1"/>
  <c r="FR390" i="1"/>
  <c r="FO390" i="1"/>
  <c r="FL390" i="1"/>
  <c r="FI390" i="1"/>
  <c r="FF390" i="1"/>
  <c r="FC390" i="1"/>
  <c r="EZ390" i="1"/>
  <c r="EW390" i="1"/>
  <c r="ET390" i="1"/>
  <c r="EQ390" i="1"/>
  <c r="EN390" i="1"/>
  <c r="EK390" i="1"/>
  <c r="EH390" i="1"/>
  <c r="EE390" i="1"/>
  <c r="EB390" i="1"/>
  <c r="DY390" i="1"/>
  <c r="DV390" i="1"/>
  <c r="DS390" i="1"/>
  <c r="DP390" i="1"/>
  <c r="DM390" i="1"/>
  <c r="DJ390" i="1"/>
  <c r="GN152" i="1"/>
  <c r="GN179" i="1"/>
  <c r="GN206" i="1"/>
  <c r="GT152" i="1"/>
  <c r="GT179" i="1"/>
  <c r="GT206" i="1"/>
  <c r="GJ389" i="1"/>
  <c r="GG389" i="1"/>
  <c r="GD389" i="1"/>
  <c r="GA389" i="1"/>
  <c r="FX389" i="1"/>
  <c r="FU389" i="1"/>
  <c r="FR389" i="1"/>
  <c r="FO389" i="1"/>
  <c r="FL389" i="1"/>
  <c r="FI389" i="1"/>
  <c r="FF389" i="1"/>
  <c r="FC389" i="1"/>
  <c r="EZ389" i="1"/>
  <c r="EW389" i="1"/>
  <c r="ET389" i="1"/>
  <c r="EQ389" i="1"/>
  <c r="EN389" i="1"/>
  <c r="EK389" i="1"/>
  <c r="EH389" i="1"/>
  <c r="EE389" i="1"/>
  <c r="EB389" i="1"/>
  <c r="DY389" i="1"/>
  <c r="DV389" i="1"/>
  <c r="DS389" i="1"/>
  <c r="DP389" i="1"/>
  <c r="DM389" i="1"/>
  <c r="DJ389" i="1"/>
  <c r="GJ388" i="1"/>
  <c r="GG388" i="1"/>
  <c r="GN151" i="1"/>
  <c r="GN178" i="1"/>
  <c r="GN205" i="1"/>
  <c r="GT151" i="1"/>
  <c r="GT178" i="1"/>
  <c r="GT205" i="1"/>
  <c r="GD388" i="1"/>
  <c r="GA388" i="1"/>
  <c r="FX388" i="1"/>
  <c r="FU388" i="1"/>
  <c r="FR388" i="1"/>
  <c r="FO388" i="1"/>
  <c r="FL388" i="1"/>
  <c r="FI388" i="1"/>
  <c r="FF388" i="1"/>
  <c r="FC388" i="1"/>
  <c r="EZ388" i="1"/>
  <c r="EW388" i="1"/>
  <c r="ET388" i="1"/>
  <c r="EQ388" i="1"/>
  <c r="EN388" i="1"/>
  <c r="EK388" i="1"/>
  <c r="EH388" i="1"/>
  <c r="EE388" i="1"/>
  <c r="EB388" i="1"/>
  <c r="DY388" i="1"/>
  <c r="DV388" i="1"/>
  <c r="DS388" i="1"/>
  <c r="DP388" i="1"/>
  <c r="DM388" i="1"/>
  <c r="DJ388" i="1"/>
  <c r="GJ387" i="1"/>
  <c r="GG387" i="1"/>
  <c r="GN150" i="1"/>
  <c r="GN177" i="1"/>
  <c r="GN204" i="1"/>
  <c r="GT150" i="1"/>
  <c r="GT177" i="1"/>
  <c r="GT204" i="1"/>
  <c r="GD387" i="1"/>
  <c r="GA387" i="1"/>
  <c r="FX387" i="1"/>
  <c r="FU387" i="1"/>
  <c r="FR387" i="1"/>
  <c r="FO387" i="1"/>
  <c r="FL387" i="1"/>
  <c r="FI387" i="1"/>
  <c r="FF387" i="1"/>
  <c r="FC387" i="1"/>
  <c r="EZ387" i="1"/>
  <c r="EW387" i="1"/>
  <c r="ET387" i="1"/>
  <c r="EQ387" i="1"/>
  <c r="EN387" i="1"/>
  <c r="EK387" i="1"/>
  <c r="EH387" i="1"/>
  <c r="EE387" i="1"/>
  <c r="EB387" i="1"/>
  <c r="DY387" i="1"/>
  <c r="DV387" i="1"/>
  <c r="DS387" i="1"/>
  <c r="DP387" i="1"/>
  <c r="DM387" i="1"/>
  <c r="DJ387" i="1"/>
  <c r="GJ386" i="1"/>
  <c r="GG386" i="1"/>
  <c r="GN149" i="1"/>
  <c r="GN176" i="1"/>
  <c r="GN203" i="1"/>
  <c r="GT149" i="1"/>
  <c r="GT176" i="1"/>
  <c r="GT203" i="1"/>
  <c r="GD386" i="1"/>
  <c r="GA386" i="1"/>
  <c r="FX386" i="1"/>
  <c r="FU386" i="1"/>
  <c r="FR386" i="1"/>
  <c r="FO386" i="1"/>
  <c r="FL386" i="1"/>
  <c r="FI386" i="1"/>
  <c r="FF386" i="1"/>
  <c r="FC386" i="1"/>
  <c r="EZ386" i="1"/>
  <c r="EW386" i="1"/>
  <c r="ET386" i="1"/>
  <c r="EQ386" i="1"/>
  <c r="EN386" i="1"/>
  <c r="EK386" i="1"/>
  <c r="EH386" i="1"/>
  <c r="EE386" i="1"/>
  <c r="EB386" i="1"/>
  <c r="DY386" i="1"/>
  <c r="DV386" i="1"/>
  <c r="DS386" i="1"/>
  <c r="DP386" i="1"/>
  <c r="DM386" i="1"/>
  <c r="DJ386" i="1"/>
  <c r="GJ385" i="1"/>
  <c r="GG385" i="1"/>
  <c r="GD385" i="1"/>
  <c r="GA385" i="1"/>
  <c r="FX385" i="1"/>
  <c r="FU385" i="1"/>
  <c r="FR385" i="1"/>
  <c r="FO385" i="1"/>
  <c r="FL385" i="1"/>
  <c r="FI385" i="1"/>
  <c r="FF385" i="1"/>
  <c r="FC385" i="1"/>
  <c r="GN148" i="1"/>
  <c r="GN175" i="1"/>
  <c r="GN202" i="1"/>
  <c r="GT148" i="1"/>
  <c r="GT175" i="1"/>
  <c r="GT202" i="1"/>
  <c r="EZ385" i="1"/>
  <c r="EW385" i="1"/>
  <c r="ET385" i="1"/>
  <c r="EQ385" i="1"/>
  <c r="EN385" i="1"/>
  <c r="EK385" i="1"/>
  <c r="EH385" i="1"/>
  <c r="EE385" i="1"/>
  <c r="EB385" i="1"/>
  <c r="DY385" i="1"/>
  <c r="DV385" i="1"/>
  <c r="DS385" i="1"/>
  <c r="DP385" i="1"/>
  <c r="DM385" i="1"/>
  <c r="DJ385" i="1"/>
  <c r="GJ384" i="1"/>
  <c r="GG384" i="1"/>
  <c r="GD384" i="1"/>
  <c r="GA384" i="1"/>
  <c r="FX384" i="1"/>
  <c r="FU384" i="1"/>
  <c r="FR384" i="1"/>
  <c r="FO384" i="1"/>
  <c r="FL384" i="1"/>
  <c r="FI384" i="1"/>
  <c r="FF384" i="1"/>
  <c r="FC384" i="1"/>
  <c r="GN147" i="1"/>
  <c r="GN174" i="1"/>
  <c r="GN201" i="1"/>
  <c r="GT147" i="1"/>
  <c r="GT174" i="1"/>
  <c r="GT201" i="1"/>
  <c r="EZ384" i="1"/>
  <c r="EW384" i="1"/>
  <c r="ET384" i="1"/>
  <c r="EQ384" i="1"/>
  <c r="EN384" i="1"/>
  <c r="EK384" i="1"/>
  <c r="EH384" i="1"/>
  <c r="EE384" i="1"/>
  <c r="EB384" i="1"/>
  <c r="DY384" i="1"/>
  <c r="DV384" i="1"/>
  <c r="DS384" i="1"/>
  <c r="DP384" i="1"/>
  <c r="DM384" i="1"/>
  <c r="DJ384" i="1"/>
  <c r="GJ383" i="1"/>
  <c r="GG383" i="1"/>
  <c r="GD383" i="1"/>
  <c r="GA383" i="1"/>
  <c r="FX383" i="1"/>
  <c r="FU383" i="1"/>
  <c r="FR383" i="1"/>
  <c r="FO383" i="1"/>
  <c r="FL383" i="1"/>
  <c r="FI383" i="1"/>
  <c r="FF383" i="1"/>
  <c r="FC383" i="1"/>
  <c r="GN146" i="1"/>
  <c r="GN173" i="1"/>
  <c r="GN200" i="1"/>
  <c r="GT146" i="1"/>
  <c r="GT173" i="1"/>
  <c r="GT200" i="1"/>
  <c r="EZ383" i="1"/>
  <c r="EW383" i="1"/>
  <c r="ET383" i="1"/>
  <c r="EQ383" i="1"/>
  <c r="EN383" i="1"/>
  <c r="EK383" i="1"/>
  <c r="EH383" i="1"/>
  <c r="EE383" i="1"/>
  <c r="EB383" i="1"/>
  <c r="DY383" i="1"/>
  <c r="DV383" i="1"/>
  <c r="DS383" i="1"/>
  <c r="DP383" i="1"/>
  <c r="DM383" i="1"/>
  <c r="DJ383" i="1"/>
  <c r="GJ382" i="1"/>
  <c r="GG382" i="1"/>
  <c r="GD382" i="1"/>
  <c r="GA382" i="1"/>
  <c r="FX382" i="1"/>
  <c r="FU382" i="1"/>
  <c r="FR382" i="1"/>
  <c r="FO382" i="1"/>
  <c r="FL382" i="1"/>
  <c r="FI382" i="1"/>
  <c r="FF382" i="1"/>
  <c r="FC382" i="1"/>
  <c r="GN145" i="1"/>
  <c r="GN172" i="1"/>
  <c r="GN199" i="1"/>
  <c r="GT145" i="1"/>
  <c r="GT172" i="1"/>
  <c r="GT199" i="1"/>
  <c r="EZ382" i="1"/>
  <c r="EW382" i="1"/>
  <c r="ET382" i="1"/>
  <c r="EQ382" i="1"/>
  <c r="EN382" i="1"/>
  <c r="EK382" i="1"/>
  <c r="EH382" i="1"/>
  <c r="EE382" i="1"/>
  <c r="EB382" i="1"/>
  <c r="DY382" i="1"/>
  <c r="DV382" i="1"/>
  <c r="DS382" i="1"/>
  <c r="DP382" i="1"/>
  <c r="DM382" i="1"/>
  <c r="DJ382" i="1"/>
  <c r="GJ381" i="1"/>
  <c r="GG381" i="1"/>
  <c r="GD381" i="1"/>
  <c r="GA381" i="1"/>
  <c r="FX381" i="1"/>
  <c r="FU381" i="1"/>
  <c r="FR381" i="1"/>
  <c r="FO381" i="1"/>
  <c r="FL381" i="1"/>
  <c r="FI381" i="1"/>
  <c r="FF381" i="1"/>
  <c r="FC381" i="1"/>
  <c r="GN144" i="1"/>
  <c r="GN171" i="1"/>
  <c r="GN198" i="1"/>
  <c r="GT144" i="1"/>
  <c r="GT171" i="1"/>
  <c r="GT198" i="1"/>
  <c r="EZ381" i="1"/>
  <c r="EW381" i="1"/>
  <c r="ET381" i="1"/>
  <c r="EQ381" i="1"/>
  <c r="EN381" i="1"/>
  <c r="EK381" i="1"/>
  <c r="EH381" i="1"/>
  <c r="EE381" i="1"/>
  <c r="EB381" i="1"/>
  <c r="DY381" i="1"/>
  <c r="DV381" i="1"/>
  <c r="DS381" i="1"/>
  <c r="DP381" i="1"/>
  <c r="DM381" i="1"/>
  <c r="DJ381" i="1"/>
  <c r="GJ380" i="1"/>
  <c r="GG380" i="1"/>
  <c r="GD380" i="1"/>
  <c r="GA380" i="1"/>
  <c r="FX380" i="1"/>
  <c r="FU380" i="1"/>
  <c r="FR380" i="1"/>
  <c r="FO380" i="1"/>
  <c r="FL380" i="1"/>
  <c r="FI380" i="1"/>
  <c r="FF380" i="1"/>
  <c r="FC380" i="1"/>
  <c r="GN143" i="1"/>
  <c r="GN170" i="1"/>
  <c r="GN197" i="1"/>
  <c r="GT143" i="1"/>
  <c r="GT170" i="1"/>
  <c r="GT197" i="1"/>
  <c r="EZ380" i="1"/>
  <c r="EW380" i="1"/>
  <c r="ET380" i="1"/>
  <c r="EQ380" i="1"/>
  <c r="EN380" i="1"/>
  <c r="EK380" i="1"/>
  <c r="EH380" i="1"/>
  <c r="EE380" i="1"/>
  <c r="EB380" i="1"/>
  <c r="DY380" i="1"/>
  <c r="DV380" i="1"/>
  <c r="DS380" i="1"/>
  <c r="DP380" i="1"/>
  <c r="DM380" i="1"/>
  <c r="DJ380" i="1"/>
  <c r="GJ379" i="1"/>
  <c r="GG379" i="1"/>
  <c r="GD379" i="1"/>
  <c r="GA379" i="1"/>
  <c r="FX379" i="1"/>
  <c r="FU379" i="1"/>
  <c r="FR379" i="1"/>
  <c r="FO379" i="1"/>
  <c r="FL379" i="1"/>
  <c r="FI379" i="1"/>
  <c r="FF379" i="1"/>
  <c r="FC379" i="1"/>
  <c r="EZ379" i="1"/>
  <c r="EW379" i="1"/>
  <c r="ET379" i="1"/>
  <c r="EQ379" i="1"/>
  <c r="EN379" i="1"/>
  <c r="EK379" i="1"/>
  <c r="EH379" i="1"/>
  <c r="EE379" i="1"/>
  <c r="EB379" i="1"/>
  <c r="DY379" i="1"/>
  <c r="DV379" i="1"/>
  <c r="DS379" i="1"/>
  <c r="DP379" i="1"/>
  <c r="DM379" i="1"/>
  <c r="DJ379" i="1"/>
  <c r="GJ378" i="1"/>
  <c r="GG378" i="1"/>
  <c r="GD378" i="1"/>
  <c r="GA378" i="1"/>
  <c r="FX378" i="1"/>
  <c r="FU378" i="1"/>
  <c r="FR378" i="1"/>
  <c r="FO378" i="1"/>
  <c r="FL378" i="1"/>
  <c r="FI378" i="1"/>
  <c r="FF378" i="1"/>
  <c r="FC378" i="1"/>
  <c r="EZ378" i="1"/>
  <c r="EW378" i="1"/>
  <c r="ET378" i="1"/>
  <c r="EQ378" i="1"/>
  <c r="EN378" i="1"/>
  <c r="EK378" i="1"/>
  <c r="EH378" i="1"/>
  <c r="EE378" i="1"/>
  <c r="EB378" i="1"/>
  <c r="DY378" i="1"/>
  <c r="DV378" i="1"/>
  <c r="DS378" i="1"/>
  <c r="DP378" i="1"/>
  <c r="DM378" i="1"/>
  <c r="DJ378" i="1"/>
  <c r="GJ377" i="1"/>
  <c r="GG377" i="1"/>
  <c r="GD377" i="1"/>
  <c r="GA377" i="1"/>
  <c r="FX377" i="1"/>
  <c r="FU377" i="1"/>
  <c r="FR377" i="1"/>
  <c r="FO377" i="1"/>
  <c r="FL377" i="1"/>
  <c r="FI377" i="1"/>
  <c r="FF377" i="1"/>
  <c r="FC377" i="1"/>
  <c r="EZ377" i="1"/>
  <c r="EW377" i="1"/>
  <c r="ET377" i="1"/>
  <c r="EQ377" i="1"/>
  <c r="EN377" i="1"/>
  <c r="EK377" i="1"/>
  <c r="EH377" i="1"/>
  <c r="EE377" i="1"/>
  <c r="EB377" i="1"/>
  <c r="DY377" i="1"/>
  <c r="DV377" i="1"/>
  <c r="DS377" i="1"/>
  <c r="DP377" i="1"/>
  <c r="DM377" i="1"/>
  <c r="DJ377" i="1"/>
  <c r="GJ376" i="1"/>
  <c r="FL267" i="1"/>
  <c r="FO267" i="1"/>
  <c r="FR267" i="1"/>
  <c r="FU267" i="1"/>
  <c r="FX267" i="1"/>
  <c r="GA267" i="1"/>
  <c r="GD267" i="1"/>
  <c r="GG267" i="1"/>
  <c r="GG270" i="1"/>
  <c r="GG273" i="1"/>
  <c r="GG276" i="1"/>
  <c r="GG279" i="1"/>
  <c r="GG282" i="1"/>
  <c r="GG285" i="1"/>
  <c r="GG288" i="1"/>
  <c r="GG291" i="1"/>
  <c r="GG376" i="1"/>
  <c r="GD376" i="1"/>
  <c r="GA376" i="1"/>
  <c r="FX376" i="1"/>
  <c r="FU376" i="1"/>
  <c r="FR376" i="1"/>
  <c r="FO376" i="1"/>
  <c r="FL376" i="1"/>
  <c r="FI376" i="1"/>
  <c r="FF376" i="1"/>
  <c r="EK267" i="1"/>
  <c r="EN267" i="1"/>
  <c r="EQ267" i="1"/>
  <c r="ET267" i="1"/>
  <c r="EW267" i="1"/>
  <c r="EZ267" i="1"/>
  <c r="FC267" i="1"/>
  <c r="FC270" i="1"/>
  <c r="FC273" i="1"/>
  <c r="FC276" i="1"/>
  <c r="FC279" i="1"/>
  <c r="FC282" i="1"/>
  <c r="FC285" i="1"/>
  <c r="FC288" i="1"/>
  <c r="FC291" i="1"/>
  <c r="FC376" i="1"/>
  <c r="EZ270" i="1"/>
  <c r="EZ273" i="1"/>
  <c r="EZ276" i="1"/>
  <c r="EZ279" i="1"/>
  <c r="EZ282" i="1"/>
  <c r="EZ285" i="1"/>
  <c r="EZ288" i="1"/>
  <c r="EZ291" i="1"/>
  <c r="EZ376" i="1"/>
  <c r="EW376" i="1"/>
  <c r="ET376" i="1"/>
  <c r="EQ376" i="1"/>
  <c r="EN376" i="1"/>
  <c r="EK376" i="1"/>
  <c r="EH376" i="1"/>
  <c r="EE376" i="1"/>
  <c r="EB376" i="1"/>
  <c r="DY376" i="1"/>
  <c r="DV376" i="1"/>
  <c r="DS376" i="1"/>
  <c r="DJ267" i="1"/>
  <c r="DM267" i="1"/>
  <c r="DP267" i="1"/>
  <c r="DP270" i="1"/>
  <c r="DP273" i="1"/>
  <c r="DP276" i="1"/>
  <c r="DP279" i="1"/>
  <c r="DP282" i="1"/>
  <c r="DP285" i="1"/>
  <c r="DP288" i="1"/>
  <c r="DP291" i="1"/>
  <c r="DP376" i="1"/>
  <c r="DM270" i="1"/>
  <c r="DM273" i="1"/>
  <c r="DM276" i="1"/>
  <c r="DM279" i="1"/>
  <c r="DM282" i="1"/>
  <c r="DM285" i="1"/>
  <c r="DM288" i="1"/>
  <c r="DM291" i="1"/>
  <c r="DM376" i="1"/>
  <c r="DJ376" i="1"/>
  <c r="GJ375" i="1"/>
  <c r="FL266" i="1"/>
  <c r="FO266" i="1"/>
  <c r="FR266" i="1"/>
  <c r="FU266" i="1"/>
  <c r="FX266" i="1"/>
  <c r="GA266" i="1"/>
  <c r="GD266" i="1"/>
  <c r="GG266" i="1"/>
  <c r="GG269" i="1"/>
  <c r="GG272" i="1"/>
  <c r="GG275" i="1"/>
  <c r="GG278" i="1"/>
  <c r="GG281" i="1"/>
  <c r="GG284" i="1"/>
  <c r="GG287" i="1"/>
  <c r="GG290" i="1"/>
  <c r="GG375" i="1"/>
  <c r="GD375" i="1"/>
  <c r="GA375" i="1"/>
  <c r="FX375" i="1"/>
  <c r="FU375" i="1"/>
  <c r="FR375" i="1"/>
  <c r="FO375" i="1"/>
  <c r="FL375" i="1"/>
  <c r="FI375" i="1"/>
  <c r="FF375" i="1"/>
  <c r="EK266" i="1"/>
  <c r="EN266" i="1"/>
  <c r="EQ266" i="1"/>
  <c r="ET266" i="1"/>
  <c r="EW266" i="1"/>
  <c r="EZ266" i="1"/>
  <c r="FC266" i="1"/>
  <c r="FC269" i="1"/>
  <c r="FC272" i="1"/>
  <c r="FC275" i="1"/>
  <c r="FC278" i="1"/>
  <c r="FC281" i="1"/>
  <c r="FC284" i="1"/>
  <c r="FC287" i="1"/>
  <c r="FC290" i="1"/>
  <c r="FC375" i="1"/>
  <c r="EZ269" i="1"/>
  <c r="EZ272" i="1"/>
  <c r="EZ275" i="1"/>
  <c r="EZ278" i="1"/>
  <c r="EZ281" i="1"/>
  <c r="EZ284" i="1"/>
  <c r="EZ287" i="1"/>
  <c r="EZ290" i="1"/>
  <c r="EZ375" i="1"/>
  <c r="EW375" i="1"/>
  <c r="ET375" i="1"/>
  <c r="EQ375" i="1"/>
  <c r="EN375" i="1"/>
  <c r="EK375" i="1"/>
  <c r="EH375" i="1"/>
  <c r="EE375" i="1"/>
  <c r="EB375" i="1"/>
  <c r="DY375" i="1"/>
  <c r="DV375" i="1"/>
  <c r="DS375" i="1"/>
  <c r="DJ266" i="1"/>
  <c r="DM266" i="1"/>
  <c r="DP266" i="1"/>
  <c r="DP269" i="1"/>
  <c r="DP272" i="1"/>
  <c r="DP275" i="1"/>
  <c r="DP278" i="1"/>
  <c r="DP281" i="1"/>
  <c r="DP284" i="1"/>
  <c r="DP287" i="1"/>
  <c r="DP290" i="1"/>
  <c r="DP375" i="1"/>
  <c r="DM269" i="1"/>
  <c r="DM272" i="1"/>
  <c r="DM275" i="1"/>
  <c r="DM278" i="1"/>
  <c r="DM281" i="1"/>
  <c r="DM284" i="1"/>
  <c r="DM287" i="1"/>
  <c r="DM290" i="1"/>
  <c r="DM375" i="1"/>
  <c r="DJ375" i="1"/>
  <c r="GJ374" i="1"/>
  <c r="FL265" i="1"/>
  <c r="FO265" i="1"/>
  <c r="FR265" i="1"/>
  <c r="FU265" i="1"/>
  <c r="FX265" i="1"/>
  <c r="GA265" i="1"/>
  <c r="GD265" i="1"/>
  <c r="GG265" i="1"/>
  <c r="GG268" i="1"/>
  <c r="GG271" i="1"/>
  <c r="GG274" i="1"/>
  <c r="GG277" i="1"/>
  <c r="GG280" i="1"/>
  <c r="GG283" i="1"/>
  <c r="GG286" i="1"/>
  <c r="GG289" i="1"/>
  <c r="GG374" i="1"/>
  <c r="GD374" i="1"/>
  <c r="GA374" i="1"/>
  <c r="FX374" i="1"/>
  <c r="FU374" i="1"/>
  <c r="FR374" i="1"/>
  <c r="FO374" i="1"/>
  <c r="FL374" i="1"/>
  <c r="FI374" i="1"/>
  <c r="FF374" i="1"/>
  <c r="EK265" i="1"/>
  <c r="EN265" i="1"/>
  <c r="EQ265" i="1"/>
  <c r="ET265" i="1"/>
  <c r="EW265" i="1"/>
  <c r="EZ265" i="1"/>
  <c r="FC265" i="1"/>
  <c r="FC268" i="1"/>
  <c r="FC271" i="1"/>
  <c r="FC274" i="1"/>
  <c r="FC277" i="1"/>
  <c r="FC280" i="1"/>
  <c r="FC283" i="1"/>
  <c r="FC286" i="1"/>
  <c r="FC289" i="1"/>
  <c r="FC374" i="1"/>
  <c r="EZ268" i="1"/>
  <c r="EZ271" i="1"/>
  <c r="EZ274" i="1"/>
  <c r="EZ277" i="1"/>
  <c r="EZ280" i="1"/>
  <c r="EZ283" i="1"/>
  <c r="EZ286" i="1"/>
  <c r="EZ289" i="1"/>
  <c r="EZ374" i="1"/>
  <c r="EW374" i="1"/>
  <c r="ET374" i="1"/>
  <c r="EQ374" i="1"/>
  <c r="EN374" i="1"/>
  <c r="EK374" i="1"/>
  <c r="EH374" i="1"/>
  <c r="EE374" i="1"/>
  <c r="EB374" i="1"/>
  <c r="DY374" i="1"/>
  <c r="DV374" i="1"/>
  <c r="DS374" i="1"/>
  <c r="DJ265" i="1"/>
  <c r="DM265" i="1"/>
  <c r="DP265" i="1"/>
  <c r="DP268" i="1"/>
  <c r="DP271" i="1"/>
  <c r="DP274" i="1"/>
  <c r="DP277" i="1"/>
  <c r="DP280" i="1"/>
  <c r="DP283" i="1"/>
  <c r="DP286" i="1"/>
  <c r="DP289" i="1"/>
  <c r="DP374" i="1"/>
  <c r="DM268" i="1"/>
  <c r="DM271" i="1"/>
  <c r="DM274" i="1"/>
  <c r="DM277" i="1"/>
  <c r="DM280" i="1"/>
  <c r="DM283" i="1"/>
  <c r="DM286" i="1"/>
  <c r="DM289" i="1"/>
  <c r="DM374" i="1"/>
  <c r="DJ374" i="1"/>
  <c r="GJ267" i="1"/>
  <c r="GJ270" i="1"/>
  <c r="GJ273" i="1"/>
  <c r="GJ276" i="1"/>
  <c r="GJ279" i="1"/>
  <c r="GJ282" i="1"/>
  <c r="GJ285" i="1"/>
  <c r="GJ288" i="1"/>
  <c r="GJ373" i="1"/>
  <c r="GG373" i="1"/>
  <c r="GD373" i="1"/>
  <c r="GA373" i="1"/>
  <c r="FX373" i="1"/>
  <c r="FU373" i="1"/>
  <c r="FR373" i="1"/>
  <c r="FO373" i="1"/>
  <c r="FL373" i="1"/>
  <c r="FI373" i="1"/>
  <c r="FF267" i="1"/>
  <c r="FF270" i="1"/>
  <c r="FF273" i="1"/>
  <c r="FF276" i="1"/>
  <c r="FF279" i="1"/>
  <c r="FF282" i="1"/>
  <c r="FF285" i="1"/>
  <c r="FF288" i="1"/>
  <c r="FF373" i="1"/>
  <c r="FC373" i="1"/>
  <c r="EZ373" i="1"/>
  <c r="EW270" i="1"/>
  <c r="EW273" i="1"/>
  <c r="EW276" i="1"/>
  <c r="EW279" i="1"/>
  <c r="EW282" i="1"/>
  <c r="EW285" i="1"/>
  <c r="EW288" i="1"/>
  <c r="EW373" i="1"/>
  <c r="ET373" i="1"/>
  <c r="EQ373" i="1"/>
  <c r="EN373" i="1"/>
  <c r="EK373" i="1"/>
  <c r="EH373" i="1"/>
  <c r="EE373" i="1"/>
  <c r="EB373" i="1"/>
  <c r="DY373" i="1"/>
  <c r="DS267" i="1"/>
  <c r="DV267" i="1"/>
  <c r="DV270" i="1"/>
  <c r="DV273" i="1"/>
  <c r="DV276" i="1"/>
  <c r="DV279" i="1"/>
  <c r="DV282" i="1"/>
  <c r="DV285" i="1"/>
  <c r="DV288" i="1"/>
  <c r="DV373" i="1"/>
  <c r="DS270" i="1"/>
  <c r="DS273" i="1"/>
  <c r="DS276" i="1"/>
  <c r="DS279" i="1"/>
  <c r="DS282" i="1"/>
  <c r="DS285" i="1"/>
  <c r="DS288" i="1"/>
  <c r="DS373" i="1"/>
  <c r="DP373" i="1"/>
  <c r="DM373" i="1"/>
  <c r="DJ270" i="1"/>
  <c r="DJ273" i="1"/>
  <c r="DJ276" i="1"/>
  <c r="DJ279" i="1"/>
  <c r="DJ282" i="1"/>
  <c r="DJ285" i="1"/>
  <c r="DJ288" i="1"/>
  <c r="DJ373" i="1"/>
  <c r="GJ266" i="1"/>
  <c r="GJ269" i="1"/>
  <c r="GJ272" i="1"/>
  <c r="GJ275" i="1"/>
  <c r="GJ278" i="1"/>
  <c r="GJ281" i="1"/>
  <c r="GJ284" i="1"/>
  <c r="GJ287" i="1"/>
  <c r="GJ372" i="1"/>
  <c r="GG372" i="1"/>
  <c r="GD372" i="1"/>
  <c r="GA372" i="1"/>
  <c r="FX372" i="1"/>
  <c r="FU372" i="1"/>
  <c r="FR372" i="1"/>
  <c r="FO372" i="1"/>
  <c r="FL372" i="1"/>
  <c r="FI372" i="1"/>
  <c r="FF266" i="1"/>
  <c r="FF269" i="1"/>
  <c r="FF272" i="1"/>
  <c r="FF275" i="1"/>
  <c r="FF278" i="1"/>
  <c r="FF281" i="1"/>
  <c r="FF284" i="1"/>
  <c r="FF287" i="1"/>
  <c r="FF372" i="1"/>
  <c r="FC372" i="1"/>
  <c r="EZ372" i="1"/>
  <c r="EW269" i="1"/>
  <c r="EW272" i="1"/>
  <c r="EW275" i="1"/>
  <c r="EW278" i="1"/>
  <c r="EW281" i="1"/>
  <c r="EW284" i="1"/>
  <c r="EW287" i="1"/>
  <c r="EW372" i="1"/>
  <c r="ET372" i="1"/>
  <c r="EQ372" i="1"/>
  <c r="EN372" i="1"/>
  <c r="EK372" i="1"/>
  <c r="EH372" i="1"/>
  <c r="EE372" i="1"/>
  <c r="EB372" i="1"/>
  <c r="DY372" i="1"/>
  <c r="DS266" i="1"/>
  <c r="DV266" i="1"/>
  <c r="DV269" i="1"/>
  <c r="DV272" i="1"/>
  <c r="DV275" i="1"/>
  <c r="DV278" i="1"/>
  <c r="DV281" i="1"/>
  <c r="DV284" i="1"/>
  <c r="DV287" i="1"/>
  <c r="DV372" i="1"/>
  <c r="DS269" i="1"/>
  <c r="DS272" i="1"/>
  <c r="DS275" i="1"/>
  <c r="DS278" i="1"/>
  <c r="DS281" i="1"/>
  <c r="DS284" i="1"/>
  <c r="DS287" i="1"/>
  <c r="DS372" i="1"/>
  <c r="DP372" i="1"/>
  <c r="DM372" i="1"/>
  <c r="DJ269" i="1"/>
  <c r="DJ272" i="1"/>
  <c r="DJ275" i="1"/>
  <c r="DJ278" i="1"/>
  <c r="DJ281" i="1"/>
  <c r="DJ284" i="1"/>
  <c r="DJ287" i="1"/>
  <c r="DJ372" i="1"/>
  <c r="GJ265" i="1"/>
  <c r="GJ268" i="1"/>
  <c r="GJ271" i="1"/>
  <c r="GJ274" i="1"/>
  <c r="GJ277" i="1"/>
  <c r="GJ280" i="1"/>
  <c r="GJ283" i="1"/>
  <c r="GJ286" i="1"/>
  <c r="GJ371" i="1"/>
  <c r="GG371" i="1"/>
  <c r="GD371" i="1"/>
  <c r="GA371" i="1"/>
  <c r="FX371" i="1"/>
  <c r="FU371" i="1"/>
  <c r="FR371" i="1"/>
  <c r="FO371" i="1"/>
  <c r="FL371" i="1"/>
  <c r="FI371" i="1"/>
  <c r="FF265" i="1"/>
  <c r="FF268" i="1"/>
  <c r="FF271" i="1"/>
  <c r="FF274" i="1"/>
  <c r="FF277" i="1"/>
  <c r="FF280" i="1"/>
  <c r="FF283" i="1"/>
  <c r="FF286" i="1"/>
  <c r="FF371" i="1"/>
  <c r="FC371" i="1"/>
  <c r="EZ371" i="1"/>
  <c r="EW268" i="1"/>
  <c r="EW271" i="1"/>
  <c r="EW274" i="1"/>
  <c r="EW277" i="1"/>
  <c r="EW280" i="1"/>
  <c r="EW283" i="1"/>
  <c r="EW286" i="1"/>
  <c r="EW371" i="1"/>
  <c r="ET371" i="1"/>
  <c r="EQ371" i="1"/>
  <c r="EN371" i="1"/>
  <c r="EK371" i="1"/>
  <c r="EH371" i="1"/>
  <c r="EE371" i="1"/>
  <c r="EB371" i="1"/>
  <c r="DY371" i="1"/>
  <c r="DS265" i="1"/>
  <c r="DV265" i="1"/>
  <c r="DV268" i="1"/>
  <c r="DV271" i="1"/>
  <c r="DV274" i="1"/>
  <c r="DV277" i="1"/>
  <c r="DV280" i="1"/>
  <c r="DV283" i="1"/>
  <c r="DV286" i="1"/>
  <c r="DV371" i="1"/>
  <c r="DS268" i="1"/>
  <c r="DS271" i="1"/>
  <c r="DS274" i="1"/>
  <c r="DS277" i="1"/>
  <c r="DS280" i="1"/>
  <c r="DS283" i="1"/>
  <c r="DS286" i="1"/>
  <c r="DS371" i="1"/>
  <c r="DP371" i="1"/>
  <c r="DM371" i="1"/>
  <c r="DJ268" i="1"/>
  <c r="DJ271" i="1"/>
  <c r="DJ274" i="1"/>
  <c r="DJ277" i="1"/>
  <c r="DJ280" i="1"/>
  <c r="DJ283" i="1"/>
  <c r="DJ286" i="1"/>
  <c r="DJ371" i="1"/>
  <c r="GJ370" i="1"/>
  <c r="GG370" i="1"/>
  <c r="GD270" i="1"/>
  <c r="GD273" i="1"/>
  <c r="GD276" i="1"/>
  <c r="GD279" i="1"/>
  <c r="GD282" i="1"/>
  <c r="GD285" i="1"/>
  <c r="GD370" i="1"/>
  <c r="GA270" i="1"/>
  <c r="GA273" i="1"/>
  <c r="GA276" i="1"/>
  <c r="GA279" i="1"/>
  <c r="GA282" i="1"/>
  <c r="GA285" i="1"/>
  <c r="GA370" i="1"/>
  <c r="FX270" i="1"/>
  <c r="FX273" i="1"/>
  <c r="FX276" i="1"/>
  <c r="FX279" i="1"/>
  <c r="FX282" i="1"/>
  <c r="FX285" i="1"/>
  <c r="FX370" i="1"/>
  <c r="FU370" i="1"/>
  <c r="FR370" i="1"/>
  <c r="FO370" i="1"/>
  <c r="FL370" i="1"/>
  <c r="FI267" i="1"/>
  <c r="FI270" i="1"/>
  <c r="FI273" i="1"/>
  <c r="FI276" i="1"/>
  <c r="FI279" i="1"/>
  <c r="FI282" i="1"/>
  <c r="FI285" i="1"/>
  <c r="FI370" i="1"/>
  <c r="FF370" i="1"/>
  <c r="FC370" i="1"/>
  <c r="EZ370" i="1"/>
  <c r="EW370" i="1"/>
  <c r="ET270" i="1"/>
  <c r="ET273" i="1"/>
  <c r="ET276" i="1"/>
  <c r="ET279" i="1"/>
  <c r="ET282" i="1"/>
  <c r="ET285" i="1"/>
  <c r="ET370" i="1"/>
  <c r="EQ370" i="1"/>
  <c r="EN270" i="1"/>
  <c r="EN273" i="1"/>
  <c r="EN276" i="1"/>
  <c r="EN279" i="1"/>
  <c r="EN282" i="1"/>
  <c r="EN285" i="1"/>
  <c r="EN370" i="1"/>
  <c r="EK370" i="1"/>
  <c r="EH370" i="1"/>
  <c r="EE370" i="1"/>
  <c r="DY267" i="1"/>
  <c r="EB267" i="1"/>
  <c r="EB270" i="1"/>
  <c r="EB273" i="1"/>
  <c r="EB276" i="1"/>
  <c r="EB279" i="1"/>
  <c r="EB282" i="1"/>
  <c r="EB285" i="1"/>
  <c r="EB370" i="1"/>
  <c r="DY270" i="1"/>
  <c r="DY273" i="1"/>
  <c r="DY276" i="1"/>
  <c r="DY279" i="1"/>
  <c r="DY282" i="1"/>
  <c r="DY285" i="1"/>
  <c r="DY370" i="1"/>
  <c r="DV370" i="1"/>
  <c r="DS370" i="1"/>
  <c r="DP370" i="1"/>
  <c r="DM370" i="1"/>
  <c r="DJ370" i="1"/>
  <c r="GJ369" i="1"/>
  <c r="GG369" i="1"/>
  <c r="GD269" i="1"/>
  <c r="GD272" i="1"/>
  <c r="GD275" i="1"/>
  <c r="GD278" i="1"/>
  <c r="GD281" i="1"/>
  <c r="GD284" i="1"/>
  <c r="GD369" i="1"/>
  <c r="GA269" i="1"/>
  <c r="GA272" i="1"/>
  <c r="GA275" i="1"/>
  <c r="GA278" i="1"/>
  <c r="GA281" i="1"/>
  <c r="GA284" i="1"/>
  <c r="GA369" i="1"/>
  <c r="FX269" i="1"/>
  <c r="FX272" i="1"/>
  <c r="FX275" i="1"/>
  <c r="FX278" i="1"/>
  <c r="FX281" i="1"/>
  <c r="FX284" i="1"/>
  <c r="FX369" i="1"/>
  <c r="FU369" i="1"/>
  <c r="FR369" i="1"/>
  <c r="FO369" i="1"/>
  <c r="FL369" i="1"/>
  <c r="FI266" i="1"/>
  <c r="FI269" i="1"/>
  <c r="FI272" i="1"/>
  <c r="FI275" i="1"/>
  <c r="FI278" i="1"/>
  <c r="FI281" i="1"/>
  <c r="FI284" i="1"/>
  <c r="FI369" i="1"/>
  <c r="FF369" i="1"/>
  <c r="FC369" i="1"/>
  <c r="EZ369" i="1"/>
  <c r="EW369" i="1"/>
  <c r="ET269" i="1"/>
  <c r="ET272" i="1"/>
  <c r="ET275" i="1"/>
  <c r="ET278" i="1"/>
  <c r="ET281" i="1"/>
  <c r="ET284" i="1"/>
  <c r="ET369" i="1"/>
  <c r="EQ369" i="1"/>
  <c r="EN269" i="1"/>
  <c r="EN272" i="1"/>
  <c r="EN275" i="1"/>
  <c r="EN278" i="1"/>
  <c r="EN281" i="1"/>
  <c r="EN284" i="1"/>
  <c r="EN369" i="1"/>
  <c r="EK369" i="1"/>
  <c r="EH369" i="1"/>
  <c r="EE369" i="1"/>
  <c r="DY266" i="1"/>
  <c r="EB266" i="1"/>
  <c r="EB269" i="1"/>
  <c r="EB272" i="1"/>
  <c r="EB275" i="1"/>
  <c r="EB278" i="1"/>
  <c r="EB281" i="1"/>
  <c r="EB284" i="1"/>
  <c r="EB369" i="1"/>
  <c r="DY269" i="1"/>
  <c r="DY272" i="1"/>
  <c r="DY275" i="1"/>
  <c r="DY278" i="1"/>
  <c r="DY281" i="1"/>
  <c r="DY284" i="1"/>
  <c r="DY369" i="1"/>
  <c r="DV369" i="1"/>
  <c r="DS369" i="1"/>
  <c r="DP369" i="1"/>
  <c r="DM369" i="1"/>
  <c r="DJ369" i="1"/>
  <c r="GJ368" i="1"/>
  <c r="GG368" i="1"/>
  <c r="GD268" i="1"/>
  <c r="GD271" i="1"/>
  <c r="GD274" i="1"/>
  <c r="GD277" i="1"/>
  <c r="GD280" i="1"/>
  <c r="GD283" i="1"/>
  <c r="GD368" i="1"/>
  <c r="GA268" i="1"/>
  <c r="GA271" i="1"/>
  <c r="GA274" i="1"/>
  <c r="GA277" i="1"/>
  <c r="GA280" i="1"/>
  <c r="GA283" i="1"/>
  <c r="GA368" i="1"/>
  <c r="FX268" i="1"/>
  <c r="FX271" i="1"/>
  <c r="FX274" i="1"/>
  <c r="FX277" i="1"/>
  <c r="FX280" i="1"/>
  <c r="FX283" i="1"/>
  <c r="FX368" i="1"/>
  <c r="FU368" i="1"/>
  <c r="FR368" i="1"/>
  <c r="FO368" i="1"/>
  <c r="FL368" i="1"/>
  <c r="FI265" i="1"/>
  <c r="FI268" i="1"/>
  <c r="FI271" i="1"/>
  <c r="FI274" i="1"/>
  <c r="FI277" i="1"/>
  <c r="FI280" i="1"/>
  <c r="FI283" i="1"/>
  <c r="FI368" i="1"/>
  <c r="FF368" i="1"/>
  <c r="FC368" i="1"/>
  <c r="EZ368" i="1"/>
  <c r="EW368" i="1"/>
  <c r="ET268" i="1"/>
  <c r="ET271" i="1"/>
  <c r="ET274" i="1"/>
  <c r="ET277" i="1"/>
  <c r="ET280" i="1"/>
  <c r="ET283" i="1"/>
  <c r="ET368" i="1"/>
  <c r="EQ368" i="1"/>
  <c r="EN268" i="1"/>
  <c r="EN271" i="1"/>
  <c r="EN274" i="1"/>
  <c r="EN277" i="1"/>
  <c r="EN280" i="1"/>
  <c r="EN283" i="1"/>
  <c r="EN368" i="1"/>
  <c r="EK368" i="1"/>
  <c r="EH368" i="1"/>
  <c r="EE368" i="1"/>
  <c r="DY265" i="1"/>
  <c r="EB265" i="1"/>
  <c r="EB268" i="1"/>
  <c r="EB271" i="1"/>
  <c r="EB274" i="1"/>
  <c r="EB277" i="1"/>
  <c r="EB280" i="1"/>
  <c r="EB283" i="1"/>
  <c r="EB368" i="1"/>
  <c r="DY268" i="1"/>
  <c r="DY271" i="1"/>
  <c r="DY274" i="1"/>
  <c r="DY277" i="1"/>
  <c r="DY280" i="1"/>
  <c r="DY283" i="1"/>
  <c r="DY368" i="1"/>
  <c r="DV368" i="1"/>
  <c r="DS368" i="1"/>
  <c r="DP368" i="1"/>
  <c r="DM368" i="1"/>
  <c r="DJ368" i="1"/>
  <c r="GJ367" i="1"/>
  <c r="GG367" i="1"/>
  <c r="GD367" i="1"/>
  <c r="GA367" i="1"/>
  <c r="FX367" i="1"/>
  <c r="FU367" i="1"/>
  <c r="FR367" i="1"/>
  <c r="FO367" i="1"/>
  <c r="FL367" i="1"/>
  <c r="FI367" i="1"/>
  <c r="FF367" i="1"/>
  <c r="FC367" i="1"/>
  <c r="EZ367" i="1"/>
  <c r="EW367" i="1"/>
  <c r="ET367" i="1"/>
  <c r="EQ270" i="1"/>
  <c r="EQ273" i="1"/>
  <c r="EQ276" i="1"/>
  <c r="EQ279" i="1"/>
  <c r="EQ282" i="1"/>
  <c r="EQ367" i="1"/>
  <c r="EN367" i="1"/>
  <c r="EK367" i="1"/>
  <c r="EH367" i="1"/>
  <c r="EE367" i="1"/>
  <c r="EB367" i="1"/>
  <c r="DY367" i="1"/>
  <c r="DV367" i="1"/>
  <c r="DS367" i="1"/>
  <c r="DP367" i="1"/>
  <c r="DM367" i="1"/>
  <c r="DJ367" i="1"/>
  <c r="GJ366" i="1"/>
  <c r="GG366" i="1"/>
  <c r="GD366" i="1"/>
  <c r="GA366" i="1"/>
  <c r="FX366" i="1"/>
  <c r="FU366" i="1"/>
  <c r="FR366" i="1"/>
  <c r="FO366" i="1"/>
  <c r="FL366" i="1"/>
  <c r="FI366" i="1"/>
  <c r="FF366" i="1"/>
  <c r="FC366" i="1"/>
  <c r="EZ366" i="1"/>
  <c r="EW366" i="1"/>
  <c r="ET366" i="1"/>
  <c r="EQ269" i="1"/>
  <c r="EQ272" i="1"/>
  <c r="EQ275" i="1"/>
  <c r="EQ278" i="1"/>
  <c r="EQ281" i="1"/>
  <c r="EQ366" i="1"/>
  <c r="EN366" i="1"/>
  <c r="EK366" i="1"/>
  <c r="EH366" i="1"/>
  <c r="EE366" i="1"/>
  <c r="EB366" i="1"/>
  <c r="DY366" i="1"/>
  <c r="DV366" i="1"/>
  <c r="DS366" i="1"/>
  <c r="DP366" i="1"/>
  <c r="DM366" i="1"/>
  <c r="DJ366" i="1"/>
  <c r="GJ365" i="1"/>
  <c r="GG365" i="1"/>
  <c r="GD365" i="1"/>
  <c r="GA365" i="1"/>
  <c r="FX365" i="1"/>
  <c r="FU365" i="1"/>
  <c r="FR365" i="1"/>
  <c r="FO365" i="1"/>
  <c r="FL365" i="1"/>
  <c r="FI365" i="1"/>
  <c r="FF365" i="1"/>
  <c r="FC365" i="1"/>
  <c r="EZ365" i="1"/>
  <c r="EW365" i="1"/>
  <c r="ET365" i="1"/>
  <c r="EQ268" i="1"/>
  <c r="EQ271" i="1"/>
  <c r="EQ274" i="1"/>
  <c r="EQ277" i="1"/>
  <c r="EQ280" i="1"/>
  <c r="EQ365" i="1"/>
  <c r="EN365" i="1"/>
  <c r="EK365" i="1"/>
  <c r="EH365" i="1"/>
  <c r="EE365" i="1"/>
  <c r="EB365" i="1"/>
  <c r="DY365" i="1"/>
  <c r="DV365" i="1"/>
  <c r="DS365" i="1"/>
  <c r="DP365" i="1"/>
  <c r="DM365" i="1"/>
  <c r="DJ365" i="1"/>
  <c r="GJ364" i="1"/>
  <c r="GG364" i="1"/>
  <c r="GD364" i="1"/>
  <c r="GA364" i="1"/>
  <c r="FX364" i="1"/>
  <c r="FU364" i="1"/>
  <c r="FR364" i="1"/>
  <c r="FO364" i="1"/>
  <c r="FL364" i="1"/>
  <c r="FI364" i="1"/>
  <c r="FF364" i="1"/>
  <c r="FC364" i="1"/>
  <c r="EZ364" i="1"/>
  <c r="EW364" i="1"/>
  <c r="ET364" i="1"/>
  <c r="EQ364" i="1"/>
  <c r="EN364" i="1"/>
  <c r="EK270" i="1"/>
  <c r="EK273" i="1"/>
  <c r="EK276" i="1"/>
  <c r="EK279" i="1"/>
  <c r="EK364" i="1"/>
  <c r="EH364" i="1"/>
  <c r="EE364" i="1"/>
  <c r="EB364" i="1"/>
  <c r="DY364" i="1"/>
  <c r="DV364" i="1"/>
  <c r="DS364" i="1"/>
  <c r="DP364" i="1"/>
  <c r="DM364" i="1"/>
  <c r="DJ364" i="1"/>
  <c r="GJ363" i="1"/>
  <c r="GG363" i="1"/>
  <c r="GD363" i="1"/>
  <c r="GA363" i="1"/>
  <c r="FX363" i="1"/>
  <c r="FU363" i="1"/>
  <c r="FR363" i="1"/>
  <c r="FO363" i="1"/>
  <c r="FL363" i="1"/>
  <c r="FI363" i="1"/>
  <c r="FF363" i="1"/>
  <c r="FC363" i="1"/>
  <c r="EZ363" i="1"/>
  <c r="EW363" i="1"/>
  <c r="ET363" i="1"/>
  <c r="EQ363" i="1"/>
  <c r="EN363" i="1"/>
  <c r="EK269" i="1"/>
  <c r="EK272" i="1"/>
  <c r="EK275" i="1"/>
  <c r="EK278" i="1"/>
  <c r="EK363" i="1"/>
  <c r="EH363" i="1"/>
  <c r="EE363" i="1"/>
  <c r="EB363" i="1"/>
  <c r="DY363" i="1"/>
  <c r="DV363" i="1"/>
  <c r="DS363" i="1"/>
  <c r="DP363" i="1"/>
  <c r="DM363" i="1"/>
  <c r="DJ363" i="1"/>
  <c r="GJ362" i="1"/>
  <c r="GG362" i="1"/>
  <c r="GD362" i="1"/>
  <c r="GA362" i="1"/>
  <c r="FX362" i="1"/>
  <c r="FU362" i="1"/>
  <c r="FR362" i="1"/>
  <c r="FO362" i="1"/>
  <c r="FL362" i="1"/>
  <c r="FI362" i="1"/>
  <c r="FF362" i="1"/>
  <c r="FC362" i="1"/>
  <c r="EZ362" i="1"/>
  <c r="EW362" i="1"/>
  <c r="ET362" i="1"/>
  <c r="EQ362" i="1"/>
  <c r="EN362" i="1"/>
  <c r="EK268" i="1"/>
  <c r="EK271" i="1"/>
  <c r="EK274" i="1"/>
  <c r="EK277" i="1"/>
  <c r="EK362" i="1"/>
  <c r="EH362" i="1"/>
  <c r="EE362" i="1"/>
  <c r="EB362" i="1"/>
  <c r="DY362" i="1"/>
  <c r="DV362" i="1"/>
  <c r="DS362" i="1"/>
  <c r="DP362" i="1"/>
  <c r="DM362" i="1"/>
  <c r="DJ362" i="1"/>
  <c r="GJ361" i="1"/>
  <c r="GG361" i="1"/>
  <c r="GD361" i="1"/>
  <c r="GA361" i="1"/>
  <c r="FX361" i="1"/>
  <c r="FU270" i="1"/>
  <c r="FU273" i="1"/>
  <c r="FU276" i="1"/>
  <c r="FU361" i="1"/>
  <c r="FR361" i="1"/>
  <c r="FO361" i="1"/>
  <c r="FL361" i="1"/>
  <c r="FI361" i="1"/>
  <c r="FF361" i="1"/>
  <c r="FC361" i="1"/>
  <c r="EZ361" i="1"/>
  <c r="EW361" i="1"/>
  <c r="ET361" i="1"/>
  <c r="EQ361" i="1"/>
  <c r="EN361" i="1"/>
  <c r="EK361" i="1"/>
  <c r="EH361" i="1"/>
  <c r="EE361" i="1"/>
  <c r="EB361" i="1"/>
  <c r="DY361" i="1"/>
  <c r="DV361" i="1"/>
  <c r="DS361" i="1"/>
  <c r="DP361" i="1"/>
  <c r="DM361" i="1"/>
  <c r="DJ361" i="1"/>
  <c r="GJ360" i="1"/>
  <c r="GG360" i="1"/>
  <c r="GD360" i="1"/>
  <c r="GA360" i="1"/>
  <c r="FX360" i="1"/>
  <c r="FU269" i="1"/>
  <c r="FU272" i="1"/>
  <c r="FU275" i="1"/>
  <c r="FU360" i="1"/>
  <c r="FR360" i="1"/>
  <c r="FO360" i="1"/>
  <c r="FL360" i="1"/>
  <c r="FI360" i="1"/>
  <c r="FF360" i="1"/>
  <c r="FC360" i="1"/>
  <c r="EZ360" i="1"/>
  <c r="EW360" i="1"/>
  <c r="ET360" i="1"/>
  <c r="EQ360" i="1"/>
  <c r="EN360" i="1"/>
  <c r="EK360" i="1"/>
  <c r="EH360" i="1"/>
  <c r="EE360" i="1"/>
  <c r="EB360" i="1"/>
  <c r="DY360" i="1"/>
  <c r="DV360" i="1"/>
  <c r="DS360" i="1"/>
  <c r="DP360" i="1"/>
  <c r="DM360" i="1"/>
  <c r="DJ360" i="1"/>
  <c r="GJ359" i="1"/>
  <c r="GG359" i="1"/>
  <c r="GD359" i="1"/>
  <c r="GA359" i="1"/>
  <c r="FX359" i="1"/>
  <c r="FU268" i="1"/>
  <c r="FU271" i="1"/>
  <c r="FU274" i="1"/>
  <c r="FU359" i="1"/>
  <c r="FR359" i="1"/>
  <c r="FO359" i="1"/>
  <c r="FL359" i="1"/>
  <c r="FI359" i="1"/>
  <c r="FF359" i="1"/>
  <c r="FC359" i="1"/>
  <c r="EZ359" i="1"/>
  <c r="EW359" i="1"/>
  <c r="ET359" i="1"/>
  <c r="EQ359" i="1"/>
  <c r="EN359" i="1"/>
  <c r="EK359" i="1"/>
  <c r="EH359" i="1"/>
  <c r="EE359" i="1"/>
  <c r="EB359" i="1"/>
  <c r="DY359" i="1"/>
  <c r="DV359" i="1"/>
  <c r="DS359" i="1"/>
  <c r="DP359" i="1"/>
  <c r="DM359" i="1"/>
  <c r="DJ359" i="1"/>
  <c r="GJ358" i="1"/>
  <c r="GG358" i="1"/>
  <c r="GD358" i="1"/>
  <c r="GA358" i="1"/>
  <c r="FX358" i="1"/>
  <c r="FU358" i="1"/>
  <c r="FR358" i="1"/>
  <c r="FO358" i="1"/>
  <c r="FL358" i="1"/>
  <c r="FI358" i="1"/>
  <c r="FF358" i="1"/>
  <c r="FC358" i="1"/>
  <c r="EZ358" i="1"/>
  <c r="EW358" i="1"/>
  <c r="ET358" i="1"/>
  <c r="EQ358" i="1"/>
  <c r="EN358" i="1"/>
  <c r="EK358" i="1"/>
  <c r="EH358" i="1"/>
  <c r="EE358" i="1"/>
  <c r="EB358" i="1"/>
  <c r="DY358" i="1"/>
  <c r="DV358" i="1"/>
  <c r="DS358" i="1"/>
  <c r="DP358" i="1"/>
  <c r="DM358" i="1"/>
  <c r="DJ358" i="1"/>
  <c r="GJ357" i="1"/>
  <c r="GG357" i="1"/>
  <c r="GD357" i="1"/>
  <c r="GA357" i="1"/>
  <c r="FX357" i="1"/>
  <c r="FU357" i="1"/>
  <c r="FR357" i="1"/>
  <c r="FO357" i="1"/>
  <c r="FL357" i="1"/>
  <c r="FI357" i="1"/>
  <c r="FF357" i="1"/>
  <c r="FC357" i="1"/>
  <c r="EZ357" i="1"/>
  <c r="EW357" i="1"/>
  <c r="ET357" i="1"/>
  <c r="EQ357" i="1"/>
  <c r="EN357" i="1"/>
  <c r="EK357" i="1"/>
  <c r="EH357" i="1"/>
  <c r="EE357" i="1"/>
  <c r="EB357" i="1"/>
  <c r="DY357" i="1"/>
  <c r="DV357" i="1"/>
  <c r="DS357" i="1"/>
  <c r="DP357" i="1"/>
  <c r="DM357" i="1"/>
  <c r="DJ357" i="1"/>
  <c r="GJ356" i="1"/>
  <c r="GG356" i="1"/>
  <c r="GD356" i="1"/>
  <c r="GA356" i="1"/>
  <c r="FX356" i="1"/>
  <c r="FU356" i="1"/>
  <c r="FR356" i="1"/>
  <c r="FO356" i="1"/>
  <c r="FL356" i="1"/>
  <c r="FI356" i="1"/>
  <c r="FF356" i="1"/>
  <c r="FC356" i="1"/>
  <c r="EZ356" i="1"/>
  <c r="EW356" i="1"/>
  <c r="ET356" i="1"/>
  <c r="EQ356" i="1"/>
  <c r="EN356" i="1"/>
  <c r="EK356" i="1"/>
  <c r="EH356" i="1"/>
  <c r="EE356" i="1"/>
  <c r="EB356" i="1"/>
  <c r="DY356" i="1"/>
  <c r="DV356" i="1"/>
  <c r="DS356" i="1"/>
  <c r="DP356" i="1"/>
  <c r="DM356" i="1"/>
  <c r="DJ356" i="1"/>
  <c r="GJ355" i="1"/>
  <c r="GG355" i="1"/>
  <c r="GD355" i="1"/>
  <c r="GA355" i="1"/>
  <c r="FX355" i="1"/>
  <c r="FU355" i="1"/>
  <c r="FR355" i="1"/>
  <c r="FO355" i="1"/>
  <c r="FL355" i="1"/>
  <c r="FI355" i="1"/>
  <c r="FF355" i="1"/>
  <c r="FC355" i="1"/>
  <c r="EZ355" i="1"/>
  <c r="EW355" i="1"/>
  <c r="ET355" i="1"/>
  <c r="EQ355" i="1"/>
  <c r="EN355" i="1"/>
  <c r="EK355" i="1"/>
  <c r="EH355" i="1"/>
  <c r="EE355" i="1"/>
  <c r="EB355" i="1"/>
  <c r="DY355" i="1"/>
  <c r="DV355" i="1"/>
  <c r="DS355" i="1"/>
  <c r="DP355" i="1"/>
  <c r="DM355" i="1"/>
  <c r="DJ355" i="1"/>
  <c r="GJ354" i="1"/>
  <c r="GG354" i="1"/>
  <c r="GD354" i="1"/>
  <c r="GA354" i="1"/>
  <c r="FX354" i="1"/>
  <c r="FU354" i="1"/>
  <c r="FR354" i="1"/>
  <c r="FO354" i="1"/>
  <c r="FL354" i="1"/>
  <c r="FI354" i="1"/>
  <c r="FF354" i="1"/>
  <c r="FC354" i="1"/>
  <c r="EZ354" i="1"/>
  <c r="EW354" i="1"/>
  <c r="ET354" i="1"/>
  <c r="EQ354" i="1"/>
  <c r="EN354" i="1"/>
  <c r="EK354" i="1"/>
  <c r="EH354" i="1"/>
  <c r="EE354" i="1"/>
  <c r="EB354" i="1"/>
  <c r="DY354" i="1"/>
  <c r="DV354" i="1"/>
  <c r="DS354" i="1"/>
  <c r="DP354" i="1"/>
  <c r="DM354" i="1"/>
  <c r="DJ354" i="1"/>
  <c r="GJ353" i="1"/>
  <c r="GG353" i="1"/>
  <c r="GD353" i="1"/>
  <c r="GA353" i="1"/>
  <c r="FX353" i="1"/>
  <c r="FU353" i="1"/>
  <c r="FR353" i="1"/>
  <c r="FO353" i="1"/>
  <c r="FL353" i="1"/>
  <c r="FI353" i="1"/>
  <c r="FF353" i="1"/>
  <c r="FC353" i="1"/>
  <c r="EZ353" i="1"/>
  <c r="EW353" i="1"/>
  <c r="ET353" i="1"/>
  <c r="EQ353" i="1"/>
  <c r="EN353" i="1"/>
  <c r="EK353" i="1"/>
  <c r="EH353" i="1"/>
  <c r="EE353" i="1"/>
  <c r="EB353" i="1"/>
  <c r="DY353" i="1"/>
  <c r="DV353" i="1"/>
  <c r="DS353" i="1"/>
  <c r="DP353" i="1"/>
  <c r="DM353" i="1"/>
  <c r="DJ353" i="1"/>
  <c r="GN142" i="1"/>
  <c r="GN169" i="1"/>
  <c r="GN196" i="1"/>
  <c r="GT142" i="1"/>
  <c r="GT169" i="1"/>
  <c r="GJ352" i="1"/>
  <c r="GG352" i="1"/>
  <c r="GD352" i="1"/>
  <c r="GA352" i="1"/>
  <c r="FX352" i="1"/>
  <c r="FU352" i="1"/>
  <c r="FR352" i="1"/>
  <c r="FO352" i="1"/>
  <c r="FL352" i="1"/>
  <c r="FI352" i="1"/>
  <c r="FF352" i="1"/>
  <c r="FC352" i="1"/>
  <c r="EZ352" i="1"/>
  <c r="EW352" i="1"/>
  <c r="ET352" i="1"/>
  <c r="EQ352" i="1"/>
  <c r="EN352" i="1"/>
  <c r="EK352" i="1"/>
  <c r="EH352" i="1"/>
  <c r="EE352" i="1"/>
  <c r="EB352" i="1"/>
  <c r="DY352" i="1"/>
  <c r="DV352" i="1"/>
  <c r="DS352" i="1"/>
  <c r="DP352" i="1"/>
  <c r="DM352" i="1"/>
  <c r="DJ352" i="1"/>
  <c r="GN141" i="1"/>
  <c r="GN168" i="1"/>
  <c r="GN195" i="1"/>
  <c r="GT141" i="1"/>
  <c r="GT168" i="1"/>
  <c r="GJ351" i="1"/>
  <c r="GG351" i="1"/>
  <c r="GD351" i="1"/>
  <c r="GA351" i="1"/>
  <c r="FX351" i="1"/>
  <c r="FU351" i="1"/>
  <c r="FR351" i="1"/>
  <c r="FO351" i="1"/>
  <c r="FL351" i="1"/>
  <c r="FI351" i="1"/>
  <c r="FF351" i="1"/>
  <c r="FC351" i="1"/>
  <c r="EZ351" i="1"/>
  <c r="EW351" i="1"/>
  <c r="ET351" i="1"/>
  <c r="EQ351" i="1"/>
  <c r="EN351" i="1"/>
  <c r="EK351" i="1"/>
  <c r="EH351" i="1"/>
  <c r="EE351" i="1"/>
  <c r="EB351" i="1"/>
  <c r="DY351" i="1"/>
  <c r="DV351" i="1"/>
  <c r="DS351" i="1"/>
  <c r="DP351" i="1"/>
  <c r="DM351" i="1"/>
  <c r="DJ351" i="1"/>
  <c r="GN140" i="1"/>
  <c r="GN167" i="1"/>
  <c r="GN194" i="1"/>
  <c r="GT140" i="1"/>
  <c r="GT167" i="1"/>
  <c r="GJ350" i="1"/>
  <c r="GG350" i="1"/>
  <c r="GD350" i="1"/>
  <c r="GA350" i="1"/>
  <c r="FX350" i="1"/>
  <c r="FU350" i="1"/>
  <c r="FR350" i="1"/>
  <c r="FO350" i="1"/>
  <c r="FL350" i="1"/>
  <c r="FI350" i="1"/>
  <c r="FF350" i="1"/>
  <c r="FC350" i="1"/>
  <c r="EZ350" i="1"/>
  <c r="EW350" i="1"/>
  <c r="ET350" i="1"/>
  <c r="EQ350" i="1"/>
  <c r="EN350" i="1"/>
  <c r="EK350" i="1"/>
  <c r="EH350" i="1"/>
  <c r="EE350" i="1"/>
  <c r="EB350" i="1"/>
  <c r="DY350" i="1"/>
  <c r="DV350" i="1"/>
  <c r="DS350" i="1"/>
  <c r="DP350" i="1"/>
  <c r="DM350" i="1"/>
  <c r="DJ350" i="1"/>
  <c r="FL240" i="1"/>
  <c r="FO240" i="1"/>
  <c r="FR240" i="1"/>
  <c r="FU240" i="1"/>
  <c r="FX240" i="1"/>
  <c r="GA240" i="1"/>
  <c r="GD240" i="1"/>
  <c r="GG240" i="1"/>
  <c r="GJ240" i="1"/>
  <c r="GJ243" i="1"/>
  <c r="GJ246" i="1"/>
  <c r="GJ249" i="1"/>
  <c r="GJ252" i="1"/>
  <c r="GJ255" i="1"/>
  <c r="GJ258" i="1"/>
  <c r="GJ261" i="1"/>
  <c r="GJ264" i="1"/>
  <c r="GJ349" i="1"/>
  <c r="GG349" i="1"/>
  <c r="GD349" i="1"/>
  <c r="GA349" i="1"/>
  <c r="FX349" i="1"/>
  <c r="FU349" i="1"/>
  <c r="FR349" i="1"/>
  <c r="FO349" i="1"/>
  <c r="FL349" i="1"/>
  <c r="FI349" i="1"/>
  <c r="FF349" i="1"/>
  <c r="FC349" i="1"/>
  <c r="EZ349" i="1"/>
  <c r="EW349" i="1"/>
  <c r="ET349" i="1"/>
  <c r="EQ349" i="1"/>
  <c r="EN349" i="1"/>
  <c r="EK349" i="1"/>
  <c r="EH349" i="1"/>
  <c r="EE349" i="1"/>
  <c r="EB349" i="1"/>
  <c r="DY349" i="1"/>
  <c r="DV349" i="1"/>
  <c r="DS349" i="1"/>
  <c r="DP349" i="1"/>
  <c r="DM349" i="1"/>
  <c r="DJ349" i="1"/>
  <c r="FL239" i="1"/>
  <c r="FO239" i="1"/>
  <c r="FR239" i="1"/>
  <c r="FU239" i="1"/>
  <c r="FX239" i="1"/>
  <c r="GA239" i="1"/>
  <c r="GD239" i="1"/>
  <c r="GG239" i="1"/>
  <c r="GJ239" i="1"/>
  <c r="GJ242" i="1"/>
  <c r="GJ245" i="1"/>
  <c r="GJ248" i="1"/>
  <c r="GJ251" i="1"/>
  <c r="GJ254" i="1"/>
  <c r="GJ257" i="1"/>
  <c r="GJ260" i="1"/>
  <c r="GJ263" i="1"/>
  <c r="GJ348" i="1"/>
  <c r="GG348" i="1"/>
  <c r="GD348" i="1"/>
  <c r="GA348" i="1"/>
  <c r="FX348" i="1"/>
  <c r="FU348" i="1"/>
  <c r="FR348" i="1"/>
  <c r="FO348" i="1"/>
  <c r="FL348" i="1"/>
  <c r="FI348" i="1"/>
  <c r="FF348" i="1"/>
  <c r="FC348" i="1"/>
  <c r="EZ348" i="1"/>
  <c r="EW348" i="1"/>
  <c r="ET348" i="1"/>
  <c r="EQ348" i="1"/>
  <c r="EN348" i="1"/>
  <c r="EK348" i="1"/>
  <c r="EH348" i="1"/>
  <c r="EE348" i="1"/>
  <c r="EB348" i="1"/>
  <c r="DY348" i="1"/>
  <c r="DV348" i="1"/>
  <c r="DS348" i="1"/>
  <c r="DP348" i="1"/>
  <c r="DM348" i="1"/>
  <c r="DJ348" i="1"/>
  <c r="FL238" i="1"/>
  <c r="FO238" i="1"/>
  <c r="FR238" i="1"/>
  <c r="FU238" i="1"/>
  <c r="FX238" i="1"/>
  <c r="GA238" i="1"/>
  <c r="GD238" i="1"/>
  <c r="GG238" i="1"/>
  <c r="GJ238" i="1"/>
  <c r="GJ241" i="1"/>
  <c r="GJ244" i="1"/>
  <c r="GJ247" i="1"/>
  <c r="GJ250" i="1"/>
  <c r="GJ253" i="1"/>
  <c r="GJ256" i="1"/>
  <c r="GJ259" i="1"/>
  <c r="GJ262" i="1"/>
  <c r="GJ347" i="1"/>
  <c r="GG347" i="1"/>
  <c r="GD347" i="1"/>
  <c r="GA347" i="1"/>
  <c r="FX347" i="1"/>
  <c r="FU347" i="1"/>
  <c r="FR347" i="1"/>
  <c r="FO347" i="1"/>
  <c r="FL347" i="1"/>
  <c r="FI347" i="1"/>
  <c r="FF347" i="1"/>
  <c r="FC347" i="1"/>
  <c r="EZ347" i="1"/>
  <c r="EW347" i="1"/>
  <c r="ET347" i="1"/>
  <c r="EQ347" i="1"/>
  <c r="EN347" i="1"/>
  <c r="EK347" i="1"/>
  <c r="EH347" i="1"/>
  <c r="EE347" i="1"/>
  <c r="EB347" i="1"/>
  <c r="DY347" i="1"/>
  <c r="DV347" i="1"/>
  <c r="DS347" i="1"/>
  <c r="DP347" i="1"/>
  <c r="DM347" i="1"/>
  <c r="DJ347" i="1"/>
  <c r="GJ346" i="1"/>
  <c r="GG346" i="1"/>
  <c r="GD346" i="1"/>
  <c r="GA346" i="1"/>
  <c r="FX346" i="1"/>
  <c r="FU346" i="1"/>
  <c r="FR346" i="1"/>
  <c r="FO346" i="1"/>
  <c r="FL346" i="1"/>
  <c r="FI346" i="1"/>
  <c r="FF346" i="1"/>
  <c r="FC346" i="1"/>
  <c r="EZ346" i="1"/>
  <c r="EW346" i="1"/>
  <c r="ET346" i="1"/>
  <c r="EQ346" i="1"/>
  <c r="EN346" i="1"/>
  <c r="EK346" i="1"/>
  <c r="EH346" i="1"/>
  <c r="EE346" i="1"/>
  <c r="EB346" i="1"/>
  <c r="DY346" i="1"/>
  <c r="DV346" i="1"/>
  <c r="DS346" i="1"/>
  <c r="DP346" i="1"/>
  <c r="DM346" i="1"/>
  <c r="DJ346" i="1"/>
  <c r="GJ345" i="1"/>
  <c r="GG345" i="1"/>
  <c r="GD345" i="1"/>
  <c r="GA345" i="1"/>
  <c r="FX345" i="1"/>
  <c r="FU345" i="1"/>
  <c r="FR345" i="1"/>
  <c r="FO345" i="1"/>
  <c r="FL345" i="1"/>
  <c r="FI345" i="1"/>
  <c r="FF345" i="1"/>
  <c r="FC345" i="1"/>
  <c r="EZ345" i="1"/>
  <c r="EW345" i="1"/>
  <c r="ET345" i="1"/>
  <c r="EQ345" i="1"/>
  <c r="EN345" i="1"/>
  <c r="EK345" i="1"/>
  <c r="EH345" i="1"/>
  <c r="EE345" i="1"/>
  <c r="EB345" i="1"/>
  <c r="DY345" i="1"/>
  <c r="DV345" i="1"/>
  <c r="DS345" i="1"/>
  <c r="DP345" i="1"/>
  <c r="DM345" i="1"/>
  <c r="DJ345" i="1"/>
  <c r="GJ344" i="1"/>
  <c r="GG344" i="1"/>
  <c r="GD344" i="1"/>
  <c r="GA344" i="1"/>
  <c r="FX344" i="1"/>
  <c r="FU344" i="1"/>
  <c r="FR344" i="1"/>
  <c r="FO344" i="1"/>
  <c r="FL344" i="1"/>
  <c r="FI344" i="1"/>
  <c r="FF344" i="1"/>
  <c r="FC344" i="1"/>
  <c r="EZ344" i="1"/>
  <c r="EW344" i="1"/>
  <c r="ET344" i="1"/>
  <c r="EQ344" i="1"/>
  <c r="EN344" i="1"/>
  <c r="EK344" i="1"/>
  <c r="EH344" i="1"/>
  <c r="EE344" i="1"/>
  <c r="EB344" i="1"/>
  <c r="DY344" i="1"/>
  <c r="DV344" i="1"/>
  <c r="DS344" i="1"/>
  <c r="DP344" i="1"/>
  <c r="DM344" i="1"/>
  <c r="DJ344" i="1"/>
  <c r="GJ343" i="1"/>
  <c r="GG343" i="1"/>
  <c r="GD343" i="1"/>
  <c r="GA343" i="1"/>
  <c r="FX343" i="1"/>
  <c r="FU343" i="1"/>
  <c r="FR343" i="1"/>
  <c r="FO343" i="1"/>
  <c r="FL343" i="1"/>
  <c r="FI343" i="1"/>
  <c r="EK240" i="1"/>
  <c r="EN240" i="1"/>
  <c r="EQ240" i="1"/>
  <c r="ET240" i="1"/>
  <c r="EW240" i="1"/>
  <c r="EZ240" i="1"/>
  <c r="FC240" i="1"/>
  <c r="FF240" i="1"/>
  <c r="FF243" i="1"/>
  <c r="FF246" i="1"/>
  <c r="FF249" i="1"/>
  <c r="FF252" i="1"/>
  <c r="FF255" i="1"/>
  <c r="FF258" i="1"/>
  <c r="FF343" i="1"/>
  <c r="FC343" i="1"/>
  <c r="EZ343" i="1"/>
  <c r="EW343" i="1"/>
  <c r="ET343" i="1"/>
  <c r="EQ343" i="1"/>
  <c r="EN343" i="1"/>
  <c r="EK343" i="1"/>
  <c r="EH343" i="1"/>
  <c r="EE343" i="1"/>
  <c r="EB343" i="1"/>
  <c r="DY343" i="1"/>
  <c r="DV343" i="1"/>
  <c r="DS343" i="1"/>
  <c r="DP343" i="1"/>
  <c r="DJ240" i="1"/>
  <c r="DM240" i="1"/>
  <c r="DM243" i="1"/>
  <c r="DM246" i="1"/>
  <c r="DM249" i="1"/>
  <c r="DM252" i="1"/>
  <c r="DM255" i="1"/>
  <c r="DM258" i="1"/>
  <c r="DM343" i="1"/>
  <c r="DJ343" i="1"/>
  <c r="GJ342" i="1"/>
  <c r="GG342" i="1"/>
  <c r="GD342" i="1"/>
  <c r="GA342" i="1"/>
  <c r="FX342" i="1"/>
  <c r="FU342" i="1"/>
  <c r="FR342" i="1"/>
  <c r="FO342" i="1"/>
  <c r="FL342" i="1"/>
  <c r="FI342" i="1"/>
  <c r="EK239" i="1"/>
  <c r="EN239" i="1"/>
  <c r="EQ239" i="1"/>
  <c r="ET239" i="1"/>
  <c r="EW239" i="1"/>
  <c r="EZ239" i="1"/>
  <c r="FC239" i="1"/>
  <c r="FF239" i="1"/>
  <c r="FF242" i="1"/>
  <c r="FF245" i="1"/>
  <c r="FF248" i="1"/>
  <c r="FF251" i="1"/>
  <c r="FF254" i="1"/>
  <c r="FF257" i="1"/>
  <c r="FF342" i="1"/>
  <c r="FC342" i="1"/>
  <c r="EZ342" i="1"/>
  <c r="EW342" i="1"/>
  <c r="ET342" i="1"/>
  <c r="EQ342" i="1"/>
  <c r="EN342" i="1"/>
  <c r="EK342" i="1"/>
  <c r="EH342" i="1"/>
  <c r="EE342" i="1"/>
  <c r="EB342" i="1"/>
  <c r="DY342" i="1"/>
  <c r="DV342" i="1"/>
  <c r="DS342" i="1"/>
  <c r="DP342" i="1"/>
  <c r="DJ239" i="1"/>
  <c r="DM239" i="1"/>
  <c r="DM242" i="1"/>
  <c r="DM245" i="1"/>
  <c r="DM248" i="1"/>
  <c r="DM251" i="1"/>
  <c r="DM254" i="1"/>
  <c r="DM257" i="1"/>
  <c r="DM342" i="1"/>
  <c r="DJ342" i="1"/>
  <c r="GJ341" i="1"/>
  <c r="GG341" i="1"/>
  <c r="GD341" i="1"/>
  <c r="GA341" i="1"/>
  <c r="FX341" i="1"/>
  <c r="FU341" i="1"/>
  <c r="FR341" i="1"/>
  <c r="FO341" i="1"/>
  <c r="FL341" i="1"/>
  <c r="FI341" i="1"/>
  <c r="EK238" i="1"/>
  <c r="EN238" i="1"/>
  <c r="EQ238" i="1"/>
  <c r="ET238" i="1"/>
  <c r="EW238" i="1"/>
  <c r="EZ238" i="1"/>
  <c r="FC238" i="1"/>
  <c r="FF238" i="1"/>
  <c r="FF241" i="1"/>
  <c r="FF244" i="1"/>
  <c r="FF247" i="1"/>
  <c r="FF250" i="1"/>
  <c r="FF253" i="1"/>
  <c r="FF256" i="1"/>
  <c r="FF341" i="1"/>
  <c r="FC341" i="1"/>
  <c r="EZ341" i="1"/>
  <c r="EW341" i="1"/>
  <c r="ET341" i="1"/>
  <c r="EQ341" i="1"/>
  <c r="EN341" i="1"/>
  <c r="EK341" i="1"/>
  <c r="EH341" i="1"/>
  <c r="EE341" i="1"/>
  <c r="EB341" i="1"/>
  <c r="DY341" i="1"/>
  <c r="DV341" i="1"/>
  <c r="DS341" i="1"/>
  <c r="DP341" i="1"/>
  <c r="DJ238" i="1"/>
  <c r="DM238" i="1"/>
  <c r="DM241" i="1"/>
  <c r="DM244" i="1"/>
  <c r="DM247" i="1"/>
  <c r="DM250" i="1"/>
  <c r="DM253" i="1"/>
  <c r="DM256" i="1"/>
  <c r="DM341" i="1"/>
  <c r="DJ341" i="1"/>
  <c r="GJ340" i="1"/>
  <c r="GG243" i="1"/>
  <c r="GG246" i="1"/>
  <c r="GG249" i="1"/>
  <c r="GG252" i="1"/>
  <c r="GG255" i="1"/>
  <c r="GG340" i="1"/>
  <c r="GD340" i="1"/>
  <c r="GA340" i="1"/>
  <c r="FX340" i="1"/>
  <c r="FU340" i="1"/>
  <c r="FR340" i="1"/>
  <c r="FO340" i="1"/>
  <c r="FL340" i="1"/>
  <c r="FI340" i="1"/>
  <c r="FF340" i="1"/>
  <c r="FC243" i="1"/>
  <c r="FC246" i="1"/>
  <c r="FC249" i="1"/>
  <c r="FC252" i="1"/>
  <c r="FC255" i="1"/>
  <c r="FC340" i="1"/>
  <c r="EZ340" i="1"/>
  <c r="EW340" i="1"/>
  <c r="ET340" i="1"/>
  <c r="EQ340" i="1"/>
  <c r="EN340" i="1"/>
  <c r="EK340" i="1"/>
  <c r="EH340" i="1"/>
  <c r="EE340" i="1"/>
  <c r="EB340" i="1"/>
  <c r="DY340" i="1"/>
  <c r="DV340" i="1"/>
  <c r="DS340" i="1"/>
  <c r="DP340" i="1"/>
  <c r="DM340" i="1"/>
  <c r="DJ243" i="1"/>
  <c r="DJ246" i="1"/>
  <c r="DJ249" i="1"/>
  <c r="DJ252" i="1"/>
  <c r="DJ255" i="1"/>
  <c r="DJ340" i="1"/>
  <c r="GJ339" i="1"/>
  <c r="GG242" i="1"/>
  <c r="GG245" i="1"/>
  <c r="GG248" i="1"/>
  <c r="GG251" i="1"/>
  <c r="GG254" i="1"/>
  <c r="GG339" i="1"/>
  <c r="GD339" i="1"/>
  <c r="GA339" i="1"/>
  <c r="FX339" i="1"/>
  <c r="FU339" i="1"/>
  <c r="FR339" i="1"/>
  <c r="FO339" i="1"/>
  <c r="FL339" i="1"/>
  <c r="FI339" i="1"/>
  <c r="FF339" i="1"/>
  <c r="FC242" i="1"/>
  <c r="FC245" i="1"/>
  <c r="FC248" i="1"/>
  <c r="FC251" i="1"/>
  <c r="FC254" i="1"/>
  <c r="FC339" i="1"/>
  <c r="EZ339" i="1"/>
  <c r="EW339" i="1"/>
  <c r="ET339" i="1"/>
  <c r="EQ339" i="1"/>
  <c r="EN339" i="1"/>
  <c r="EK339" i="1"/>
  <c r="EH339" i="1"/>
  <c r="EE339" i="1"/>
  <c r="EB339" i="1"/>
  <c r="DY339" i="1"/>
  <c r="DV339" i="1"/>
  <c r="DS339" i="1"/>
  <c r="DP339" i="1"/>
  <c r="DM339" i="1"/>
  <c r="DJ242" i="1"/>
  <c r="DJ245" i="1"/>
  <c r="DJ248" i="1"/>
  <c r="DJ251" i="1"/>
  <c r="DJ254" i="1"/>
  <c r="DJ339" i="1"/>
  <c r="GJ338" i="1"/>
  <c r="GG241" i="1"/>
  <c r="GG244" i="1"/>
  <c r="GG247" i="1"/>
  <c r="GG250" i="1"/>
  <c r="GG253" i="1"/>
  <c r="GG338" i="1"/>
  <c r="GD338" i="1"/>
  <c r="GA338" i="1"/>
  <c r="FX338" i="1"/>
  <c r="FU338" i="1"/>
  <c r="FR338" i="1"/>
  <c r="FO338" i="1"/>
  <c r="FL338" i="1"/>
  <c r="FI338" i="1"/>
  <c r="FF338" i="1"/>
  <c r="FC241" i="1"/>
  <c r="FC244" i="1"/>
  <c r="FC247" i="1"/>
  <c r="FC250" i="1"/>
  <c r="FC253" i="1"/>
  <c r="FC338" i="1"/>
  <c r="EZ338" i="1"/>
  <c r="EW338" i="1"/>
  <c r="ET338" i="1"/>
  <c r="EQ338" i="1"/>
  <c r="EN338" i="1"/>
  <c r="EK338" i="1"/>
  <c r="EH338" i="1"/>
  <c r="EE338" i="1"/>
  <c r="EB338" i="1"/>
  <c r="DY338" i="1"/>
  <c r="DV338" i="1"/>
  <c r="DS338" i="1"/>
  <c r="DP338" i="1"/>
  <c r="DM338" i="1"/>
  <c r="DJ241" i="1"/>
  <c r="DJ244" i="1"/>
  <c r="DJ247" i="1"/>
  <c r="DJ250" i="1"/>
  <c r="DJ253" i="1"/>
  <c r="DJ338" i="1"/>
  <c r="GJ337" i="1"/>
  <c r="GG337" i="1"/>
  <c r="GD243" i="1"/>
  <c r="GD246" i="1"/>
  <c r="GD249" i="1"/>
  <c r="GD252" i="1"/>
  <c r="GD337" i="1"/>
  <c r="GA337" i="1"/>
  <c r="FX337" i="1"/>
  <c r="FU337" i="1"/>
  <c r="FR337" i="1"/>
  <c r="FO337" i="1"/>
  <c r="FL337" i="1"/>
  <c r="FI337" i="1"/>
  <c r="FF337" i="1"/>
  <c r="FC337" i="1"/>
  <c r="EZ243" i="1"/>
  <c r="EZ246" i="1"/>
  <c r="EZ249" i="1"/>
  <c r="EZ252" i="1"/>
  <c r="EZ337" i="1"/>
  <c r="EW243" i="1"/>
  <c r="EW246" i="1"/>
  <c r="EW249" i="1"/>
  <c r="EW252" i="1"/>
  <c r="EW337" i="1"/>
  <c r="ET337" i="1"/>
  <c r="EQ337" i="1"/>
  <c r="EN337" i="1"/>
  <c r="EK337" i="1"/>
  <c r="EH337" i="1"/>
  <c r="EE337" i="1"/>
  <c r="EB337" i="1"/>
  <c r="DY337" i="1"/>
  <c r="DV337" i="1"/>
  <c r="DS337" i="1"/>
  <c r="DP240" i="1"/>
  <c r="DP243" i="1"/>
  <c r="DP246" i="1"/>
  <c r="DP249" i="1"/>
  <c r="DP252" i="1"/>
  <c r="DP337" i="1"/>
  <c r="DM337" i="1"/>
  <c r="DJ337" i="1"/>
  <c r="GJ336" i="1"/>
  <c r="GG336" i="1"/>
  <c r="GD242" i="1"/>
  <c r="GD245" i="1"/>
  <c r="GD248" i="1"/>
  <c r="GD251" i="1"/>
  <c r="GD336" i="1"/>
  <c r="GA336" i="1"/>
  <c r="FX336" i="1"/>
  <c r="FU336" i="1"/>
  <c r="FR336" i="1"/>
  <c r="FO336" i="1"/>
  <c r="FL336" i="1"/>
  <c r="FI336" i="1"/>
  <c r="FF336" i="1"/>
  <c r="FC336" i="1"/>
  <c r="EZ242" i="1"/>
  <c r="EZ245" i="1"/>
  <c r="EZ248" i="1"/>
  <c r="EZ251" i="1"/>
  <c r="EZ336" i="1"/>
  <c r="EW242" i="1"/>
  <c r="EW245" i="1"/>
  <c r="EW248" i="1"/>
  <c r="EW251" i="1"/>
  <c r="EW336" i="1"/>
  <c r="ET336" i="1"/>
  <c r="EQ336" i="1"/>
  <c r="EN336" i="1"/>
  <c r="EK336" i="1"/>
  <c r="EH336" i="1"/>
  <c r="EE336" i="1"/>
  <c r="EB336" i="1"/>
  <c r="DY336" i="1"/>
  <c r="DV336" i="1"/>
  <c r="DS336" i="1"/>
  <c r="DP239" i="1"/>
  <c r="DP242" i="1"/>
  <c r="DP245" i="1"/>
  <c r="DP248" i="1"/>
  <c r="DP251" i="1"/>
  <c r="DP336" i="1"/>
  <c r="DM336" i="1"/>
  <c r="DJ336" i="1"/>
  <c r="GJ335" i="1"/>
  <c r="GG335" i="1"/>
  <c r="GD241" i="1"/>
  <c r="GD244" i="1"/>
  <c r="GD247" i="1"/>
  <c r="GD250" i="1"/>
  <c r="GD335" i="1"/>
  <c r="GA335" i="1"/>
  <c r="FX335" i="1"/>
  <c r="FU335" i="1"/>
  <c r="FR335" i="1"/>
  <c r="FO335" i="1"/>
  <c r="FL335" i="1"/>
  <c r="FI335" i="1"/>
  <c r="FF335" i="1"/>
  <c r="FC335" i="1"/>
  <c r="EZ241" i="1"/>
  <c r="EZ244" i="1"/>
  <c r="EZ247" i="1"/>
  <c r="EZ250" i="1"/>
  <c r="EZ335" i="1"/>
  <c r="EW241" i="1"/>
  <c r="EW244" i="1"/>
  <c r="EW247" i="1"/>
  <c r="EW250" i="1"/>
  <c r="EW335" i="1"/>
  <c r="ET335" i="1"/>
  <c r="EQ335" i="1"/>
  <c r="EN335" i="1"/>
  <c r="EK335" i="1"/>
  <c r="EH335" i="1"/>
  <c r="EE335" i="1"/>
  <c r="EB335" i="1"/>
  <c r="DY335" i="1"/>
  <c r="DV335" i="1"/>
  <c r="DS335" i="1"/>
  <c r="DP238" i="1"/>
  <c r="DP241" i="1"/>
  <c r="DP244" i="1"/>
  <c r="DP247" i="1"/>
  <c r="DP250" i="1"/>
  <c r="DP335" i="1"/>
  <c r="DM335" i="1"/>
  <c r="DJ335" i="1"/>
  <c r="GJ334" i="1"/>
  <c r="GG334" i="1"/>
  <c r="GD334" i="1"/>
  <c r="GA243" i="1"/>
  <c r="GA246" i="1"/>
  <c r="GA249" i="1"/>
  <c r="GA334" i="1"/>
  <c r="FX334" i="1"/>
  <c r="FU334" i="1"/>
  <c r="FR334" i="1"/>
  <c r="FO334" i="1"/>
  <c r="FL334" i="1"/>
  <c r="FI334" i="1"/>
  <c r="FF334" i="1"/>
  <c r="FC334" i="1"/>
  <c r="EZ334" i="1"/>
  <c r="EW334" i="1"/>
  <c r="ET243" i="1"/>
  <c r="ET246" i="1"/>
  <c r="ET249" i="1"/>
  <c r="ET334" i="1"/>
  <c r="EQ243" i="1"/>
  <c r="EQ246" i="1"/>
  <c r="EQ249" i="1"/>
  <c r="EQ334" i="1"/>
  <c r="EN334" i="1"/>
  <c r="EK334" i="1"/>
  <c r="EH334" i="1"/>
  <c r="EE334" i="1"/>
  <c r="EB334" i="1"/>
  <c r="DY334" i="1"/>
  <c r="DV334" i="1"/>
  <c r="DS240" i="1"/>
  <c r="DS243" i="1"/>
  <c r="DS246" i="1"/>
  <c r="DS249" i="1"/>
  <c r="DS334" i="1"/>
  <c r="DP334" i="1"/>
  <c r="DM334" i="1"/>
  <c r="DJ334" i="1"/>
  <c r="GJ333" i="1"/>
  <c r="GG333" i="1"/>
  <c r="GD333" i="1"/>
  <c r="GA242" i="1"/>
  <c r="GA245" i="1"/>
  <c r="GA248" i="1"/>
  <c r="GA333" i="1"/>
  <c r="FX333" i="1"/>
  <c r="FU333" i="1"/>
  <c r="FR333" i="1"/>
  <c r="FO333" i="1"/>
  <c r="FL333" i="1"/>
  <c r="FI333" i="1"/>
  <c r="FF333" i="1"/>
  <c r="FC333" i="1"/>
  <c r="EZ333" i="1"/>
  <c r="EW333" i="1"/>
  <c r="ET242" i="1"/>
  <c r="ET245" i="1"/>
  <c r="ET248" i="1"/>
  <c r="ET333" i="1"/>
  <c r="EQ242" i="1"/>
  <c r="EQ245" i="1"/>
  <c r="EQ248" i="1"/>
  <c r="EQ333" i="1"/>
  <c r="EN333" i="1"/>
  <c r="EK333" i="1"/>
  <c r="EH333" i="1"/>
  <c r="EE333" i="1"/>
  <c r="EB333" i="1"/>
  <c r="DY333" i="1"/>
  <c r="DV333" i="1"/>
  <c r="DS239" i="1"/>
  <c r="DS242" i="1"/>
  <c r="DS245" i="1"/>
  <c r="DS248" i="1"/>
  <c r="DS333" i="1"/>
  <c r="DP333" i="1"/>
  <c r="DM333" i="1"/>
  <c r="DJ333" i="1"/>
  <c r="GJ332" i="1"/>
  <c r="GG332" i="1"/>
  <c r="GD332" i="1"/>
  <c r="GA241" i="1"/>
  <c r="GA244" i="1"/>
  <c r="GA247" i="1"/>
  <c r="GA332" i="1"/>
  <c r="FX332" i="1"/>
  <c r="FU332" i="1"/>
  <c r="FR332" i="1"/>
  <c r="FO332" i="1"/>
  <c r="FL332" i="1"/>
  <c r="FI332" i="1"/>
  <c r="FF332" i="1"/>
  <c r="FC332" i="1"/>
  <c r="EZ332" i="1"/>
  <c r="EW332" i="1"/>
  <c r="ET241" i="1"/>
  <c r="ET244" i="1"/>
  <c r="ET247" i="1"/>
  <c r="ET332" i="1"/>
  <c r="EQ241" i="1"/>
  <c r="EQ244" i="1"/>
  <c r="EQ247" i="1"/>
  <c r="EQ332" i="1"/>
  <c r="EN332" i="1"/>
  <c r="EK332" i="1"/>
  <c r="EH332" i="1"/>
  <c r="EE332" i="1"/>
  <c r="EB332" i="1"/>
  <c r="DY332" i="1"/>
  <c r="DV332" i="1"/>
  <c r="DS238" i="1"/>
  <c r="DS241" i="1"/>
  <c r="DS244" i="1"/>
  <c r="DS247" i="1"/>
  <c r="DS332" i="1"/>
  <c r="DP332" i="1"/>
  <c r="DM332" i="1"/>
  <c r="DJ332" i="1"/>
  <c r="GJ331" i="1"/>
  <c r="GG331" i="1"/>
  <c r="GD331" i="1"/>
  <c r="GA331" i="1"/>
  <c r="FX243" i="1"/>
  <c r="FX246" i="1"/>
  <c r="FX331" i="1"/>
  <c r="FU243" i="1"/>
  <c r="FU246" i="1"/>
  <c r="FU331" i="1"/>
  <c r="FR331" i="1"/>
  <c r="FO331" i="1"/>
  <c r="FL331" i="1"/>
  <c r="FI240" i="1"/>
  <c r="FI243" i="1"/>
  <c r="FI246" i="1"/>
  <c r="FI331" i="1"/>
  <c r="FF331" i="1"/>
  <c r="FC331" i="1"/>
  <c r="EZ331" i="1"/>
  <c r="EW331" i="1"/>
  <c r="ET331" i="1"/>
  <c r="EQ331" i="1"/>
  <c r="EN243" i="1"/>
  <c r="EN246" i="1"/>
  <c r="EN331" i="1"/>
  <c r="EK331" i="1"/>
  <c r="EH331" i="1"/>
  <c r="EE331" i="1"/>
  <c r="EB331" i="1"/>
  <c r="DY331" i="1"/>
  <c r="DV331" i="1"/>
  <c r="DS331" i="1"/>
  <c r="DP331" i="1"/>
  <c r="DM331" i="1"/>
  <c r="DJ331" i="1"/>
  <c r="GJ330" i="1"/>
  <c r="GG330" i="1"/>
  <c r="GD330" i="1"/>
  <c r="GA330" i="1"/>
  <c r="FX242" i="1"/>
  <c r="FX245" i="1"/>
  <c r="FX330" i="1"/>
  <c r="FU242" i="1"/>
  <c r="FU245" i="1"/>
  <c r="FU330" i="1"/>
  <c r="FR330" i="1"/>
  <c r="FO330" i="1"/>
  <c r="FL330" i="1"/>
  <c r="FI239" i="1"/>
  <c r="FI242" i="1"/>
  <c r="FI245" i="1"/>
  <c r="FI330" i="1"/>
  <c r="FF330" i="1"/>
  <c r="FC330" i="1"/>
  <c r="EZ330" i="1"/>
  <c r="EW330" i="1"/>
  <c r="ET330" i="1"/>
  <c r="EQ330" i="1"/>
  <c r="EN242" i="1"/>
  <c r="EN245" i="1"/>
  <c r="EN330" i="1"/>
  <c r="EK330" i="1"/>
  <c r="EH330" i="1"/>
  <c r="EE330" i="1"/>
  <c r="EB330" i="1"/>
  <c r="DY330" i="1"/>
  <c r="DV330" i="1"/>
  <c r="DS330" i="1"/>
  <c r="DP330" i="1"/>
  <c r="DM330" i="1"/>
  <c r="DJ330" i="1"/>
  <c r="GJ329" i="1"/>
  <c r="GG329" i="1"/>
  <c r="GD329" i="1"/>
  <c r="GA329" i="1"/>
  <c r="FX241" i="1"/>
  <c r="FX244" i="1"/>
  <c r="FX329" i="1"/>
  <c r="FU241" i="1"/>
  <c r="FU244" i="1"/>
  <c r="FU329" i="1"/>
  <c r="FR329" i="1"/>
  <c r="FO329" i="1"/>
  <c r="FL329" i="1"/>
  <c r="FI238" i="1"/>
  <c r="FI241" i="1"/>
  <c r="FI244" i="1"/>
  <c r="FI329" i="1"/>
  <c r="FF329" i="1"/>
  <c r="FC329" i="1"/>
  <c r="EZ329" i="1"/>
  <c r="EW329" i="1"/>
  <c r="ET329" i="1"/>
  <c r="EQ329" i="1"/>
  <c r="EN241" i="1"/>
  <c r="EN244" i="1"/>
  <c r="EN329" i="1"/>
  <c r="EK329" i="1"/>
  <c r="EH329" i="1"/>
  <c r="EE329" i="1"/>
  <c r="EB329" i="1"/>
  <c r="DY329" i="1"/>
  <c r="DV329" i="1"/>
  <c r="DS329" i="1"/>
  <c r="DP329" i="1"/>
  <c r="DM329" i="1"/>
  <c r="DJ329" i="1"/>
  <c r="GJ328" i="1"/>
  <c r="GG328" i="1"/>
  <c r="GD328" i="1"/>
  <c r="GA328" i="1"/>
  <c r="FX328" i="1"/>
  <c r="FU328" i="1"/>
  <c r="FR328" i="1"/>
  <c r="FO328" i="1"/>
  <c r="FL328" i="1"/>
  <c r="FI328" i="1"/>
  <c r="FF328" i="1"/>
  <c r="FC328" i="1"/>
  <c r="EZ328" i="1"/>
  <c r="EW328" i="1"/>
  <c r="ET328" i="1"/>
  <c r="EQ328" i="1"/>
  <c r="EN328" i="1"/>
  <c r="EK328" i="1"/>
  <c r="EH328" i="1"/>
  <c r="EE328" i="1"/>
  <c r="EB328" i="1"/>
  <c r="DY328" i="1"/>
  <c r="DV240" i="1"/>
  <c r="DV243" i="1"/>
  <c r="DV328" i="1"/>
  <c r="DS328" i="1"/>
  <c r="DP328" i="1"/>
  <c r="DM328" i="1"/>
  <c r="DJ328" i="1"/>
  <c r="GJ327" i="1"/>
  <c r="GG327" i="1"/>
  <c r="GD327" i="1"/>
  <c r="GA327" i="1"/>
  <c r="FX327" i="1"/>
  <c r="FU327" i="1"/>
  <c r="FR327" i="1"/>
  <c r="FO327" i="1"/>
  <c r="FL327" i="1"/>
  <c r="FI327" i="1"/>
  <c r="FF327" i="1"/>
  <c r="FC327" i="1"/>
  <c r="EZ327" i="1"/>
  <c r="EW327" i="1"/>
  <c r="ET327" i="1"/>
  <c r="EQ327" i="1"/>
  <c r="EN327" i="1"/>
  <c r="EK327" i="1"/>
  <c r="EH327" i="1"/>
  <c r="EE327" i="1"/>
  <c r="EB327" i="1"/>
  <c r="DY327" i="1"/>
  <c r="DV239" i="1"/>
  <c r="DV242" i="1"/>
  <c r="DV327" i="1"/>
  <c r="DS327" i="1"/>
  <c r="DP327" i="1"/>
  <c r="DM327" i="1"/>
  <c r="DJ327" i="1"/>
  <c r="GJ326" i="1"/>
  <c r="GG326" i="1"/>
  <c r="GD326" i="1"/>
  <c r="GA326" i="1"/>
  <c r="FX326" i="1"/>
  <c r="FU326" i="1"/>
  <c r="FR326" i="1"/>
  <c r="FO326" i="1"/>
  <c r="FL326" i="1"/>
  <c r="FI326" i="1"/>
  <c r="FF326" i="1"/>
  <c r="FC326" i="1"/>
  <c r="EZ326" i="1"/>
  <c r="EW326" i="1"/>
  <c r="ET326" i="1"/>
  <c r="EQ326" i="1"/>
  <c r="EN326" i="1"/>
  <c r="EK326" i="1"/>
  <c r="EH326" i="1"/>
  <c r="EE326" i="1"/>
  <c r="EB326" i="1"/>
  <c r="DY326" i="1"/>
  <c r="DV238" i="1"/>
  <c r="DV241" i="1"/>
  <c r="DV326" i="1"/>
  <c r="DS326" i="1"/>
  <c r="DP326" i="1"/>
  <c r="DM326" i="1"/>
  <c r="DJ326" i="1"/>
  <c r="GJ325" i="1"/>
  <c r="GG325" i="1"/>
  <c r="GD325" i="1"/>
  <c r="GA325" i="1"/>
  <c r="FX325" i="1"/>
  <c r="FU325" i="1"/>
  <c r="FR325" i="1"/>
  <c r="FO325" i="1"/>
  <c r="FL325" i="1"/>
  <c r="FI325" i="1"/>
  <c r="FF325" i="1"/>
  <c r="FC325" i="1"/>
  <c r="EZ325" i="1"/>
  <c r="EW325" i="1"/>
  <c r="ET325" i="1"/>
  <c r="EQ325" i="1"/>
  <c r="EN325" i="1"/>
  <c r="EK325" i="1"/>
  <c r="EH325" i="1"/>
  <c r="EE325" i="1"/>
  <c r="EB325" i="1"/>
  <c r="DY325" i="1"/>
  <c r="DV325" i="1"/>
  <c r="DS325" i="1"/>
  <c r="DP325" i="1"/>
  <c r="DM325" i="1"/>
  <c r="DJ325" i="1"/>
  <c r="GJ324" i="1"/>
  <c r="GG324" i="1"/>
  <c r="GD324" i="1"/>
  <c r="GA324" i="1"/>
  <c r="FX324" i="1"/>
  <c r="FU324" i="1"/>
  <c r="FR324" i="1"/>
  <c r="FO324" i="1"/>
  <c r="FL324" i="1"/>
  <c r="FI324" i="1"/>
  <c r="FF324" i="1"/>
  <c r="FC324" i="1"/>
  <c r="EZ324" i="1"/>
  <c r="EW324" i="1"/>
  <c r="ET324" i="1"/>
  <c r="EQ324" i="1"/>
  <c r="EN324" i="1"/>
  <c r="EK324" i="1"/>
  <c r="EH324" i="1"/>
  <c r="EE324" i="1"/>
  <c r="EB324" i="1"/>
  <c r="DY324" i="1"/>
  <c r="DV324" i="1"/>
  <c r="DS324" i="1"/>
  <c r="DP324" i="1"/>
  <c r="DM324" i="1"/>
  <c r="DJ324" i="1"/>
  <c r="GJ323" i="1"/>
  <c r="GG323" i="1"/>
  <c r="GD323" i="1"/>
  <c r="GA323" i="1"/>
  <c r="FX323" i="1"/>
  <c r="FU323" i="1"/>
  <c r="FR323" i="1"/>
  <c r="FO323" i="1"/>
  <c r="FL323" i="1"/>
  <c r="FI323" i="1"/>
  <c r="FF323" i="1"/>
  <c r="FC323" i="1"/>
  <c r="EZ323" i="1"/>
  <c r="EW323" i="1"/>
  <c r="ET323" i="1"/>
  <c r="EQ323" i="1"/>
  <c r="EN323" i="1"/>
  <c r="EK323" i="1"/>
  <c r="EH323" i="1"/>
  <c r="EE323" i="1"/>
  <c r="EB323" i="1"/>
  <c r="DY323" i="1"/>
  <c r="DV323" i="1"/>
  <c r="DS323" i="1"/>
  <c r="DP323" i="1"/>
  <c r="DM323" i="1"/>
  <c r="DJ323" i="1"/>
  <c r="N205" i="1"/>
  <c r="N189" i="1"/>
  <c r="AO189" i="1"/>
  <c r="BP189" i="1"/>
  <c r="N195" i="1"/>
  <c r="CR107" i="1"/>
  <c r="CR134" i="1"/>
  <c r="CR161" i="1"/>
  <c r="CX107" i="1"/>
  <c r="N290" i="1"/>
  <c r="EB77" i="1"/>
  <c r="FF77"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J104" i="1"/>
  <c r="CT133" i="1"/>
  <c r="CT160" i="1"/>
  <c r="CT187" i="1"/>
  <c r="CZ133" i="1"/>
  <c r="CZ160" i="1"/>
  <c r="CZ187" i="1"/>
  <c r="CS133" i="1"/>
  <c r="CS160" i="1"/>
  <c r="CS187" i="1"/>
  <c r="CY133" i="1"/>
  <c r="CY160" i="1"/>
  <c r="CY187" i="1"/>
  <c r="CR133" i="1"/>
  <c r="CR160" i="1"/>
  <c r="CR187" i="1"/>
  <c r="CX133" i="1"/>
  <c r="CX160" i="1"/>
  <c r="CX187" i="1"/>
  <c r="CT132" i="1"/>
  <c r="CT159" i="1"/>
  <c r="CT186" i="1"/>
  <c r="CZ132" i="1"/>
  <c r="CZ159" i="1"/>
  <c r="CZ186" i="1"/>
  <c r="CS132" i="1"/>
  <c r="CS159" i="1"/>
  <c r="CS186" i="1"/>
  <c r="CY132" i="1"/>
  <c r="CY159" i="1"/>
  <c r="CY186" i="1"/>
  <c r="CR132" i="1"/>
  <c r="CR159" i="1"/>
  <c r="CR186" i="1"/>
  <c r="CX132" i="1"/>
  <c r="CX159" i="1"/>
  <c r="CX186" i="1"/>
  <c r="CT131" i="1"/>
  <c r="CT158" i="1"/>
  <c r="CT185" i="1"/>
  <c r="CZ131" i="1"/>
  <c r="CZ158" i="1"/>
  <c r="CZ185" i="1"/>
  <c r="CS131" i="1"/>
  <c r="CS158" i="1"/>
  <c r="CS185" i="1"/>
  <c r="CY131" i="1"/>
  <c r="CY158" i="1"/>
  <c r="CY185" i="1"/>
  <c r="CR131" i="1"/>
  <c r="CR158" i="1"/>
  <c r="CR185" i="1"/>
  <c r="CX131" i="1"/>
  <c r="CX158" i="1"/>
  <c r="CX185" i="1"/>
  <c r="CT130" i="1"/>
  <c r="CT157" i="1"/>
  <c r="CT184" i="1"/>
  <c r="CZ130" i="1"/>
  <c r="CZ157" i="1"/>
  <c r="CZ184" i="1"/>
  <c r="CS130" i="1"/>
  <c r="CS157" i="1"/>
  <c r="CS184" i="1"/>
  <c r="CY130" i="1"/>
  <c r="CY157" i="1"/>
  <c r="CY184" i="1"/>
  <c r="CR130" i="1"/>
  <c r="CR157" i="1"/>
  <c r="CR184" i="1"/>
  <c r="CX130" i="1"/>
  <c r="CX157" i="1"/>
  <c r="CX184" i="1"/>
  <c r="CT129" i="1"/>
  <c r="CT156" i="1"/>
  <c r="CT183" i="1"/>
  <c r="CZ129" i="1"/>
  <c r="CZ156" i="1"/>
  <c r="CZ183" i="1"/>
  <c r="CS129" i="1"/>
  <c r="CS156" i="1"/>
  <c r="CS183" i="1"/>
  <c r="CY129" i="1"/>
  <c r="CY156" i="1"/>
  <c r="CY183" i="1"/>
  <c r="CR129" i="1"/>
  <c r="CR156" i="1"/>
  <c r="CR183" i="1"/>
  <c r="CX129" i="1"/>
  <c r="CX156" i="1"/>
  <c r="CX183" i="1"/>
  <c r="CT128" i="1"/>
  <c r="CT155" i="1"/>
  <c r="CT182" i="1"/>
  <c r="CZ128" i="1"/>
  <c r="CZ155" i="1"/>
  <c r="CZ182" i="1"/>
  <c r="CS128" i="1"/>
  <c r="CS155" i="1"/>
  <c r="CS182" i="1"/>
  <c r="CY128" i="1"/>
  <c r="CY155" i="1"/>
  <c r="CY182" i="1"/>
  <c r="CR128" i="1"/>
  <c r="CR155" i="1"/>
  <c r="CR182" i="1"/>
  <c r="CX128" i="1"/>
  <c r="CX155" i="1"/>
  <c r="CX182" i="1"/>
  <c r="CT127" i="1"/>
  <c r="CT154" i="1"/>
  <c r="CT181" i="1"/>
  <c r="CZ127" i="1"/>
  <c r="CZ154" i="1"/>
  <c r="CZ181" i="1"/>
  <c r="CS127" i="1"/>
  <c r="CS154" i="1"/>
  <c r="CS181" i="1"/>
  <c r="CY127" i="1"/>
  <c r="CY154" i="1"/>
  <c r="CY181" i="1"/>
  <c r="CR127" i="1"/>
  <c r="CR154" i="1"/>
  <c r="CR181" i="1"/>
  <c r="CX127" i="1"/>
  <c r="CX154" i="1"/>
  <c r="CX181" i="1"/>
  <c r="CT126" i="1"/>
  <c r="CT153" i="1"/>
  <c r="CT180" i="1"/>
  <c r="CZ126" i="1"/>
  <c r="CZ153" i="1"/>
  <c r="CZ180" i="1"/>
  <c r="CS126" i="1"/>
  <c r="CS153" i="1"/>
  <c r="CS180" i="1"/>
  <c r="CY126" i="1"/>
  <c r="CY153" i="1"/>
  <c r="CY180" i="1"/>
  <c r="CR126" i="1"/>
  <c r="CR153" i="1"/>
  <c r="CR180" i="1"/>
  <c r="CX126" i="1"/>
  <c r="CX153" i="1"/>
  <c r="CX180" i="1"/>
  <c r="CT125" i="1"/>
  <c r="CT152" i="1"/>
  <c r="CT179" i="1"/>
  <c r="CZ125" i="1"/>
  <c r="CZ152" i="1"/>
  <c r="CZ179" i="1"/>
  <c r="CS125" i="1"/>
  <c r="CS152" i="1"/>
  <c r="CS179" i="1"/>
  <c r="CY125" i="1"/>
  <c r="CY152" i="1"/>
  <c r="CY179" i="1"/>
  <c r="CR125" i="1"/>
  <c r="CR152" i="1"/>
  <c r="CR179" i="1"/>
  <c r="CX125" i="1"/>
  <c r="CX152" i="1"/>
  <c r="CX179" i="1"/>
  <c r="CT124" i="1"/>
  <c r="CT151" i="1"/>
  <c r="CT178" i="1"/>
  <c r="CZ124" i="1"/>
  <c r="CZ151" i="1"/>
  <c r="CZ178" i="1"/>
  <c r="CS124" i="1"/>
  <c r="CS151" i="1"/>
  <c r="CS178" i="1"/>
  <c r="CY124" i="1"/>
  <c r="CY151" i="1"/>
  <c r="CY178" i="1"/>
  <c r="CR124" i="1"/>
  <c r="CR151" i="1"/>
  <c r="CR178" i="1"/>
  <c r="CX124" i="1"/>
  <c r="CX151" i="1"/>
  <c r="CX178" i="1"/>
  <c r="CT123" i="1"/>
  <c r="CT150" i="1"/>
  <c r="CT177" i="1"/>
  <c r="CZ123" i="1"/>
  <c r="CZ150" i="1"/>
  <c r="CZ177" i="1"/>
  <c r="CS123" i="1"/>
  <c r="CS150" i="1"/>
  <c r="CS177" i="1"/>
  <c r="CY123" i="1"/>
  <c r="CY150" i="1"/>
  <c r="CY177" i="1"/>
  <c r="CR123" i="1"/>
  <c r="CR150" i="1"/>
  <c r="CR177" i="1"/>
  <c r="CX123" i="1"/>
  <c r="CX150" i="1"/>
  <c r="CX177" i="1"/>
  <c r="CT122" i="1"/>
  <c r="CT149" i="1"/>
  <c r="CT176" i="1"/>
  <c r="CZ122" i="1"/>
  <c r="CZ149" i="1"/>
  <c r="CZ176" i="1"/>
  <c r="CS122" i="1"/>
  <c r="CS149" i="1"/>
  <c r="CS176" i="1"/>
  <c r="CY122" i="1"/>
  <c r="CY149" i="1"/>
  <c r="CY176" i="1"/>
  <c r="CR122" i="1"/>
  <c r="CR149" i="1"/>
  <c r="CR176" i="1"/>
  <c r="CX122" i="1"/>
  <c r="CX149" i="1"/>
  <c r="CX176" i="1"/>
  <c r="CT121" i="1"/>
  <c r="CT148" i="1"/>
  <c r="CT175" i="1"/>
  <c r="CZ121" i="1"/>
  <c r="CZ148" i="1"/>
  <c r="CZ175" i="1"/>
  <c r="CS121" i="1"/>
  <c r="CS148" i="1"/>
  <c r="CS175" i="1"/>
  <c r="CY121" i="1"/>
  <c r="CY148" i="1"/>
  <c r="CY175" i="1"/>
  <c r="CR121" i="1"/>
  <c r="CR148" i="1"/>
  <c r="CR175" i="1"/>
  <c r="CX121" i="1"/>
  <c r="CX148" i="1"/>
  <c r="CX175" i="1"/>
  <c r="CT120" i="1"/>
  <c r="CT147" i="1"/>
  <c r="CT174" i="1"/>
  <c r="CZ120" i="1"/>
  <c r="CZ147" i="1"/>
  <c r="CZ174" i="1"/>
  <c r="CS120" i="1"/>
  <c r="CS147" i="1"/>
  <c r="CS174" i="1"/>
  <c r="CY120" i="1"/>
  <c r="CY147" i="1"/>
  <c r="CY174" i="1"/>
  <c r="CR120" i="1"/>
  <c r="CR147" i="1"/>
  <c r="CR174" i="1"/>
  <c r="CX120" i="1"/>
  <c r="CX147" i="1"/>
  <c r="CX174" i="1"/>
  <c r="DX246" i="1"/>
  <c r="DX249" i="1"/>
  <c r="DX252" i="1"/>
  <c r="DX255" i="1"/>
  <c r="CT110" i="1"/>
  <c r="CT137" i="1"/>
  <c r="CT164" i="1"/>
  <c r="CZ110" i="1"/>
  <c r="CZ137" i="1"/>
  <c r="CZ164" i="1"/>
  <c r="DW246" i="1"/>
  <c r="DW249" i="1"/>
  <c r="DW252" i="1"/>
  <c r="DW255" i="1"/>
  <c r="CS110" i="1"/>
  <c r="CS137" i="1"/>
  <c r="CS164" i="1"/>
  <c r="CY110" i="1"/>
  <c r="CY137" i="1"/>
  <c r="CY164" i="1"/>
  <c r="DV246" i="1"/>
  <c r="DV249" i="1"/>
  <c r="DV252" i="1"/>
  <c r="DV255" i="1"/>
  <c r="CR110" i="1"/>
  <c r="CR137" i="1"/>
  <c r="CR164" i="1"/>
  <c r="CX110" i="1"/>
  <c r="CX137" i="1"/>
  <c r="CX164" i="1"/>
  <c r="DU252" i="1"/>
  <c r="DU255" i="1"/>
  <c r="DT252" i="1"/>
  <c r="DT255" i="1"/>
  <c r="DS252" i="1"/>
  <c r="DS255" i="1"/>
  <c r="DX245" i="1"/>
  <c r="DX248" i="1"/>
  <c r="DX251" i="1"/>
  <c r="DX254" i="1"/>
  <c r="CT109" i="1"/>
  <c r="CT136" i="1"/>
  <c r="CT163" i="1"/>
  <c r="CZ109" i="1"/>
  <c r="CZ136" i="1"/>
  <c r="CZ163" i="1"/>
  <c r="DW245" i="1"/>
  <c r="DW248" i="1"/>
  <c r="DW251" i="1"/>
  <c r="DW254" i="1"/>
  <c r="CS109" i="1"/>
  <c r="CS136" i="1"/>
  <c r="CS163" i="1"/>
  <c r="CY109" i="1"/>
  <c r="CY136" i="1"/>
  <c r="CY163" i="1"/>
  <c r="DV245" i="1"/>
  <c r="DV248" i="1"/>
  <c r="DV251" i="1"/>
  <c r="DV254" i="1"/>
  <c r="CR109" i="1"/>
  <c r="CR136" i="1"/>
  <c r="CR163" i="1"/>
  <c r="CX109" i="1"/>
  <c r="CX136" i="1"/>
  <c r="CX163" i="1"/>
  <c r="DU251" i="1"/>
  <c r="DU254" i="1"/>
  <c r="DT251" i="1"/>
  <c r="DT254" i="1"/>
  <c r="DS251" i="1"/>
  <c r="DS254" i="1"/>
  <c r="DX244" i="1"/>
  <c r="DX247" i="1"/>
  <c r="DX250" i="1"/>
  <c r="DX253" i="1"/>
  <c r="CT108" i="1"/>
  <c r="CT135" i="1"/>
  <c r="CT162" i="1"/>
  <c r="CZ108" i="1"/>
  <c r="CZ135" i="1"/>
  <c r="CZ162" i="1"/>
  <c r="DW244" i="1"/>
  <c r="DW247" i="1"/>
  <c r="DW250" i="1"/>
  <c r="DW253" i="1"/>
  <c r="CS108" i="1"/>
  <c r="CS135" i="1"/>
  <c r="CS162" i="1"/>
  <c r="CY108" i="1"/>
  <c r="CY135" i="1"/>
  <c r="CY162" i="1"/>
  <c r="DV244" i="1"/>
  <c r="DV247" i="1"/>
  <c r="DV250" i="1"/>
  <c r="DV253" i="1"/>
  <c r="CR108" i="1"/>
  <c r="CR135" i="1"/>
  <c r="CR162" i="1"/>
  <c r="CX108" i="1"/>
  <c r="CX135" i="1"/>
  <c r="CX162" i="1"/>
  <c r="DU250" i="1"/>
  <c r="DU253" i="1"/>
  <c r="DT250" i="1"/>
  <c r="DT253" i="1"/>
  <c r="DS250" i="1"/>
  <c r="DS253" i="1"/>
  <c r="FZ249" i="1"/>
  <c r="FZ252" i="1"/>
  <c r="CT107" i="1"/>
  <c r="CT134" i="1"/>
  <c r="CT161" i="1"/>
  <c r="CZ107" i="1"/>
  <c r="CZ134" i="1"/>
  <c r="CZ161" i="1"/>
  <c r="FY249" i="1"/>
  <c r="FY252" i="1"/>
  <c r="CS107" i="1"/>
  <c r="CS134" i="1"/>
  <c r="CS161" i="1"/>
  <c r="CY107" i="1"/>
  <c r="CY134" i="1"/>
  <c r="CY161" i="1"/>
  <c r="FX249" i="1"/>
  <c r="FX252" i="1"/>
  <c r="CX134" i="1"/>
  <c r="CX161" i="1"/>
  <c r="FZ248" i="1"/>
  <c r="FZ251" i="1"/>
  <c r="FY248" i="1"/>
  <c r="FY251" i="1"/>
  <c r="FX248" i="1"/>
  <c r="FX251" i="1"/>
  <c r="FZ247" i="1"/>
  <c r="FZ250" i="1"/>
  <c r="FY247" i="1"/>
  <c r="FY250" i="1"/>
  <c r="FX247" i="1"/>
  <c r="FX250" i="1"/>
  <c r="FW249" i="1"/>
  <c r="FV249" i="1"/>
  <c r="FU249" i="1"/>
  <c r="FW248" i="1"/>
  <c r="FV248" i="1"/>
  <c r="FU248" i="1"/>
  <c r="FW247" i="1"/>
  <c r="FV247" i="1"/>
  <c r="FU247" i="1"/>
  <c r="BR261" i="1"/>
  <c r="BU261" i="1"/>
  <c r="BX261" i="1"/>
  <c r="CA261" i="1"/>
  <c r="CD261" i="1"/>
  <c r="CG261" i="1"/>
  <c r="CJ261" i="1"/>
  <c r="CM261" i="1"/>
  <c r="CP261" i="1"/>
  <c r="CP264" i="1"/>
  <c r="CP267" i="1"/>
  <c r="CP270" i="1"/>
  <c r="CP273" i="1"/>
  <c r="CP276" i="1"/>
  <c r="CP279" i="1"/>
  <c r="CP282" i="1"/>
  <c r="CP285" i="1"/>
  <c r="AN191" i="1"/>
  <c r="BO191" i="1"/>
  <c r="CP191" i="1"/>
  <c r="AN197" i="1"/>
  <c r="BO197" i="1"/>
  <c r="CP197" i="1"/>
  <c r="CP370" i="1"/>
  <c r="BQ261" i="1"/>
  <c r="BT261" i="1"/>
  <c r="BW261" i="1"/>
  <c r="BZ261" i="1"/>
  <c r="CC261" i="1"/>
  <c r="CF261" i="1"/>
  <c r="CI261" i="1"/>
  <c r="CL261" i="1"/>
  <c r="CO261" i="1"/>
  <c r="CO264" i="1"/>
  <c r="CO267" i="1"/>
  <c r="CO270" i="1"/>
  <c r="CO273" i="1"/>
  <c r="CO276" i="1"/>
  <c r="CO279" i="1"/>
  <c r="CO282" i="1"/>
  <c r="CO285" i="1"/>
  <c r="AM191" i="1"/>
  <c r="BN191" i="1"/>
  <c r="CO191" i="1"/>
  <c r="AM197" i="1"/>
  <c r="BN197" i="1"/>
  <c r="CO197" i="1"/>
  <c r="CO370" i="1"/>
  <c r="BP261" i="1"/>
  <c r="BS261" i="1"/>
  <c r="BV261" i="1"/>
  <c r="BY261" i="1"/>
  <c r="CB261" i="1"/>
  <c r="CE261" i="1"/>
  <c r="CH261" i="1"/>
  <c r="CK261" i="1"/>
  <c r="CN261" i="1"/>
  <c r="CN264" i="1"/>
  <c r="CN267" i="1"/>
  <c r="CN270" i="1"/>
  <c r="CN273" i="1"/>
  <c r="CN276" i="1"/>
  <c r="CN279" i="1"/>
  <c r="CN282" i="1"/>
  <c r="CN285" i="1"/>
  <c r="AL191" i="1"/>
  <c r="BM191" i="1"/>
  <c r="CN191" i="1"/>
  <c r="AL197" i="1"/>
  <c r="BM197" i="1"/>
  <c r="CN197" i="1"/>
  <c r="CN370" i="1"/>
  <c r="CM264" i="1"/>
  <c r="CM267" i="1"/>
  <c r="CM270" i="1"/>
  <c r="CM273" i="1"/>
  <c r="CM276" i="1"/>
  <c r="CM279" i="1"/>
  <c r="CM282" i="1"/>
  <c r="CM285" i="1"/>
  <c r="AK191" i="1"/>
  <c r="BL191" i="1"/>
  <c r="CM191" i="1"/>
  <c r="AK197" i="1"/>
  <c r="BL197" i="1"/>
  <c r="CM197" i="1"/>
  <c r="CM370" i="1"/>
  <c r="CL264" i="1"/>
  <c r="CL267" i="1"/>
  <c r="CL270" i="1"/>
  <c r="CL273" i="1"/>
  <c r="CL276" i="1"/>
  <c r="CL279" i="1"/>
  <c r="CL282" i="1"/>
  <c r="CL285" i="1"/>
  <c r="AJ191" i="1"/>
  <c r="BK191" i="1"/>
  <c r="CL191" i="1"/>
  <c r="AJ197" i="1"/>
  <c r="BK197" i="1"/>
  <c r="CL197" i="1"/>
  <c r="CL370" i="1"/>
  <c r="CK264" i="1"/>
  <c r="CK267" i="1"/>
  <c r="CK270" i="1"/>
  <c r="CK273" i="1"/>
  <c r="CK276" i="1"/>
  <c r="CK279" i="1"/>
  <c r="CK282" i="1"/>
  <c r="CK285" i="1"/>
  <c r="AI191" i="1"/>
  <c r="BJ191" i="1"/>
  <c r="CK191" i="1"/>
  <c r="AI197" i="1"/>
  <c r="BJ197" i="1"/>
  <c r="CK197" i="1"/>
  <c r="CK370" i="1"/>
  <c r="CJ264" i="1"/>
  <c r="CJ267" i="1"/>
  <c r="CJ270" i="1"/>
  <c r="CJ273" i="1"/>
  <c r="CJ276" i="1"/>
  <c r="CJ279" i="1"/>
  <c r="CJ282" i="1"/>
  <c r="CJ285" i="1"/>
  <c r="AH191" i="1"/>
  <c r="BI191" i="1"/>
  <c r="CJ191" i="1"/>
  <c r="AH197" i="1"/>
  <c r="BI197" i="1"/>
  <c r="CJ197" i="1"/>
  <c r="CJ370" i="1"/>
  <c r="CI264" i="1"/>
  <c r="CI267" i="1"/>
  <c r="CI270" i="1"/>
  <c r="CI273" i="1"/>
  <c r="CI276" i="1"/>
  <c r="CI279" i="1"/>
  <c r="CI282" i="1"/>
  <c r="CI285" i="1"/>
  <c r="AG191" i="1"/>
  <c r="BH191" i="1"/>
  <c r="CI191" i="1"/>
  <c r="AG197" i="1"/>
  <c r="BH197" i="1"/>
  <c r="CI197" i="1"/>
  <c r="CI370" i="1"/>
  <c r="CH264" i="1"/>
  <c r="CH267" i="1"/>
  <c r="CH270" i="1"/>
  <c r="CH273" i="1"/>
  <c r="CH276" i="1"/>
  <c r="CH279" i="1"/>
  <c r="CH282" i="1"/>
  <c r="CH285" i="1"/>
  <c r="AF191" i="1"/>
  <c r="BG191" i="1"/>
  <c r="CH191" i="1"/>
  <c r="AF197" i="1"/>
  <c r="BG197" i="1"/>
  <c r="CH197" i="1"/>
  <c r="CH370" i="1"/>
  <c r="CG264" i="1"/>
  <c r="CG267" i="1"/>
  <c r="CG270" i="1"/>
  <c r="CG273" i="1"/>
  <c r="CG276" i="1"/>
  <c r="CG279" i="1"/>
  <c r="CG282" i="1"/>
  <c r="CG285" i="1"/>
  <c r="AE191" i="1"/>
  <c r="BF191" i="1"/>
  <c r="CG191" i="1"/>
  <c r="AE197" i="1"/>
  <c r="BF197" i="1"/>
  <c r="CG197" i="1"/>
  <c r="CG370" i="1"/>
  <c r="CF264" i="1"/>
  <c r="CF267" i="1"/>
  <c r="CF270" i="1"/>
  <c r="CF273" i="1"/>
  <c r="CF276" i="1"/>
  <c r="CF279" i="1"/>
  <c r="CF282" i="1"/>
  <c r="CF285" i="1"/>
  <c r="AD191" i="1"/>
  <c r="BE191" i="1"/>
  <c r="CF191" i="1"/>
  <c r="AD197" i="1"/>
  <c r="BE197" i="1"/>
  <c r="CF197" i="1"/>
  <c r="CF370" i="1"/>
  <c r="CE264" i="1"/>
  <c r="CE267" i="1"/>
  <c r="CE270" i="1"/>
  <c r="CE273" i="1"/>
  <c r="CE276" i="1"/>
  <c r="CE279" i="1"/>
  <c r="CE282" i="1"/>
  <c r="CE285" i="1"/>
  <c r="AC191" i="1"/>
  <c r="BD191" i="1"/>
  <c r="CE191" i="1"/>
  <c r="AC197" i="1"/>
  <c r="BD197" i="1"/>
  <c r="CE197" i="1"/>
  <c r="CE370" i="1"/>
  <c r="CD264" i="1"/>
  <c r="CD267" i="1"/>
  <c r="CD270" i="1"/>
  <c r="CD273" i="1"/>
  <c r="CD276" i="1"/>
  <c r="CD279" i="1"/>
  <c r="CD282" i="1"/>
  <c r="CD285" i="1"/>
  <c r="AB191" i="1"/>
  <c r="BC191" i="1"/>
  <c r="CD191" i="1"/>
  <c r="AB197" i="1"/>
  <c r="BC197" i="1"/>
  <c r="CD197" i="1"/>
  <c r="CD370" i="1"/>
  <c r="CC264" i="1"/>
  <c r="CC267" i="1"/>
  <c r="CC270" i="1"/>
  <c r="CC273" i="1"/>
  <c r="CC276" i="1"/>
  <c r="CC279" i="1"/>
  <c r="CC282" i="1"/>
  <c r="CC285" i="1"/>
  <c r="AA191" i="1"/>
  <c r="BB191" i="1"/>
  <c r="CC191" i="1"/>
  <c r="AA197" i="1"/>
  <c r="BB197" i="1"/>
  <c r="CC197" i="1"/>
  <c r="CC370" i="1"/>
  <c r="CB264" i="1"/>
  <c r="CB267" i="1"/>
  <c r="CB270" i="1"/>
  <c r="CB273" i="1"/>
  <c r="CB276" i="1"/>
  <c r="CB279" i="1"/>
  <c r="CB282" i="1"/>
  <c r="CB285" i="1"/>
  <c r="Z191" i="1"/>
  <c r="BA191" i="1"/>
  <c r="CB191" i="1"/>
  <c r="Z197" i="1"/>
  <c r="BA197" i="1"/>
  <c r="CB197" i="1"/>
  <c r="CB370" i="1"/>
  <c r="CA264" i="1"/>
  <c r="CA267" i="1"/>
  <c r="CA270" i="1"/>
  <c r="CA273" i="1"/>
  <c r="CA276" i="1"/>
  <c r="CA279" i="1"/>
  <c r="CA282" i="1"/>
  <c r="CA285" i="1"/>
  <c r="Y191" i="1"/>
  <c r="AZ191" i="1"/>
  <c r="CA191" i="1"/>
  <c r="Y197" i="1"/>
  <c r="AZ197" i="1"/>
  <c r="CA197" i="1"/>
  <c r="CA370" i="1"/>
  <c r="BZ264" i="1"/>
  <c r="BZ267" i="1"/>
  <c r="BZ270" i="1"/>
  <c r="BZ273" i="1"/>
  <c r="BZ276" i="1"/>
  <c r="BZ279" i="1"/>
  <c r="BZ282" i="1"/>
  <c r="BZ285" i="1"/>
  <c r="X191" i="1"/>
  <c r="AY191" i="1"/>
  <c r="BZ191" i="1"/>
  <c r="X197" i="1"/>
  <c r="AY197" i="1"/>
  <c r="BZ197" i="1"/>
  <c r="BZ370" i="1"/>
  <c r="BY264" i="1"/>
  <c r="BY267" i="1"/>
  <c r="BY270" i="1"/>
  <c r="BY273" i="1"/>
  <c r="BY276" i="1"/>
  <c r="BY279" i="1"/>
  <c r="BY282" i="1"/>
  <c r="BY285" i="1"/>
  <c r="W191" i="1"/>
  <c r="AX191" i="1"/>
  <c r="BY191" i="1"/>
  <c r="W197" i="1"/>
  <c r="AX197" i="1"/>
  <c r="BY197" i="1"/>
  <c r="BY370" i="1"/>
  <c r="BX264" i="1"/>
  <c r="BX267" i="1"/>
  <c r="BX270" i="1"/>
  <c r="BX273" i="1"/>
  <c r="BX276" i="1"/>
  <c r="BX279" i="1"/>
  <c r="BX282" i="1"/>
  <c r="BX285" i="1"/>
  <c r="V191" i="1"/>
  <c r="AW191" i="1"/>
  <c r="BX191" i="1"/>
  <c r="V197" i="1"/>
  <c r="AW197" i="1"/>
  <c r="BX197" i="1"/>
  <c r="BX370" i="1"/>
  <c r="BW264" i="1"/>
  <c r="BW267" i="1"/>
  <c r="BW270" i="1"/>
  <c r="BW273" i="1"/>
  <c r="BW276" i="1"/>
  <c r="BW279" i="1"/>
  <c r="BW282" i="1"/>
  <c r="BW285" i="1"/>
  <c r="U191" i="1"/>
  <c r="AV191" i="1"/>
  <c r="BW191" i="1"/>
  <c r="U197" i="1"/>
  <c r="AV197" i="1"/>
  <c r="BW197" i="1"/>
  <c r="BW370" i="1"/>
  <c r="BV264" i="1"/>
  <c r="BV267" i="1"/>
  <c r="BV270" i="1"/>
  <c r="BV273" i="1"/>
  <c r="BV276" i="1"/>
  <c r="BV279" i="1"/>
  <c r="BV282" i="1"/>
  <c r="BV285" i="1"/>
  <c r="T191" i="1"/>
  <c r="AU191" i="1"/>
  <c r="BV191" i="1"/>
  <c r="T197" i="1"/>
  <c r="AU197" i="1"/>
  <c r="BV197" i="1"/>
  <c r="BV370" i="1"/>
  <c r="BU370" i="1"/>
  <c r="BT370" i="1"/>
  <c r="BS370" i="1"/>
  <c r="BR370" i="1"/>
  <c r="BQ370" i="1"/>
  <c r="BP370" i="1"/>
  <c r="AQ261" i="1"/>
  <c r="AT261" i="1"/>
  <c r="AW261" i="1"/>
  <c r="AZ261" i="1"/>
  <c r="BC261" i="1"/>
  <c r="BF261" i="1"/>
  <c r="BI261" i="1"/>
  <c r="BL261" i="1"/>
  <c r="BO261" i="1"/>
  <c r="BO264" i="1"/>
  <c r="BO267" i="1"/>
  <c r="BO270" i="1"/>
  <c r="BO273" i="1"/>
  <c r="BO276" i="1"/>
  <c r="BO279" i="1"/>
  <c r="BO282" i="1"/>
  <c r="BO285" i="1"/>
  <c r="BO370" i="1"/>
  <c r="AP261" i="1"/>
  <c r="AS261" i="1"/>
  <c r="AV261" i="1"/>
  <c r="AY261" i="1"/>
  <c r="BB261" i="1"/>
  <c r="BE261" i="1"/>
  <c r="BH261" i="1"/>
  <c r="BK261" i="1"/>
  <c r="BN261" i="1"/>
  <c r="BN264" i="1"/>
  <c r="BN267" i="1"/>
  <c r="BN270" i="1"/>
  <c r="BN273" i="1"/>
  <c r="BN276" i="1"/>
  <c r="BN279" i="1"/>
  <c r="BN282" i="1"/>
  <c r="BN285" i="1"/>
  <c r="BN370" i="1"/>
  <c r="AO261" i="1"/>
  <c r="AR261" i="1"/>
  <c r="AU261" i="1"/>
  <c r="AX261" i="1"/>
  <c r="BA261" i="1"/>
  <c r="BD261" i="1"/>
  <c r="BG261" i="1"/>
  <c r="BJ261" i="1"/>
  <c r="BM261" i="1"/>
  <c r="BM264" i="1"/>
  <c r="BM267" i="1"/>
  <c r="BM270" i="1"/>
  <c r="BM273" i="1"/>
  <c r="BM276" i="1"/>
  <c r="BM279" i="1"/>
  <c r="BM282" i="1"/>
  <c r="BM285" i="1"/>
  <c r="BM370" i="1"/>
  <c r="BL264" i="1"/>
  <c r="BL267" i="1"/>
  <c r="BL270" i="1"/>
  <c r="BL273" i="1"/>
  <c r="BL276" i="1"/>
  <c r="BL279" i="1"/>
  <c r="BL282" i="1"/>
  <c r="BL285" i="1"/>
  <c r="BL370" i="1"/>
  <c r="BK264" i="1"/>
  <c r="BK267" i="1"/>
  <c r="BK270" i="1"/>
  <c r="BK273" i="1"/>
  <c r="BK276" i="1"/>
  <c r="BK279" i="1"/>
  <c r="BK282" i="1"/>
  <c r="BK285" i="1"/>
  <c r="BK370" i="1"/>
  <c r="BJ264" i="1"/>
  <c r="BJ267" i="1"/>
  <c r="BJ270" i="1"/>
  <c r="BJ273" i="1"/>
  <c r="BJ276" i="1"/>
  <c r="BJ279" i="1"/>
  <c r="BJ282" i="1"/>
  <c r="BJ285" i="1"/>
  <c r="BJ370" i="1"/>
  <c r="BI264" i="1"/>
  <c r="BI267" i="1"/>
  <c r="BI270" i="1"/>
  <c r="BI273" i="1"/>
  <c r="BI276" i="1"/>
  <c r="BI279" i="1"/>
  <c r="BI282" i="1"/>
  <c r="BI285" i="1"/>
  <c r="BI370" i="1"/>
  <c r="BH264" i="1"/>
  <c r="BH267" i="1"/>
  <c r="BH270" i="1"/>
  <c r="BH273" i="1"/>
  <c r="BH276" i="1"/>
  <c r="BH279" i="1"/>
  <c r="BH282" i="1"/>
  <c r="BH285" i="1"/>
  <c r="BH370" i="1"/>
  <c r="BG264" i="1"/>
  <c r="BG267" i="1"/>
  <c r="BG270" i="1"/>
  <c r="BG273" i="1"/>
  <c r="BG276" i="1"/>
  <c r="BG279" i="1"/>
  <c r="BG282" i="1"/>
  <c r="BG285" i="1"/>
  <c r="BG370" i="1"/>
  <c r="BF264" i="1"/>
  <c r="BF267" i="1"/>
  <c r="BF270" i="1"/>
  <c r="BF273" i="1"/>
  <c r="BF276" i="1"/>
  <c r="BF279" i="1"/>
  <c r="BF282" i="1"/>
  <c r="BF285" i="1"/>
  <c r="BF370" i="1"/>
  <c r="BE264" i="1"/>
  <c r="BE267" i="1"/>
  <c r="BE270" i="1"/>
  <c r="BE273" i="1"/>
  <c r="BE276" i="1"/>
  <c r="BE279" i="1"/>
  <c r="BE282" i="1"/>
  <c r="BE285" i="1"/>
  <c r="BE370" i="1"/>
  <c r="BD264" i="1"/>
  <c r="BD267" i="1"/>
  <c r="BD270" i="1"/>
  <c r="BD273" i="1"/>
  <c r="BD276" i="1"/>
  <c r="BD279" i="1"/>
  <c r="BD282" i="1"/>
  <c r="BD285" i="1"/>
  <c r="BD370" i="1"/>
  <c r="BC264" i="1"/>
  <c r="BC267" i="1"/>
  <c r="BC270" i="1"/>
  <c r="BC273" i="1"/>
  <c r="BC276" i="1"/>
  <c r="BC279" i="1"/>
  <c r="BC282" i="1"/>
  <c r="BC285" i="1"/>
  <c r="BC370" i="1"/>
  <c r="BB264" i="1"/>
  <c r="BB267" i="1"/>
  <c r="BB270" i="1"/>
  <c r="BB273" i="1"/>
  <c r="BB276" i="1"/>
  <c r="BB279" i="1"/>
  <c r="BB282" i="1"/>
  <c r="BB285" i="1"/>
  <c r="BB370" i="1"/>
  <c r="BA264" i="1"/>
  <c r="BA267" i="1"/>
  <c r="BA270" i="1"/>
  <c r="BA273" i="1"/>
  <c r="BA276" i="1"/>
  <c r="BA279" i="1"/>
  <c r="BA282" i="1"/>
  <c r="BA285" i="1"/>
  <c r="BA370" i="1"/>
  <c r="AZ264" i="1"/>
  <c r="AZ267" i="1"/>
  <c r="AZ270" i="1"/>
  <c r="AZ273" i="1"/>
  <c r="AZ276" i="1"/>
  <c r="AZ279" i="1"/>
  <c r="AZ282" i="1"/>
  <c r="AZ285" i="1"/>
  <c r="AZ370" i="1"/>
  <c r="AY264" i="1"/>
  <c r="AY267" i="1"/>
  <c r="AY270" i="1"/>
  <c r="AY273" i="1"/>
  <c r="AY276" i="1"/>
  <c r="AY279" i="1"/>
  <c r="AY282" i="1"/>
  <c r="AY285" i="1"/>
  <c r="AY370" i="1"/>
  <c r="AX264" i="1"/>
  <c r="AX267" i="1"/>
  <c r="AX270" i="1"/>
  <c r="AX273" i="1"/>
  <c r="AX276" i="1"/>
  <c r="AX279" i="1"/>
  <c r="AX282" i="1"/>
  <c r="AX285" i="1"/>
  <c r="AX370" i="1"/>
  <c r="AW264" i="1"/>
  <c r="AW267" i="1"/>
  <c r="AW270" i="1"/>
  <c r="AW273" i="1"/>
  <c r="AW276" i="1"/>
  <c r="AW279" i="1"/>
  <c r="AW282" i="1"/>
  <c r="AW285" i="1"/>
  <c r="AW370" i="1"/>
  <c r="AV264" i="1"/>
  <c r="AV267" i="1"/>
  <c r="AV270" i="1"/>
  <c r="AV273" i="1"/>
  <c r="AV276" i="1"/>
  <c r="AV279" i="1"/>
  <c r="AV282" i="1"/>
  <c r="AV285" i="1"/>
  <c r="AV370" i="1"/>
  <c r="AU264" i="1"/>
  <c r="AU267" i="1"/>
  <c r="AU270" i="1"/>
  <c r="AU273" i="1"/>
  <c r="AU276" i="1"/>
  <c r="AU279" i="1"/>
  <c r="AU282" i="1"/>
  <c r="AU285" i="1"/>
  <c r="AU370" i="1"/>
  <c r="AT264" i="1"/>
  <c r="AT267" i="1"/>
  <c r="AT270" i="1"/>
  <c r="AT273" i="1"/>
  <c r="AT276" i="1"/>
  <c r="AT279" i="1"/>
  <c r="AT282" i="1"/>
  <c r="AT285" i="1"/>
  <c r="S191" i="1"/>
  <c r="AT191" i="1"/>
  <c r="BU191" i="1"/>
  <c r="S197" i="1"/>
  <c r="AT197" i="1"/>
  <c r="AT370" i="1"/>
  <c r="AS264" i="1"/>
  <c r="AS267" i="1"/>
  <c r="AS270" i="1"/>
  <c r="AS273" i="1"/>
  <c r="AS276" i="1"/>
  <c r="AS279" i="1"/>
  <c r="AS282" i="1"/>
  <c r="AS285" i="1"/>
  <c r="R191" i="1"/>
  <c r="AS191" i="1"/>
  <c r="BT191" i="1"/>
  <c r="R197" i="1"/>
  <c r="AS197" i="1"/>
  <c r="AS370" i="1"/>
  <c r="AR264" i="1"/>
  <c r="AR267" i="1"/>
  <c r="AR270" i="1"/>
  <c r="AR273" i="1"/>
  <c r="AR276" i="1"/>
  <c r="AR279" i="1"/>
  <c r="AR282" i="1"/>
  <c r="AR285" i="1"/>
  <c r="Q191" i="1"/>
  <c r="AR191" i="1"/>
  <c r="BS191" i="1"/>
  <c r="Q197" i="1"/>
  <c r="AR197" i="1"/>
  <c r="AR370" i="1"/>
  <c r="AQ370" i="1"/>
  <c r="AP370" i="1"/>
  <c r="AO370" i="1"/>
  <c r="AN370" i="1"/>
  <c r="AM370" i="1"/>
  <c r="AL370" i="1"/>
  <c r="AK370" i="1"/>
  <c r="AJ370" i="1"/>
  <c r="AI370" i="1"/>
  <c r="AH370" i="1"/>
  <c r="AG370" i="1"/>
  <c r="AF370" i="1"/>
  <c r="AE370" i="1"/>
  <c r="AD370" i="1"/>
  <c r="AC370" i="1"/>
  <c r="P261" i="1"/>
  <c r="S261" i="1"/>
  <c r="V261" i="1"/>
  <c r="Y261" i="1"/>
  <c r="AB261" i="1"/>
  <c r="AB264" i="1"/>
  <c r="AB267" i="1"/>
  <c r="AB270" i="1"/>
  <c r="AB273" i="1"/>
  <c r="AB276" i="1"/>
  <c r="AB279" i="1"/>
  <c r="AB282" i="1"/>
  <c r="AB285" i="1"/>
  <c r="AB370" i="1"/>
  <c r="O261" i="1"/>
  <c r="R261" i="1"/>
  <c r="U261" i="1"/>
  <c r="X261" i="1"/>
  <c r="AA261" i="1"/>
  <c r="AA264" i="1"/>
  <c r="AA267" i="1"/>
  <c r="AA270" i="1"/>
  <c r="AA273" i="1"/>
  <c r="AA276" i="1"/>
  <c r="AA279" i="1"/>
  <c r="AA282" i="1"/>
  <c r="AA285" i="1"/>
  <c r="AA370" i="1"/>
  <c r="N261" i="1"/>
  <c r="Q261" i="1"/>
  <c r="T261" i="1"/>
  <c r="W261" i="1"/>
  <c r="Z261" i="1"/>
  <c r="Z264" i="1"/>
  <c r="Z267" i="1"/>
  <c r="Z270" i="1"/>
  <c r="Z273" i="1"/>
  <c r="Z276" i="1"/>
  <c r="Z279" i="1"/>
  <c r="Z282" i="1"/>
  <c r="Z285" i="1"/>
  <c r="Z370" i="1"/>
  <c r="Y264" i="1"/>
  <c r="Y267" i="1"/>
  <c r="Y270" i="1"/>
  <c r="Y273" i="1"/>
  <c r="Y276" i="1"/>
  <c r="Y279" i="1"/>
  <c r="Y282" i="1"/>
  <c r="Y285" i="1"/>
  <c r="Y370" i="1"/>
  <c r="X264" i="1"/>
  <c r="X267" i="1"/>
  <c r="X270" i="1"/>
  <c r="X273" i="1"/>
  <c r="X276" i="1"/>
  <c r="X279" i="1"/>
  <c r="X282" i="1"/>
  <c r="X285" i="1"/>
  <c r="X370" i="1"/>
  <c r="W264" i="1"/>
  <c r="W267" i="1"/>
  <c r="W270" i="1"/>
  <c r="W273" i="1"/>
  <c r="W276" i="1"/>
  <c r="W279" i="1"/>
  <c r="W282" i="1"/>
  <c r="W285" i="1"/>
  <c r="W370" i="1"/>
  <c r="V264" i="1"/>
  <c r="V267" i="1"/>
  <c r="V270" i="1"/>
  <c r="V273" i="1"/>
  <c r="V276" i="1"/>
  <c r="V279" i="1"/>
  <c r="V282" i="1"/>
  <c r="V285" i="1"/>
  <c r="V370" i="1"/>
  <c r="U264" i="1"/>
  <c r="U267" i="1"/>
  <c r="U270" i="1"/>
  <c r="U273" i="1"/>
  <c r="U276" i="1"/>
  <c r="U279" i="1"/>
  <c r="U282" i="1"/>
  <c r="U285" i="1"/>
  <c r="U370" i="1"/>
  <c r="T264" i="1"/>
  <c r="T267" i="1"/>
  <c r="T270" i="1"/>
  <c r="T273" i="1"/>
  <c r="T276" i="1"/>
  <c r="T279" i="1"/>
  <c r="T282" i="1"/>
  <c r="T285" i="1"/>
  <c r="T370" i="1"/>
  <c r="S264" i="1"/>
  <c r="S267" i="1"/>
  <c r="S270" i="1"/>
  <c r="S273" i="1"/>
  <c r="S276" i="1"/>
  <c r="S279" i="1"/>
  <c r="S282" i="1"/>
  <c r="S285" i="1"/>
  <c r="S370" i="1"/>
  <c r="R264" i="1"/>
  <c r="R267" i="1"/>
  <c r="R270" i="1"/>
  <c r="R273" i="1"/>
  <c r="R276" i="1"/>
  <c r="R279" i="1"/>
  <c r="R282" i="1"/>
  <c r="R285" i="1"/>
  <c r="R370" i="1"/>
  <c r="Q264" i="1"/>
  <c r="Q267" i="1"/>
  <c r="Q270" i="1"/>
  <c r="Q273" i="1"/>
  <c r="Q276" i="1"/>
  <c r="Q279" i="1"/>
  <c r="Q282" i="1"/>
  <c r="Q285" i="1"/>
  <c r="Q370" i="1"/>
  <c r="P264" i="1"/>
  <c r="P267" i="1"/>
  <c r="P270" i="1"/>
  <c r="P273" i="1"/>
  <c r="P276" i="1"/>
  <c r="P279" i="1"/>
  <c r="P282" i="1"/>
  <c r="P285" i="1"/>
  <c r="P191" i="1"/>
  <c r="AQ191" i="1"/>
  <c r="BR191" i="1"/>
  <c r="P197" i="1"/>
  <c r="P370" i="1"/>
  <c r="O264" i="1"/>
  <c r="O267" i="1"/>
  <c r="O270" i="1"/>
  <c r="O273" i="1"/>
  <c r="O276" i="1"/>
  <c r="O279" i="1"/>
  <c r="O282" i="1"/>
  <c r="O285" i="1"/>
  <c r="O191" i="1"/>
  <c r="AP191" i="1"/>
  <c r="BQ191" i="1"/>
  <c r="O197" i="1"/>
  <c r="O370" i="1"/>
  <c r="N264" i="1"/>
  <c r="N267" i="1"/>
  <c r="N270" i="1"/>
  <c r="N273" i="1"/>
  <c r="N276" i="1"/>
  <c r="N279" i="1"/>
  <c r="N282" i="1"/>
  <c r="N285" i="1"/>
  <c r="N191" i="1"/>
  <c r="AO191" i="1"/>
  <c r="BP191" i="1"/>
  <c r="N197" i="1"/>
  <c r="N370" i="1"/>
  <c r="BR260" i="1"/>
  <c r="BU260" i="1"/>
  <c r="BX260" i="1"/>
  <c r="CA260" i="1"/>
  <c r="CD260" i="1"/>
  <c r="CG260" i="1"/>
  <c r="CJ260" i="1"/>
  <c r="CM260" i="1"/>
  <c r="CP260" i="1"/>
  <c r="CP263" i="1"/>
  <c r="CP266" i="1"/>
  <c r="CP269" i="1"/>
  <c r="CP272" i="1"/>
  <c r="CP275" i="1"/>
  <c r="CP278" i="1"/>
  <c r="CP281" i="1"/>
  <c r="CP284" i="1"/>
  <c r="AN190" i="1"/>
  <c r="BO190" i="1"/>
  <c r="CP190" i="1"/>
  <c r="AN196" i="1"/>
  <c r="BO196" i="1"/>
  <c r="CP196" i="1"/>
  <c r="CP369" i="1"/>
  <c r="BQ260" i="1"/>
  <c r="BT260" i="1"/>
  <c r="BW260" i="1"/>
  <c r="BZ260" i="1"/>
  <c r="CC260" i="1"/>
  <c r="CF260" i="1"/>
  <c r="CI260" i="1"/>
  <c r="CL260" i="1"/>
  <c r="CO260" i="1"/>
  <c r="CO263" i="1"/>
  <c r="CO266" i="1"/>
  <c r="CO269" i="1"/>
  <c r="CO272" i="1"/>
  <c r="CO275" i="1"/>
  <c r="CO278" i="1"/>
  <c r="CO281" i="1"/>
  <c r="CO284" i="1"/>
  <c r="AM190" i="1"/>
  <c r="BN190" i="1"/>
  <c r="CO190" i="1"/>
  <c r="AM196" i="1"/>
  <c r="BN196" i="1"/>
  <c r="CO196" i="1"/>
  <c r="CO369" i="1"/>
  <c r="BP260" i="1"/>
  <c r="BS260" i="1"/>
  <c r="BV260" i="1"/>
  <c r="BY260" i="1"/>
  <c r="CB260" i="1"/>
  <c r="CE260" i="1"/>
  <c r="CH260" i="1"/>
  <c r="CK260" i="1"/>
  <c r="CN260" i="1"/>
  <c r="CN263" i="1"/>
  <c r="CN266" i="1"/>
  <c r="CN269" i="1"/>
  <c r="CN272" i="1"/>
  <c r="CN275" i="1"/>
  <c r="CN278" i="1"/>
  <c r="CN281" i="1"/>
  <c r="CN284" i="1"/>
  <c r="AL190" i="1"/>
  <c r="BM190" i="1"/>
  <c r="CN190" i="1"/>
  <c r="AL196" i="1"/>
  <c r="BM196" i="1"/>
  <c r="CN196" i="1"/>
  <c r="CN369" i="1"/>
  <c r="CM263" i="1"/>
  <c r="CM266" i="1"/>
  <c r="CM269" i="1"/>
  <c r="CM272" i="1"/>
  <c r="CM275" i="1"/>
  <c r="CM278" i="1"/>
  <c r="CM281" i="1"/>
  <c r="CM284" i="1"/>
  <c r="AK190" i="1"/>
  <c r="BL190" i="1"/>
  <c r="CM190" i="1"/>
  <c r="AK196" i="1"/>
  <c r="BL196" i="1"/>
  <c r="CM196" i="1"/>
  <c r="CM369" i="1"/>
  <c r="CL263" i="1"/>
  <c r="CL266" i="1"/>
  <c r="CL269" i="1"/>
  <c r="CL272" i="1"/>
  <c r="CL275" i="1"/>
  <c r="CL278" i="1"/>
  <c r="CL281" i="1"/>
  <c r="CL284" i="1"/>
  <c r="AJ190" i="1"/>
  <c r="BK190" i="1"/>
  <c r="CL190" i="1"/>
  <c r="AJ196" i="1"/>
  <c r="BK196" i="1"/>
  <c r="CL196" i="1"/>
  <c r="CL369" i="1"/>
  <c r="CK263" i="1"/>
  <c r="CK266" i="1"/>
  <c r="CK269" i="1"/>
  <c r="CK272" i="1"/>
  <c r="CK275" i="1"/>
  <c r="CK278" i="1"/>
  <c r="CK281" i="1"/>
  <c r="CK284" i="1"/>
  <c r="AI190" i="1"/>
  <c r="BJ190" i="1"/>
  <c r="CK190" i="1"/>
  <c r="AI196" i="1"/>
  <c r="BJ196" i="1"/>
  <c r="CK196" i="1"/>
  <c r="CK369" i="1"/>
  <c r="CJ263" i="1"/>
  <c r="CJ266" i="1"/>
  <c r="CJ269" i="1"/>
  <c r="CJ272" i="1"/>
  <c r="CJ275" i="1"/>
  <c r="CJ278" i="1"/>
  <c r="CJ281" i="1"/>
  <c r="CJ284" i="1"/>
  <c r="AH190" i="1"/>
  <c r="BI190" i="1"/>
  <c r="CJ190" i="1"/>
  <c r="AH196" i="1"/>
  <c r="BI196" i="1"/>
  <c r="CJ196" i="1"/>
  <c r="CJ369" i="1"/>
  <c r="CI263" i="1"/>
  <c r="CI266" i="1"/>
  <c r="CI269" i="1"/>
  <c r="CI272" i="1"/>
  <c r="CI275" i="1"/>
  <c r="CI278" i="1"/>
  <c r="CI281" i="1"/>
  <c r="CI284" i="1"/>
  <c r="AG190" i="1"/>
  <c r="BH190" i="1"/>
  <c r="CI190" i="1"/>
  <c r="AG196" i="1"/>
  <c r="BH196" i="1"/>
  <c r="CI196" i="1"/>
  <c r="CI369" i="1"/>
  <c r="CH263" i="1"/>
  <c r="CH266" i="1"/>
  <c r="CH269" i="1"/>
  <c r="CH272" i="1"/>
  <c r="CH275" i="1"/>
  <c r="CH278" i="1"/>
  <c r="CH281" i="1"/>
  <c r="CH284" i="1"/>
  <c r="AF190" i="1"/>
  <c r="BG190" i="1"/>
  <c r="CH190" i="1"/>
  <c r="AF196" i="1"/>
  <c r="BG196" i="1"/>
  <c r="CH196" i="1"/>
  <c r="CH369" i="1"/>
  <c r="CG263" i="1"/>
  <c r="CG266" i="1"/>
  <c r="CG269" i="1"/>
  <c r="CG272" i="1"/>
  <c r="CG275" i="1"/>
  <c r="CG278" i="1"/>
  <c r="CG281" i="1"/>
  <c r="CG284" i="1"/>
  <c r="AE190" i="1"/>
  <c r="BF190" i="1"/>
  <c r="CG190" i="1"/>
  <c r="AE196" i="1"/>
  <c r="BF196" i="1"/>
  <c r="CG196" i="1"/>
  <c r="CG369" i="1"/>
  <c r="CF263" i="1"/>
  <c r="CF266" i="1"/>
  <c r="CF269" i="1"/>
  <c r="CF272" i="1"/>
  <c r="CF275" i="1"/>
  <c r="CF278" i="1"/>
  <c r="CF281" i="1"/>
  <c r="CF284" i="1"/>
  <c r="AD190" i="1"/>
  <c r="BE190" i="1"/>
  <c r="CF190" i="1"/>
  <c r="AD196" i="1"/>
  <c r="BE196" i="1"/>
  <c r="CF196" i="1"/>
  <c r="CF369" i="1"/>
  <c r="CE263" i="1"/>
  <c r="CE266" i="1"/>
  <c r="CE269" i="1"/>
  <c r="CE272" i="1"/>
  <c r="CE275" i="1"/>
  <c r="CE278" i="1"/>
  <c r="CE281" i="1"/>
  <c r="CE284" i="1"/>
  <c r="AC190" i="1"/>
  <c r="BD190" i="1"/>
  <c r="CE190" i="1"/>
  <c r="AC196" i="1"/>
  <c r="BD196" i="1"/>
  <c r="CE196" i="1"/>
  <c r="CE369" i="1"/>
  <c r="CD263" i="1"/>
  <c r="CD266" i="1"/>
  <c r="CD269" i="1"/>
  <c r="CD272" i="1"/>
  <c r="CD275" i="1"/>
  <c r="CD278" i="1"/>
  <c r="CD281" i="1"/>
  <c r="CD284" i="1"/>
  <c r="AB190" i="1"/>
  <c r="BC190" i="1"/>
  <c r="CD190" i="1"/>
  <c r="AB196" i="1"/>
  <c r="BC196" i="1"/>
  <c r="CD196" i="1"/>
  <c r="CD369" i="1"/>
  <c r="CC263" i="1"/>
  <c r="CC266" i="1"/>
  <c r="CC269" i="1"/>
  <c r="CC272" i="1"/>
  <c r="CC275" i="1"/>
  <c r="CC278" i="1"/>
  <c r="CC281" i="1"/>
  <c r="CC284" i="1"/>
  <c r="AA190" i="1"/>
  <c r="BB190" i="1"/>
  <c r="CC190" i="1"/>
  <c r="AA196" i="1"/>
  <c r="BB196" i="1"/>
  <c r="CC196" i="1"/>
  <c r="CC369" i="1"/>
  <c r="CB263" i="1"/>
  <c r="CB266" i="1"/>
  <c r="CB269" i="1"/>
  <c r="CB272" i="1"/>
  <c r="CB275" i="1"/>
  <c r="CB278" i="1"/>
  <c r="CB281" i="1"/>
  <c r="CB284" i="1"/>
  <c r="Z190" i="1"/>
  <c r="BA190" i="1"/>
  <c r="CB190" i="1"/>
  <c r="Z196" i="1"/>
  <c r="BA196" i="1"/>
  <c r="CB196" i="1"/>
  <c r="CB369" i="1"/>
  <c r="CA263" i="1"/>
  <c r="CA266" i="1"/>
  <c r="CA269" i="1"/>
  <c r="CA272" i="1"/>
  <c r="CA275" i="1"/>
  <c r="CA278" i="1"/>
  <c r="CA281" i="1"/>
  <c r="CA284" i="1"/>
  <c r="Y190" i="1"/>
  <c r="AZ190" i="1"/>
  <c r="CA190" i="1"/>
  <c r="Y196" i="1"/>
  <c r="AZ196" i="1"/>
  <c r="CA196" i="1"/>
  <c r="CA369" i="1"/>
  <c r="BZ263" i="1"/>
  <c r="BZ266" i="1"/>
  <c r="BZ269" i="1"/>
  <c r="BZ272" i="1"/>
  <c r="BZ275" i="1"/>
  <c r="BZ278" i="1"/>
  <c r="BZ281" i="1"/>
  <c r="BZ284" i="1"/>
  <c r="X190" i="1"/>
  <c r="AY190" i="1"/>
  <c r="BZ190" i="1"/>
  <c r="X196" i="1"/>
  <c r="AY196" i="1"/>
  <c r="BZ196" i="1"/>
  <c r="BZ369" i="1"/>
  <c r="BY263" i="1"/>
  <c r="BY266" i="1"/>
  <c r="BY269" i="1"/>
  <c r="BY272" i="1"/>
  <c r="BY275" i="1"/>
  <c r="BY278" i="1"/>
  <c r="BY281" i="1"/>
  <c r="BY284" i="1"/>
  <c r="W190" i="1"/>
  <c r="AX190" i="1"/>
  <c r="BY190" i="1"/>
  <c r="W196" i="1"/>
  <c r="AX196" i="1"/>
  <c r="BY196" i="1"/>
  <c r="BY369" i="1"/>
  <c r="BX263" i="1"/>
  <c r="BX266" i="1"/>
  <c r="BX269" i="1"/>
  <c r="BX272" i="1"/>
  <c r="BX275" i="1"/>
  <c r="BX278" i="1"/>
  <c r="BX281" i="1"/>
  <c r="BX284" i="1"/>
  <c r="V190" i="1"/>
  <c r="AW190" i="1"/>
  <c r="BX190" i="1"/>
  <c r="V196" i="1"/>
  <c r="AW196" i="1"/>
  <c r="BX196" i="1"/>
  <c r="BX369" i="1"/>
  <c r="BW263" i="1"/>
  <c r="BW266" i="1"/>
  <c r="BW269" i="1"/>
  <c r="BW272" i="1"/>
  <c r="BW275" i="1"/>
  <c r="BW278" i="1"/>
  <c r="BW281" i="1"/>
  <c r="BW284" i="1"/>
  <c r="U190" i="1"/>
  <c r="AV190" i="1"/>
  <c r="BW190" i="1"/>
  <c r="U196" i="1"/>
  <c r="AV196" i="1"/>
  <c r="BW196" i="1"/>
  <c r="BW369" i="1"/>
  <c r="BV263" i="1"/>
  <c r="BV266" i="1"/>
  <c r="BV269" i="1"/>
  <c r="BV272" i="1"/>
  <c r="BV275" i="1"/>
  <c r="BV278" i="1"/>
  <c r="BV281" i="1"/>
  <c r="BV284" i="1"/>
  <c r="T190" i="1"/>
  <c r="AU190" i="1"/>
  <c r="BV190" i="1"/>
  <c r="T196" i="1"/>
  <c r="AU196" i="1"/>
  <c r="BV196" i="1"/>
  <c r="BV369" i="1"/>
  <c r="BU369" i="1"/>
  <c r="BT369" i="1"/>
  <c r="BS369" i="1"/>
  <c r="BR369" i="1"/>
  <c r="BQ369" i="1"/>
  <c r="BP369" i="1"/>
  <c r="AQ260" i="1"/>
  <c r="AT260" i="1"/>
  <c r="AW260" i="1"/>
  <c r="AZ260" i="1"/>
  <c r="BC260" i="1"/>
  <c r="BF260" i="1"/>
  <c r="BI260" i="1"/>
  <c r="BL260" i="1"/>
  <c r="BO260" i="1"/>
  <c r="BO263" i="1"/>
  <c r="BO266" i="1"/>
  <c r="BO269" i="1"/>
  <c r="BO272" i="1"/>
  <c r="BO275" i="1"/>
  <c r="BO278" i="1"/>
  <c r="BO281" i="1"/>
  <c r="BO284" i="1"/>
  <c r="BO369" i="1"/>
  <c r="AP260" i="1"/>
  <c r="AS260" i="1"/>
  <c r="AV260" i="1"/>
  <c r="AY260" i="1"/>
  <c r="BB260" i="1"/>
  <c r="BE260" i="1"/>
  <c r="BH260" i="1"/>
  <c r="BK260" i="1"/>
  <c r="BN260" i="1"/>
  <c r="BN263" i="1"/>
  <c r="BN266" i="1"/>
  <c r="BN269" i="1"/>
  <c r="BN272" i="1"/>
  <c r="BN275" i="1"/>
  <c r="BN278" i="1"/>
  <c r="BN281" i="1"/>
  <c r="BN284" i="1"/>
  <c r="BN369" i="1"/>
  <c r="AO260" i="1"/>
  <c r="AR260" i="1"/>
  <c r="AU260" i="1"/>
  <c r="AX260" i="1"/>
  <c r="BA260" i="1"/>
  <c r="BD260" i="1"/>
  <c r="BG260" i="1"/>
  <c r="BJ260" i="1"/>
  <c r="BM260" i="1"/>
  <c r="BM263" i="1"/>
  <c r="BM266" i="1"/>
  <c r="BM269" i="1"/>
  <c r="BM272" i="1"/>
  <c r="BM275" i="1"/>
  <c r="BM278" i="1"/>
  <c r="BM281" i="1"/>
  <c r="BM284" i="1"/>
  <c r="BM369" i="1"/>
  <c r="BL263" i="1"/>
  <c r="BL266" i="1"/>
  <c r="BL269" i="1"/>
  <c r="BL272" i="1"/>
  <c r="BL275" i="1"/>
  <c r="BL278" i="1"/>
  <c r="BL281" i="1"/>
  <c r="BL284" i="1"/>
  <c r="BL369" i="1"/>
  <c r="BK263" i="1"/>
  <c r="BK266" i="1"/>
  <c r="BK269" i="1"/>
  <c r="BK272" i="1"/>
  <c r="BK275" i="1"/>
  <c r="BK278" i="1"/>
  <c r="BK281" i="1"/>
  <c r="BK284" i="1"/>
  <c r="BK369" i="1"/>
  <c r="BJ263" i="1"/>
  <c r="BJ266" i="1"/>
  <c r="BJ269" i="1"/>
  <c r="BJ272" i="1"/>
  <c r="BJ275" i="1"/>
  <c r="BJ278" i="1"/>
  <c r="BJ281" i="1"/>
  <c r="BJ284" i="1"/>
  <c r="BJ369" i="1"/>
  <c r="BI263" i="1"/>
  <c r="BI266" i="1"/>
  <c r="BI269" i="1"/>
  <c r="BI272" i="1"/>
  <c r="BI275" i="1"/>
  <c r="BI278" i="1"/>
  <c r="BI281" i="1"/>
  <c r="BI284" i="1"/>
  <c r="BI369" i="1"/>
  <c r="BH263" i="1"/>
  <c r="BH266" i="1"/>
  <c r="BH269" i="1"/>
  <c r="BH272" i="1"/>
  <c r="BH275" i="1"/>
  <c r="BH278" i="1"/>
  <c r="BH281" i="1"/>
  <c r="BH284" i="1"/>
  <c r="BH369" i="1"/>
  <c r="BG263" i="1"/>
  <c r="BG266" i="1"/>
  <c r="BG269" i="1"/>
  <c r="BG272" i="1"/>
  <c r="BG275" i="1"/>
  <c r="BG278" i="1"/>
  <c r="BG281" i="1"/>
  <c r="BG284" i="1"/>
  <c r="BG369" i="1"/>
  <c r="BF263" i="1"/>
  <c r="BF266" i="1"/>
  <c r="BF269" i="1"/>
  <c r="BF272" i="1"/>
  <c r="BF275" i="1"/>
  <c r="BF278" i="1"/>
  <c r="BF281" i="1"/>
  <c r="BF284" i="1"/>
  <c r="BF369" i="1"/>
  <c r="BE263" i="1"/>
  <c r="BE266" i="1"/>
  <c r="BE269" i="1"/>
  <c r="BE272" i="1"/>
  <c r="BE275" i="1"/>
  <c r="BE278" i="1"/>
  <c r="BE281" i="1"/>
  <c r="BE284" i="1"/>
  <c r="BE369" i="1"/>
  <c r="BD263" i="1"/>
  <c r="BD266" i="1"/>
  <c r="BD269" i="1"/>
  <c r="BD272" i="1"/>
  <c r="BD275" i="1"/>
  <c r="BD278" i="1"/>
  <c r="BD281" i="1"/>
  <c r="BD284" i="1"/>
  <c r="BD369" i="1"/>
  <c r="BC263" i="1"/>
  <c r="BC266" i="1"/>
  <c r="BC269" i="1"/>
  <c r="BC272" i="1"/>
  <c r="BC275" i="1"/>
  <c r="BC278" i="1"/>
  <c r="BC281" i="1"/>
  <c r="BC284" i="1"/>
  <c r="BC369" i="1"/>
  <c r="BB263" i="1"/>
  <c r="BB266" i="1"/>
  <c r="BB269" i="1"/>
  <c r="BB272" i="1"/>
  <c r="BB275" i="1"/>
  <c r="BB278" i="1"/>
  <c r="BB281" i="1"/>
  <c r="BB284" i="1"/>
  <c r="BB369" i="1"/>
  <c r="BA263" i="1"/>
  <c r="BA266" i="1"/>
  <c r="BA269" i="1"/>
  <c r="BA272" i="1"/>
  <c r="BA275" i="1"/>
  <c r="BA278" i="1"/>
  <c r="BA281" i="1"/>
  <c r="BA284" i="1"/>
  <c r="BA369" i="1"/>
  <c r="AZ263" i="1"/>
  <c r="AZ266" i="1"/>
  <c r="AZ269" i="1"/>
  <c r="AZ272" i="1"/>
  <c r="AZ275" i="1"/>
  <c r="AZ278" i="1"/>
  <c r="AZ281" i="1"/>
  <c r="AZ284" i="1"/>
  <c r="AZ369" i="1"/>
  <c r="AY263" i="1"/>
  <c r="AY266" i="1"/>
  <c r="AY269" i="1"/>
  <c r="AY272" i="1"/>
  <c r="AY275" i="1"/>
  <c r="AY278" i="1"/>
  <c r="AY281" i="1"/>
  <c r="AY284" i="1"/>
  <c r="AY369" i="1"/>
  <c r="AX263" i="1"/>
  <c r="AX266" i="1"/>
  <c r="AX269" i="1"/>
  <c r="AX272" i="1"/>
  <c r="AX275" i="1"/>
  <c r="AX278" i="1"/>
  <c r="AX281" i="1"/>
  <c r="AX284" i="1"/>
  <c r="AX369" i="1"/>
  <c r="AW263" i="1"/>
  <c r="AW266" i="1"/>
  <c r="AW269" i="1"/>
  <c r="AW272" i="1"/>
  <c r="AW275" i="1"/>
  <c r="AW278" i="1"/>
  <c r="AW281" i="1"/>
  <c r="AW284" i="1"/>
  <c r="AW369" i="1"/>
  <c r="AV263" i="1"/>
  <c r="AV266" i="1"/>
  <c r="AV269" i="1"/>
  <c r="AV272" i="1"/>
  <c r="AV275" i="1"/>
  <c r="AV278" i="1"/>
  <c r="AV281" i="1"/>
  <c r="AV284" i="1"/>
  <c r="AV369" i="1"/>
  <c r="AU263" i="1"/>
  <c r="AU266" i="1"/>
  <c r="AU269" i="1"/>
  <c r="AU272" i="1"/>
  <c r="AU275" i="1"/>
  <c r="AU278" i="1"/>
  <c r="AU281" i="1"/>
  <c r="AU284" i="1"/>
  <c r="AU369" i="1"/>
  <c r="AT263" i="1"/>
  <c r="AT266" i="1"/>
  <c r="AT269" i="1"/>
  <c r="AT272" i="1"/>
  <c r="AT275" i="1"/>
  <c r="AT278" i="1"/>
  <c r="AT281" i="1"/>
  <c r="AT284" i="1"/>
  <c r="S190" i="1"/>
  <c r="AT190" i="1"/>
  <c r="BU190" i="1"/>
  <c r="S196" i="1"/>
  <c r="AT196" i="1"/>
  <c r="AT369" i="1"/>
  <c r="AS263" i="1"/>
  <c r="AS266" i="1"/>
  <c r="AS269" i="1"/>
  <c r="AS272" i="1"/>
  <c r="AS275" i="1"/>
  <c r="AS278" i="1"/>
  <c r="AS281" i="1"/>
  <c r="AS284" i="1"/>
  <c r="R190" i="1"/>
  <c r="AS190" i="1"/>
  <c r="BT190" i="1"/>
  <c r="R196" i="1"/>
  <c r="AS196" i="1"/>
  <c r="AS369" i="1"/>
  <c r="AR263" i="1"/>
  <c r="AR266" i="1"/>
  <c r="AR269" i="1"/>
  <c r="AR272" i="1"/>
  <c r="AR275" i="1"/>
  <c r="AR278" i="1"/>
  <c r="AR281" i="1"/>
  <c r="AR284" i="1"/>
  <c r="Q190" i="1"/>
  <c r="AR190" i="1"/>
  <c r="BS190" i="1"/>
  <c r="Q196" i="1"/>
  <c r="AR196" i="1"/>
  <c r="AR369" i="1"/>
  <c r="AQ369" i="1"/>
  <c r="AP369" i="1"/>
  <c r="AO369" i="1"/>
  <c r="AN369" i="1"/>
  <c r="AM369" i="1"/>
  <c r="AL369" i="1"/>
  <c r="AK369" i="1"/>
  <c r="AJ369" i="1"/>
  <c r="AI369" i="1"/>
  <c r="AH369" i="1"/>
  <c r="AG369" i="1"/>
  <c r="AF369" i="1"/>
  <c r="AE369" i="1"/>
  <c r="AD369" i="1"/>
  <c r="AC369" i="1"/>
  <c r="P260" i="1"/>
  <c r="S260" i="1"/>
  <c r="V260" i="1"/>
  <c r="Y260" i="1"/>
  <c r="AB260" i="1"/>
  <c r="AB263" i="1"/>
  <c r="AB266" i="1"/>
  <c r="AB269" i="1"/>
  <c r="AB272" i="1"/>
  <c r="AB275" i="1"/>
  <c r="AB278" i="1"/>
  <c r="AB281" i="1"/>
  <c r="AB284" i="1"/>
  <c r="AB369" i="1"/>
  <c r="O260" i="1"/>
  <c r="R260" i="1"/>
  <c r="U260" i="1"/>
  <c r="X260" i="1"/>
  <c r="AA260" i="1"/>
  <c r="AA263" i="1"/>
  <c r="AA266" i="1"/>
  <c r="AA269" i="1"/>
  <c r="AA272" i="1"/>
  <c r="AA275" i="1"/>
  <c r="AA278" i="1"/>
  <c r="AA281" i="1"/>
  <c r="AA284" i="1"/>
  <c r="AA369" i="1"/>
  <c r="N260" i="1"/>
  <c r="Q260" i="1"/>
  <c r="T260" i="1"/>
  <c r="W260" i="1"/>
  <c r="Z260" i="1"/>
  <c r="Z263" i="1"/>
  <c r="Z266" i="1"/>
  <c r="Z269" i="1"/>
  <c r="Z272" i="1"/>
  <c r="Z275" i="1"/>
  <c r="Z278" i="1"/>
  <c r="Z281" i="1"/>
  <c r="Z284" i="1"/>
  <c r="Z369" i="1"/>
  <c r="Y263" i="1"/>
  <c r="Y266" i="1"/>
  <c r="Y269" i="1"/>
  <c r="Y272" i="1"/>
  <c r="Y275" i="1"/>
  <c r="Y278" i="1"/>
  <c r="Y281" i="1"/>
  <c r="Y284" i="1"/>
  <c r="Y369" i="1"/>
  <c r="X263" i="1"/>
  <c r="X266" i="1"/>
  <c r="X269" i="1"/>
  <c r="X272" i="1"/>
  <c r="X275" i="1"/>
  <c r="X278" i="1"/>
  <c r="X281" i="1"/>
  <c r="X284" i="1"/>
  <c r="X369" i="1"/>
  <c r="W263" i="1"/>
  <c r="W266" i="1"/>
  <c r="W269" i="1"/>
  <c r="W272" i="1"/>
  <c r="W275" i="1"/>
  <c r="W278" i="1"/>
  <c r="W281" i="1"/>
  <c r="W284" i="1"/>
  <c r="W369" i="1"/>
  <c r="V263" i="1"/>
  <c r="V266" i="1"/>
  <c r="V269" i="1"/>
  <c r="V272" i="1"/>
  <c r="V275" i="1"/>
  <c r="V278" i="1"/>
  <c r="V281" i="1"/>
  <c r="V284" i="1"/>
  <c r="V369" i="1"/>
  <c r="U263" i="1"/>
  <c r="U266" i="1"/>
  <c r="U269" i="1"/>
  <c r="U272" i="1"/>
  <c r="U275" i="1"/>
  <c r="U278" i="1"/>
  <c r="U281" i="1"/>
  <c r="U284" i="1"/>
  <c r="U369" i="1"/>
  <c r="T263" i="1"/>
  <c r="T266" i="1"/>
  <c r="T269" i="1"/>
  <c r="T272" i="1"/>
  <c r="T275" i="1"/>
  <c r="T278" i="1"/>
  <c r="T281" i="1"/>
  <c r="T284" i="1"/>
  <c r="T369" i="1"/>
  <c r="S263" i="1"/>
  <c r="S266" i="1"/>
  <c r="S269" i="1"/>
  <c r="S272" i="1"/>
  <c r="S275" i="1"/>
  <c r="S278" i="1"/>
  <c r="S281" i="1"/>
  <c r="S284" i="1"/>
  <c r="S369" i="1"/>
  <c r="R263" i="1"/>
  <c r="R266" i="1"/>
  <c r="R269" i="1"/>
  <c r="R272" i="1"/>
  <c r="R275" i="1"/>
  <c r="R278" i="1"/>
  <c r="R281" i="1"/>
  <c r="R284" i="1"/>
  <c r="R369" i="1"/>
  <c r="Q263" i="1"/>
  <c r="Q266" i="1"/>
  <c r="Q269" i="1"/>
  <c r="Q272" i="1"/>
  <c r="Q275" i="1"/>
  <c r="Q278" i="1"/>
  <c r="Q281" i="1"/>
  <c r="Q284" i="1"/>
  <c r="Q369" i="1"/>
  <c r="P263" i="1"/>
  <c r="P266" i="1"/>
  <c r="P269" i="1"/>
  <c r="P272" i="1"/>
  <c r="P275" i="1"/>
  <c r="P278" i="1"/>
  <c r="P281" i="1"/>
  <c r="P284" i="1"/>
  <c r="P190" i="1"/>
  <c r="AQ190" i="1"/>
  <c r="BR190" i="1"/>
  <c r="P196" i="1"/>
  <c r="P369" i="1"/>
  <c r="O263" i="1"/>
  <c r="O266" i="1"/>
  <c r="O269" i="1"/>
  <c r="O272" i="1"/>
  <c r="O275" i="1"/>
  <c r="O278" i="1"/>
  <c r="O281" i="1"/>
  <c r="O284" i="1"/>
  <c r="O190" i="1"/>
  <c r="AP190" i="1"/>
  <c r="BQ190" i="1"/>
  <c r="O196" i="1"/>
  <c r="O369" i="1"/>
  <c r="N263" i="1"/>
  <c r="N266" i="1"/>
  <c r="N269" i="1"/>
  <c r="N272" i="1"/>
  <c r="N275" i="1"/>
  <c r="N278" i="1"/>
  <c r="N281" i="1"/>
  <c r="N284" i="1"/>
  <c r="N190" i="1"/>
  <c r="AO190" i="1"/>
  <c r="BP190" i="1"/>
  <c r="N196" i="1"/>
  <c r="N369" i="1"/>
  <c r="BR259" i="1"/>
  <c r="BU259" i="1"/>
  <c r="BX259" i="1"/>
  <c r="CA259" i="1"/>
  <c r="CD259" i="1"/>
  <c r="CG259" i="1"/>
  <c r="CJ259" i="1"/>
  <c r="CM259" i="1"/>
  <c r="CP259" i="1"/>
  <c r="CP262" i="1"/>
  <c r="CP265" i="1"/>
  <c r="CP268" i="1"/>
  <c r="CP271" i="1"/>
  <c r="CP274" i="1"/>
  <c r="CP277" i="1"/>
  <c r="CP280" i="1"/>
  <c r="CP283" i="1"/>
  <c r="AN189" i="1"/>
  <c r="BO189" i="1"/>
  <c r="CP189" i="1"/>
  <c r="AN195" i="1"/>
  <c r="BO195" i="1"/>
  <c r="CP195" i="1"/>
  <c r="CP368" i="1"/>
  <c r="BQ259" i="1"/>
  <c r="BT259" i="1"/>
  <c r="BW259" i="1"/>
  <c r="BZ259" i="1"/>
  <c r="CC259" i="1"/>
  <c r="CF259" i="1"/>
  <c r="CI259" i="1"/>
  <c r="CL259" i="1"/>
  <c r="CO259" i="1"/>
  <c r="CO262" i="1"/>
  <c r="CO265" i="1"/>
  <c r="CO268" i="1"/>
  <c r="CO271" i="1"/>
  <c r="CO274" i="1"/>
  <c r="CO277" i="1"/>
  <c r="CO280" i="1"/>
  <c r="CO283" i="1"/>
  <c r="AM189" i="1"/>
  <c r="BN189" i="1"/>
  <c r="CO189" i="1"/>
  <c r="AM195" i="1"/>
  <c r="BN195" i="1"/>
  <c r="CO195" i="1"/>
  <c r="CO368" i="1"/>
  <c r="BP259" i="1"/>
  <c r="BS259" i="1"/>
  <c r="BV259" i="1"/>
  <c r="BY259" i="1"/>
  <c r="CB259" i="1"/>
  <c r="CE259" i="1"/>
  <c r="CH259" i="1"/>
  <c r="CK259" i="1"/>
  <c r="CN259" i="1"/>
  <c r="CN262" i="1"/>
  <c r="CN265" i="1"/>
  <c r="CN268" i="1"/>
  <c r="CN271" i="1"/>
  <c r="CN274" i="1"/>
  <c r="CN277" i="1"/>
  <c r="CN280" i="1"/>
  <c r="CN283" i="1"/>
  <c r="AL189" i="1"/>
  <c r="BM189" i="1"/>
  <c r="CN189" i="1"/>
  <c r="AL195" i="1"/>
  <c r="BM195" i="1"/>
  <c r="CN195" i="1"/>
  <c r="CN368" i="1"/>
  <c r="CM262" i="1"/>
  <c r="CM265" i="1"/>
  <c r="CM268" i="1"/>
  <c r="CM271" i="1"/>
  <c r="CM274" i="1"/>
  <c r="CM277" i="1"/>
  <c r="CM280" i="1"/>
  <c r="CM283" i="1"/>
  <c r="AK189" i="1"/>
  <c r="BL189" i="1"/>
  <c r="CM189" i="1"/>
  <c r="AK195" i="1"/>
  <c r="BL195" i="1"/>
  <c r="CM195" i="1"/>
  <c r="CM368" i="1"/>
  <c r="CL262" i="1"/>
  <c r="CL265" i="1"/>
  <c r="CL268" i="1"/>
  <c r="CL271" i="1"/>
  <c r="CL274" i="1"/>
  <c r="CL277" i="1"/>
  <c r="CL280" i="1"/>
  <c r="CL283" i="1"/>
  <c r="AJ189" i="1"/>
  <c r="BK189" i="1"/>
  <c r="CL189" i="1"/>
  <c r="AJ195" i="1"/>
  <c r="BK195" i="1"/>
  <c r="CL195" i="1"/>
  <c r="CL368" i="1"/>
  <c r="CK262" i="1"/>
  <c r="CK265" i="1"/>
  <c r="CK268" i="1"/>
  <c r="CK271" i="1"/>
  <c r="CK274" i="1"/>
  <c r="CK277" i="1"/>
  <c r="CK280" i="1"/>
  <c r="CK283" i="1"/>
  <c r="AI189" i="1"/>
  <c r="BJ189" i="1"/>
  <c r="CK189" i="1"/>
  <c r="AI195" i="1"/>
  <c r="BJ195" i="1"/>
  <c r="CK195" i="1"/>
  <c r="CK368" i="1"/>
  <c r="CJ262" i="1"/>
  <c r="CJ265" i="1"/>
  <c r="CJ268" i="1"/>
  <c r="CJ271" i="1"/>
  <c r="CJ274" i="1"/>
  <c r="CJ277" i="1"/>
  <c r="CJ280" i="1"/>
  <c r="CJ283" i="1"/>
  <c r="AH189" i="1"/>
  <c r="BI189" i="1"/>
  <c r="CJ189" i="1"/>
  <c r="AH195" i="1"/>
  <c r="BI195" i="1"/>
  <c r="CJ195" i="1"/>
  <c r="CJ368" i="1"/>
  <c r="CI262" i="1"/>
  <c r="CI265" i="1"/>
  <c r="CI268" i="1"/>
  <c r="CI271" i="1"/>
  <c r="CI274" i="1"/>
  <c r="CI277" i="1"/>
  <c r="CI280" i="1"/>
  <c r="CI283" i="1"/>
  <c r="AG189" i="1"/>
  <c r="BH189" i="1"/>
  <c r="CI189" i="1"/>
  <c r="AG195" i="1"/>
  <c r="BH195" i="1"/>
  <c r="CI195" i="1"/>
  <c r="CI368" i="1"/>
  <c r="CH262" i="1"/>
  <c r="CH265" i="1"/>
  <c r="CH268" i="1"/>
  <c r="CH271" i="1"/>
  <c r="CH274" i="1"/>
  <c r="CH277" i="1"/>
  <c r="CH280" i="1"/>
  <c r="CH283" i="1"/>
  <c r="AF189" i="1"/>
  <c r="BG189" i="1"/>
  <c r="CH189" i="1"/>
  <c r="AF195" i="1"/>
  <c r="BG195" i="1"/>
  <c r="CH195" i="1"/>
  <c r="CH368" i="1"/>
  <c r="CG262" i="1"/>
  <c r="CG265" i="1"/>
  <c r="CG268" i="1"/>
  <c r="CG271" i="1"/>
  <c r="CG274" i="1"/>
  <c r="CG277" i="1"/>
  <c r="CG280" i="1"/>
  <c r="CG283" i="1"/>
  <c r="AE189" i="1"/>
  <c r="BF189" i="1"/>
  <c r="CG189" i="1"/>
  <c r="AE195" i="1"/>
  <c r="BF195" i="1"/>
  <c r="CG195" i="1"/>
  <c r="CG368" i="1"/>
  <c r="CF262" i="1"/>
  <c r="CF265" i="1"/>
  <c r="CF268" i="1"/>
  <c r="CF271" i="1"/>
  <c r="CF274" i="1"/>
  <c r="CF277" i="1"/>
  <c r="CF280" i="1"/>
  <c r="CF283" i="1"/>
  <c r="AD189" i="1"/>
  <c r="BE189" i="1"/>
  <c r="CF189" i="1"/>
  <c r="AD195" i="1"/>
  <c r="BE195" i="1"/>
  <c r="CF195" i="1"/>
  <c r="CF368" i="1"/>
  <c r="CE262" i="1"/>
  <c r="CE265" i="1"/>
  <c r="CE268" i="1"/>
  <c r="CE271" i="1"/>
  <c r="CE274" i="1"/>
  <c r="CE277" i="1"/>
  <c r="CE280" i="1"/>
  <c r="CE283" i="1"/>
  <c r="AC189" i="1"/>
  <c r="BD189" i="1"/>
  <c r="CE189" i="1"/>
  <c r="AC195" i="1"/>
  <c r="BD195" i="1"/>
  <c r="CE195" i="1"/>
  <c r="CE368" i="1"/>
  <c r="CD262" i="1"/>
  <c r="CD265" i="1"/>
  <c r="CD268" i="1"/>
  <c r="CD271" i="1"/>
  <c r="CD274" i="1"/>
  <c r="CD277" i="1"/>
  <c r="CD280" i="1"/>
  <c r="CD283" i="1"/>
  <c r="AB189" i="1"/>
  <c r="BC189" i="1"/>
  <c r="CD189" i="1"/>
  <c r="AB195" i="1"/>
  <c r="BC195" i="1"/>
  <c r="CD195" i="1"/>
  <c r="CD368" i="1"/>
  <c r="CC262" i="1"/>
  <c r="CC265" i="1"/>
  <c r="CC268" i="1"/>
  <c r="CC271" i="1"/>
  <c r="CC274" i="1"/>
  <c r="CC277" i="1"/>
  <c r="CC280" i="1"/>
  <c r="CC283" i="1"/>
  <c r="AA189" i="1"/>
  <c r="BB189" i="1"/>
  <c r="CC189" i="1"/>
  <c r="AA195" i="1"/>
  <c r="BB195" i="1"/>
  <c r="CC195" i="1"/>
  <c r="CC368" i="1"/>
  <c r="CB262" i="1"/>
  <c r="CB265" i="1"/>
  <c r="CB268" i="1"/>
  <c r="CB271" i="1"/>
  <c r="CB274" i="1"/>
  <c r="CB277" i="1"/>
  <c r="CB280" i="1"/>
  <c r="CB283" i="1"/>
  <c r="Z189" i="1"/>
  <c r="BA189" i="1"/>
  <c r="CB189" i="1"/>
  <c r="Z195" i="1"/>
  <c r="BA195" i="1"/>
  <c r="CB195" i="1"/>
  <c r="CB368" i="1"/>
  <c r="CA262" i="1"/>
  <c r="CA265" i="1"/>
  <c r="CA268" i="1"/>
  <c r="CA271" i="1"/>
  <c r="CA274" i="1"/>
  <c r="CA277" i="1"/>
  <c r="CA280" i="1"/>
  <c r="CA283" i="1"/>
  <c r="Y189" i="1"/>
  <c r="AZ189" i="1"/>
  <c r="CA189" i="1"/>
  <c r="Y195" i="1"/>
  <c r="AZ195" i="1"/>
  <c r="CA195" i="1"/>
  <c r="CA368" i="1"/>
  <c r="BZ262" i="1"/>
  <c r="BZ265" i="1"/>
  <c r="BZ268" i="1"/>
  <c r="BZ271" i="1"/>
  <c r="BZ274" i="1"/>
  <c r="BZ277" i="1"/>
  <c r="BZ280" i="1"/>
  <c r="BZ283" i="1"/>
  <c r="X189" i="1"/>
  <c r="AY189" i="1"/>
  <c r="BZ189" i="1"/>
  <c r="X195" i="1"/>
  <c r="AY195" i="1"/>
  <c r="BZ195" i="1"/>
  <c r="BZ368" i="1"/>
  <c r="BY262" i="1"/>
  <c r="BY265" i="1"/>
  <c r="BY268" i="1"/>
  <c r="BY271" i="1"/>
  <c r="BY274" i="1"/>
  <c r="BY277" i="1"/>
  <c r="BY280" i="1"/>
  <c r="BY283" i="1"/>
  <c r="W189" i="1"/>
  <c r="AX189" i="1"/>
  <c r="BY189" i="1"/>
  <c r="W195" i="1"/>
  <c r="AX195" i="1"/>
  <c r="BY195" i="1"/>
  <c r="BY368" i="1"/>
  <c r="BX262" i="1"/>
  <c r="BX265" i="1"/>
  <c r="BX268" i="1"/>
  <c r="BX271" i="1"/>
  <c r="BX274" i="1"/>
  <c r="BX277" i="1"/>
  <c r="BX280" i="1"/>
  <c r="BX283" i="1"/>
  <c r="V189" i="1"/>
  <c r="AW189" i="1"/>
  <c r="BX189" i="1"/>
  <c r="V195" i="1"/>
  <c r="AW195" i="1"/>
  <c r="BX195" i="1"/>
  <c r="BX368" i="1"/>
  <c r="BW262" i="1"/>
  <c r="BW265" i="1"/>
  <c r="BW268" i="1"/>
  <c r="BW271" i="1"/>
  <c r="BW274" i="1"/>
  <c r="BW277" i="1"/>
  <c r="BW280" i="1"/>
  <c r="BW283" i="1"/>
  <c r="U189" i="1"/>
  <c r="AV189" i="1"/>
  <c r="BW189" i="1"/>
  <c r="U195" i="1"/>
  <c r="AV195" i="1"/>
  <c r="BW195" i="1"/>
  <c r="BW368" i="1"/>
  <c r="BV262" i="1"/>
  <c r="BV265" i="1"/>
  <c r="BV268" i="1"/>
  <c r="BV271" i="1"/>
  <c r="BV274" i="1"/>
  <c r="BV277" i="1"/>
  <c r="BV280" i="1"/>
  <c r="BV283" i="1"/>
  <c r="T189" i="1"/>
  <c r="AU189" i="1"/>
  <c r="BV189" i="1"/>
  <c r="T195" i="1"/>
  <c r="AU195" i="1"/>
  <c r="BV195" i="1"/>
  <c r="BV368" i="1"/>
  <c r="BU368" i="1"/>
  <c r="BT368" i="1"/>
  <c r="BS368" i="1"/>
  <c r="BR368" i="1"/>
  <c r="BQ368" i="1"/>
  <c r="BP368" i="1"/>
  <c r="AQ259" i="1"/>
  <c r="AT259" i="1"/>
  <c r="AW259" i="1"/>
  <c r="AZ259" i="1"/>
  <c r="BC259" i="1"/>
  <c r="BF259" i="1"/>
  <c r="BI259" i="1"/>
  <c r="BL259" i="1"/>
  <c r="BO259" i="1"/>
  <c r="BO262" i="1"/>
  <c r="BO265" i="1"/>
  <c r="BO268" i="1"/>
  <c r="BO271" i="1"/>
  <c r="BO274" i="1"/>
  <c r="BO277" i="1"/>
  <c r="BO280" i="1"/>
  <c r="BO283" i="1"/>
  <c r="BO368" i="1"/>
  <c r="AP259" i="1"/>
  <c r="AS259" i="1"/>
  <c r="AV259" i="1"/>
  <c r="AY259" i="1"/>
  <c r="BB259" i="1"/>
  <c r="BE259" i="1"/>
  <c r="BH259" i="1"/>
  <c r="BK259" i="1"/>
  <c r="BN259" i="1"/>
  <c r="BN262" i="1"/>
  <c r="BN265" i="1"/>
  <c r="BN268" i="1"/>
  <c r="BN271" i="1"/>
  <c r="BN274" i="1"/>
  <c r="BN277" i="1"/>
  <c r="BN280" i="1"/>
  <c r="BN283" i="1"/>
  <c r="BN368" i="1"/>
  <c r="AO259" i="1"/>
  <c r="AR259" i="1"/>
  <c r="AU259" i="1"/>
  <c r="AX259" i="1"/>
  <c r="BA259" i="1"/>
  <c r="BD259" i="1"/>
  <c r="BG259" i="1"/>
  <c r="BJ259" i="1"/>
  <c r="BM259" i="1"/>
  <c r="BM262" i="1"/>
  <c r="BM265" i="1"/>
  <c r="BM268" i="1"/>
  <c r="BM271" i="1"/>
  <c r="BM274" i="1"/>
  <c r="BM277" i="1"/>
  <c r="BM280" i="1"/>
  <c r="BM283" i="1"/>
  <c r="BM368" i="1"/>
  <c r="BL262" i="1"/>
  <c r="BL265" i="1"/>
  <c r="BL268" i="1"/>
  <c r="BL271" i="1"/>
  <c r="BL274" i="1"/>
  <c r="BL277" i="1"/>
  <c r="BL280" i="1"/>
  <c r="BL283" i="1"/>
  <c r="BL368" i="1"/>
  <c r="BK262" i="1"/>
  <c r="BK265" i="1"/>
  <c r="BK268" i="1"/>
  <c r="BK271" i="1"/>
  <c r="BK274" i="1"/>
  <c r="BK277" i="1"/>
  <c r="BK280" i="1"/>
  <c r="BK283" i="1"/>
  <c r="BK368" i="1"/>
  <c r="BJ262" i="1"/>
  <c r="BJ265" i="1"/>
  <c r="BJ268" i="1"/>
  <c r="BJ271" i="1"/>
  <c r="BJ274" i="1"/>
  <c r="BJ277" i="1"/>
  <c r="BJ280" i="1"/>
  <c r="BJ283" i="1"/>
  <c r="BJ368" i="1"/>
  <c r="BI262" i="1"/>
  <c r="BI265" i="1"/>
  <c r="BI268" i="1"/>
  <c r="BI271" i="1"/>
  <c r="BI274" i="1"/>
  <c r="BI277" i="1"/>
  <c r="BI280" i="1"/>
  <c r="BI283" i="1"/>
  <c r="BI368" i="1"/>
  <c r="BH262" i="1"/>
  <c r="BH265" i="1"/>
  <c r="BH268" i="1"/>
  <c r="BH271" i="1"/>
  <c r="BH274" i="1"/>
  <c r="BH277" i="1"/>
  <c r="BH280" i="1"/>
  <c r="BH283" i="1"/>
  <c r="BH368" i="1"/>
  <c r="BG262" i="1"/>
  <c r="BG265" i="1"/>
  <c r="BG268" i="1"/>
  <c r="BG271" i="1"/>
  <c r="BG274" i="1"/>
  <c r="BG277" i="1"/>
  <c r="BG280" i="1"/>
  <c r="BG283" i="1"/>
  <c r="BG368" i="1"/>
  <c r="BF262" i="1"/>
  <c r="BF265" i="1"/>
  <c r="BF268" i="1"/>
  <c r="BF271" i="1"/>
  <c r="BF274" i="1"/>
  <c r="BF277" i="1"/>
  <c r="BF280" i="1"/>
  <c r="BF283" i="1"/>
  <c r="BF368" i="1"/>
  <c r="BE262" i="1"/>
  <c r="BE265" i="1"/>
  <c r="BE268" i="1"/>
  <c r="BE271" i="1"/>
  <c r="BE274" i="1"/>
  <c r="BE277" i="1"/>
  <c r="BE280" i="1"/>
  <c r="BE283" i="1"/>
  <c r="BE368" i="1"/>
  <c r="BD262" i="1"/>
  <c r="BD265" i="1"/>
  <c r="BD268" i="1"/>
  <c r="BD271" i="1"/>
  <c r="BD274" i="1"/>
  <c r="BD277" i="1"/>
  <c r="BD280" i="1"/>
  <c r="BD283" i="1"/>
  <c r="BD368" i="1"/>
  <c r="BC262" i="1"/>
  <c r="BC265" i="1"/>
  <c r="BC268" i="1"/>
  <c r="BC271" i="1"/>
  <c r="BC274" i="1"/>
  <c r="BC277" i="1"/>
  <c r="BC280" i="1"/>
  <c r="BC283" i="1"/>
  <c r="BC368" i="1"/>
  <c r="BB262" i="1"/>
  <c r="BB265" i="1"/>
  <c r="BB268" i="1"/>
  <c r="BB271" i="1"/>
  <c r="BB274" i="1"/>
  <c r="BB277" i="1"/>
  <c r="BB280" i="1"/>
  <c r="BB283" i="1"/>
  <c r="BB368" i="1"/>
  <c r="BA262" i="1"/>
  <c r="BA265" i="1"/>
  <c r="BA268" i="1"/>
  <c r="BA271" i="1"/>
  <c r="BA274" i="1"/>
  <c r="BA277" i="1"/>
  <c r="BA280" i="1"/>
  <c r="BA283" i="1"/>
  <c r="BA368" i="1"/>
  <c r="AZ262" i="1"/>
  <c r="AZ265" i="1"/>
  <c r="AZ268" i="1"/>
  <c r="AZ271" i="1"/>
  <c r="AZ274" i="1"/>
  <c r="AZ277" i="1"/>
  <c r="AZ280" i="1"/>
  <c r="AZ283" i="1"/>
  <c r="AZ368" i="1"/>
  <c r="AY262" i="1"/>
  <c r="AY265" i="1"/>
  <c r="AY268" i="1"/>
  <c r="AY271" i="1"/>
  <c r="AY274" i="1"/>
  <c r="AY277" i="1"/>
  <c r="AY280" i="1"/>
  <c r="AY283" i="1"/>
  <c r="AY368" i="1"/>
  <c r="AX262" i="1"/>
  <c r="AX265" i="1"/>
  <c r="AX268" i="1"/>
  <c r="AX271" i="1"/>
  <c r="AX274" i="1"/>
  <c r="AX277" i="1"/>
  <c r="AX280" i="1"/>
  <c r="AX283" i="1"/>
  <c r="AX368" i="1"/>
  <c r="AW262" i="1"/>
  <c r="AW265" i="1"/>
  <c r="AW268" i="1"/>
  <c r="AW271" i="1"/>
  <c r="AW274" i="1"/>
  <c r="AW277" i="1"/>
  <c r="AW280" i="1"/>
  <c r="AW283" i="1"/>
  <c r="AW368" i="1"/>
  <c r="AV262" i="1"/>
  <c r="AV265" i="1"/>
  <c r="AV268" i="1"/>
  <c r="AV271" i="1"/>
  <c r="AV274" i="1"/>
  <c r="AV277" i="1"/>
  <c r="AV280" i="1"/>
  <c r="AV283" i="1"/>
  <c r="AV368" i="1"/>
  <c r="AU262" i="1"/>
  <c r="AU265" i="1"/>
  <c r="AU268" i="1"/>
  <c r="AU271" i="1"/>
  <c r="AU274" i="1"/>
  <c r="AU277" i="1"/>
  <c r="AU280" i="1"/>
  <c r="AU283" i="1"/>
  <c r="AU368" i="1"/>
  <c r="AT262" i="1"/>
  <c r="AT265" i="1"/>
  <c r="AT268" i="1"/>
  <c r="AT271" i="1"/>
  <c r="AT274" i="1"/>
  <c r="AT277" i="1"/>
  <c r="AT280" i="1"/>
  <c r="AT283" i="1"/>
  <c r="S189" i="1"/>
  <c r="AT189" i="1"/>
  <c r="BU189" i="1"/>
  <c r="S195" i="1"/>
  <c r="AT195" i="1"/>
  <c r="AT368" i="1"/>
  <c r="AS262" i="1"/>
  <c r="AS265" i="1"/>
  <c r="AS268" i="1"/>
  <c r="AS271" i="1"/>
  <c r="AS274" i="1"/>
  <c r="AS277" i="1"/>
  <c r="AS280" i="1"/>
  <c r="AS283" i="1"/>
  <c r="R189" i="1"/>
  <c r="AS189" i="1"/>
  <c r="BT189" i="1"/>
  <c r="R195" i="1"/>
  <c r="AS195" i="1"/>
  <c r="AS368" i="1"/>
  <c r="AR262" i="1"/>
  <c r="AR265" i="1"/>
  <c r="AR268" i="1"/>
  <c r="AR271" i="1"/>
  <c r="AR274" i="1"/>
  <c r="AR277" i="1"/>
  <c r="AR280" i="1"/>
  <c r="AR283" i="1"/>
  <c r="Q189" i="1"/>
  <c r="AR189" i="1"/>
  <c r="BS189" i="1"/>
  <c r="Q195" i="1"/>
  <c r="AR195" i="1"/>
  <c r="AR368" i="1"/>
  <c r="AQ368" i="1"/>
  <c r="AP368" i="1"/>
  <c r="AO368" i="1"/>
  <c r="AN368" i="1"/>
  <c r="AM368" i="1"/>
  <c r="AL368" i="1"/>
  <c r="AK368" i="1"/>
  <c r="AJ368" i="1"/>
  <c r="AI368" i="1"/>
  <c r="AH368" i="1"/>
  <c r="AG368" i="1"/>
  <c r="AF368" i="1"/>
  <c r="AE368" i="1"/>
  <c r="AD368" i="1"/>
  <c r="AC368" i="1"/>
  <c r="P259" i="1"/>
  <c r="S259" i="1"/>
  <c r="V259" i="1"/>
  <c r="Y259" i="1"/>
  <c r="AB259" i="1"/>
  <c r="AB262" i="1"/>
  <c r="AB265" i="1"/>
  <c r="AB268" i="1"/>
  <c r="AB271" i="1"/>
  <c r="AB274" i="1"/>
  <c r="AB277" i="1"/>
  <c r="AB280" i="1"/>
  <c r="AB283" i="1"/>
  <c r="AB368" i="1"/>
  <c r="O259" i="1"/>
  <c r="R259" i="1"/>
  <c r="U259" i="1"/>
  <c r="X259" i="1"/>
  <c r="AA259" i="1"/>
  <c r="AA262" i="1"/>
  <c r="AA265" i="1"/>
  <c r="AA268" i="1"/>
  <c r="AA271" i="1"/>
  <c r="AA274" i="1"/>
  <c r="AA277" i="1"/>
  <c r="AA280" i="1"/>
  <c r="AA283" i="1"/>
  <c r="AA368" i="1"/>
  <c r="N259" i="1"/>
  <c r="Q259" i="1"/>
  <c r="T259" i="1"/>
  <c r="W259" i="1"/>
  <c r="Z259" i="1"/>
  <c r="Z262" i="1"/>
  <c r="Z265" i="1"/>
  <c r="Z268" i="1"/>
  <c r="Z271" i="1"/>
  <c r="Z274" i="1"/>
  <c r="Z277" i="1"/>
  <c r="Z280" i="1"/>
  <c r="Z283" i="1"/>
  <c r="Z368" i="1"/>
  <c r="Y262" i="1"/>
  <c r="Y265" i="1"/>
  <c r="Y268" i="1"/>
  <c r="Y271" i="1"/>
  <c r="Y274" i="1"/>
  <c r="Y277" i="1"/>
  <c r="Y280" i="1"/>
  <c r="Y283" i="1"/>
  <c r="Y368" i="1"/>
  <c r="X262" i="1"/>
  <c r="X265" i="1"/>
  <c r="X268" i="1"/>
  <c r="X271" i="1"/>
  <c r="X274" i="1"/>
  <c r="X277" i="1"/>
  <c r="X280" i="1"/>
  <c r="X283" i="1"/>
  <c r="X368" i="1"/>
  <c r="W262" i="1"/>
  <c r="W265" i="1"/>
  <c r="W268" i="1"/>
  <c r="W271" i="1"/>
  <c r="W274" i="1"/>
  <c r="W277" i="1"/>
  <c r="W280" i="1"/>
  <c r="W283" i="1"/>
  <c r="W368" i="1"/>
  <c r="V262" i="1"/>
  <c r="V265" i="1"/>
  <c r="V268" i="1"/>
  <c r="V271" i="1"/>
  <c r="V274" i="1"/>
  <c r="V277" i="1"/>
  <c r="V280" i="1"/>
  <c r="V283" i="1"/>
  <c r="V368" i="1"/>
  <c r="U262" i="1"/>
  <c r="U265" i="1"/>
  <c r="U268" i="1"/>
  <c r="U271" i="1"/>
  <c r="U274" i="1"/>
  <c r="U277" i="1"/>
  <c r="U280" i="1"/>
  <c r="U283" i="1"/>
  <c r="U368" i="1"/>
  <c r="T262" i="1"/>
  <c r="T265" i="1"/>
  <c r="T268" i="1"/>
  <c r="T271" i="1"/>
  <c r="T274" i="1"/>
  <c r="T277" i="1"/>
  <c r="T280" i="1"/>
  <c r="T283" i="1"/>
  <c r="T368" i="1"/>
  <c r="S262" i="1"/>
  <c r="S265" i="1"/>
  <c r="S268" i="1"/>
  <c r="S271" i="1"/>
  <c r="S274" i="1"/>
  <c r="S277" i="1"/>
  <c r="S280" i="1"/>
  <c r="S283" i="1"/>
  <c r="S368" i="1"/>
  <c r="R262" i="1"/>
  <c r="R265" i="1"/>
  <c r="R268" i="1"/>
  <c r="R271" i="1"/>
  <c r="R274" i="1"/>
  <c r="R277" i="1"/>
  <c r="R280" i="1"/>
  <c r="R283" i="1"/>
  <c r="R368" i="1"/>
  <c r="Q262" i="1"/>
  <c r="Q265" i="1"/>
  <c r="Q268" i="1"/>
  <c r="Q271" i="1"/>
  <c r="Q274" i="1"/>
  <c r="Q277" i="1"/>
  <c r="Q280" i="1"/>
  <c r="Q283" i="1"/>
  <c r="Q368" i="1"/>
  <c r="P262" i="1"/>
  <c r="P265" i="1"/>
  <c r="P268" i="1"/>
  <c r="P271" i="1"/>
  <c r="P274" i="1"/>
  <c r="P277" i="1"/>
  <c r="P280" i="1"/>
  <c r="P283" i="1"/>
  <c r="P189" i="1"/>
  <c r="AQ189" i="1"/>
  <c r="BR189" i="1"/>
  <c r="P195" i="1"/>
  <c r="P368" i="1"/>
  <c r="O262" i="1"/>
  <c r="O265" i="1"/>
  <c r="O268" i="1"/>
  <c r="O271" i="1"/>
  <c r="O274" i="1"/>
  <c r="O277" i="1"/>
  <c r="O280" i="1"/>
  <c r="O283" i="1"/>
  <c r="O189" i="1"/>
  <c r="AP189" i="1"/>
  <c r="BQ189" i="1"/>
  <c r="O195" i="1"/>
  <c r="O368" i="1"/>
  <c r="N262" i="1"/>
  <c r="N265" i="1"/>
  <c r="N268" i="1"/>
  <c r="N271" i="1"/>
  <c r="N274" i="1"/>
  <c r="N277" i="1"/>
  <c r="N280" i="1"/>
  <c r="N283" i="1"/>
  <c r="N368" i="1"/>
  <c r="CP367" i="1"/>
  <c r="CO367" i="1"/>
  <c r="CN367" i="1"/>
  <c r="CM367" i="1"/>
  <c r="CL367" i="1"/>
  <c r="CK367" i="1"/>
  <c r="CJ367" i="1"/>
  <c r="CI367" i="1"/>
  <c r="CH367" i="1"/>
  <c r="CG367" i="1"/>
  <c r="CF367" i="1"/>
  <c r="CE367" i="1"/>
  <c r="CD367" i="1"/>
  <c r="CC367" i="1"/>
  <c r="CB367" i="1"/>
  <c r="CA367" i="1"/>
  <c r="BZ367" i="1"/>
  <c r="BY367" i="1"/>
  <c r="BX367" i="1"/>
  <c r="BW367" i="1"/>
  <c r="BV367" i="1"/>
  <c r="BU367" i="1"/>
  <c r="BT367" i="1"/>
  <c r="BS367" i="1"/>
  <c r="BR367" i="1"/>
  <c r="BQ367" i="1"/>
  <c r="BP367" i="1"/>
  <c r="BO367" i="1"/>
  <c r="BN367" i="1"/>
  <c r="BM367" i="1"/>
  <c r="BL367" i="1"/>
  <c r="BK367" i="1"/>
  <c r="BJ367" i="1"/>
  <c r="BI367" i="1"/>
  <c r="BH367" i="1"/>
  <c r="BG367" i="1"/>
  <c r="BF367" i="1"/>
  <c r="BE367" i="1"/>
  <c r="BD367" i="1"/>
  <c r="BC367" i="1"/>
  <c r="BB367" i="1"/>
  <c r="BA367" i="1"/>
  <c r="AZ367" i="1"/>
  <c r="AY367" i="1"/>
  <c r="AX367" i="1"/>
  <c r="AW367" i="1"/>
  <c r="AV367" i="1"/>
  <c r="AU367" i="1"/>
  <c r="AT367" i="1"/>
  <c r="AS367" i="1"/>
  <c r="AR367" i="1"/>
  <c r="AQ264" i="1"/>
  <c r="AQ267" i="1"/>
  <c r="AQ270" i="1"/>
  <c r="AQ273" i="1"/>
  <c r="AQ276" i="1"/>
  <c r="AQ279" i="1"/>
  <c r="AQ282" i="1"/>
  <c r="AQ197" i="1"/>
  <c r="AQ367" i="1"/>
  <c r="AP264" i="1"/>
  <c r="AP267" i="1"/>
  <c r="AP270" i="1"/>
  <c r="AP273" i="1"/>
  <c r="AP276" i="1"/>
  <c r="AP279" i="1"/>
  <c r="AP282" i="1"/>
  <c r="AP197" i="1"/>
  <c r="AP367" i="1"/>
  <c r="AO264" i="1"/>
  <c r="AO267" i="1"/>
  <c r="AO270" i="1"/>
  <c r="AO273" i="1"/>
  <c r="AO276" i="1"/>
  <c r="AO279" i="1"/>
  <c r="AO282" i="1"/>
  <c r="AO197" i="1"/>
  <c r="AO367" i="1"/>
  <c r="AN367" i="1"/>
  <c r="AM367" i="1"/>
  <c r="AL367" i="1"/>
  <c r="AK367" i="1"/>
  <c r="AJ367" i="1"/>
  <c r="AI367" i="1"/>
  <c r="AH367" i="1"/>
  <c r="AG367" i="1"/>
  <c r="AF367" i="1"/>
  <c r="AE261" i="1"/>
  <c r="AE264" i="1"/>
  <c r="AE267" i="1"/>
  <c r="AE270" i="1"/>
  <c r="AE273" i="1"/>
  <c r="AE276" i="1"/>
  <c r="AE279" i="1"/>
  <c r="AE282" i="1"/>
  <c r="AE367" i="1"/>
  <c r="AD261" i="1"/>
  <c r="AD264" i="1"/>
  <c r="AD267" i="1"/>
  <c r="AD270" i="1"/>
  <c r="AD273" i="1"/>
  <c r="AD276" i="1"/>
  <c r="AD279" i="1"/>
  <c r="AD282" i="1"/>
  <c r="AD367" i="1"/>
  <c r="AC261" i="1"/>
  <c r="AC264" i="1"/>
  <c r="AC267" i="1"/>
  <c r="AC270" i="1"/>
  <c r="AC273" i="1"/>
  <c r="AC276" i="1"/>
  <c r="AC279" i="1"/>
  <c r="AC282" i="1"/>
  <c r="AC367" i="1"/>
  <c r="AB367" i="1"/>
  <c r="AA367" i="1"/>
  <c r="Z367" i="1"/>
  <c r="Y367" i="1"/>
  <c r="X367" i="1"/>
  <c r="W367" i="1"/>
  <c r="V367" i="1"/>
  <c r="U367" i="1"/>
  <c r="T367" i="1"/>
  <c r="S367" i="1"/>
  <c r="R367" i="1"/>
  <c r="Q367" i="1"/>
  <c r="P367" i="1"/>
  <c r="O367" i="1"/>
  <c r="N367" i="1"/>
  <c r="CP366" i="1"/>
  <c r="CO366" i="1"/>
  <c r="CN366" i="1"/>
  <c r="CM366" i="1"/>
  <c r="CL366" i="1"/>
  <c r="CK366" i="1"/>
  <c r="CJ366" i="1"/>
  <c r="CI366" i="1"/>
  <c r="CH366" i="1"/>
  <c r="CG366" i="1"/>
  <c r="CF366" i="1"/>
  <c r="CE366" i="1"/>
  <c r="CD366" i="1"/>
  <c r="CC366" i="1"/>
  <c r="CB366" i="1"/>
  <c r="CA366" i="1"/>
  <c r="BZ366" i="1"/>
  <c r="BY366" i="1"/>
  <c r="BX366" i="1"/>
  <c r="BW366" i="1"/>
  <c r="BV366" i="1"/>
  <c r="BU366" i="1"/>
  <c r="BT366" i="1"/>
  <c r="BS366" i="1"/>
  <c r="BR366" i="1"/>
  <c r="BQ366" i="1"/>
  <c r="BP366" i="1"/>
  <c r="BO366" i="1"/>
  <c r="BN366" i="1"/>
  <c r="BM366" i="1"/>
  <c r="BL366" i="1"/>
  <c r="BK366" i="1"/>
  <c r="BJ366" i="1"/>
  <c r="BI366" i="1"/>
  <c r="BH366" i="1"/>
  <c r="BG366" i="1"/>
  <c r="BF366" i="1"/>
  <c r="BE366" i="1"/>
  <c r="BD366" i="1"/>
  <c r="BC366" i="1"/>
  <c r="BB366" i="1"/>
  <c r="BA366" i="1"/>
  <c r="AZ366" i="1"/>
  <c r="AY366" i="1"/>
  <c r="AX366" i="1"/>
  <c r="AW366" i="1"/>
  <c r="AV366" i="1"/>
  <c r="AU366" i="1"/>
  <c r="AT366" i="1"/>
  <c r="AS366" i="1"/>
  <c r="AR366" i="1"/>
  <c r="AQ263" i="1"/>
  <c r="AQ266" i="1"/>
  <c r="AQ269" i="1"/>
  <c r="AQ272" i="1"/>
  <c r="AQ275" i="1"/>
  <c r="AQ278" i="1"/>
  <c r="AQ281" i="1"/>
  <c r="AQ196" i="1"/>
  <c r="AQ366" i="1"/>
  <c r="AP263" i="1"/>
  <c r="AP266" i="1"/>
  <c r="AP269" i="1"/>
  <c r="AP272" i="1"/>
  <c r="AP275" i="1"/>
  <c r="AP278" i="1"/>
  <c r="AP281" i="1"/>
  <c r="AP196" i="1"/>
  <c r="AP366" i="1"/>
  <c r="AO263" i="1"/>
  <c r="AO266" i="1"/>
  <c r="AO269" i="1"/>
  <c r="AO272" i="1"/>
  <c r="AO275" i="1"/>
  <c r="AO278" i="1"/>
  <c r="AO281" i="1"/>
  <c r="AO196" i="1"/>
  <c r="AO366" i="1"/>
  <c r="AN366" i="1"/>
  <c r="AM366" i="1"/>
  <c r="AL366" i="1"/>
  <c r="AK366" i="1"/>
  <c r="AJ366" i="1"/>
  <c r="AI366" i="1"/>
  <c r="AH366" i="1"/>
  <c r="AG366" i="1"/>
  <c r="AF366" i="1"/>
  <c r="AE260" i="1"/>
  <c r="AE263" i="1"/>
  <c r="AE266" i="1"/>
  <c r="AE269" i="1"/>
  <c r="AE272" i="1"/>
  <c r="AE275" i="1"/>
  <c r="AE278" i="1"/>
  <c r="AE281" i="1"/>
  <c r="AE366" i="1"/>
  <c r="AD260" i="1"/>
  <c r="AD263" i="1"/>
  <c r="AD266" i="1"/>
  <c r="AD269" i="1"/>
  <c r="AD272" i="1"/>
  <c r="AD275" i="1"/>
  <c r="AD278" i="1"/>
  <c r="AD281" i="1"/>
  <c r="AD366" i="1"/>
  <c r="AC260" i="1"/>
  <c r="AC263" i="1"/>
  <c r="AC266" i="1"/>
  <c r="AC269" i="1"/>
  <c r="AC272" i="1"/>
  <c r="AC275" i="1"/>
  <c r="AC278" i="1"/>
  <c r="AC281" i="1"/>
  <c r="AC366" i="1"/>
  <c r="AB366" i="1"/>
  <c r="AA366" i="1"/>
  <c r="Z366" i="1"/>
  <c r="Y366" i="1"/>
  <c r="X366" i="1"/>
  <c r="W366" i="1"/>
  <c r="V366" i="1"/>
  <c r="U366" i="1"/>
  <c r="T366" i="1"/>
  <c r="S366" i="1"/>
  <c r="R366" i="1"/>
  <c r="Q366" i="1"/>
  <c r="P366" i="1"/>
  <c r="O366" i="1"/>
  <c r="N366" i="1"/>
  <c r="CP365" i="1"/>
  <c r="CO365" i="1"/>
  <c r="CN365" i="1"/>
  <c r="CM365" i="1"/>
  <c r="CL365" i="1"/>
  <c r="CK365" i="1"/>
  <c r="CJ365" i="1"/>
  <c r="CI365" i="1"/>
  <c r="CH365" i="1"/>
  <c r="CG365" i="1"/>
  <c r="CF365" i="1"/>
  <c r="CE365" i="1"/>
  <c r="CD365" i="1"/>
  <c r="CC365" i="1"/>
  <c r="CB365" i="1"/>
  <c r="CA365" i="1"/>
  <c r="BZ365" i="1"/>
  <c r="BY365" i="1"/>
  <c r="BX365" i="1"/>
  <c r="BW365" i="1"/>
  <c r="BV365" i="1"/>
  <c r="BU365" i="1"/>
  <c r="BT365" i="1"/>
  <c r="BS365" i="1"/>
  <c r="BR365" i="1"/>
  <c r="BQ365" i="1"/>
  <c r="BP365" i="1"/>
  <c r="BO365" i="1"/>
  <c r="BN365" i="1"/>
  <c r="BM365" i="1"/>
  <c r="BL365" i="1"/>
  <c r="BK365" i="1"/>
  <c r="BJ365" i="1"/>
  <c r="BI365" i="1"/>
  <c r="BH365" i="1"/>
  <c r="BG365" i="1"/>
  <c r="BF365" i="1"/>
  <c r="BE365" i="1"/>
  <c r="BD365" i="1"/>
  <c r="BC365" i="1"/>
  <c r="BB365" i="1"/>
  <c r="BA365" i="1"/>
  <c r="AZ365" i="1"/>
  <c r="AY365" i="1"/>
  <c r="AX365" i="1"/>
  <c r="AW365" i="1"/>
  <c r="AV365" i="1"/>
  <c r="AU365" i="1"/>
  <c r="AT365" i="1"/>
  <c r="AS365" i="1"/>
  <c r="AR365" i="1"/>
  <c r="AQ262" i="1"/>
  <c r="AQ265" i="1"/>
  <c r="AQ268" i="1"/>
  <c r="AQ271" i="1"/>
  <c r="AQ274" i="1"/>
  <c r="AQ277" i="1"/>
  <c r="AQ280" i="1"/>
  <c r="AQ195" i="1"/>
  <c r="AQ365" i="1"/>
  <c r="AP262" i="1"/>
  <c r="AP265" i="1"/>
  <c r="AP268" i="1"/>
  <c r="AP271" i="1"/>
  <c r="AP274" i="1"/>
  <c r="AP277" i="1"/>
  <c r="AP280" i="1"/>
  <c r="AP195" i="1"/>
  <c r="AP365" i="1"/>
  <c r="AO262" i="1"/>
  <c r="AO265" i="1"/>
  <c r="AO268" i="1"/>
  <c r="AO271" i="1"/>
  <c r="AO274" i="1"/>
  <c r="AO277" i="1"/>
  <c r="AO280" i="1"/>
  <c r="AO195" i="1"/>
  <c r="AO365" i="1"/>
  <c r="AN365" i="1"/>
  <c r="AM365" i="1"/>
  <c r="AL365" i="1"/>
  <c r="AK365" i="1"/>
  <c r="AJ365" i="1"/>
  <c r="AI365" i="1"/>
  <c r="AH365" i="1"/>
  <c r="AG365" i="1"/>
  <c r="AF365" i="1"/>
  <c r="AE259" i="1"/>
  <c r="AE262" i="1"/>
  <c r="AE265" i="1"/>
  <c r="AE268" i="1"/>
  <c r="AE271" i="1"/>
  <c r="AE274" i="1"/>
  <c r="AE277" i="1"/>
  <c r="AE280" i="1"/>
  <c r="AE365" i="1"/>
  <c r="AD259" i="1"/>
  <c r="AD262" i="1"/>
  <c r="AD265" i="1"/>
  <c r="AD268" i="1"/>
  <c r="AD271" i="1"/>
  <c r="AD274" i="1"/>
  <c r="AD277" i="1"/>
  <c r="AD280" i="1"/>
  <c r="AD365" i="1"/>
  <c r="AC259" i="1"/>
  <c r="AC262" i="1"/>
  <c r="AC265" i="1"/>
  <c r="AC268" i="1"/>
  <c r="AC271" i="1"/>
  <c r="AC274" i="1"/>
  <c r="AC277" i="1"/>
  <c r="AC280" i="1"/>
  <c r="AC365" i="1"/>
  <c r="AB365" i="1"/>
  <c r="AA365" i="1"/>
  <c r="Z365" i="1"/>
  <c r="Y365" i="1"/>
  <c r="X365" i="1"/>
  <c r="W365" i="1"/>
  <c r="V365" i="1"/>
  <c r="U365" i="1"/>
  <c r="T365" i="1"/>
  <c r="S365" i="1"/>
  <c r="R365" i="1"/>
  <c r="Q365" i="1"/>
  <c r="P365" i="1"/>
  <c r="O365" i="1"/>
  <c r="N365" i="1"/>
  <c r="CP364" i="1"/>
  <c r="CO364" i="1"/>
  <c r="CN364" i="1"/>
  <c r="CM364" i="1"/>
  <c r="CL364" i="1"/>
  <c r="CK364" i="1"/>
  <c r="CJ364" i="1"/>
  <c r="CI364" i="1"/>
  <c r="CH364" i="1"/>
  <c r="CG364" i="1"/>
  <c r="CF364" i="1"/>
  <c r="CE364" i="1"/>
  <c r="CD364" i="1"/>
  <c r="CC364" i="1"/>
  <c r="CB364" i="1"/>
  <c r="CA364" i="1"/>
  <c r="BZ364" i="1"/>
  <c r="BY364" i="1"/>
  <c r="BX364" i="1"/>
  <c r="BW364" i="1"/>
  <c r="BV364" i="1"/>
  <c r="BU364" i="1"/>
  <c r="BT364" i="1"/>
  <c r="BS364" i="1"/>
  <c r="BR364" i="1"/>
  <c r="BQ364" i="1"/>
  <c r="BP364" i="1"/>
  <c r="BO364" i="1"/>
  <c r="BN364" i="1"/>
  <c r="BM364" i="1"/>
  <c r="BL364" i="1"/>
  <c r="BK364" i="1"/>
  <c r="BJ364" i="1"/>
  <c r="BI364" i="1"/>
  <c r="BH364" i="1"/>
  <c r="BG364" i="1"/>
  <c r="BF364" i="1"/>
  <c r="BE364" i="1"/>
  <c r="BD364" i="1"/>
  <c r="BC364" i="1"/>
  <c r="BB364" i="1"/>
  <c r="BA364" i="1"/>
  <c r="AZ364" i="1"/>
  <c r="AY364" i="1"/>
  <c r="AX364" i="1"/>
  <c r="AW364" i="1"/>
  <c r="AV364" i="1"/>
  <c r="AU364" i="1"/>
  <c r="AT364" i="1"/>
  <c r="AS364" i="1"/>
  <c r="AR364" i="1"/>
  <c r="AQ364" i="1"/>
  <c r="AP364" i="1"/>
  <c r="AO364" i="1"/>
  <c r="AN364" i="1"/>
  <c r="AM364" i="1"/>
  <c r="AL364"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CP363" i="1"/>
  <c r="CO363" i="1"/>
  <c r="CN363" i="1"/>
  <c r="CM363" i="1"/>
  <c r="CL363" i="1"/>
  <c r="CK363" i="1"/>
  <c r="CJ363" i="1"/>
  <c r="CI363" i="1"/>
  <c r="CH363" i="1"/>
  <c r="CG363" i="1"/>
  <c r="CF363" i="1"/>
  <c r="CE363" i="1"/>
  <c r="CD363" i="1"/>
  <c r="CC363" i="1"/>
  <c r="CB363" i="1"/>
  <c r="CA363" i="1"/>
  <c r="BZ363" i="1"/>
  <c r="BY363" i="1"/>
  <c r="BX363" i="1"/>
  <c r="BW363" i="1"/>
  <c r="BV363" i="1"/>
  <c r="BU363" i="1"/>
  <c r="BT363" i="1"/>
  <c r="BS363" i="1"/>
  <c r="BR363" i="1"/>
  <c r="BQ363" i="1"/>
  <c r="BP363" i="1"/>
  <c r="BO363" i="1"/>
  <c r="BN363" i="1"/>
  <c r="BM363" i="1"/>
  <c r="BL363" i="1"/>
  <c r="BK363" i="1"/>
  <c r="BJ363" i="1"/>
  <c r="BI363" i="1"/>
  <c r="BH363" i="1"/>
  <c r="BG363" i="1"/>
  <c r="BF363" i="1"/>
  <c r="BE363" i="1"/>
  <c r="BD363" i="1"/>
  <c r="BC363" i="1"/>
  <c r="BB363" i="1"/>
  <c r="BA363" i="1"/>
  <c r="AZ363" i="1"/>
  <c r="AY363" i="1"/>
  <c r="AX363" i="1"/>
  <c r="AW363" i="1"/>
  <c r="AV363" i="1"/>
  <c r="AU363" i="1"/>
  <c r="AT363" i="1"/>
  <c r="AS363" i="1"/>
  <c r="AR363" i="1"/>
  <c r="AQ363" i="1"/>
  <c r="AP363" i="1"/>
  <c r="AO363" i="1"/>
  <c r="AN363" i="1"/>
  <c r="AM363" i="1"/>
  <c r="AL363"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CP362" i="1"/>
  <c r="CO362" i="1"/>
  <c r="CN362" i="1"/>
  <c r="CM362" i="1"/>
  <c r="CL362" i="1"/>
  <c r="CK362" i="1"/>
  <c r="CJ362" i="1"/>
  <c r="CI362" i="1"/>
  <c r="CH362" i="1"/>
  <c r="CG362" i="1"/>
  <c r="CF362" i="1"/>
  <c r="CE362" i="1"/>
  <c r="CD362" i="1"/>
  <c r="CC362" i="1"/>
  <c r="CB362" i="1"/>
  <c r="CA362" i="1"/>
  <c r="BZ362" i="1"/>
  <c r="BY362" i="1"/>
  <c r="BX362" i="1"/>
  <c r="BW362" i="1"/>
  <c r="BV362" i="1"/>
  <c r="BU362" i="1"/>
  <c r="BT362" i="1"/>
  <c r="BS362" i="1"/>
  <c r="BR362" i="1"/>
  <c r="BQ362" i="1"/>
  <c r="BP362" i="1"/>
  <c r="BO362" i="1"/>
  <c r="BN362" i="1"/>
  <c r="BM362" i="1"/>
  <c r="BL362" i="1"/>
  <c r="BK362" i="1"/>
  <c r="BJ362" i="1"/>
  <c r="BI362" i="1"/>
  <c r="BH362" i="1"/>
  <c r="BG362" i="1"/>
  <c r="BF362" i="1"/>
  <c r="BE362" i="1"/>
  <c r="BD362" i="1"/>
  <c r="BC362" i="1"/>
  <c r="BB362" i="1"/>
  <c r="BA362" i="1"/>
  <c r="AZ362" i="1"/>
  <c r="AY362" i="1"/>
  <c r="AX362" i="1"/>
  <c r="AW362" i="1"/>
  <c r="AV362" i="1"/>
  <c r="AU362" i="1"/>
  <c r="AT362" i="1"/>
  <c r="AS362" i="1"/>
  <c r="AR362" i="1"/>
  <c r="AQ362" i="1"/>
  <c r="AP362" i="1"/>
  <c r="AO362" i="1"/>
  <c r="AN362" i="1"/>
  <c r="AM362" i="1"/>
  <c r="AL362"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CP361" i="1"/>
  <c r="CO361" i="1"/>
  <c r="CN361" i="1"/>
  <c r="CM361" i="1"/>
  <c r="CL361" i="1"/>
  <c r="CK361" i="1"/>
  <c r="CJ361" i="1"/>
  <c r="CI361" i="1"/>
  <c r="CH361" i="1"/>
  <c r="CG361" i="1"/>
  <c r="CF361" i="1"/>
  <c r="CE361" i="1"/>
  <c r="CD361" i="1"/>
  <c r="CC361" i="1"/>
  <c r="CB361" i="1"/>
  <c r="CA361" i="1"/>
  <c r="BZ361" i="1"/>
  <c r="BY361" i="1"/>
  <c r="BX361" i="1"/>
  <c r="BW361" i="1"/>
  <c r="BV361" i="1"/>
  <c r="BU361" i="1"/>
  <c r="BT361" i="1"/>
  <c r="BS361" i="1"/>
  <c r="BR361" i="1"/>
  <c r="BQ361" i="1"/>
  <c r="BP361" i="1"/>
  <c r="BO361" i="1"/>
  <c r="BN361" i="1"/>
  <c r="BM361" i="1"/>
  <c r="BL361" i="1"/>
  <c r="BK361" i="1"/>
  <c r="BJ361" i="1"/>
  <c r="BI361" i="1"/>
  <c r="BH361" i="1"/>
  <c r="BG361" i="1"/>
  <c r="BF361" i="1"/>
  <c r="BE361" i="1"/>
  <c r="BD361" i="1"/>
  <c r="BC361" i="1"/>
  <c r="BB361" i="1"/>
  <c r="BA361" i="1"/>
  <c r="AZ361" i="1"/>
  <c r="AY361" i="1"/>
  <c r="AX361" i="1"/>
  <c r="AW361" i="1"/>
  <c r="AV361" i="1"/>
  <c r="AU361" i="1"/>
  <c r="AT361" i="1"/>
  <c r="AS361" i="1"/>
  <c r="AR361" i="1"/>
  <c r="AQ361" i="1"/>
  <c r="AP361" i="1"/>
  <c r="AO361" i="1"/>
  <c r="AN361" i="1"/>
  <c r="AM361" i="1"/>
  <c r="AL361"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CP360" i="1"/>
  <c r="CO360" i="1"/>
  <c r="CN360" i="1"/>
  <c r="CM360" i="1"/>
  <c r="CL360" i="1"/>
  <c r="CK360" i="1"/>
  <c r="CJ360" i="1"/>
  <c r="CI360" i="1"/>
  <c r="CH360" i="1"/>
  <c r="CG360" i="1"/>
  <c r="CF360" i="1"/>
  <c r="CE360" i="1"/>
  <c r="CD360" i="1"/>
  <c r="CC360" i="1"/>
  <c r="CB360" i="1"/>
  <c r="CA360" i="1"/>
  <c r="BZ360" i="1"/>
  <c r="BY360" i="1"/>
  <c r="BX360" i="1"/>
  <c r="BW360" i="1"/>
  <c r="BV360" i="1"/>
  <c r="BU360" i="1"/>
  <c r="BT360" i="1"/>
  <c r="BS360" i="1"/>
  <c r="BR360" i="1"/>
  <c r="BQ360" i="1"/>
  <c r="BP360" i="1"/>
  <c r="BO360" i="1"/>
  <c r="BN360" i="1"/>
  <c r="BM360" i="1"/>
  <c r="BL360" i="1"/>
  <c r="BK360" i="1"/>
  <c r="BJ360" i="1"/>
  <c r="BI360" i="1"/>
  <c r="BH360" i="1"/>
  <c r="BG360" i="1"/>
  <c r="BF360" i="1"/>
  <c r="BE360" i="1"/>
  <c r="BD360" i="1"/>
  <c r="BC360" i="1"/>
  <c r="BB360" i="1"/>
  <c r="BA360" i="1"/>
  <c r="AZ360" i="1"/>
  <c r="AY360" i="1"/>
  <c r="AX360" i="1"/>
  <c r="AW360" i="1"/>
  <c r="AV360" i="1"/>
  <c r="AU360" i="1"/>
  <c r="AT360" i="1"/>
  <c r="AS360" i="1"/>
  <c r="AR360" i="1"/>
  <c r="AQ360" i="1"/>
  <c r="AP360" i="1"/>
  <c r="AO360" i="1"/>
  <c r="AN360" i="1"/>
  <c r="AM360" i="1"/>
  <c r="AL360"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CP359" i="1"/>
  <c r="CO359" i="1"/>
  <c r="CN359" i="1"/>
  <c r="CM359" i="1"/>
  <c r="CL359" i="1"/>
  <c r="CK359" i="1"/>
  <c r="CJ359" i="1"/>
  <c r="CI359" i="1"/>
  <c r="CH359" i="1"/>
  <c r="CG359" i="1"/>
  <c r="CF359" i="1"/>
  <c r="CE359" i="1"/>
  <c r="CD359" i="1"/>
  <c r="CC359" i="1"/>
  <c r="CB359" i="1"/>
  <c r="CA359" i="1"/>
  <c r="BZ359" i="1"/>
  <c r="BY359" i="1"/>
  <c r="BX359" i="1"/>
  <c r="BW359" i="1"/>
  <c r="BV359" i="1"/>
  <c r="BU359" i="1"/>
  <c r="BT359" i="1"/>
  <c r="BS359" i="1"/>
  <c r="BR359" i="1"/>
  <c r="BQ359" i="1"/>
  <c r="BP359" i="1"/>
  <c r="BO359" i="1"/>
  <c r="BN359" i="1"/>
  <c r="BM359" i="1"/>
  <c r="BL359" i="1"/>
  <c r="BK359" i="1"/>
  <c r="BJ359" i="1"/>
  <c r="BI359" i="1"/>
  <c r="BH359" i="1"/>
  <c r="BG359" i="1"/>
  <c r="BF359" i="1"/>
  <c r="BE359" i="1"/>
  <c r="BD359" i="1"/>
  <c r="BC359" i="1"/>
  <c r="BB359" i="1"/>
  <c r="BA359" i="1"/>
  <c r="AZ359" i="1"/>
  <c r="AY359" i="1"/>
  <c r="AX359" i="1"/>
  <c r="AW359" i="1"/>
  <c r="AV359" i="1"/>
  <c r="AU359" i="1"/>
  <c r="AT359" i="1"/>
  <c r="AS359" i="1"/>
  <c r="AR359" i="1"/>
  <c r="AQ359" i="1"/>
  <c r="AP359" i="1"/>
  <c r="AO359" i="1"/>
  <c r="AN359" i="1"/>
  <c r="AM359" i="1"/>
  <c r="AL359"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CP358" i="1"/>
  <c r="CO358" i="1"/>
  <c r="CN358" i="1"/>
  <c r="CM358" i="1"/>
  <c r="CL358" i="1"/>
  <c r="CK358" i="1"/>
  <c r="CJ358" i="1"/>
  <c r="CI358" i="1"/>
  <c r="CH358" i="1"/>
  <c r="CG358" i="1"/>
  <c r="CF358" i="1"/>
  <c r="CE358" i="1"/>
  <c r="CD358" i="1"/>
  <c r="CC358" i="1"/>
  <c r="CB358" i="1"/>
  <c r="CA358" i="1"/>
  <c r="BZ358" i="1"/>
  <c r="BY358" i="1"/>
  <c r="BX358" i="1"/>
  <c r="BW358" i="1"/>
  <c r="BV358" i="1"/>
  <c r="BU358" i="1"/>
  <c r="BT358" i="1"/>
  <c r="BS358" i="1"/>
  <c r="BR358" i="1"/>
  <c r="BQ358" i="1"/>
  <c r="BP358" i="1"/>
  <c r="BO358" i="1"/>
  <c r="BN358" i="1"/>
  <c r="BM358" i="1"/>
  <c r="BL358" i="1"/>
  <c r="BK358" i="1"/>
  <c r="BJ358" i="1"/>
  <c r="BI358" i="1"/>
  <c r="BH358" i="1"/>
  <c r="BG358" i="1"/>
  <c r="BF358" i="1"/>
  <c r="BE358" i="1"/>
  <c r="BD358" i="1"/>
  <c r="BC358" i="1"/>
  <c r="BB358" i="1"/>
  <c r="BA358" i="1"/>
  <c r="AZ358" i="1"/>
  <c r="AY358" i="1"/>
  <c r="AX358" i="1"/>
  <c r="AW358" i="1"/>
  <c r="AV358" i="1"/>
  <c r="AU358" i="1"/>
  <c r="AT358" i="1"/>
  <c r="AS358" i="1"/>
  <c r="AR358" i="1"/>
  <c r="AQ358" i="1"/>
  <c r="AP358" i="1"/>
  <c r="AO358" i="1"/>
  <c r="AN358" i="1"/>
  <c r="AM358" i="1"/>
  <c r="AL358"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CP357" i="1"/>
  <c r="CO357" i="1"/>
  <c r="CN357" i="1"/>
  <c r="CM357" i="1"/>
  <c r="CL357" i="1"/>
  <c r="CK357" i="1"/>
  <c r="CJ357" i="1"/>
  <c r="CI357" i="1"/>
  <c r="CH357" i="1"/>
  <c r="CG357" i="1"/>
  <c r="CF357" i="1"/>
  <c r="CE357" i="1"/>
  <c r="CD357" i="1"/>
  <c r="CC357" i="1"/>
  <c r="CB357" i="1"/>
  <c r="CA357" i="1"/>
  <c r="BZ357" i="1"/>
  <c r="BY357" i="1"/>
  <c r="BX357" i="1"/>
  <c r="BW357" i="1"/>
  <c r="BV357" i="1"/>
  <c r="BU357" i="1"/>
  <c r="BT357" i="1"/>
  <c r="BS357" i="1"/>
  <c r="BR357" i="1"/>
  <c r="BQ357" i="1"/>
  <c r="BP357" i="1"/>
  <c r="BO357" i="1"/>
  <c r="BN357" i="1"/>
  <c r="BM357" i="1"/>
  <c r="BL357" i="1"/>
  <c r="BK357" i="1"/>
  <c r="BJ357" i="1"/>
  <c r="BI357" i="1"/>
  <c r="BH357" i="1"/>
  <c r="BG357" i="1"/>
  <c r="BF357" i="1"/>
  <c r="BE357" i="1"/>
  <c r="BD357" i="1"/>
  <c r="BC357" i="1"/>
  <c r="BB357" i="1"/>
  <c r="BA357" i="1"/>
  <c r="AZ357" i="1"/>
  <c r="AY357" i="1"/>
  <c r="AX357" i="1"/>
  <c r="AW357" i="1"/>
  <c r="AV357" i="1"/>
  <c r="AU357" i="1"/>
  <c r="AT357" i="1"/>
  <c r="AS357" i="1"/>
  <c r="AR357" i="1"/>
  <c r="AQ357" i="1"/>
  <c r="AP357" i="1"/>
  <c r="AO357" i="1"/>
  <c r="AN357" i="1"/>
  <c r="AM357" i="1"/>
  <c r="AL357"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CT119" i="1"/>
  <c r="CT146" i="1"/>
  <c r="CT173" i="1"/>
  <c r="CZ119" i="1"/>
  <c r="CZ146" i="1"/>
  <c r="CZ173" i="1"/>
  <c r="CP356" i="1"/>
  <c r="CS119" i="1"/>
  <c r="CS146" i="1"/>
  <c r="CS173" i="1"/>
  <c r="CY119" i="1"/>
  <c r="CY146" i="1"/>
  <c r="CY173" i="1"/>
  <c r="CO356" i="1"/>
  <c r="CR119" i="1"/>
  <c r="CR146" i="1"/>
  <c r="CR173" i="1"/>
  <c r="CX119" i="1"/>
  <c r="CX146" i="1"/>
  <c r="CX173" i="1"/>
  <c r="CN356" i="1"/>
  <c r="CM356" i="1"/>
  <c r="CL356" i="1"/>
  <c r="CK356" i="1"/>
  <c r="CJ356" i="1"/>
  <c r="CI356" i="1"/>
  <c r="CH356" i="1"/>
  <c r="CG356" i="1"/>
  <c r="CF356" i="1"/>
  <c r="CE356" i="1"/>
  <c r="CD356" i="1"/>
  <c r="CC356" i="1"/>
  <c r="CB356" i="1"/>
  <c r="CA356" i="1"/>
  <c r="BZ356" i="1"/>
  <c r="BY356" i="1"/>
  <c r="BX356" i="1"/>
  <c r="BW356" i="1"/>
  <c r="BV356" i="1"/>
  <c r="BU356" i="1"/>
  <c r="BT356" i="1"/>
  <c r="BS356" i="1"/>
  <c r="BR356" i="1"/>
  <c r="BQ356" i="1"/>
  <c r="BP356" i="1"/>
  <c r="BO356" i="1"/>
  <c r="BN356" i="1"/>
  <c r="BM356" i="1"/>
  <c r="BL356" i="1"/>
  <c r="BK356" i="1"/>
  <c r="BJ356" i="1"/>
  <c r="BI356" i="1"/>
  <c r="BH356" i="1"/>
  <c r="BG356" i="1"/>
  <c r="BF356" i="1"/>
  <c r="BE356" i="1"/>
  <c r="BD356" i="1"/>
  <c r="BC356" i="1"/>
  <c r="BB356" i="1"/>
  <c r="BA356" i="1"/>
  <c r="AZ356" i="1"/>
  <c r="AY356" i="1"/>
  <c r="AX356" i="1"/>
  <c r="AW356" i="1"/>
  <c r="AV356" i="1"/>
  <c r="AU356" i="1"/>
  <c r="AT356" i="1"/>
  <c r="AS356" i="1"/>
  <c r="AR356" i="1"/>
  <c r="AQ356" i="1"/>
  <c r="AP356" i="1"/>
  <c r="AO356" i="1"/>
  <c r="AN356" i="1"/>
  <c r="AM356" i="1"/>
  <c r="AL356"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CP355" i="1"/>
  <c r="CO355" i="1"/>
  <c r="CN355" i="1"/>
  <c r="CM355" i="1"/>
  <c r="CL355" i="1"/>
  <c r="CK355" i="1"/>
  <c r="CT118" i="1"/>
  <c r="CT145" i="1"/>
  <c r="CT172" i="1"/>
  <c r="CZ118" i="1"/>
  <c r="CZ145" i="1"/>
  <c r="CZ172" i="1"/>
  <c r="CJ355" i="1"/>
  <c r="CS118" i="1"/>
  <c r="CS145" i="1"/>
  <c r="CS172" i="1"/>
  <c r="CY118" i="1"/>
  <c r="CY145" i="1"/>
  <c r="CY172" i="1"/>
  <c r="CI355" i="1"/>
  <c r="CR118" i="1"/>
  <c r="CR145" i="1"/>
  <c r="CR172" i="1"/>
  <c r="CX118" i="1"/>
  <c r="CX145" i="1"/>
  <c r="CX172" i="1"/>
  <c r="CH355" i="1"/>
  <c r="CG355" i="1"/>
  <c r="CF355" i="1"/>
  <c r="CE355" i="1"/>
  <c r="CD355" i="1"/>
  <c r="CC355" i="1"/>
  <c r="CB355" i="1"/>
  <c r="CA355" i="1"/>
  <c r="BZ355" i="1"/>
  <c r="BY355" i="1"/>
  <c r="BX355" i="1"/>
  <c r="BW355" i="1"/>
  <c r="BV355" i="1"/>
  <c r="BU355" i="1"/>
  <c r="BT355" i="1"/>
  <c r="BS355" i="1"/>
  <c r="BR355" i="1"/>
  <c r="BQ355" i="1"/>
  <c r="BP355" i="1"/>
  <c r="BO355" i="1"/>
  <c r="BN355" i="1"/>
  <c r="BM355" i="1"/>
  <c r="BL355" i="1"/>
  <c r="BK355" i="1"/>
  <c r="BJ355" i="1"/>
  <c r="BI355" i="1"/>
  <c r="BH355" i="1"/>
  <c r="BG355" i="1"/>
  <c r="BF355" i="1"/>
  <c r="BE355" i="1"/>
  <c r="BD355" i="1"/>
  <c r="BC355" i="1"/>
  <c r="BB355" i="1"/>
  <c r="BA355" i="1"/>
  <c r="AZ355" i="1"/>
  <c r="AY355" i="1"/>
  <c r="AX355" i="1"/>
  <c r="AW355" i="1"/>
  <c r="AV355" i="1"/>
  <c r="AU355" i="1"/>
  <c r="AT355" i="1"/>
  <c r="AS355" i="1"/>
  <c r="AR355" i="1"/>
  <c r="AQ355" i="1"/>
  <c r="AP355" i="1"/>
  <c r="AO355" i="1"/>
  <c r="AN355" i="1"/>
  <c r="AM355" i="1"/>
  <c r="AL355"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CP354" i="1"/>
  <c r="CO354" i="1"/>
  <c r="CN354" i="1"/>
  <c r="CM354" i="1"/>
  <c r="CL354" i="1"/>
  <c r="CK354" i="1"/>
  <c r="CT117" i="1"/>
  <c r="CT144" i="1"/>
  <c r="CT171" i="1"/>
  <c r="CZ117" i="1"/>
  <c r="CZ144" i="1"/>
  <c r="CZ171" i="1"/>
  <c r="CJ354" i="1"/>
  <c r="CS117" i="1"/>
  <c r="CS144" i="1"/>
  <c r="CS171" i="1"/>
  <c r="CY117" i="1"/>
  <c r="CY144" i="1"/>
  <c r="CY171" i="1"/>
  <c r="CI354" i="1"/>
  <c r="CR117" i="1"/>
  <c r="CR144" i="1"/>
  <c r="CR171" i="1"/>
  <c r="CX117" i="1"/>
  <c r="CX144" i="1"/>
  <c r="CX171" i="1"/>
  <c r="CH354" i="1"/>
  <c r="CG354" i="1"/>
  <c r="CF354" i="1"/>
  <c r="CE354" i="1"/>
  <c r="CD354" i="1"/>
  <c r="CC354" i="1"/>
  <c r="CB354" i="1"/>
  <c r="CA354" i="1"/>
  <c r="BZ354" i="1"/>
  <c r="BY354" i="1"/>
  <c r="BX354" i="1"/>
  <c r="BW354" i="1"/>
  <c r="BV354" i="1"/>
  <c r="BU354" i="1"/>
  <c r="BT354" i="1"/>
  <c r="BS354" i="1"/>
  <c r="BR354" i="1"/>
  <c r="BQ354" i="1"/>
  <c r="BP354" i="1"/>
  <c r="BO354" i="1"/>
  <c r="BN354" i="1"/>
  <c r="BM354" i="1"/>
  <c r="BL354" i="1"/>
  <c r="BK354" i="1"/>
  <c r="BJ354" i="1"/>
  <c r="BI354" i="1"/>
  <c r="BH354" i="1"/>
  <c r="BG354" i="1"/>
  <c r="BF354" i="1"/>
  <c r="BE354" i="1"/>
  <c r="BD354" i="1"/>
  <c r="BC354" i="1"/>
  <c r="BB354" i="1"/>
  <c r="BA354" i="1"/>
  <c r="AZ354" i="1"/>
  <c r="AY354" i="1"/>
  <c r="AX354" i="1"/>
  <c r="AW354" i="1"/>
  <c r="AV354" i="1"/>
  <c r="AU354" i="1"/>
  <c r="AT354" i="1"/>
  <c r="AS354" i="1"/>
  <c r="AR354" i="1"/>
  <c r="AQ354" i="1"/>
  <c r="AP354" i="1"/>
  <c r="AO354" i="1"/>
  <c r="AN354" i="1"/>
  <c r="AM354" i="1"/>
  <c r="AL354"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CP353" i="1"/>
  <c r="CO353" i="1"/>
  <c r="CN353" i="1"/>
  <c r="CM353" i="1"/>
  <c r="CL353" i="1"/>
  <c r="CK353" i="1"/>
  <c r="CT116" i="1"/>
  <c r="CT143" i="1"/>
  <c r="CT170" i="1"/>
  <c r="CZ116" i="1"/>
  <c r="CZ143" i="1"/>
  <c r="CZ170" i="1"/>
  <c r="CJ353" i="1"/>
  <c r="CS116" i="1"/>
  <c r="CS143" i="1"/>
  <c r="CS170" i="1"/>
  <c r="CY116" i="1"/>
  <c r="CY143" i="1"/>
  <c r="CY170" i="1"/>
  <c r="CI353" i="1"/>
  <c r="CR116" i="1"/>
  <c r="CR143" i="1"/>
  <c r="CR170" i="1"/>
  <c r="CX116" i="1"/>
  <c r="CX143" i="1"/>
  <c r="CX170" i="1"/>
  <c r="CH353" i="1"/>
  <c r="CG353" i="1"/>
  <c r="CF353" i="1"/>
  <c r="CE353" i="1"/>
  <c r="CD353" i="1"/>
  <c r="CC353" i="1"/>
  <c r="CB353" i="1"/>
  <c r="CA353" i="1"/>
  <c r="BZ353" i="1"/>
  <c r="BY353" i="1"/>
  <c r="BX353" i="1"/>
  <c r="BW353" i="1"/>
  <c r="BV353" i="1"/>
  <c r="BU353" i="1"/>
  <c r="BT353" i="1"/>
  <c r="BS353" i="1"/>
  <c r="BR353" i="1"/>
  <c r="BQ353" i="1"/>
  <c r="BP353" i="1"/>
  <c r="BO353" i="1"/>
  <c r="BN353" i="1"/>
  <c r="BM353" i="1"/>
  <c r="BL353" i="1"/>
  <c r="BK353" i="1"/>
  <c r="BJ353" i="1"/>
  <c r="BI353" i="1"/>
  <c r="BH353" i="1"/>
  <c r="BG353" i="1"/>
  <c r="BF353" i="1"/>
  <c r="BE353" i="1"/>
  <c r="BD353" i="1"/>
  <c r="BC353" i="1"/>
  <c r="BB353" i="1"/>
  <c r="BA353" i="1"/>
  <c r="AZ353" i="1"/>
  <c r="AY353" i="1"/>
  <c r="AX353" i="1"/>
  <c r="AW353" i="1"/>
  <c r="AV353" i="1"/>
  <c r="AU353" i="1"/>
  <c r="AT353" i="1"/>
  <c r="AS353" i="1"/>
  <c r="AR353" i="1"/>
  <c r="AQ353" i="1"/>
  <c r="AP353" i="1"/>
  <c r="AO353" i="1"/>
  <c r="AN353" i="1"/>
  <c r="AM353" i="1"/>
  <c r="AL353" i="1"/>
  <c r="AK353" i="1"/>
  <c r="AJ353" i="1"/>
  <c r="AI353" i="1"/>
  <c r="AH353" i="1"/>
  <c r="AG353" i="1"/>
  <c r="AF353" i="1"/>
  <c r="AE353" i="1"/>
  <c r="AD353" i="1"/>
  <c r="AC353" i="1"/>
  <c r="AB353" i="1"/>
  <c r="AA353" i="1"/>
  <c r="Z353" i="1"/>
  <c r="Y353" i="1"/>
  <c r="X353" i="1"/>
  <c r="W353" i="1"/>
  <c r="V353" i="1"/>
  <c r="U353" i="1"/>
  <c r="T353" i="1"/>
  <c r="S353" i="1"/>
  <c r="R353" i="1"/>
  <c r="Q353" i="1"/>
  <c r="P353" i="1"/>
  <c r="O353" i="1"/>
  <c r="N353" i="1"/>
  <c r="CP352" i="1"/>
  <c r="CO352" i="1"/>
  <c r="CN352" i="1"/>
  <c r="CM352" i="1"/>
  <c r="CL352" i="1"/>
  <c r="CK352" i="1"/>
  <c r="CJ352" i="1"/>
  <c r="CI352" i="1"/>
  <c r="CH352" i="1"/>
  <c r="CG352" i="1"/>
  <c r="CF352" i="1"/>
  <c r="CE352" i="1"/>
  <c r="CD352" i="1"/>
  <c r="CC352" i="1"/>
  <c r="CB352" i="1"/>
  <c r="CA352" i="1"/>
  <c r="BZ352" i="1"/>
  <c r="BY352" i="1"/>
  <c r="BX352" i="1"/>
  <c r="BW352" i="1"/>
  <c r="BV352" i="1"/>
  <c r="BU352" i="1"/>
  <c r="BT352" i="1"/>
  <c r="BS352" i="1"/>
  <c r="BR352" i="1"/>
  <c r="BQ352" i="1"/>
  <c r="BP352" i="1"/>
  <c r="BO352" i="1"/>
  <c r="BN352" i="1"/>
  <c r="BM352" i="1"/>
  <c r="BL352" i="1"/>
  <c r="BK352" i="1"/>
  <c r="BJ352" i="1"/>
  <c r="BI352" i="1"/>
  <c r="BH352" i="1"/>
  <c r="BG352" i="1"/>
  <c r="CT115" i="1"/>
  <c r="CT142" i="1"/>
  <c r="CT169" i="1"/>
  <c r="CZ115" i="1"/>
  <c r="CZ142" i="1"/>
  <c r="CZ169" i="1"/>
  <c r="BF352" i="1"/>
  <c r="CS115" i="1"/>
  <c r="CS142" i="1"/>
  <c r="CS169" i="1"/>
  <c r="CY115" i="1"/>
  <c r="CY142" i="1"/>
  <c r="CY169" i="1"/>
  <c r="BE352" i="1"/>
  <c r="CR115" i="1"/>
  <c r="CR142" i="1"/>
  <c r="CR169" i="1"/>
  <c r="CX115" i="1"/>
  <c r="CX142" i="1"/>
  <c r="CX169" i="1"/>
  <c r="BD352" i="1"/>
  <c r="BC352" i="1"/>
  <c r="BB352" i="1"/>
  <c r="BA352" i="1"/>
  <c r="AZ352" i="1"/>
  <c r="AY352"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CP351" i="1"/>
  <c r="CO351" i="1"/>
  <c r="CN351" i="1"/>
  <c r="CM351" i="1"/>
  <c r="CL351" i="1"/>
  <c r="CK351" i="1"/>
  <c r="CJ351" i="1"/>
  <c r="CI351" i="1"/>
  <c r="CH351" i="1"/>
  <c r="CG351" i="1"/>
  <c r="CF351" i="1"/>
  <c r="CE351" i="1"/>
  <c r="CD351" i="1"/>
  <c r="CC351" i="1"/>
  <c r="CB351" i="1"/>
  <c r="CA351" i="1"/>
  <c r="BZ351" i="1"/>
  <c r="BY351" i="1"/>
  <c r="BX351" i="1"/>
  <c r="BW351" i="1"/>
  <c r="BV351" i="1"/>
  <c r="BU351" i="1"/>
  <c r="BT351" i="1"/>
  <c r="BS351" i="1"/>
  <c r="BR351" i="1"/>
  <c r="BQ351" i="1"/>
  <c r="BP351" i="1"/>
  <c r="BO351" i="1"/>
  <c r="BN351" i="1"/>
  <c r="BM351" i="1"/>
  <c r="BL351" i="1"/>
  <c r="BK351" i="1"/>
  <c r="BJ351" i="1"/>
  <c r="BI351" i="1"/>
  <c r="BH351" i="1"/>
  <c r="BG351" i="1"/>
  <c r="CT114" i="1"/>
  <c r="CT141" i="1"/>
  <c r="CT168" i="1"/>
  <c r="CZ114" i="1"/>
  <c r="CZ141" i="1"/>
  <c r="CZ168" i="1"/>
  <c r="BF351" i="1"/>
  <c r="CS114" i="1"/>
  <c r="CS141" i="1"/>
  <c r="CS168" i="1"/>
  <c r="CY114" i="1"/>
  <c r="CY141" i="1"/>
  <c r="CY168" i="1"/>
  <c r="BE351" i="1"/>
  <c r="CR114" i="1"/>
  <c r="CR141" i="1"/>
  <c r="CR168" i="1"/>
  <c r="CX114" i="1"/>
  <c r="CX141" i="1"/>
  <c r="CX168" i="1"/>
  <c r="BD351" i="1"/>
  <c r="BC351" i="1"/>
  <c r="BB351" i="1"/>
  <c r="BA351" i="1"/>
  <c r="AZ351" i="1"/>
  <c r="AY351" i="1"/>
  <c r="AX351" i="1"/>
  <c r="AW351" i="1"/>
  <c r="AV351" i="1"/>
  <c r="AU351" i="1"/>
  <c r="AT351" i="1"/>
  <c r="AS351" i="1"/>
  <c r="AR351" i="1"/>
  <c r="AQ351" i="1"/>
  <c r="AP351" i="1"/>
  <c r="AO351" i="1"/>
  <c r="AN351" i="1"/>
  <c r="AM351" i="1"/>
  <c r="AL351" i="1"/>
  <c r="AK351" i="1"/>
  <c r="AJ351" i="1"/>
  <c r="AI351" i="1"/>
  <c r="AH351" i="1"/>
  <c r="AG351" i="1"/>
  <c r="AF351" i="1"/>
  <c r="AE351" i="1"/>
  <c r="AD351" i="1"/>
  <c r="AC351" i="1"/>
  <c r="AB351" i="1"/>
  <c r="AA351" i="1"/>
  <c r="Z351" i="1"/>
  <c r="Y351" i="1"/>
  <c r="X351" i="1"/>
  <c r="W351" i="1"/>
  <c r="V351" i="1"/>
  <c r="U351" i="1"/>
  <c r="T351" i="1"/>
  <c r="S351" i="1"/>
  <c r="R351" i="1"/>
  <c r="Q351" i="1"/>
  <c r="P351" i="1"/>
  <c r="O351" i="1"/>
  <c r="N351" i="1"/>
  <c r="CP350" i="1"/>
  <c r="CO350" i="1"/>
  <c r="CN350" i="1"/>
  <c r="CM350" i="1"/>
  <c r="CL350" i="1"/>
  <c r="CK350" i="1"/>
  <c r="CJ350" i="1"/>
  <c r="CI350" i="1"/>
  <c r="CH350" i="1"/>
  <c r="CG350" i="1"/>
  <c r="CF350" i="1"/>
  <c r="CE350" i="1"/>
  <c r="CD350" i="1"/>
  <c r="CC350" i="1"/>
  <c r="CB350" i="1"/>
  <c r="CA350" i="1"/>
  <c r="BZ350" i="1"/>
  <c r="BY350" i="1"/>
  <c r="BX350" i="1"/>
  <c r="BW350" i="1"/>
  <c r="BV350" i="1"/>
  <c r="BU350" i="1"/>
  <c r="BT350" i="1"/>
  <c r="BS350" i="1"/>
  <c r="BR350" i="1"/>
  <c r="BQ350" i="1"/>
  <c r="BP350" i="1"/>
  <c r="BO350" i="1"/>
  <c r="BN350" i="1"/>
  <c r="BM350" i="1"/>
  <c r="BL350" i="1"/>
  <c r="BK350" i="1"/>
  <c r="BJ350" i="1"/>
  <c r="BI350" i="1"/>
  <c r="BH350" i="1"/>
  <c r="BG350" i="1"/>
  <c r="CT113" i="1"/>
  <c r="CT140" i="1"/>
  <c r="CT167" i="1"/>
  <c r="CZ113" i="1"/>
  <c r="CZ140" i="1"/>
  <c r="CZ167" i="1"/>
  <c r="BF350" i="1"/>
  <c r="CS113" i="1"/>
  <c r="CS140" i="1"/>
  <c r="CS167" i="1"/>
  <c r="CY113" i="1"/>
  <c r="CY140" i="1"/>
  <c r="CY167" i="1"/>
  <c r="BE350" i="1"/>
  <c r="CR113" i="1"/>
  <c r="CR140" i="1"/>
  <c r="CR167" i="1"/>
  <c r="CX113" i="1"/>
  <c r="CX140" i="1"/>
  <c r="CX167" i="1"/>
  <c r="BD350" i="1"/>
  <c r="BC350" i="1"/>
  <c r="BB350" i="1"/>
  <c r="BA350" i="1"/>
  <c r="AZ350" i="1"/>
  <c r="AY350"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P350" i="1"/>
  <c r="O350" i="1"/>
  <c r="N350" i="1"/>
  <c r="CP349" i="1"/>
  <c r="CO349" i="1"/>
  <c r="CN349" i="1"/>
  <c r="CM349" i="1"/>
  <c r="CL349" i="1"/>
  <c r="CK349" i="1"/>
  <c r="CJ349" i="1"/>
  <c r="CI349" i="1"/>
  <c r="CH349" i="1"/>
  <c r="CG349" i="1"/>
  <c r="CF349" i="1"/>
  <c r="CE349" i="1"/>
  <c r="CD349" i="1"/>
  <c r="CC349" i="1"/>
  <c r="CB349" i="1"/>
  <c r="CA349" i="1"/>
  <c r="BZ349" i="1"/>
  <c r="BY349" i="1"/>
  <c r="BX349" i="1"/>
  <c r="BW349" i="1"/>
  <c r="BV349" i="1"/>
  <c r="BU349" i="1"/>
  <c r="BT349" i="1"/>
  <c r="BS349" i="1"/>
  <c r="BR349" i="1"/>
  <c r="BQ349" i="1"/>
  <c r="BP349" i="1"/>
  <c r="BO349" i="1"/>
  <c r="BN349" i="1"/>
  <c r="BM349" i="1"/>
  <c r="BL349" i="1"/>
  <c r="BK349" i="1"/>
  <c r="BJ349" i="1"/>
  <c r="BI349" i="1"/>
  <c r="BH349" i="1"/>
  <c r="BG349" i="1"/>
  <c r="CT112" i="1"/>
  <c r="CT139" i="1"/>
  <c r="CT166" i="1"/>
  <c r="CZ112" i="1"/>
  <c r="CZ139" i="1"/>
  <c r="CZ166" i="1"/>
  <c r="BF349" i="1"/>
  <c r="CS112" i="1"/>
  <c r="CS139" i="1"/>
  <c r="CS166" i="1"/>
  <c r="CY112" i="1"/>
  <c r="CY139" i="1"/>
  <c r="CY166" i="1"/>
  <c r="BE349" i="1"/>
  <c r="CR112" i="1"/>
  <c r="CR139" i="1"/>
  <c r="CR166" i="1"/>
  <c r="CX112" i="1"/>
  <c r="CX139" i="1"/>
  <c r="CX166" i="1"/>
  <c r="BD349" i="1"/>
  <c r="BC349" i="1"/>
  <c r="BB349" i="1"/>
  <c r="BA349" i="1"/>
  <c r="AZ349" i="1"/>
  <c r="AY349" i="1"/>
  <c r="AX349" i="1"/>
  <c r="AW349" i="1"/>
  <c r="AV349" i="1"/>
  <c r="AU349" i="1"/>
  <c r="AT349" i="1"/>
  <c r="AS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N349" i="1"/>
  <c r="CP348" i="1"/>
  <c r="CO348" i="1"/>
  <c r="CN348" i="1"/>
  <c r="CM348" i="1"/>
  <c r="CL348" i="1"/>
  <c r="CK348" i="1"/>
  <c r="CJ348" i="1"/>
  <c r="CI348" i="1"/>
  <c r="CH348" i="1"/>
  <c r="CG348" i="1"/>
  <c r="CF348" i="1"/>
  <c r="CE348" i="1"/>
  <c r="CD348" i="1"/>
  <c r="CC348" i="1"/>
  <c r="CB348" i="1"/>
  <c r="CA348" i="1"/>
  <c r="BZ348" i="1"/>
  <c r="BY348" i="1"/>
  <c r="BX348" i="1"/>
  <c r="BW348" i="1"/>
  <c r="BV348" i="1"/>
  <c r="BU348" i="1"/>
  <c r="BT348" i="1"/>
  <c r="BS348" i="1"/>
  <c r="BR348" i="1"/>
  <c r="BQ348" i="1"/>
  <c r="BP348" i="1"/>
  <c r="BO348" i="1"/>
  <c r="BN348" i="1"/>
  <c r="BM348" i="1"/>
  <c r="BL348" i="1"/>
  <c r="BK348" i="1"/>
  <c r="BJ348" i="1"/>
  <c r="BI348" i="1"/>
  <c r="BH348" i="1"/>
  <c r="BG348" i="1"/>
  <c r="CT111" i="1"/>
  <c r="CT138" i="1"/>
  <c r="CT165" i="1"/>
  <c r="CZ111" i="1"/>
  <c r="CZ138" i="1"/>
  <c r="CZ165" i="1"/>
  <c r="BF348" i="1"/>
  <c r="CS111" i="1"/>
  <c r="CS138" i="1"/>
  <c r="CS165" i="1"/>
  <c r="CY111" i="1"/>
  <c r="CY138" i="1"/>
  <c r="CY165" i="1"/>
  <c r="BE348" i="1"/>
  <c r="CR111" i="1"/>
  <c r="CR138" i="1"/>
  <c r="CR165" i="1"/>
  <c r="CX111" i="1"/>
  <c r="CX138" i="1"/>
  <c r="CX165" i="1"/>
  <c r="BD348" i="1"/>
  <c r="BC348" i="1"/>
  <c r="BB348" i="1"/>
  <c r="BA348" i="1"/>
  <c r="AZ348" i="1"/>
  <c r="AY348" i="1"/>
  <c r="AX348" i="1"/>
  <c r="AW348" i="1"/>
  <c r="AV348" i="1"/>
  <c r="AU348" i="1"/>
  <c r="AT348" i="1"/>
  <c r="AS348" i="1"/>
  <c r="AR348" i="1"/>
  <c r="AQ348" i="1"/>
  <c r="AP348" i="1"/>
  <c r="AO348" i="1"/>
  <c r="AN348" i="1"/>
  <c r="AM348" i="1"/>
  <c r="AL348" i="1"/>
  <c r="AK348" i="1"/>
  <c r="AJ348" i="1"/>
  <c r="AI348" i="1"/>
  <c r="AH348" i="1"/>
  <c r="AG348" i="1"/>
  <c r="AF348" i="1"/>
  <c r="AE348" i="1"/>
  <c r="AD348" i="1"/>
  <c r="AC348" i="1"/>
  <c r="AB348" i="1"/>
  <c r="AA348" i="1"/>
  <c r="Z348" i="1"/>
  <c r="Y348" i="1"/>
  <c r="X348" i="1"/>
  <c r="W348" i="1"/>
  <c r="V348" i="1"/>
  <c r="U348" i="1"/>
  <c r="T348" i="1"/>
  <c r="S348" i="1"/>
  <c r="R348" i="1"/>
  <c r="Q348" i="1"/>
  <c r="P348" i="1"/>
  <c r="O348" i="1"/>
  <c r="N348" i="1"/>
  <c r="CP347" i="1"/>
  <c r="CO347" i="1"/>
  <c r="CN347" i="1"/>
  <c r="CM347" i="1"/>
  <c r="CL347" i="1"/>
  <c r="CK347" i="1"/>
  <c r="CJ347" i="1"/>
  <c r="CI347" i="1"/>
  <c r="CH347" i="1"/>
  <c r="CG347" i="1"/>
  <c r="CF347" i="1"/>
  <c r="CE347" i="1"/>
  <c r="CD347" i="1"/>
  <c r="CC347" i="1"/>
  <c r="CB347" i="1"/>
  <c r="CA347" i="1"/>
  <c r="BZ347" i="1"/>
  <c r="BY347" i="1"/>
  <c r="BX347" i="1"/>
  <c r="BW347" i="1"/>
  <c r="BV347" i="1"/>
  <c r="BU347" i="1"/>
  <c r="BT347" i="1"/>
  <c r="BS347" i="1"/>
  <c r="BR347" i="1"/>
  <c r="BQ347" i="1"/>
  <c r="BP347" i="1"/>
  <c r="BO347" i="1"/>
  <c r="BN347" i="1"/>
  <c r="BM347" i="1"/>
  <c r="BL347" i="1"/>
  <c r="BK347" i="1"/>
  <c r="BJ347" i="1"/>
  <c r="BI347" i="1"/>
  <c r="BH347" i="1"/>
  <c r="BG347" i="1"/>
  <c r="BF347" i="1"/>
  <c r="BE347" i="1"/>
  <c r="BD347" i="1"/>
  <c r="BC347" i="1"/>
  <c r="BB347" i="1"/>
  <c r="BA347" i="1"/>
  <c r="AZ347" i="1"/>
  <c r="AY347" i="1"/>
  <c r="AX347" i="1"/>
  <c r="AW347" i="1"/>
  <c r="AV347" i="1"/>
  <c r="AU347" i="1"/>
  <c r="AT347" i="1"/>
  <c r="AS347" i="1"/>
  <c r="AR347" i="1"/>
  <c r="AQ347" i="1"/>
  <c r="AP347" i="1"/>
  <c r="AO347" i="1"/>
  <c r="AN347" i="1"/>
  <c r="AM347" i="1"/>
  <c r="AL347" i="1"/>
  <c r="AK347" i="1"/>
  <c r="AJ347" i="1"/>
  <c r="AI347" i="1"/>
  <c r="AH347" i="1"/>
  <c r="AG347" i="1"/>
  <c r="AF347" i="1"/>
  <c r="AE347" i="1"/>
  <c r="AD347" i="1"/>
  <c r="AC347" i="1"/>
  <c r="AB347" i="1"/>
  <c r="AA347" i="1"/>
  <c r="Z347" i="1"/>
  <c r="Y347" i="1"/>
  <c r="X347" i="1"/>
  <c r="W347" i="1"/>
  <c r="V347" i="1"/>
  <c r="U347" i="1"/>
  <c r="T347" i="1"/>
  <c r="S347" i="1"/>
  <c r="R347" i="1"/>
  <c r="Q347" i="1"/>
  <c r="P347" i="1"/>
  <c r="O347" i="1"/>
  <c r="N347" i="1"/>
  <c r="CP346" i="1"/>
  <c r="CO346" i="1"/>
  <c r="CN346" i="1"/>
  <c r="CM346" i="1"/>
  <c r="CL346" i="1"/>
  <c r="CK346" i="1"/>
  <c r="CJ346" i="1"/>
  <c r="CI346" i="1"/>
  <c r="CH346" i="1"/>
  <c r="CG346" i="1"/>
  <c r="CF346" i="1"/>
  <c r="CE346" i="1"/>
  <c r="CD346" i="1"/>
  <c r="CC346" i="1"/>
  <c r="CB346" i="1"/>
  <c r="CA346" i="1"/>
  <c r="BZ346" i="1"/>
  <c r="BY346" i="1"/>
  <c r="BX346" i="1"/>
  <c r="BW346" i="1"/>
  <c r="BV346" i="1"/>
  <c r="BU346" i="1"/>
  <c r="BT346" i="1"/>
  <c r="BS346" i="1"/>
  <c r="BR346" i="1"/>
  <c r="BQ346" i="1"/>
  <c r="BP346" i="1"/>
  <c r="BO346" i="1"/>
  <c r="BN346" i="1"/>
  <c r="BM346" i="1"/>
  <c r="BL346" i="1"/>
  <c r="BK346" i="1"/>
  <c r="BJ346" i="1"/>
  <c r="BI346" i="1"/>
  <c r="BH346" i="1"/>
  <c r="BG346" i="1"/>
  <c r="BF346" i="1"/>
  <c r="BE346" i="1"/>
  <c r="BD346" i="1"/>
  <c r="BC346" i="1"/>
  <c r="BB346" i="1"/>
  <c r="BA346" i="1"/>
  <c r="AZ346" i="1"/>
  <c r="AY346" i="1"/>
  <c r="AX346" i="1"/>
  <c r="AW346" i="1"/>
  <c r="AV346" i="1"/>
  <c r="AU346" i="1"/>
  <c r="AT346" i="1"/>
  <c r="AS346" i="1"/>
  <c r="AR346" i="1"/>
  <c r="AQ346" i="1"/>
  <c r="AP346" i="1"/>
  <c r="AO346" i="1"/>
  <c r="AN346" i="1"/>
  <c r="AM346" i="1"/>
  <c r="AL346" i="1"/>
  <c r="AK346" i="1"/>
  <c r="AJ346" i="1"/>
  <c r="AI346" i="1"/>
  <c r="AH346" i="1"/>
  <c r="AG346" i="1"/>
  <c r="AF346" i="1"/>
  <c r="AE346" i="1"/>
  <c r="AD346" i="1"/>
  <c r="AC346" i="1"/>
  <c r="AB346" i="1"/>
  <c r="AA346" i="1"/>
  <c r="Z346" i="1"/>
  <c r="Y346" i="1"/>
  <c r="X346" i="1"/>
  <c r="W346" i="1"/>
  <c r="V346" i="1"/>
  <c r="U346" i="1"/>
  <c r="T346" i="1"/>
  <c r="S346" i="1"/>
  <c r="R346" i="1"/>
  <c r="Q346" i="1"/>
  <c r="P346" i="1"/>
  <c r="O346" i="1"/>
  <c r="N346" i="1"/>
  <c r="CP345" i="1"/>
  <c r="CO345" i="1"/>
  <c r="CN345" i="1"/>
  <c r="CM345" i="1"/>
  <c r="CL345" i="1"/>
  <c r="CK345" i="1"/>
  <c r="CJ345" i="1"/>
  <c r="CI345" i="1"/>
  <c r="CH345" i="1"/>
  <c r="CG345" i="1"/>
  <c r="CF345" i="1"/>
  <c r="CE345" i="1"/>
  <c r="CD345" i="1"/>
  <c r="CC345" i="1"/>
  <c r="CB345" i="1"/>
  <c r="CA345" i="1"/>
  <c r="BZ345" i="1"/>
  <c r="BY345" i="1"/>
  <c r="BX345" i="1"/>
  <c r="BW345" i="1"/>
  <c r="BV345" i="1"/>
  <c r="BU345" i="1"/>
  <c r="BT345" i="1"/>
  <c r="BS345" i="1"/>
  <c r="BR345" i="1"/>
  <c r="BQ345" i="1"/>
  <c r="BP345" i="1"/>
  <c r="BO345" i="1"/>
  <c r="BN345" i="1"/>
  <c r="BM345" i="1"/>
  <c r="BL345" i="1"/>
  <c r="BK345" i="1"/>
  <c r="BJ345" i="1"/>
  <c r="BI345" i="1"/>
  <c r="BH345" i="1"/>
  <c r="BG345" i="1"/>
  <c r="BF345" i="1"/>
  <c r="BE345" i="1"/>
  <c r="BD345" i="1"/>
  <c r="BC345" i="1"/>
  <c r="BB345" i="1"/>
  <c r="BA345" i="1"/>
  <c r="AZ345" i="1"/>
  <c r="AY345" i="1"/>
  <c r="AX345" i="1"/>
  <c r="AW345" i="1"/>
  <c r="AV345" i="1"/>
  <c r="AU345" i="1"/>
  <c r="AT345" i="1"/>
  <c r="AS345" i="1"/>
  <c r="AR345" i="1"/>
  <c r="AQ345" i="1"/>
  <c r="AP345" i="1"/>
  <c r="AO345" i="1"/>
  <c r="AN345" i="1"/>
  <c r="AM345" i="1"/>
  <c r="AL345" i="1"/>
  <c r="AK345" i="1"/>
  <c r="AJ345" i="1"/>
  <c r="AI345" i="1"/>
  <c r="AH345" i="1"/>
  <c r="AG345" i="1"/>
  <c r="AF345" i="1"/>
  <c r="AE345" i="1"/>
  <c r="AD345" i="1"/>
  <c r="AC345" i="1"/>
  <c r="AB345" i="1"/>
  <c r="AA345" i="1"/>
  <c r="Z345" i="1"/>
  <c r="Y345" i="1"/>
  <c r="X345" i="1"/>
  <c r="W345" i="1"/>
  <c r="V345" i="1"/>
  <c r="U345" i="1"/>
  <c r="T345" i="1"/>
  <c r="S345" i="1"/>
  <c r="R345" i="1"/>
  <c r="Q345" i="1"/>
  <c r="P345" i="1"/>
  <c r="O345" i="1"/>
  <c r="N345" i="1"/>
  <c r="CP344" i="1"/>
  <c r="CO344" i="1"/>
  <c r="CN344" i="1"/>
  <c r="CM344" i="1"/>
  <c r="CL344" i="1"/>
  <c r="CK344" i="1"/>
  <c r="CJ344" i="1"/>
  <c r="CI344" i="1"/>
  <c r="CH344" i="1"/>
  <c r="CG344" i="1"/>
  <c r="CF344" i="1"/>
  <c r="CE344" i="1"/>
  <c r="CD344" i="1"/>
  <c r="CC344" i="1"/>
  <c r="CB344" i="1"/>
  <c r="CA344" i="1"/>
  <c r="BZ344" i="1"/>
  <c r="BY344" i="1"/>
  <c r="BX344" i="1"/>
  <c r="BW344" i="1"/>
  <c r="BV344" i="1"/>
  <c r="BU344" i="1"/>
  <c r="BT344" i="1"/>
  <c r="BS344" i="1"/>
  <c r="BR344" i="1"/>
  <c r="BQ344" i="1"/>
  <c r="BP344" i="1"/>
  <c r="BO344" i="1"/>
  <c r="BN344" i="1"/>
  <c r="BM344" i="1"/>
  <c r="BL344" i="1"/>
  <c r="BK344" i="1"/>
  <c r="BJ344" i="1"/>
  <c r="BI344" i="1"/>
  <c r="BH344" i="1"/>
  <c r="BG344" i="1"/>
  <c r="BF344" i="1"/>
  <c r="BE344" i="1"/>
  <c r="BD344" i="1"/>
  <c r="BC344" i="1"/>
  <c r="BB344" i="1"/>
  <c r="BA344" i="1"/>
  <c r="AZ344" i="1"/>
  <c r="AY344" i="1"/>
  <c r="AX344" i="1"/>
  <c r="AW344" i="1"/>
  <c r="AV344" i="1"/>
  <c r="AU344" i="1"/>
  <c r="AT344" i="1"/>
  <c r="AS344" i="1"/>
  <c r="AR344" i="1"/>
  <c r="AQ344" i="1"/>
  <c r="AP344" i="1"/>
  <c r="AO344" i="1"/>
  <c r="AN344" i="1"/>
  <c r="AM344" i="1"/>
  <c r="AL344" i="1"/>
  <c r="AK344" i="1"/>
  <c r="AJ344" i="1"/>
  <c r="AI344" i="1"/>
  <c r="AH344" i="1"/>
  <c r="AG344" i="1"/>
  <c r="AF344" i="1"/>
  <c r="AE344" i="1"/>
  <c r="AD344" i="1"/>
  <c r="AC344" i="1"/>
  <c r="AB344" i="1"/>
  <c r="AA344" i="1"/>
  <c r="Z344" i="1"/>
  <c r="Y344" i="1"/>
  <c r="X344" i="1"/>
  <c r="W344" i="1"/>
  <c r="V344" i="1"/>
  <c r="U344" i="1"/>
  <c r="T344" i="1"/>
  <c r="S344" i="1"/>
  <c r="R344" i="1"/>
  <c r="Q344" i="1"/>
  <c r="P344" i="1"/>
  <c r="O344" i="1"/>
  <c r="N344" i="1"/>
  <c r="CP343" i="1"/>
  <c r="CO343" i="1"/>
  <c r="CN343" i="1"/>
  <c r="BR234" i="1"/>
  <c r="BU234" i="1"/>
  <c r="BX234" i="1"/>
  <c r="CA234" i="1"/>
  <c r="CD234" i="1"/>
  <c r="CG234" i="1"/>
  <c r="CJ234" i="1"/>
  <c r="CM234" i="1"/>
  <c r="CM237" i="1"/>
  <c r="CM240" i="1"/>
  <c r="CM243" i="1"/>
  <c r="CM246" i="1"/>
  <c r="CM249" i="1"/>
  <c r="CM252" i="1"/>
  <c r="CM255" i="1"/>
  <c r="CM258" i="1"/>
  <c r="CM343" i="1"/>
  <c r="BQ234" i="1"/>
  <c r="BT234" i="1"/>
  <c r="BW234" i="1"/>
  <c r="BZ234" i="1"/>
  <c r="CC234" i="1"/>
  <c r="CF234" i="1"/>
  <c r="CI234" i="1"/>
  <c r="CL234" i="1"/>
  <c r="CL237" i="1"/>
  <c r="CL240" i="1"/>
  <c r="CL243" i="1"/>
  <c r="CL246" i="1"/>
  <c r="CL249" i="1"/>
  <c r="CL252" i="1"/>
  <c r="CL255" i="1"/>
  <c r="CL258" i="1"/>
  <c r="CL343" i="1"/>
  <c r="BP234" i="1"/>
  <c r="BS234" i="1"/>
  <c r="BV234" i="1"/>
  <c r="BY234" i="1"/>
  <c r="CB234" i="1"/>
  <c r="CE234" i="1"/>
  <c r="CH234" i="1"/>
  <c r="CK234" i="1"/>
  <c r="CK237" i="1"/>
  <c r="CK240" i="1"/>
  <c r="CK243" i="1"/>
  <c r="CK246" i="1"/>
  <c r="CK249" i="1"/>
  <c r="CK252" i="1"/>
  <c r="CK255" i="1"/>
  <c r="CK258" i="1"/>
  <c r="CK343" i="1"/>
  <c r="CJ343" i="1"/>
  <c r="CI343" i="1"/>
  <c r="CH343" i="1"/>
  <c r="CG343" i="1"/>
  <c r="CF343" i="1"/>
  <c r="CE343" i="1"/>
  <c r="CD343" i="1"/>
  <c r="CC343" i="1"/>
  <c r="CB343" i="1"/>
  <c r="CA343" i="1"/>
  <c r="BZ343" i="1"/>
  <c r="BY343" i="1"/>
  <c r="BX343" i="1"/>
  <c r="BW343" i="1"/>
  <c r="BV343" i="1"/>
  <c r="BU343" i="1"/>
  <c r="BT343" i="1"/>
  <c r="BS343" i="1"/>
  <c r="BR343" i="1"/>
  <c r="BQ343" i="1"/>
  <c r="BP343" i="1"/>
  <c r="BO343" i="1"/>
  <c r="BN343" i="1"/>
  <c r="BM343" i="1"/>
  <c r="BL343" i="1"/>
  <c r="BK343" i="1"/>
  <c r="BJ343" i="1"/>
  <c r="AQ234" i="1"/>
  <c r="AT234" i="1"/>
  <c r="AW234" i="1"/>
  <c r="AZ234" i="1"/>
  <c r="BC234" i="1"/>
  <c r="BF234" i="1"/>
  <c r="BI234" i="1"/>
  <c r="BI237" i="1"/>
  <c r="BI240" i="1"/>
  <c r="BI243" i="1"/>
  <c r="BI246" i="1"/>
  <c r="BI249" i="1"/>
  <c r="BI252" i="1"/>
  <c r="BI255" i="1"/>
  <c r="BI258" i="1"/>
  <c r="BI343" i="1"/>
  <c r="AP234" i="1"/>
  <c r="AS234" i="1"/>
  <c r="AV234" i="1"/>
  <c r="AY234" i="1"/>
  <c r="BB234" i="1"/>
  <c r="BE234" i="1"/>
  <c r="BH234" i="1"/>
  <c r="BH237" i="1"/>
  <c r="BH240" i="1"/>
  <c r="BH243" i="1"/>
  <c r="BH246" i="1"/>
  <c r="BH249" i="1"/>
  <c r="BH252" i="1"/>
  <c r="BH255" i="1"/>
  <c r="BH258" i="1"/>
  <c r="BH343" i="1"/>
  <c r="AO234" i="1"/>
  <c r="AR234" i="1"/>
  <c r="AU234" i="1"/>
  <c r="AX234" i="1"/>
  <c r="BA234" i="1"/>
  <c r="BD234" i="1"/>
  <c r="BG234" i="1"/>
  <c r="BG237" i="1"/>
  <c r="BG240" i="1"/>
  <c r="BG243" i="1"/>
  <c r="BG246" i="1"/>
  <c r="BG249" i="1"/>
  <c r="BG252" i="1"/>
  <c r="BG255" i="1"/>
  <c r="BG258" i="1"/>
  <c r="BG343" i="1"/>
  <c r="BF237" i="1"/>
  <c r="BF240" i="1"/>
  <c r="BF243" i="1"/>
  <c r="BF246" i="1"/>
  <c r="BF249" i="1"/>
  <c r="BF252" i="1"/>
  <c r="BF255" i="1"/>
  <c r="BF258" i="1"/>
  <c r="BF343" i="1"/>
  <c r="BE237" i="1"/>
  <c r="BE240" i="1"/>
  <c r="BE243" i="1"/>
  <c r="BE246" i="1"/>
  <c r="BE249" i="1"/>
  <c r="BE252" i="1"/>
  <c r="BE255" i="1"/>
  <c r="BE258" i="1"/>
  <c r="BE343" i="1"/>
  <c r="BD237" i="1"/>
  <c r="BD240" i="1"/>
  <c r="BD243" i="1"/>
  <c r="BD246" i="1"/>
  <c r="BD249" i="1"/>
  <c r="BD252" i="1"/>
  <c r="BD255" i="1"/>
  <c r="BD258" i="1"/>
  <c r="BD343" i="1"/>
  <c r="BC343" i="1"/>
  <c r="BB343" i="1"/>
  <c r="BA343" i="1"/>
  <c r="AZ343" i="1"/>
  <c r="AY343" i="1"/>
  <c r="AX343" i="1"/>
  <c r="AW343" i="1"/>
  <c r="AV343" i="1"/>
  <c r="AU343" i="1"/>
  <c r="AT343" i="1"/>
  <c r="AS343" i="1"/>
  <c r="AR343" i="1"/>
  <c r="AQ343" i="1"/>
  <c r="AP343" i="1"/>
  <c r="AO343" i="1"/>
  <c r="AN343" i="1"/>
  <c r="AM343" i="1"/>
  <c r="AL343" i="1"/>
  <c r="AK343" i="1"/>
  <c r="AJ343" i="1"/>
  <c r="AI343" i="1"/>
  <c r="AH343" i="1"/>
  <c r="AG343" i="1"/>
  <c r="AF343" i="1"/>
  <c r="AE343" i="1"/>
  <c r="AD343" i="1"/>
  <c r="AC343" i="1"/>
  <c r="AB343" i="1"/>
  <c r="AA343" i="1"/>
  <c r="Z343" i="1"/>
  <c r="Y343" i="1"/>
  <c r="X343" i="1"/>
  <c r="W343" i="1"/>
  <c r="P234" i="1"/>
  <c r="S234" i="1"/>
  <c r="V234" i="1"/>
  <c r="V237" i="1"/>
  <c r="V240" i="1"/>
  <c r="V243" i="1"/>
  <c r="V246" i="1"/>
  <c r="V249" i="1"/>
  <c r="V252" i="1"/>
  <c r="V255" i="1"/>
  <c r="V258" i="1"/>
  <c r="V343" i="1"/>
  <c r="O234" i="1"/>
  <c r="R234" i="1"/>
  <c r="U234" i="1"/>
  <c r="U237" i="1"/>
  <c r="U240" i="1"/>
  <c r="U243" i="1"/>
  <c r="U246" i="1"/>
  <c r="U249" i="1"/>
  <c r="U252" i="1"/>
  <c r="U255" i="1"/>
  <c r="U258" i="1"/>
  <c r="U343" i="1"/>
  <c r="N234" i="1"/>
  <c r="Q234" i="1"/>
  <c r="T234" i="1"/>
  <c r="T237" i="1"/>
  <c r="T240" i="1"/>
  <c r="T243" i="1"/>
  <c r="T246" i="1"/>
  <c r="T249" i="1"/>
  <c r="T252" i="1"/>
  <c r="T255" i="1"/>
  <c r="T258" i="1"/>
  <c r="T343" i="1"/>
  <c r="S237" i="1"/>
  <c r="S240" i="1"/>
  <c r="S243" i="1"/>
  <c r="S246" i="1"/>
  <c r="S249" i="1"/>
  <c r="S252" i="1"/>
  <c r="S255" i="1"/>
  <c r="S258" i="1"/>
  <c r="S343" i="1"/>
  <c r="R237" i="1"/>
  <c r="R240" i="1"/>
  <c r="R243" i="1"/>
  <c r="R246" i="1"/>
  <c r="R249" i="1"/>
  <c r="R252" i="1"/>
  <c r="R255" i="1"/>
  <c r="R258" i="1"/>
  <c r="R343" i="1"/>
  <c r="Q237" i="1"/>
  <c r="Q240" i="1"/>
  <c r="Q243" i="1"/>
  <c r="Q246" i="1"/>
  <c r="Q249" i="1"/>
  <c r="Q252" i="1"/>
  <c r="Q255" i="1"/>
  <c r="Q258" i="1"/>
  <c r="Q343" i="1"/>
  <c r="P343" i="1"/>
  <c r="O343" i="1"/>
  <c r="N343" i="1"/>
  <c r="CP342" i="1"/>
  <c r="CO342" i="1"/>
  <c r="CN342" i="1"/>
  <c r="BR233" i="1"/>
  <c r="BU233" i="1"/>
  <c r="BX233" i="1"/>
  <c r="CA233" i="1"/>
  <c r="CD233" i="1"/>
  <c r="CG233" i="1"/>
  <c r="CJ233" i="1"/>
  <c r="CM233" i="1"/>
  <c r="CM236" i="1"/>
  <c r="CM239" i="1"/>
  <c r="CM242" i="1"/>
  <c r="CM245" i="1"/>
  <c r="CM248" i="1"/>
  <c r="CM251" i="1"/>
  <c r="CM254" i="1"/>
  <c r="CM257" i="1"/>
  <c r="CM342" i="1"/>
  <c r="BQ233" i="1"/>
  <c r="BT233" i="1"/>
  <c r="BW233" i="1"/>
  <c r="BZ233" i="1"/>
  <c r="CC233" i="1"/>
  <c r="CF233" i="1"/>
  <c r="CI233" i="1"/>
  <c r="CL233" i="1"/>
  <c r="CL236" i="1"/>
  <c r="CL239" i="1"/>
  <c r="CL242" i="1"/>
  <c r="CL245" i="1"/>
  <c r="CL248" i="1"/>
  <c r="CL251" i="1"/>
  <c r="CL254" i="1"/>
  <c r="CL257" i="1"/>
  <c r="CL342" i="1"/>
  <c r="BP233" i="1"/>
  <c r="BS233" i="1"/>
  <c r="BV233" i="1"/>
  <c r="BY233" i="1"/>
  <c r="CB233" i="1"/>
  <c r="CE233" i="1"/>
  <c r="CH233" i="1"/>
  <c r="CK233" i="1"/>
  <c r="CK236" i="1"/>
  <c r="CK239" i="1"/>
  <c r="CK242" i="1"/>
  <c r="CK245" i="1"/>
  <c r="CK248" i="1"/>
  <c r="CK251" i="1"/>
  <c r="CK254" i="1"/>
  <c r="CK257" i="1"/>
  <c r="CK342" i="1"/>
  <c r="CJ342" i="1"/>
  <c r="CI342" i="1"/>
  <c r="CH342" i="1"/>
  <c r="CG342" i="1"/>
  <c r="CF342" i="1"/>
  <c r="CE342" i="1"/>
  <c r="CD342" i="1"/>
  <c r="CC342" i="1"/>
  <c r="CB342" i="1"/>
  <c r="CA342" i="1"/>
  <c r="BZ342" i="1"/>
  <c r="BY342" i="1"/>
  <c r="BX342" i="1"/>
  <c r="BW342" i="1"/>
  <c r="BV342" i="1"/>
  <c r="BU342" i="1"/>
  <c r="BT342" i="1"/>
  <c r="BS342" i="1"/>
  <c r="BR342" i="1"/>
  <c r="BQ342" i="1"/>
  <c r="BP342" i="1"/>
  <c r="BO342" i="1"/>
  <c r="BN342" i="1"/>
  <c r="BM342" i="1"/>
  <c r="BL342" i="1"/>
  <c r="BK342" i="1"/>
  <c r="BJ342" i="1"/>
  <c r="AQ233" i="1"/>
  <c r="AT233" i="1"/>
  <c r="AW233" i="1"/>
  <c r="AZ233" i="1"/>
  <c r="BC233" i="1"/>
  <c r="BF233" i="1"/>
  <c r="BI233" i="1"/>
  <c r="BI236" i="1"/>
  <c r="BI239" i="1"/>
  <c r="BI242" i="1"/>
  <c r="BI245" i="1"/>
  <c r="BI248" i="1"/>
  <c r="BI251" i="1"/>
  <c r="BI254" i="1"/>
  <c r="BI257" i="1"/>
  <c r="BI342" i="1"/>
  <c r="AP233" i="1"/>
  <c r="AS233" i="1"/>
  <c r="AV233" i="1"/>
  <c r="AY233" i="1"/>
  <c r="BB233" i="1"/>
  <c r="BE233" i="1"/>
  <c r="BH233" i="1"/>
  <c r="BH236" i="1"/>
  <c r="BH239" i="1"/>
  <c r="BH242" i="1"/>
  <c r="BH245" i="1"/>
  <c r="BH248" i="1"/>
  <c r="BH251" i="1"/>
  <c r="BH254" i="1"/>
  <c r="BH257" i="1"/>
  <c r="BH342" i="1"/>
  <c r="AO233" i="1"/>
  <c r="AR233" i="1"/>
  <c r="AU233" i="1"/>
  <c r="AX233" i="1"/>
  <c r="BA233" i="1"/>
  <c r="BD233" i="1"/>
  <c r="BG233" i="1"/>
  <c r="BG236" i="1"/>
  <c r="BG239" i="1"/>
  <c r="BG242" i="1"/>
  <c r="BG245" i="1"/>
  <c r="BG248" i="1"/>
  <c r="BG251" i="1"/>
  <c r="BG254" i="1"/>
  <c r="BG257" i="1"/>
  <c r="BG342" i="1"/>
  <c r="BF236" i="1"/>
  <c r="BF239" i="1"/>
  <c r="BF242" i="1"/>
  <c r="BF245" i="1"/>
  <c r="BF248" i="1"/>
  <c r="BF251" i="1"/>
  <c r="BF254" i="1"/>
  <c r="BF257" i="1"/>
  <c r="BF342" i="1"/>
  <c r="BE236" i="1"/>
  <c r="BE239" i="1"/>
  <c r="BE242" i="1"/>
  <c r="BE245" i="1"/>
  <c r="BE248" i="1"/>
  <c r="BE251" i="1"/>
  <c r="BE254" i="1"/>
  <c r="BE257" i="1"/>
  <c r="BE342" i="1"/>
  <c r="BD236" i="1"/>
  <c r="BD239" i="1"/>
  <c r="BD242" i="1"/>
  <c r="BD245" i="1"/>
  <c r="BD248" i="1"/>
  <c r="BD251" i="1"/>
  <c r="BD254" i="1"/>
  <c r="BD257" i="1"/>
  <c r="BD342" i="1"/>
  <c r="BC342" i="1"/>
  <c r="BB342" i="1"/>
  <c r="BA342" i="1"/>
  <c r="AZ342" i="1"/>
  <c r="AY342" i="1"/>
  <c r="AX342" i="1"/>
  <c r="AW342" i="1"/>
  <c r="AV342" i="1"/>
  <c r="AU342" i="1"/>
  <c r="AT342" i="1"/>
  <c r="AS342" i="1"/>
  <c r="AR342" i="1"/>
  <c r="AQ342" i="1"/>
  <c r="AP342" i="1"/>
  <c r="AO342" i="1"/>
  <c r="AN342" i="1"/>
  <c r="AM342" i="1"/>
  <c r="AL342" i="1"/>
  <c r="AK342" i="1"/>
  <c r="AJ342" i="1"/>
  <c r="AI342" i="1"/>
  <c r="AH342" i="1"/>
  <c r="AG342" i="1"/>
  <c r="AF342" i="1"/>
  <c r="AE342" i="1"/>
  <c r="AD342" i="1"/>
  <c r="AC342" i="1"/>
  <c r="AB342" i="1"/>
  <c r="AA342" i="1"/>
  <c r="Z342" i="1"/>
  <c r="Y342" i="1"/>
  <c r="X342" i="1"/>
  <c r="W342" i="1"/>
  <c r="P233" i="1"/>
  <c r="S233" i="1"/>
  <c r="V233" i="1"/>
  <c r="V236" i="1"/>
  <c r="V239" i="1"/>
  <c r="V242" i="1"/>
  <c r="V245" i="1"/>
  <c r="V248" i="1"/>
  <c r="V251" i="1"/>
  <c r="V254" i="1"/>
  <c r="V257" i="1"/>
  <c r="V342" i="1"/>
  <c r="O233" i="1"/>
  <c r="R233" i="1"/>
  <c r="U233" i="1"/>
  <c r="U236" i="1"/>
  <c r="U239" i="1"/>
  <c r="U242" i="1"/>
  <c r="U245" i="1"/>
  <c r="U248" i="1"/>
  <c r="U251" i="1"/>
  <c r="U254" i="1"/>
  <c r="U257" i="1"/>
  <c r="U342" i="1"/>
  <c r="N233" i="1"/>
  <c r="Q233" i="1"/>
  <c r="T233" i="1"/>
  <c r="T236" i="1"/>
  <c r="T239" i="1"/>
  <c r="T242" i="1"/>
  <c r="T245" i="1"/>
  <c r="T248" i="1"/>
  <c r="T251" i="1"/>
  <c r="T254" i="1"/>
  <c r="T257" i="1"/>
  <c r="T342" i="1"/>
  <c r="S236" i="1"/>
  <c r="S239" i="1"/>
  <c r="S242" i="1"/>
  <c r="S245" i="1"/>
  <c r="S248" i="1"/>
  <c r="S251" i="1"/>
  <c r="S254" i="1"/>
  <c r="S257" i="1"/>
  <c r="S342" i="1"/>
  <c r="R236" i="1"/>
  <c r="R239" i="1"/>
  <c r="R242" i="1"/>
  <c r="R245" i="1"/>
  <c r="R248" i="1"/>
  <c r="R251" i="1"/>
  <c r="R254" i="1"/>
  <c r="R257" i="1"/>
  <c r="R342" i="1"/>
  <c r="Q236" i="1"/>
  <c r="Q239" i="1"/>
  <c r="Q242" i="1"/>
  <c r="Q245" i="1"/>
  <c r="Q248" i="1"/>
  <c r="Q251" i="1"/>
  <c r="Q254" i="1"/>
  <c r="Q257" i="1"/>
  <c r="Q342" i="1"/>
  <c r="P342" i="1"/>
  <c r="O342" i="1"/>
  <c r="N342" i="1"/>
  <c r="CP341" i="1"/>
  <c r="CO341" i="1"/>
  <c r="CN341" i="1"/>
  <c r="BR232" i="1"/>
  <c r="BU232" i="1"/>
  <c r="BX232" i="1"/>
  <c r="CA232" i="1"/>
  <c r="CD232" i="1"/>
  <c r="CG232" i="1"/>
  <c r="CJ232" i="1"/>
  <c r="CM232" i="1"/>
  <c r="CM235" i="1"/>
  <c r="CM238" i="1"/>
  <c r="CM241" i="1"/>
  <c r="CM244" i="1"/>
  <c r="CM247" i="1"/>
  <c r="CM250" i="1"/>
  <c r="CM253" i="1"/>
  <c r="CM256" i="1"/>
  <c r="CM341" i="1"/>
  <c r="BQ232" i="1"/>
  <c r="BT232" i="1"/>
  <c r="BW232" i="1"/>
  <c r="BZ232" i="1"/>
  <c r="CC232" i="1"/>
  <c r="CF232" i="1"/>
  <c r="CI232" i="1"/>
  <c r="CL232" i="1"/>
  <c r="CL235" i="1"/>
  <c r="CL238" i="1"/>
  <c r="CL241" i="1"/>
  <c r="CL244" i="1"/>
  <c r="CL247" i="1"/>
  <c r="CL250" i="1"/>
  <c r="CL253" i="1"/>
  <c r="CL256" i="1"/>
  <c r="CL341" i="1"/>
  <c r="BP232" i="1"/>
  <c r="BS232" i="1"/>
  <c r="BV232" i="1"/>
  <c r="BY232" i="1"/>
  <c r="CB232" i="1"/>
  <c r="CE232" i="1"/>
  <c r="CH232" i="1"/>
  <c r="CK232" i="1"/>
  <c r="CK235" i="1"/>
  <c r="CK238" i="1"/>
  <c r="CK241" i="1"/>
  <c r="CK244" i="1"/>
  <c r="CK247" i="1"/>
  <c r="CK250" i="1"/>
  <c r="CK253" i="1"/>
  <c r="CK256" i="1"/>
  <c r="CK341" i="1"/>
  <c r="CJ341" i="1"/>
  <c r="CI341" i="1"/>
  <c r="CH341" i="1"/>
  <c r="CG341" i="1"/>
  <c r="CF341" i="1"/>
  <c r="CE341" i="1"/>
  <c r="CD341" i="1"/>
  <c r="CC341" i="1"/>
  <c r="CB341" i="1"/>
  <c r="CA341" i="1"/>
  <c r="BZ341" i="1"/>
  <c r="BY341" i="1"/>
  <c r="BX341" i="1"/>
  <c r="BW341" i="1"/>
  <c r="BV341" i="1"/>
  <c r="BU341" i="1"/>
  <c r="BT341" i="1"/>
  <c r="BS341" i="1"/>
  <c r="BR341" i="1"/>
  <c r="BQ341" i="1"/>
  <c r="BP341" i="1"/>
  <c r="BO341" i="1"/>
  <c r="BN341" i="1"/>
  <c r="BM341" i="1"/>
  <c r="BL341" i="1"/>
  <c r="BK341" i="1"/>
  <c r="BJ341" i="1"/>
  <c r="AQ232" i="1"/>
  <c r="AT232" i="1"/>
  <c r="AW232" i="1"/>
  <c r="AZ232" i="1"/>
  <c r="BC232" i="1"/>
  <c r="BF232" i="1"/>
  <c r="BI232" i="1"/>
  <c r="BI235" i="1"/>
  <c r="BI238" i="1"/>
  <c r="BI241" i="1"/>
  <c r="BI244" i="1"/>
  <c r="BI247" i="1"/>
  <c r="BI250" i="1"/>
  <c r="BI253" i="1"/>
  <c r="BI256" i="1"/>
  <c r="BI341" i="1"/>
  <c r="AP232" i="1"/>
  <c r="AS232" i="1"/>
  <c r="AV232" i="1"/>
  <c r="AY232" i="1"/>
  <c r="BB232" i="1"/>
  <c r="BE232" i="1"/>
  <c r="BH232" i="1"/>
  <c r="BH235" i="1"/>
  <c r="BH238" i="1"/>
  <c r="BH241" i="1"/>
  <c r="BH244" i="1"/>
  <c r="BH247" i="1"/>
  <c r="BH250" i="1"/>
  <c r="BH253" i="1"/>
  <c r="BH256" i="1"/>
  <c r="BH341" i="1"/>
  <c r="AO232" i="1"/>
  <c r="AR232" i="1"/>
  <c r="AU232" i="1"/>
  <c r="AX232" i="1"/>
  <c r="BA232" i="1"/>
  <c r="BD232" i="1"/>
  <c r="BG232" i="1"/>
  <c r="BG235" i="1"/>
  <c r="BG238" i="1"/>
  <c r="BG241" i="1"/>
  <c r="BG244" i="1"/>
  <c r="BG247" i="1"/>
  <c r="BG250" i="1"/>
  <c r="BG253" i="1"/>
  <c r="BG256" i="1"/>
  <c r="BG341" i="1"/>
  <c r="BF235" i="1"/>
  <c r="BF238" i="1"/>
  <c r="BF241" i="1"/>
  <c r="BF244" i="1"/>
  <c r="BF247" i="1"/>
  <c r="BF250" i="1"/>
  <c r="BF253" i="1"/>
  <c r="BF256" i="1"/>
  <c r="BF341" i="1"/>
  <c r="BE235" i="1"/>
  <c r="BE238" i="1"/>
  <c r="BE241" i="1"/>
  <c r="BE244" i="1"/>
  <c r="BE247" i="1"/>
  <c r="BE250" i="1"/>
  <c r="BE253" i="1"/>
  <c r="BE256" i="1"/>
  <c r="BE341" i="1"/>
  <c r="BD235" i="1"/>
  <c r="BD238" i="1"/>
  <c r="BD241" i="1"/>
  <c r="BD244" i="1"/>
  <c r="BD247" i="1"/>
  <c r="BD250" i="1"/>
  <c r="BD253" i="1"/>
  <c r="BD256" i="1"/>
  <c r="BD341" i="1"/>
  <c r="BC341" i="1"/>
  <c r="BB341" i="1"/>
  <c r="BA341" i="1"/>
  <c r="AZ341" i="1"/>
  <c r="AY341" i="1"/>
  <c r="AX341" i="1"/>
  <c r="AW341" i="1"/>
  <c r="AV341" i="1"/>
  <c r="AU341" i="1"/>
  <c r="AT341" i="1"/>
  <c r="AS341" i="1"/>
  <c r="AR341" i="1"/>
  <c r="AQ341" i="1"/>
  <c r="AP341" i="1"/>
  <c r="AO341" i="1"/>
  <c r="AN341" i="1"/>
  <c r="AM341" i="1"/>
  <c r="AL341" i="1"/>
  <c r="AK341" i="1"/>
  <c r="AJ341" i="1"/>
  <c r="AI341" i="1"/>
  <c r="AH341" i="1"/>
  <c r="AG341" i="1"/>
  <c r="AF341" i="1"/>
  <c r="AE341" i="1"/>
  <c r="AD341" i="1"/>
  <c r="AC341" i="1"/>
  <c r="AB341" i="1"/>
  <c r="AA341" i="1"/>
  <c r="Z341" i="1"/>
  <c r="Y341" i="1"/>
  <c r="X341" i="1"/>
  <c r="W341" i="1"/>
  <c r="P232" i="1"/>
  <c r="S232" i="1"/>
  <c r="V232" i="1"/>
  <c r="V235" i="1"/>
  <c r="V238" i="1"/>
  <c r="V241" i="1"/>
  <c r="V244" i="1"/>
  <c r="V247" i="1"/>
  <c r="V250" i="1"/>
  <c r="V253" i="1"/>
  <c r="V256" i="1"/>
  <c r="V341" i="1"/>
  <c r="O232" i="1"/>
  <c r="R232" i="1"/>
  <c r="U232" i="1"/>
  <c r="U235" i="1"/>
  <c r="U238" i="1"/>
  <c r="U241" i="1"/>
  <c r="U244" i="1"/>
  <c r="U247" i="1"/>
  <c r="U250" i="1"/>
  <c r="U253" i="1"/>
  <c r="U256" i="1"/>
  <c r="U341" i="1"/>
  <c r="N232" i="1"/>
  <c r="Q232" i="1"/>
  <c r="T232" i="1"/>
  <c r="T235" i="1"/>
  <c r="T238" i="1"/>
  <c r="T241" i="1"/>
  <c r="T244" i="1"/>
  <c r="T247" i="1"/>
  <c r="T250" i="1"/>
  <c r="T253" i="1"/>
  <c r="T256" i="1"/>
  <c r="T341" i="1"/>
  <c r="S235" i="1"/>
  <c r="S238" i="1"/>
  <c r="S241" i="1"/>
  <c r="S244" i="1"/>
  <c r="S247" i="1"/>
  <c r="S250" i="1"/>
  <c r="S253" i="1"/>
  <c r="S256" i="1"/>
  <c r="S341" i="1"/>
  <c r="R235" i="1"/>
  <c r="R238" i="1"/>
  <c r="R241" i="1"/>
  <c r="R244" i="1"/>
  <c r="R247" i="1"/>
  <c r="R250" i="1"/>
  <c r="R253" i="1"/>
  <c r="R256" i="1"/>
  <c r="R341" i="1"/>
  <c r="Q235" i="1"/>
  <c r="Q238" i="1"/>
  <c r="Q241" i="1"/>
  <c r="Q244" i="1"/>
  <c r="Q247" i="1"/>
  <c r="Q250" i="1"/>
  <c r="Q253" i="1"/>
  <c r="Q256" i="1"/>
  <c r="Q341" i="1"/>
  <c r="P341" i="1"/>
  <c r="O341" i="1"/>
  <c r="N341" i="1"/>
  <c r="CP234" i="1"/>
  <c r="CP237" i="1"/>
  <c r="CP240" i="1"/>
  <c r="CP243" i="1"/>
  <c r="CP246" i="1"/>
  <c r="CP249" i="1"/>
  <c r="CP252" i="1"/>
  <c r="CP255" i="1"/>
  <c r="CP340" i="1"/>
  <c r="CO234" i="1"/>
  <c r="CO237" i="1"/>
  <c r="CO240" i="1"/>
  <c r="CO243" i="1"/>
  <c r="CO246" i="1"/>
  <c r="CO249" i="1"/>
  <c r="CO252" i="1"/>
  <c r="CO255" i="1"/>
  <c r="CO340" i="1"/>
  <c r="CN234" i="1"/>
  <c r="CN237" i="1"/>
  <c r="CN240" i="1"/>
  <c r="CN243" i="1"/>
  <c r="CN246" i="1"/>
  <c r="CN249" i="1"/>
  <c r="CN252" i="1"/>
  <c r="CN255" i="1"/>
  <c r="CN340" i="1"/>
  <c r="CM340" i="1"/>
  <c r="CL340" i="1"/>
  <c r="CK340" i="1"/>
  <c r="CJ340" i="1"/>
  <c r="CI340" i="1"/>
  <c r="CH340" i="1"/>
  <c r="CG340" i="1"/>
  <c r="CF340" i="1"/>
  <c r="CE340" i="1"/>
  <c r="CD340" i="1"/>
  <c r="CC340" i="1"/>
  <c r="CB340" i="1"/>
  <c r="CA340" i="1"/>
  <c r="BZ340" i="1"/>
  <c r="BY340" i="1"/>
  <c r="BX340" i="1"/>
  <c r="BW340" i="1"/>
  <c r="BV340" i="1"/>
  <c r="BU340" i="1"/>
  <c r="BT340" i="1"/>
  <c r="BS340" i="1"/>
  <c r="BR340" i="1"/>
  <c r="BQ340" i="1"/>
  <c r="BP340" i="1"/>
  <c r="BO340" i="1"/>
  <c r="BN340" i="1"/>
  <c r="BM340" i="1"/>
  <c r="BL234" i="1"/>
  <c r="BL237" i="1"/>
  <c r="BL240" i="1"/>
  <c r="BL243" i="1"/>
  <c r="BL246" i="1"/>
  <c r="BL249" i="1"/>
  <c r="BL252" i="1"/>
  <c r="BL255" i="1"/>
  <c r="BL340" i="1"/>
  <c r="BK234" i="1"/>
  <c r="BK237" i="1"/>
  <c r="BK240" i="1"/>
  <c r="BK243" i="1"/>
  <c r="BK246" i="1"/>
  <c r="BK249" i="1"/>
  <c r="BK252" i="1"/>
  <c r="BK255" i="1"/>
  <c r="BK340" i="1"/>
  <c r="BJ234" i="1"/>
  <c r="BJ237" i="1"/>
  <c r="BJ240" i="1"/>
  <c r="BJ243" i="1"/>
  <c r="BJ246" i="1"/>
  <c r="BJ249" i="1"/>
  <c r="BJ252" i="1"/>
  <c r="BJ255" i="1"/>
  <c r="BJ340" i="1"/>
  <c r="BI340" i="1"/>
  <c r="BH340" i="1"/>
  <c r="BG340" i="1"/>
  <c r="BF340" i="1"/>
  <c r="BE340" i="1"/>
  <c r="BD340" i="1"/>
  <c r="BC237" i="1"/>
  <c r="BC240" i="1"/>
  <c r="BC243" i="1"/>
  <c r="BC246" i="1"/>
  <c r="BC249" i="1"/>
  <c r="BC252" i="1"/>
  <c r="BC255" i="1"/>
  <c r="BC340" i="1"/>
  <c r="BB237" i="1"/>
  <c r="BB240" i="1"/>
  <c r="BB243" i="1"/>
  <c r="BB246" i="1"/>
  <c r="BB249" i="1"/>
  <c r="BB252" i="1"/>
  <c r="BB255" i="1"/>
  <c r="BB340" i="1"/>
  <c r="BA237" i="1"/>
  <c r="BA240" i="1"/>
  <c r="BA243" i="1"/>
  <c r="BA246" i="1"/>
  <c r="BA249" i="1"/>
  <c r="BA252" i="1"/>
  <c r="BA255" i="1"/>
  <c r="BA340" i="1"/>
  <c r="AZ340" i="1"/>
  <c r="AY340" i="1"/>
  <c r="AX340" i="1"/>
  <c r="AW340" i="1"/>
  <c r="AV340" i="1"/>
  <c r="AU340" i="1"/>
  <c r="AT340" i="1"/>
  <c r="AS340" i="1"/>
  <c r="AR340" i="1"/>
  <c r="AQ340" i="1"/>
  <c r="AP340" i="1"/>
  <c r="AO340" i="1"/>
  <c r="AN340" i="1"/>
  <c r="AM340" i="1"/>
  <c r="AL340" i="1"/>
  <c r="AK340" i="1"/>
  <c r="AJ340" i="1"/>
  <c r="AI340" i="1"/>
  <c r="AH340" i="1"/>
  <c r="AG340" i="1"/>
  <c r="AF340" i="1"/>
  <c r="AE340" i="1"/>
  <c r="AD340" i="1"/>
  <c r="AC340" i="1"/>
  <c r="Y234" i="1"/>
  <c r="AB234" i="1"/>
  <c r="AB237" i="1"/>
  <c r="AB240" i="1"/>
  <c r="AB243" i="1"/>
  <c r="AB246" i="1"/>
  <c r="AB249" i="1"/>
  <c r="AB252" i="1"/>
  <c r="AB255" i="1"/>
  <c r="AB340" i="1"/>
  <c r="X234" i="1"/>
  <c r="AA234" i="1"/>
  <c r="AA237" i="1"/>
  <c r="AA240" i="1"/>
  <c r="AA243" i="1"/>
  <c r="AA246" i="1"/>
  <c r="AA249" i="1"/>
  <c r="AA252" i="1"/>
  <c r="AA255" i="1"/>
  <c r="AA340" i="1"/>
  <c r="W234" i="1"/>
  <c r="Z234" i="1"/>
  <c r="Z237" i="1"/>
  <c r="Z240" i="1"/>
  <c r="Z243" i="1"/>
  <c r="Z246" i="1"/>
  <c r="Z249" i="1"/>
  <c r="Z252" i="1"/>
  <c r="Z255" i="1"/>
  <c r="Z340" i="1"/>
  <c r="Y237" i="1"/>
  <c r="Y240" i="1"/>
  <c r="Y243" i="1"/>
  <c r="Y246" i="1"/>
  <c r="Y249" i="1"/>
  <c r="Y252" i="1"/>
  <c r="Y255" i="1"/>
  <c r="Y340" i="1"/>
  <c r="X237" i="1"/>
  <c r="X240" i="1"/>
  <c r="X243" i="1"/>
  <c r="X246" i="1"/>
  <c r="X249" i="1"/>
  <c r="X252" i="1"/>
  <c r="X255" i="1"/>
  <c r="X340" i="1"/>
  <c r="W237" i="1"/>
  <c r="W240" i="1"/>
  <c r="W243" i="1"/>
  <c r="W246" i="1"/>
  <c r="W249" i="1"/>
  <c r="W252" i="1"/>
  <c r="W255" i="1"/>
  <c r="W340" i="1"/>
  <c r="V340" i="1"/>
  <c r="U340" i="1"/>
  <c r="T340" i="1"/>
  <c r="S340" i="1"/>
  <c r="R340" i="1"/>
  <c r="Q340" i="1"/>
  <c r="P237" i="1"/>
  <c r="P240" i="1"/>
  <c r="P243" i="1"/>
  <c r="P246" i="1"/>
  <c r="P249" i="1"/>
  <c r="P252" i="1"/>
  <c r="P255" i="1"/>
  <c r="P340" i="1"/>
  <c r="O237" i="1"/>
  <c r="O240" i="1"/>
  <c r="O243" i="1"/>
  <c r="O246" i="1"/>
  <c r="O249" i="1"/>
  <c r="O252" i="1"/>
  <c r="O255" i="1"/>
  <c r="O340" i="1"/>
  <c r="N237" i="1"/>
  <c r="N240" i="1"/>
  <c r="N243" i="1"/>
  <c r="N246" i="1"/>
  <c r="N249" i="1"/>
  <c r="N252" i="1"/>
  <c r="N255" i="1"/>
  <c r="N340" i="1"/>
  <c r="CP233" i="1"/>
  <c r="CP236" i="1"/>
  <c r="CP239" i="1"/>
  <c r="CP242" i="1"/>
  <c r="CP245" i="1"/>
  <c r="CP248" i="1"/>
  <c r="CP251" i="1"/>
  <c r="CP254" i="1"/>
  <c r="CP339" i="1"/>
  <c r="CO233" i="1"/>
  <c r="CO236" i="1"/>
  <c r="CO239" i="1"/>
  <c r="CO242" i="1"/>
  <c r="CO245" i="1"/>
  <c r="CO248" i="1"/>
  <c r="CO251" i="1"/>
  <c r="CO254" i="1"/>
  <c r="CO339" i="1"/>
  <c r="CN233" i="1"/>
  <c r="CN236" i="1"/>
  <c r="CN239" i="1"/>
  <c r="CN242" i="1"/>
  <c r="CN245" i="1"/>
  <c r="CN248" i="1"/>
  <c r="CN251" i="1"/>
  <c r="CN254" i="1"/>
  <c r="CN339" i="1"/>
  <c r="CM339" i="1"/>
  <c r="CL339" i="1"/>
  <c r="CK339" i="1"/>
  <c r="CJ339" i="1"/>
  <c r="CI339" i="1"/>
  <c r="CH339" i="1"/>
  <c r="CG339" i="1"/>
  <c r="CF339" i="1"/>
  <c r="CE339" i="1"/>
  <c r="CD339" i="1"/>
  <c r="CC339" i="1"/>
  <c r="CB339" i="1"/>
  <c r="CA339" i="1"/>
  <c r="BZ339" i="1"/>
  <c r="BY339" i="1"/>
  <c r="BX339" i="1"/>
  <c r="BW339" i="1"/>
  <c r="BV339" i="1"/>
  <c r="BU339" i="1"/>
  <c r="BT339" i="1"/>
  <c r="BS339" i="1"/>
  <c r="BR339" i="1"/>
  <c r="BQ339" i="1"/>
  <c r="BP339" i="1"/>
  <c r="BO339" i="1"/>
  <c r="BN339" i="1"/>
  <c r="BM339" i="1"/>
  <c r="BL233" i="1"/>
  <c r="BL236" i="1"/>
  <c r="BL239" i="1"/>
  <c r="BL242" i="1"/>
  <c r="BL245" i="1"/>
  <c r="BL248" i="1"/>
  <c r="BL251" i="1"/>
  <c r="BL254" i="1"/>
  <c r="BL339" i="1"/>
  <c r="BK233" i="1"/>
  <c r="BK236" i="1"/>
  <c r="BK239" i="1"/>
  <c r="BK242" i="1"/>
  <c r="BK245" i="1"/>
  <c r="BK248" i="1"/>
  <c r="BK251" i="1"/>
  <c r="BK254" i="1"/>
  <c r="BK339" i="1"/>
  <c r="BJ233" i="1"/>
  <c r="BJ236" i="1"/>
  <c r="BJ239" i="1"/>
  <c r="BJ242" i="1"/>
  <c r="BJ245" i="1"/>
  <c r="BJ248" i="1"/>
  <c r="BJ251" i="1"/>
  <c r="BJ254" i="1"/>
  <c r="BJ339" i="1"/>
  <c r="BI339" i="1"/>
  <c r="BH339" i="1"/>
  <c r="BG339" i="1"/>
  <c r="BF339" i="1"/>
  <c r="BE339" i="1"/>
  <c r="BD339" i="1"/>
  <c r="BC236" i="1"/>
  <c r="BC239" i="1"/>
  <c r="BC242" i="1"/>
  <c r="BC245" i="1"/>
  <c r="BC248" i="1"/>
  <c r="BC251" i="1"/>
  <c r="BC254" i="1"/>
  <c r="BC339" i="1"/>
  <c r="BB236" i="1"/>
  <c r="BB239" i="1"/>
  <c r="BB242" i="1"/>
  <c r="BB245" i="1"/>
  <c r="BB248" i="1"/>
  <c r="BB251" i="1"/>
  <c r="BB254" i="1"/>
  <c r="BB339" i="1"/>
  <c r="BA236" i="1"/>
  <c r="BA239" i="1"/>
  <c r="BA242" i="1"/>
  <c r="BA245" i="1"/>
  <c r="BA248" i="1"/>
  <c r="BA251" i="1"/>
  <c r="BA254" i="1"/>
  <c r="BA339" i="1"/>
  <c r="AZ339" i="1"/>
  <c r="AY339" i="1"/>
  <c r="AX339" i="1"/>
  <c r="AW339" i="1"/>
  <c r="AV339" i="1"/>
  <c r="AU339" i="1"/>
  <c r="AT339" i="1"/>
  <c r="AS339" i="1"/>
  <c r="AR339" i="1"/>
  <c r="AQ339" i="1"/>
  <c r="AP339" i="1"/>
  <c r="AO339" i="1"/>
  <c r="AN339" i="1"/>
  <c r="AM339" i="1"/>
  <c r="AL339" i="1"/>
  <c r="AK339" i="1"/>
  <c r="AJ339" i="1"/>
  <c r="AI339" i="1"/>
  <c r="AH339" i="1"/>
  <c r="AG339" i="1"/>
  <c r="AF339" i="1"/>
  <c r="AE339" i="1"/>
  <c r="AD339" i="1"/>
  <c r="AC339" i="1"/>
  <c r="Y233" i="1"/>
  <c r="AB233" i="1"/>
  <c r="AB236" i="1"/>
  <c r="AB239" i="1"/>
  <c r="AB242" i="1"/>
  <c r="AB245" i="1"/>
  <c r="AB248" i="1"/>
  <c r="AB251" i="1"/>
  <c r="AB254" i="1"/>
  <c r="AB339" i="1"/>
  <c r="X233" i="1"/>
  <c r="AA233" i="1"/>
  <c r="AA236" i="1"/>
  <c r="AA239" i="1"/>
  <c r="AA242" i="1"/>
  <c r="AA245" i="1"/>
  <c r="AA248" i="1"/>
  <c r="AA251" i="1"/>
  <c r="AA254" i="1"/>
  <c r="AA339" i="1"/>
  <c r="W233" i="1"/>
  <c r="Z233" i="1"/>
  <c r="Z236" i="1"/>
  <c r="Z239" i="1"/>
  <c r="Z242" i="1"/>
  <c r="Z245" i="1"/>
  <c r="Z248" i="1"/>
  <c r="Z251" i="1"/>
  <c r="Z254" i="1"/>
  <c r="Z339" i="1"/>
  <c r="Y236" i="1"/>
  <c r="Y239" i="1"/>
  <c r="Y242" i="1"/>
  <c r="Y245" i="1"/>
  <c r="Y248" i="1"/>
  <c r="Y251" i="1"/>
  <c r="Y254" i="1"/>
  <c r="Y339" i="1"/>
  <c r="X236" i="1"/>
  <c r="X239" i="1"/>
  <c r="X242" i="1"/>
  <c r="X245" i="1"/>
  <c r="X248" i="1"/>
  <c r="X251" i="1"/>
  <c r="X254" i="1"/>
  <c r="X339" i="1"/>
  <c r="W236" i="1"/>
  <c r="W239" i="1"/>
  <c r="W242" i="1"/>
  <c r="W245" i="1"/>
  <c r="W248" i="1"/>
  <c r="W251" i="1"/>
  <c r="W254" i="1"/>
  <c r="W339" i="1"/>
  <c r="V339" i="1"/>
  <c r="U339" i="1"/>
  <c r="T339" i="1"/>
  <c r="S339" i="1"/>
  <c r="R339" i="1"/>
  <c r="Q339" i="1"/>
  <c r="P236" i="1"/>
  <c r="P239" i="1"/>
  <c r="P242" i="1"/>
  <c r="P245" i="1"/>
  <c r="P248" i="1"/>
  <c r="P251" i="1"/>
  <c r="P254" i="1"/>
  <c r="P339" i="1"/>
  <c r="O236" i="1"/>
  <c r="O239" i="1"/>
  <c r="O242" i="1"/>
  <c r="O245" i="1"/>
  <c r="O248" i="1"/>
  <c r="O251" i="1"/>
  <c r="O254" i="1"/>
  <c r="O339" i="1"/>
  <c r="N236" i="1"/>
  <c r="N239" i="1"/>
  <c r="N242" i="1"/>
  <c r="N245" i="1"/>
  <c r="N248" i="1"/>
  <c r="N251" i="1"/>
  <c r="N254" i="1"/>
  <c r="N339" i="1"/>
  <c r="CP232" i="1"/>
  <c r="CP235" i="1"/>
  <c r="CP238" i="1"/>
  <c r="CP241" i="1"/>
  <c r="CP244" i="1"/>
  <c r="CP247" i="1"/>
  <c r="CP250" i="1"/>
  <c r="CP253" i="1"/>
  <c r="CP338" i="1"/>
  <c r="CO232" i="1"/>
  <c r="CO235" i="1"/>
  <c r="CO238" i="1"/>
  <c r="CO241" i="1"/>
  <c r="CO244" i="1"/>
  <c r="CO247" i="1"/>
  <c r="CO250" i="1"/>
  <c r="CO253" i="1"/>
  <c r="CO338" i="1"/>
  <c r="CN232" i="1"/>
  <c r="CN235" i="1"/>
  <c r="CN238" i="1"/>
  <c r="CN241" i="1"/>
  <c r="CN244" i="1"/>
  <c r="CN247" i="1"/>
  <c r="CN250" i="1"/>
  <c r="CN253" i="1"/>
  <c r="CN338" i="1"/>
  <c r="CM338" i="1"/>
  <c r="CL338" i="1"/>
  <c r="CK338" i="1"/>
  <c r="CJ338" i="1"/>
  <c r="CI338" i="1"/>
  <c r="CH338" i="1"/>
  <c r="CG338" i="1"/>
  <c r="CF338" i="1"/>
  <c r="CE338" i="1"/>
  <c r="CD338" i="1"/>
  <c r="CC338" i="1"/>
  <c r="CB338" i="1"/>
  <c r="CA338" i="1"/>
  <c r="BZ338" i="1"/>
  <c r="BY338" i="1"/>
  <c r="BX338" i="1"/>
  <c r="BW338" i="1"/>
  <c r="BV338" i="1"/>
  <c r="BU338" i="1"/>
  <c r="BT338" i="1"/>
  <c r="BS338" i="1"/>
  <c r="BR338" i="1"/>
  <c r="BQ338" i="1"/>
  <c r="BP338" i="1"/>
  <c r="BO338" i="1"/>
  <c r="BN338" i="1"/>
  <c r="BM338" i="1"/>
  <c r="BL232" i="1"/>
  <c r="BL235" i="1"/>
  <c r="BL238" i="1"/>
  <c r="BL241" i="1"/>
  <c r="BL244" i="1"/>
  <c r="BL247" i="1"/>
  <c r="BL250" i="1"/>
  <c r="BL253" i="1"/>
  <c r="BL338" i="1"/>
  <c r="BK232" i="1"/>
  <c r="BK235" i="1"/>
  <c r="BK238" i="1"/>
  <c r="BK241" i="1"/>
  <c r="BK244" i="1"/>
  <c r="BK247" i="1"/>
  <c r="BK250" i="1"/>
  <c r="BK253" i="1"/>
  <c r="BK338" i="1"/>
  <c r="BJ232" i="1"/>
  <c r="BJ235" i="1"/>
  <c r="BJ238" i="1"/>
  <c r="BJ241" i="1"/>
  <c r="BJ244" i="1"/>
  <c r="BJ247" i="1"/>
  <c r="BJ250" i="1"/>
  <c r="BJ253" i="1"/>
  <c r="BJ338" i="1"/>
  <c r="BI338" i="1"/>
  <c r="BH338" i="1"/>
  <c r="BG338" i="1"/>
  <c r="BF338" i="1"/>
  <c r="BE338" i="1"/>
  <c r="BD338" i="1"/>
  <c r="BC235" i="1"/>
  <c r="BC238" i="1"/>
  <c r="BC241" i="1"/>
  <c r="BC244" i="1"/>
  <c r="BC247" i="1"/>
  <c r="BC250" i="1"/>
  <c r="BC253" i="1"/>
  <c r="BC338" i="1"/>
  <c r="BB235" i="1"/>
  <c r="BB238" i="1"/>
  <c r="BB241" i="1"/>
  <c r="BB244" i="1"/>
  <c r="BB247" i="1"/>
  <c r="BB250" i="1"/>
  <c r="BB253" i="1"/>
  <c r="BB338" i="1"/>
  <c r="BA235" i="1"/>
  <c r="BA238" i="1"/>
  <c r="BA241" i="1"/>
  <c r="BA244" i="1"/>
  <c r="BA247" i="1"/>
  <c r="BA250" i="1"/>
  <c r="BA253" i="1"/>
  <c r="BA338" i="1"/>
  <c r="AZ338" i="1"/>
  <c r="AY338" i="1"/>
  <c r="AX338" i="1"/>
  <c r="AW338" i="1"/>
  <c r="AV338" i="1"/>
  <c r="AU338" i="1"/>
  <c r="AT338" i="1"/>
  <c r="AS338" i="1"/>
  <c r="AR338" i="1"/>
  <c r="AQ338" i="1"/>
  <c r="AP338" i="1"/>
  <c r="AO338" i="1"/>
  <c r="AN338" i="1"/>
  <c r="AM338" i="1"/>
  <c r="AL338" i="1"/>
  <c r="AK338" i="1"/>
  <c r="AJ338" i="1"/>
  <c r="AI338" i="1"/>
  <c r="AH338" i="1"/>
  <c r="AG338" i="1"/>
  <c r="AF338" i="1"/>
  <c r="AE338" i="1"/>
  <c r="AD338" i="1"/>
  <c r="AC338" i="1"/>
  <c r="Y232" i="1"/>
  <c r="AB232" i="1"/>
  <c r="AB235" i="1"/>
  <c r="AB238" i="1"/>
  <c r="AB241" i="1"/>
  <c r="AB244" i="1"/>
  <c r="AB247" i="1"/>
  <c r="AB250" i="1"/>
  <c r="AB253" i="1"/>
  <c r="AB338" i="1"/>
  <c r="X232" i="1"/>
  <c r="AA232" i="1"/>
  <c r="AA235" i="1"/>
  <c r="AA238" i="1"/>
  <c r="AA241" i="1"/>
  <c r="AA244" i="1"/>
  <c r="AA247" i="1"/>
  <c r="AA250" i="1"/>
  <c r="AA253" i="1"/>
  <c r="AA338" i="1"/>
  <c r="W232" i="1"/>
  <c r="Z232" i="1"/>
  <c r="Z235" i="1"/>
  <c r="Z238" i="1"/>
  <c r="Z241" i="1"/>
  <c r="Z244" i="1"/>
  <c r="Z247" i="1"/>
  <c r="Z250" i="1"/>
  <c r="Z253" i="1"/>
  <c r="Z338" i="1"/>
  <c r="Y235" i="1"/>
  <c r="Y238" i="1"/>
  <c r="Y241" i="1"/>
  <c r="Y244" i="1"/>
  <c r="Y247" i="1"/>
  <c r="Y250" i="1"/>
  <c r="Y253" i="1"/>
  <c r="Y338" i="1"/>
  <c r="X235" i="1"/>
  <c r="X238" i="1"/>
  <c r="X241" i="1"/>
  <c r="X244" i="1"/>
  <c r="X247" i="1"/>
  <c r="X250" i="1"/>
  <c r="X253" i="1"/>
  <c r="X338" i="1"/>
  <c r="W235" i="1"/>
  <c r="W238" i="1"/>
  <c r="W241" i="1"/>
  <c r="W244" i="1"/>
  <c r="W247" i="1"/>
  <c r="W250" i="1"/>
  <c r="W253" i="1"/>
  <c r="W338" i="1"/>
  <c r="V338" i="1"/>
  <c r="U338" i="1"/>
  <c r="T338" i="1"/>
  <c r="S338" i="1"/>
  <c r="R338" i="1"/>
  <c r="Q338" i="1"/>
  <c r="P235" i="1"/>
  <c r="P238" i="1"/>
  <c r="P241" i="1"/>
  <c r="P244" i="1"/>
  <c r="P247" i="1"/>
  <c r="P250" i="1"/>
  <c r="P253" i="1"/>
  <c r="P338" i="1"/>
  <c r="O235" i="1"/>
  <c r="O238" i="1"/>
  <c r="O241" i="1"/>
  <c r="O244" i="1"/>
  <c r="O247" i="1"/>
  <c r="O250" i="1"/>
  <c r="O253" i="1"/>
  <c r="O338" i="1"/>
  <c r="N235" i="1"/>
  <c r="N238" i="1"/>
  <c r="N241" i="1"/>
  <c r="N244" i="1"/>
  <c r="N247" i="1"/>
  <c r="N250" i="1"/>
  <c r="N253" i="1"/>
  <c r="N338" i="1"/>
  <c r="CP337" i="1"/>
  <c r="CO337" i="1"/>
  <c r="CN337" i="1"/>
  <c r="CM337" i="1"/>
  <c r="CL337" i="1"/>
  <c r="CK337" i="1"/>
  <c r="CJ237" i="1"/>
  <c r="CJ240" i="1"/>
  <c r="CJ243" i="1"/>
  <c r="CJ246" i="1"/>
  <c r="CJ249" i="1"/>
  <c r="CJ252" i="1"/>
  <c r="CJ337" i="1"/>
  <c r="CI237" i="1"/>
  <c r="CI240" i="1"/>
  <c r="CI243" i="1"/>
  <c r="CI246" i="1"/>
  <c r="CI249" i="1"/>
  <c r="CI252" i="1"/>
  <c r="CI337" i="1"/>
  <c r="CH237" i="1"/>
  <c r="CH240" i="1"/>
  <c r="CH243" i="1"/>
  <c r="CH246" i="1"/>
  <c r="CH249" i="1"/>
  <c r="CH252" i="1"/>
  <c r="CH337" i="1"/>
  <c r="CG237" i="1"/>
  <c r="CG240" i="1"/>
  <c r="CG243" i="1"/>
  <c r="CG246" i="1"/>
  <c r="CG249" i="1"/>
  <c r="CG252" i="1"/>
  <c r="CG337" i="1"/>
  <c r="CF237" i="1"/>
  <c r="CF240" i="1"/>
  <c r="CF243" i="1"/>
  <c r="CF246" i="1"/>
  <c r="CF249" i="1"/>
  <c r="CF252" i="1"/>
  <c r="CF337" i="1"/>
  <c r="CE237" i="1"/>
  <c r="CE240" i="1"/>
  <c r="CE243" i="1"/>
  <c r="CE246" i="1"/>
  <c r="CE249" i="1"/>
  <c r="CE252" i="1"/>
  <c r="CE337" i="1"/>
  <c r="CD237" i="1"/>
  <c r="CD240" i="1"/>
  <c r="CD243" i="1"/>
  <c r="CD246" i="1"/>
  <c r="CD249" i="1"/>
  <c r="CD252" i="1"/>
  <c r="CD337" i="1"/>
  <c r="CC237" i="1"/>
  <c r="CC240" i="1"/>
  <c r="CC243" i="1"/>
  <c r="CC246" i="1"/>
  <c r="CC249" i="1"/>
  <c r="CC252" i="1"/>
  <c r="CC337" i="1"/>
  <c r="CB237" i="1"/>
  <c r="CB240" i="1"/>
  <c r="CB243" i="1"/>
  <c r="CB246" i="1"/>
  <c r="CB249" i="1"/>
  <c r="CB252" i="1"/>
  <c r="CB337" i="1"/>
  <c r="CA337" i="1"/>
  <c r="BZ337" i="1"/>
  <c r="BY337" i="1"/>
  <c r="BX337" i="1"/>
  <c r="BW337" i="1"/>
  <c r="BV337" i="1"/>
  <c r="BU337" i="1"/>
  <c r="BT337" i="1"/>
  <c r="BS337" i="1"/>
  <c r="BR337" i="1"/>
  <c r="BQ337" i="1"/>
  <c r="BP337" i="1"/>
  <c r="BO234" i="1"/>
  <c r="BO237" i="1"/>
  <c r="BO240" i="1"/>
  <c r="BO243" i="1"/>
  <c r="BO246" i="1"/>
  <c r="BO249" i="1"/>
  <c r="BO252" i="1"/>
  <c r="BO337" i="1"/>
  <c r="BN234" i="1"/>
  <c r="BN237" i="1"/>
  <c r="BN240" i="1"/>
  <c r="BN243" i="1"/>
  <c r="BN246" i="1"/>
  <c r="BN249" i="1"/>
  <c r="BN252" i="1"/>
  <c r="BN337" i="1"/>
  <c r="BM234" i="1"/>
  <c r="BM237" i="1"/>
  <c r="BM240" i="1"/>
  <c r="BM243" i="1"/>
  <c r="BM246" i="1"/>
  <c r="BM249" i="1"/>
  <c r="BM252" i="1"/>
  <c r="BM337" i="1"/>
  <c r="BL337" i="1"/>
  <c r="BK337" i="1"/>
  <c r="BJ337" i="1"/>
  <c r="BI337" i="1"/>
  <c r="BH337" i="1"/>
  <c r="BG337" i="1"/>
  <c r="BF337" i="1"/>
  <c r="BE337" i="1"/>
  <c r="BD337" i="1"/>
  <c r="BC337" i="1"/>
  <c r="BB337" i="1"/>
  <c r="BA337" i="1"/>
  <c r="AZ237" i="1"/>
  <c r="AZ240" i="1"/>
  <c r="AZ243" i="1"/>
  <c r="AZ246" i="1"/>
  <c r="AZ249" i="1"/>
  <c r="AZ252" i="1"/>
  <c r="AZ337" i="1"/>
  <c r="AY237" i="1"/>
  <c r="AY240" i="1"/>
  <c r="AY243" i="1"/>
  <c r="AY246" i="1"/>
  <c r="AY249" i="1"/>
  <c r="AY252" i="1"/>
  <c r="AY337" i="1"/>
  <c r="AX237" i="1"/>
  <c r="AX240" i="1"/>
  <c r="AX243" i="1"/>
  <c r="AX246" i="1"/>
  <c r="AX249" i="1"/>
  <c r="AX252" i="1"/>
  <c r="AX337" i="1"/>
  <c r="AW337" i="1"/>
  <c r="AV337" i="1"/>
  <c r="AU337" i="1"/>
  <c r="AT237" i="1"/>
  <c r="AT240" i="1"/>
  <c r="AT243" i="1"/>
  <c r="AT246" i="1"/>
  <c r="AT249" i="1"/>
  <c r="AT252" i="1"/>
  <c r="AT337" i="1"/>
  <c r="AS237" i="1"/>
  <c r="AS240" i="1"/>
  <c r="AS243" i="1"/>
  <c r="AS246" i="1"/>
  <c r="AS249" i="1"/>
  <c r="AS252" i="1"/>
  <c r="AS337" i="1"/>
  <c r="AR237" i="1"/>
  <c r="AR240" i="1"/>
  <c r="AR243" i="1"/>
  <c r="AR246" i="1"/>
  <c r="AR249" i="1"/>
  <c r="AR252" i="1"/>
  <c r="AR337" i="1"/>
  <c r="AQ337" i="1"/>
  <c r="AP337" i="1"/>
  <c r="AO337" i="1"/>
  <c r="AN337" i="1"/>
  <c r="AM337" i="1"/>
  <c r="AL337" i="1"/>
  <c r="AK337" i="1"/>
  <c r="AJ337" i="1"/>
  <c r="AI337" i="1"/>
  <c r="AE234" i="1"/>
  <c r="AH234" i="1"/>
  <c r="AH237" i="1"/>
  <c r="AH240" i="1"/>
  <c r="AH243" i="1"/>
  <c r="AH246" i="1"/>
  <c r="AH249" i="1"/>
  <c r="AH252" i="1"/>
  <c r="AH337" i="1"/>
  <c r="AD234" i="1"/>
  <c r="AG234" i="1"/>
  <c r="AG237" i="1"/>
  <c r="AG240" i="1"/>
  <c r="AG243" i="1"/>
  <c r="AG246" i="1"/>
  <c r="AG249" i="1"/>
  <c r="AG252" i="1"/>
  <c r="AG337" i="1"/>
  <c r="AC234" i="1"/>
  <c r="AF234" i="1"/>
  <c r="AF237" i="1"/>
  <c r="AF240" i="1"/>
  <c r="AF243" i="1"/>
  <c r="AF246" i="1"/>
  <c r="AF249" i="1"/>
  <c r="AF252" i="1"/>
  <c r="AF337" i="1"/>
  <c r="AE237" i="1"/>
  <c r="AE240" i="1"/>
  <c r="AE243" i="1"/>
  <c r="AE246" i="1"/>
  <c r="AE249" i="1"/>
  <c r="AE252" i="1"/>
  <c r="AE337" i="1"/>
  <c r="AD237" i="1"/>
  <c r="AD240" i="1"/>
  <c r="AD243" i="1"/>
  <c r="AD246" i="1"/>
  <c r="AD249" i="1"/>
  <c r="AD252" i="1"/>
  <c r="AD337" i="1"/>
  <c r="AC237" i="1"/>
  <c r="AC240" i="1"/>
  <c r="AC243" i="1"/>
  <c r="AC246" i="1"/>
  <c r="AC249" i="1"/>
  <c r="AC252" i="1"/>
  <c r="AC337" i="1"/>
  <c r="AB337" i="1"/>
  <c r="AA337" i="1"/>
  <c r="Z337" i="1"/>
  <c r="Y337" i="1"/>
  <c r="X337" i="1"/>
  <c r="W337" i="1"/>
  <c r="V337" i="1"/>
  <c r="U337" i="1"/>
  <c r="T337" i="1"/>
  <c r="S337" i="1"/>
  <c r="R337" i="1"/>
  <c r="Q337" i="1"/>
  <c r="P337" i="1"/>
  <c r="O337" i="1"/>
  <c r="N337" i="1"/>
  <c r="CP336" i="1"/>
  <c r="CO336" i="1"/>
  <c r="CN336" i="1"/>
  <c r="CM336" i="1"/>
  <c r="CL336" i="1"/>
  <c r="CK336" i="1"/>
  <c r="CJ236" i="1"/>
  <c r="CJ239" i="1"/>
  <c r="CJ242" i="1"/>
  <c r="CJ245" i="1"/>
  <c r="CJ248" i="1"/>
  <c r="CJ251" i="1"/>
  <c r="CJ336" i="1"/>
  <c r="CI236" i="1"/>
  <c r="CI239" i="1"/>
  <c r="CI242" i="1"/>
  <c r="CI245" i="1"/>
  <c r="CI248" i="1"/>
  <c r="CI251" i="1"/>
  <c r="CI336" i="1"/>
  <c r="CH236" i="1"/>
  <c r="CH239" i="1"/>
  <c r="CH242" i="1"/>
  <c r="CH245" i="1"/>
  <c r="CH248" i="1"/>
  <c r="CH251" i="1"/>
  <c r="CH336" i="1"/>
  <c r="CG236" i="1"/>
  <c r="CG239" i="1"/>
  <c r="CG242" i="1"/>
  <c r="CG245" i="1"/>
  <c r="CG248" i="1"/>
  <c r="CG251" i="1"/>
  <c r="CG336" i="1"/>
  <c r="CF236" i="1"/>
  <c r="CF239" i="1"/>
  <c r="CF242" i="1"/>
  <c r="CF245" i="1"/>
  <c r="CF248" i="1"/>
  <c r="CF251" i="1"/>
  <c r="CF336" i="1"/>
  <c r="CE236" i="1"/>
  <c r="CE239" i="1"/>
  <c r="CE242" i="1"/>
  <c r="CE245" i="1"/>
  <c r="CE248" i="1"/>
  <c r="CE251" i="1"/>
  <c r="CE336" i="1"/>
  <c r="CD236" i="1"/>
  <c r="CD239" i="1"/>
  <c r="CD242" i="1"/>
  <c r="CD245" i="1"/>
  <c r="CD248" i="1"/>
  <c r="CD251" i="1"/>
  <c r="CD336" i="1"/>
  <c r="CC236" i="1"/>
  <c r="CC239" i="1"/>
  <c r="CC242" i="1"/>
  <c r="CC245" i="1"/>
  <c r="CC248" i="1"/>
  <c r="CC251" i="1"/>
  <c r="CC336" i="1"/>
  <c r="CB236" i="1"/>
  <c r="CB239" i="1"/>
  <c r="CB242" i="1"/>
  <c r="CB245" i="1"/>
  <c r="CB248" i="1"/>
  <c r="CB251" i="1"/>
  <c r="CB336" i="1"/>
  <c r="CA336" i="1"/>
  <c r="BZ336" i="1"/>
  <c r="BY336" i="1"/>
  <c r="BX336" i="1"/>
  <c r="BW336" i="1"/>
  <c r="BV336" i="1"/>
  <c r="BU336" i="1"/>
  <c r="BT336" i="1"/>
  <c r="BS336" i="1"/>
  <c r="BR336" i="1"/>
  <c r="BQ336" i="1"/>
  <c r="BP336" i="1"/>
  <c r="BO233" i="1"/>
  <c r="BO236" i="1"/>
  <c r="BO239" i="1"/>
  <c r="BO242" i="1"/>
  <c r="BO245" i="1"/>
  <c r="BO248" i="1"/>
  <c r="BO251" i="1"/>
  <c r="BO336" i="1"/>
  <c r="BN233" i="1"/>
  <c r="BN236" i="1"/>
  <c r="BN239" i="1"/>
  <c r="BN242" i="1"/>
  <c r="BN245" i="1"/>
  <c r="BN248" i="1"/>
  <c r="BN251" i="1"/>
  <c r="BN336" i="1"/>
  <c r="BM233" i="1"/>
  <c r="BM236" i="1"/>
  <c r="BM239" i="1"/>
  <c r="BM242" i="1"/>
  <c r="BM245" i="1"/>
  <c r="BM248" i="1"/>
  <c r="BM251" i="1"/>
  <c r="BM336" i="1"/>
  <c r="BL336" i="1"/>
  <c r="BK336" i="1"/>
  <c r="BJ336" i="1"/>
  <c r="BI336" i="1"/>
  <c r="BH336" i="1"/>
  <c r="BG336" i="1"/>
  <c r="BF336" i="1"/>
  <c r="BE336" i="1"/>
  <c r="BD336" i="1"/>
  <c r="BC336" i="1"/>
  <c r="BB336" i="1"/>
  <c r="BA336" i="1"/>
  <c r="AZ236" i="1"/>
  <c r="AZ239" i="1"/>
  <c r="AZ242" i="1"/>
  <c r="AZ245" i="1"/>
  <c r="AZ248" i="1"/>
  <c r="AZ251" i="1"/>
  <c r="AZ336" i="1"/>
  <c r="AY236" i="1"/>
  <c r="AY239" i="1"/>
  <c r="AY242" i="1"/>
  <c r="AY245" i="1"/>
  <c r="AY248" i="1"/>
  <c r="AY251" i="1"/>
  <c r="AY336" i="1"/>
  <c r="AX236" i="1"/>
  <c r="AX239" i="1"/>
  <c r="AX242" i="1"/>
  <c r="AX245" i="1"/>
  <c r="AX248" i="1"/>
  <c r="AX251" i="1"/>
  <c r="AX336" i="1"/>
  <c r="AW336" i="1"/>
  <c r="AV336" i="1"/>
  <c r="AU336" i="1"/>
  <c r="AT236" i="1"/>
  <c r="AT239" i="1"/>
  <c r="AT242" i="1"/>
  <c r="AT245" i="1"/>
  <c r="AT248" i="1"/>
  <c r="AT251" i="1"/>
  <c r="AT336" i="1"/>
  <c r="AS236" i="1"/>
  <c r="AS239" i="1"/>
  <c r="AS242" i="1"/>
  <c r="AS245" i="1"/>
  <c r="AS248" i="1"/>
  <c r="AS251" i="1"/>
  <c r="AS336" i="1"/>
  <c r="AR236" i="1"/>
  <c r="AR239" i="1"/>
  <c r="AR242" i="1"/>
  <c r="AR245" i="1"/>
  <c r="AR248" i="1"/>
  <c r="AR251" i="1"/>
  <c r="AR336" i="1"/>
  <c r="AQ336" i="1"/>
  <c r="AP336" i="1"/>
  <c r="AO336" i="1"/>
  <c r="AN336" i="1"/>
  <c r="AM336" i="1"/>
  <c r="AL336" i="1"/>
  <c r="AK336" i="1"/>
  <c r="AJ336" i="1"/>
  <c r="AI336" i="1"/>
  <c r="AE233" i="1"/>
  <c r="AH233" i="1"/>
  <c r="AH236" i="1"/>
  <c r="AH239" i="1"/>
  <c r="AH242" i="1"/>
  <c r="AH245" i="1"/>
  <c r="AH248" i="1"/>
  <c r="AH251" i="1"/>
  <c r="AH336" i="1"/>
  <c r="AD233" i="1"/>
  <c r="AG233" i="1"/>
  <c r="AG236" i="1"/>
  <c r="AG239" i="1"/>
  <c r="AG242" i="1"/>
  <c r="AG245" i="1"/>
  <c r="AG248" i="1"/>
  <c r="AG251" i="1"/>
  <c r="AG336" i="1"/>
  <c r="AC233" i="1"/>
  <c r="AF233" i="1"/>
  <c r="AF236" i="1"/>
  <c r="AF239" i="1"/>
  <c r="AF242" i="1"/>
  <c r="AF245" i="1"/>
  <c r="AF248" i="1"/>
  <c r="AF251" i="1"/>
  <c r="AF336" i="1"/>
  <c r="AE236" i="1"/>
  <c r="AE239" i="1"/>
  <c r="AE242" i="1"/>
  <c r="AE245" i="1"/>
  <c r="AE248" i="1"/>
  <c r="AE251" i="1"/>
  <c r="AE336" i="1"/>
  <c r="AD236" i="1"/>
  <c r="AD239" i="1"/>
  <c r="AD242" i="1"/>
  <c r="AD245" i="1"/>
  <c r="AD248" i="1"/>
  <c r="AD251" i="1"/>
  <c r="AD336" i="1"/>
  <c r="AC236" i="1"/>
  <c r="AC239" i="1"/>
  <c r="AC242" i="1"/>
  <c r="AC245" i="1"/>
  <c r="AC248" i="1"/>
  <c r="AC251" i="1"/>
  <c r="AC336" i="1"/>
  <c r="AB336" i="1"/>
  <c r="AA336" i="1"/>
  <c r="Z336" i="1"/>
  <c r="Y336" i="1"/>
  <c r="X336" i="1"/>
  <c r="W336" i="1"/>
  <c r="V336" i="1"/>
  <c r="U336" i="1"/>
  <c r="T336" i="1"/>
  <c r="S336" i="1"/>
  <c r="R336" i="1"/>
  <c r="Q336" i="1"/>
  <c r="P336" i="1"/>
  <c r="O336" i="1"/>
  <c r="N336" i="1"/>
  <c r="CP335" i="1"/>
  <c r="CO335" i="1"/>
  <c r="CN335" i="1"/>
  <c r="CM335" i="1"/>
  <c r="CL335" i="1"/>
  <c r="CK335" i="1"/>
  <c r="CJ235" i="1"/>
  <c r="CJ238" i="1"/>
  <c r="CJ241" i="1"/>
  <c r="CJ244" i="1"/>
  <c r="CJ247" i="1"/>
  <c r="CJ250" i="1"/>
  <c r="CJ335" i="1"/>
  <c r="CI235" i="1"/>
  <c r="CI238" i="1"/>
  <c r="CI241" i="1"/>
  <c r="CI244" i="1"/>
  <c r="CI247" i="1"/>
  <c r="CI250" i="1"/>
  <c r="CI335" i="1"/>
  <c r="CH235" i="1"/>
  <c r="CH238" i="1"/>
  <c r="CH241" i="1"/>
  <c r="CH244" i="1"/>
  <c r="CH247" i="1"/>
  <c r="CH250" i="1"/>
  <c r="CH335" i="1"/>
  <c r="CG235" i="1"/>
  <c r="CG238" i="1"/>
  <c r="CG241" i="1"/>
  <c r="CG244" i="1"/>
  <c r="CG247" i="1"/>
  <c r="CG250" i="1"/>
  <c r="CG335" i="1"/>
  <c r="CF235" i="1"/>
  <c r="CF238" i="1"/>
  <c r="CF241" i="1"/>
  <c r="CF244" i="1"/>
  <c r="CF247" i="1"/>
  <c r="CF250" i="1"/>
  <c r="CF335" i="1"/>
  <c r="CE235" i="1"/>
  <c r="CE238" i="1"/>
  <c r="CE241" i="1"/>
  <c r="CE244" i="1"/>
  <c r="CE247" i="1"/>
  <c r="CE250" i="1"/>
  <c r="CE335" i="1"/>
  <c r="CD235" i="1"/>
  <c r="CD238" i="1"/>
  <c r="CD241" i="1"/>
  <c r="CD244" i="1"/>
  <c r="CD247" i="1"/>
  <c r="CD250" i="1"/>
  <c r="CD335" i="1"/>
  <c r="CC235" i="1"/>
  <c r="CC238" i="1"/>
  <c r="CC241" i="1"/>
  <c r="CC244" i="1"/>
  <c r="CC247" i="1"/>
  <c r="CC250" i="1"/>
  <c r="CC335" i="1"/>
  <c r="CB235" i="1"/>
  <c r="CB238" i="1"/>
  <c r="CB241" i="1"/>
  <c r="CB244" i="1"/>
  <c r="CB247" i="1"/>
  <c r="CB250" i="1"/>
  <c r="CB335" i="1"/>
  <c r="CA335" i="1"/>
  <c r="BZ335" i="1"/>
  <c r="BY335" i="1"/>
  <c r="BX335" i="1"/>
  <c r="BW335" i="1"/>
  <c r="BV335" i="1"/>
  <c r="BU335" i="1"/>
  <c r="BT335" i="1"/>
  <c r="BS335" i="1"/>
  <c r="BR335" i="1"/>
  <c r="BQ335" i="1"/>
  <c r="BP335" i="1"/>
  <c r="BO232" i="1"/>
  <c r="BO235" i="1"/>
  <c r="BO238" i="1"/>
  <c r="BO241" i="1"/>
  <c r="BO244" i="1"/>
  <c r="BO247" i="1"/>
  <c r="BO250" i="1"/>
  <c r="BO335" i="1"/>
  <c r="BN232" i="1"/>
  <c r="BN235" i="1"/>
  <c r="BN238" i="1"/>
  <c r="BN241" i="1"/>
  <c r="BN244" i="1"/>
  <c r="BN247" i="1"/>
  <c r="BN250" i="1"/>
  <c r="BN335" i="1"/>
  <c r="BM232" i="1"/>
  <c r="BM235" i="1"/>
  <c r="BM238" i="1"/>
  <c r="BM241" i="1"/>
  <c r="BM244" i="1"/>
  <c r="BM247" i="1"/>
  <c r="BM250" i="1"/>
  <c r="BM335" i="1"/>
  <c r="BL335" i="1"/>
  <c r="BK335" i="1"/>
  <c r="BJ335" i="1"/>
  <c r="BI335" i="1"/>
  <c r="BH335" i="1"/>
  <c r="BG335" i="1"/>
  <c r="BF335" i="1"/>
  <c r="BE335" i="1"/>
  <c r="BD335" i="1"/>
  <c r="BC335" i="1"/>
  <c r="BB335" i="1"/>
  <c r="BA335" i="1"/>
  <c r="AZ235" i="1"/>
  <c r="AZ238" i="1"/>
  <c r="AZ241" i="1"/>
  <c r="AZ244" i="1"/>
  <c r="AZ247" i="1"/>
  <c r="AZ250" i="1"/>
  <c r="AZ335" i="1"/>
  <c r="AY235" i="1"/>
  <c r="AY238" i="1"/>
  <c r="AY241" i="1"/>
  <c r="AY244" i="1"/>
  <c r="AY247" i="1"/>
  <c r="AY250" i="1"/>
  <c r="AY335" i="1"/>
  <c r="AX235" i="1"/>
  <c r="AX238" i="1"/>
  <c r="AX241" i="1"/>
  <c r="AX244" i="1"/>
  <c r="AX247" i="1"/>
  <c r="AX250" i="1"/>
  <c r="AX335" i="1"/>
  <c r="AW335" i="1"/>
  <c r="AV335" i="1"/>
  <c r="AU335" i="1"/>
  <c r="AT235" i="1"/>
  <c r="AT238" i="1"/>
  <c r="AT241" i="1"/>
  <c r="AT244" i="1"/>
  <c r="AT247" i="1"/>
  <c r="AT250" i="1"/>
  <c r="AT335" i="1"/>
  <c r="AS235" i="1"/>
  <c r="AS238" i="1"/>
  <c r="AS241" i="1"/>
  <c r="AS244" i="1"/>
  <c r="AS247" i="1"/>
  <c r="AS250" i="1"/>
  <c r="AS335" i="1"/>
  <c r="AR235" i="1"/>
  <c r="AR238" i="1"/>
  <c r="AR241" i="1"/>
  <c r="AR244" i="1"/>
  <c r="AR247" i="1"/>
  <c r="AR250" i="1"/>
  <c r="AR335" i="1"/>
  <c r="AQ335" i="1"/>
  <c r="AP335" i="1"/>
  <c r="AO335" i="1"/>
  <c r="AN335" i="1"/>
  <c r="AM335" i="1"/>
  <c r="AL335" i="1"/>
  <c r="AK335" i="1"/>
  <c r="AJ335" i="1"/>
  <c r="AI335" i="1"/>
  <c r="AE232" i="1"/>
  <c r="AH232" i="1"/>
  <c r="AH235" i="1"/>
  <c r="AH238" i="1"/>
  <c r="AH241" i="1"/>
  <c r="AH244" i="1"/>
  <c r="AH247" i="1"/>
  <c r="AH250" i="1"/>
  <c r="AH335" i="1"/>
  <c r="AD232" i="1"/>
  <c r="AG232" i="1"/>
  <c r="AG235" i="1"/>
  <c r="AG238" i="1"/>
  <c r="AG241" i="1"/>
  <c r="AG244" i="1"/>
  <c r="AG247" i="1"/>
  <c r="AG250" i="1"/>
  <c r="AG335" i="1"/>
  <c r="AC232" i="1"/>
  <c r="AF232" i="1"/>
  <c r="AF235" i="1"/>
  <c r="AF238" i="1"/>
  <c r="AF241" i="1"/>
  <c r="AF244" i="1"/>
  <c r="AF247" i="1"/>
  <c r="AF250" i="1"/>
  <c r="AF335" i="1"/>
  <c r="AE235" i="1"/>
  <c r="AE238" i="1"/>
  <c r="AE241" i="1"/>
  <c r="AE244" i="1"/>
  <c r="AE247" i="1"/>
  <c r="AE250" i="1"/>
  <c r="AE335" i="1"/>
  <c r="AD235" i="1"/>
  <c r="AD238" i="1"/>
  <c r="AD241" i="1"/>
  <c r="AD244" i="1"/>
  <c r="AD247" i="1"/>
  <c r="AD250" i="1"/>
  <c r="AD335" i="1"/>
  <c r="AC235" i="1"/>
  <c r="AC238" i="1"/>
  <c r="AC241" i="1"/>
  <c r="AC244" i="1"/>
  <c r="AC247" i="1"/>
  <c r="AC250" i="1"/>
  <c r="AC335" i="1"/>
  <c r="AB335" i="1"/>
  <c r="AA335" i="1"/>
  <c r="Z335" i="1"/>
  <c r="Y335" i="1"/>
  <c r="X335" i="1"/>
  <c r="W335" i="1"/>
  <c r="V335" i="1"/>
  <c r="U335" i="1"/>
  <c r="T335" i="1"/>
  <c r="S335" i="1"/>
  <c r="R335" i="1"/>
  <c r="Q335" i="1"/>
  <c r="P335" i="1"/>
  <c r="O335" i="1"/>
  <c r="N335" i="1"/>
  <c r="CP334" i="1"/>
  <c r="CO334" i="1"/>
  <c r="CN334" i="1"/>
  <c r="CM334" i="1"/>
  <c r="CL334" i="1"/>
  <c r="CK334" i="1"/>
  <c r="CJ334" i="1"/>
  <c r="CI334" i="1"/>
  <c r="CH334" i="1"/>
  <c r="CG334" i="1"/>
  <c r="CF334" i="1"/>
  <c r="CE334" i="1"/>
  <c r="CD334" i="1"/>
  <c r="CC334" i="1"/>
  <c r="CB334" i="1"/>
  <c r="CA334" i="1"/>
  <c r="BZ334" i="1"/>
  <c r="BY334" i="1"/>
  <c r="BX334" i="1"/>
  <c r="BW334" i="1"/>
  <c r="BV334" i="1"/>
  <c r="BU334" i="1"/>
  <c r="BT334" i="1"/>
  <c r="BS334" i="1"/>
  <c r="BR334" i="1"/>
  <c r="BQ334" i="1"/>
  <c r="BP334" i="1"/>
  <c r="BO334" i="1"/>
  <c r="BN334" i="1"/>
  <c r="BM334" i="1"/>
  <c r="BL334" i="1"/>
  <c r="BK334" i="1"/>
  <c r="BJ334" i="1"/>
  <c r="BI334" i="1"/>
  <c r="BH334" i="1"/>
  <c r="BG334" i="1"/>
  <c r="BF334" i="1"/>
  <c r="BE334" i="1"/>
  <c r="BD334" i="1"/>
  <c r="BC334" i="1"/>
  <c r="BB334" i="1"/>
  <c r="BA334" i="1"/>
  <c r="AZ334" i="1"/>
  <c r="AY334" i="1"/>
  <c r="AX334" i="1"/>
  <c r="AW237" i="1"/>
  <c r="AW240" i="1"/>
  <c r="AW243" i="1"/>
  <c r="AW246" i="1"/>
  <c r="AW249" i="1"/>
  <c r="AW334" i="1"/>
  <c r="AV237" i="1"/>
  <c r="AV240" i="1"/>
  <c r="AV243" i="1"/>
  <c r="AV246" i="1"/>
  <c r="AV249" i="1"/>
  <c r="AV334" i="1"/>
  <c r="AU237" i="1"/>
  <c r="AU240" i="1"/>
  <c r="AU243" i="1"/>
  <c r="AU246" i="1"/>
  <c r="AU249" i="1"/>
  <c r="AU334" i="1"/>
  <c r="AT334" i="1"/>
  <c r="AS334" i="1"/>
  <c r="AR334" i="1"/>
  <c r="AQ334" i="1"/>
  <c r="AP334" i="1"/>
  <c r="AO334" i="1"/>
  <c r="AN334" i="1"/>
  <c r="AM334" i="1"/>
  <c r="AL334"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CP333" i="1"/>
  <c r="CO333" i="1"/>
  <c r="CN333" i="1"/>
  <c r="CM333" i="1"/>
  <c r="CL333" i="1"/>
  <c r="CK333" i="1"/>
  <c r="CJ333" i="1"/>
  <c r="CI333" i="1"/>
  <c r="CH333" i="1"/>
  <c r="CG333" i="1"/>
  <c r="CF333" i="1"/>
  <c r="CE333" i="1"/>
  <c r="CD333" i="1"/>
  <c r="CC333" i="1"/>
  <c r="CB333" i="1"/>
  <c r="CA333" i="1"/>
  <c r="BZ333" i="1"/>
  <c r="BY333" i="1"/>
  <c r="BX333" i="1"/>
  <c r="BW333" i="1"/>
  <c r="BV333" i="1"/>
  <c r="BU333" i="1"/>
  <c r="BT333" i="1"/>
  <c r="BS333" i="1"/>
  <c r="BR333" i="1"/>
  <c r="BQ333" i="1"/>
  <c r="BP333" i="1"/>
  <c r="BO333" i="1"/>
  <c r="BN333" i="1"/>
  <c r="BM333" i="1"/>
  <c r="BL333" i="1"/>
  <c r="BK333" i="1"/>
  <c r="BJ333" i="1"/>
  <c r="BI333" i="1"/>
  <c r="BH333" i="1"/>
  <c r="BG333" i="1"/>
  <c r="BF333" i="1"/>
  <c r="BE333" i="1"/>
  <c r="BD333" i="1"/>
  <c r="BC333" i="1"/>
  <c r="BB333" i="1"/>
  <c r="BA333" i="1"/>
  <c r="AZ333" i="1"/>
  <c r="AY333" i="1"/>
  <c r="AX333" i="1"/>
  <c r="AW236" i="1"/>
  <c r="AW239" i="1"/>
  <c r="AW242" i="1"/>
  <c r="AW245" i="1"/>
  <c r="AW248" i="1"/>
  <c r="AW333" i="1"/>
  <c r="AV236" i="1"/>
  <c r="AV239" i="1"/>
  <c r="AV242" i="1"/>
  <c r="AV245" i="1"/>
  <c r="AV248" i="1"/>
  <c r="AV333" i="1"/>
  <c r="AU236" i="1"/>
  <c r="AU239" i="1"/>
  <c r="AU242" i="1"/>
  <c r="AU245" i="1"/>
  <c r="AU248" i="1"/>
  <c r="AU333" i="1"/>
  <c r="AT333" i="1"/>
  <c r="AS333" i="1"/>
  <c r="AR333" i="1"/>
  <c r="AQ333" i="1"/>
  <c r="AP333" i="1"/>
  <c r="AO333" i="1"/>
  <c r="AN333" i="1"/>
  <c r="AM333" i="1"/>
  <c r="AL333"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CP332" i="1"/>
  <c r="CO332" i="1"/>
  <c r="CN332" i="1"/>
  <c r="CM332" i="1"/>
  <c r="CL332" i="1"/>
  <c r="CK332" i="1"/>
  <c r="CJ332" i="1"/>
  <c r="CI332" i="1"/>
  <c r="CH332" i="1"/>
  <c r="CG332" i="1"/>
  <c r="CF332" i="1"/>
  <c r="CE332" i="1"/>
  <c r="CD332" i="1"/>
  <c r="CC332" i="1"/>
  <c r="CB332" i="1"/>
  <c r="CA332" i="1"/>
  <c r="BZ332" i="1"/>
  <c r="BY332" i="1"/>
  <c r="BX332" i="1"/>
  <c r="BW332" i="1"/>
  <c r="BV332" i="1"/>
  <c r="BU332" i="1"/>
  <c r="BT332" i="1"/>
  <c r="BS332" i="1"/>
  <c r="BR332" i="1"/>
  <c r="BQ332" i="1"/>
  <c r="BP332" i="1"/>
  <c r="BO332" i="1"/>
  <c r="BN332" i="1"/>
  <c r="BM332" i="1"/>
  <c r="BL332" i="1"/>
  <c r="BK332" i="1"/>
  <c r="BJ332" i="1"/>
  <c r="BI332" i="1"/>
  <c r="BH332" i="1"/>
  <c r="BG332" i="1"/>
  <c r="BF332" i="1"/>
  <c r="BE332" i="1"/>
  <c r="BD332" i="1"/>
  <c r="BC332" i="1"/>
  <c r="BB332" i="1"/>
  <c r="BA332" i="1"/>
  <c r="AZ332" i="1"/>
  <c r="AY332" i="1"/>
  <c r="AX332" i="1"/>
  <c r="AW235" i="1"/>
  <c r="AW238" i="1"/>
  <c r="AW241" i="1"/>
  <c r="AW244" i="1"/>
  <c r="AW247" i="1"/>
  <c r="AW332" i="1"/>
  <c r="AV235" i="1"/>
  <c r="AV238" i="1"/>
  <c r="AV241" i="1"/>
  <c r="AV244" i="1"/>
  <c r="AV247" i="1"/>
  <c r="AV332" i="1"/>
  <c r="AU235" i="1"/>
  <c r="AU238" i="1"/>
  <c r="AU241" i="1"/>
  <c r="AU244" i="1"/>
  <c r="AU247" i="1"/>
  <c r="AU332" i="1"/>
  <c r="AT332" i="1"/>
  <c r="AS332" i="1"/>
  <c r="AR332" i="1"/>
  <c r="AQ332" i="1"/>
  <c r="AP332" i="1"/>
  <c r="AO332" i="1"/>
  <c r="AN332" i="1"/>
  <c r="AM332" i="1"/>
  <c r="AL332"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CP331" i="1"/>
  <c r="CO331" i="1"/>
  <c r="CN331" i="1"/>
  <c r="CM331" i="1"/>
  <c r="CL331" i="1"/>
  <c r="CK331" i="1"/>
  <c r="CJ331" i="1"/>
  <c r="CI331" i="1"/>
  <c r="CH331" i="1"/>
  <c r="CG331" i="1"/>
  <c r="CF331" i="1"/>
  <c r="CE331" i="1"/>
  <c r="CD331" i="1"/>
  <c r="CC331" i="1"/>
  <c r="CB331" i="1"/>
  <c r="CA331" i="1"/>
  <c r="BZ331" i="1"/>
  <c r="BY331" i="1"/>
  <c r="BX331" i="1"/>
  <c r="BW331" i="1"/>
  <c r="BV331" i="1"/>
  <c r="BU331" i="1"/>
  <c r="BT331" i="1"/>
  <c r="BS331" i="1"/>
  <c r="BR331" i="1"/>
  <c r="BQ331" i="1"/>
  <c r="BP331" i="1"/>
  <c r="BO331" i="1"/>
  <c r="BN331" i="1"/>
  <c r="BM331" i="1"/>
  <c r="BL331" i="1"/>
  <c r="BK331" i="1"/>
  <c r="BJ331" i="1"/>
  <c r="BI331" i="1"/>
  <c r="BH331" i="1"/>
  <c r="BG331" i="1"/>
  <c r="BF331" i="1"/>
  <c r="BE331" i="1"/>
  <c r="BD331" i="1"/>
  <c r="BC331" i="1"/>
  <c r="BB331" i="1"/>
  <c r="BA331" i="1"/>
  <c r="AZ331" i="1"/>
  <c r="AY331" i="1"/>
  <c r="AX331" i="1"/>
  <c r="AW331" i="1"/>
  <c r="AV331" i="1"/>
  <c r="AU331" i="1"/>
  <c r="AT331" i="1"/>
  <c r="AS331" i="1"/>
  <c r="AR331" i="1"/>
  <c r="AQ237" i="1"/>
  <c r="AQ240" i="1"/>
  <c r="AQ243" i="1"/>
  <c r="AQ246" i="1"/>
  <c r="AQ331" i="1"/>
  <c r="AP237" i="1"/>
  <c r="AP240" i="1"/>
  <c r="AP243" i="1"/>
  <c r="AP246" i="1"/>
  <c r="AP331" i="1"/>
  <c r="AO237" i="1"/>
  <c r="AO240" i="1"/>
  <c r="AO243" i="1"/>
  <c r="AO246" i="1"/>
  <c r="AO331" i="1"/>
  <c r="AN331" i="1"/>
  <c r="AM331" i="1"/>
  <c r="AL331"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CP330" i="1"/>
  <c r="CO330" i="1"/>
  <c r="CN330" i="1"/>
  <c r="CM330" i="1"/>
  <c r="CL330" i="1"/>
  <c r="CK330" i="1"/>
  <c r="CJ330" i="1"/>
  <c r="CI330" i="1"/>
  <c r="CH330" i="1"/>
  <c r="CG330" i="1"/>
  <c r="CF330" i="1"/>
  <c r="CE330" i="1"/>
  <c r="CD330" i="1"/>
  <c r="CC330" i="1"/>
  <c r="CB330" i="1"/>
  <c r="CA330" i="1"/>
  <c r="BZ330" i="1"/>
  <c r="BY330" i="1"/>
  <c r="BX330" i="1"/>
  <c r="BW330" i="1"/>
  <c r="BV330" i="1"/>
  <c r="BU330" i="1"/>
  <c r="BT330" i="1"/>
  <c r="BS330" i="1"/>
  <c r="BR330" i="1"/>
  <c r="BQ330" i="1"/>
  <c r="BP330" i="1"/>
  <c r="BO330" i="1"/>
  <c r="BN330" i="1"/>
  <c r="BM330" i="1"/>
  <c r="BL330" i="1"/>
  <c r="BK330" i="1"/>
  <c r="BJ330" i="1"/>
  <c r="BI330" i="1"/>
  <c r="BH330" i="1"/>
  <c r="BG330" i="1"/>
  <c r="BF330" i="1"/>
  <c r="BE330" i="1"/>
  <c r="BD330" i="1"/>
  <c r="BC330" i="1"/>
  <c r="BB330" i="1"/>
  <c r="BA330" i="1"/>
  <c r="AZ330" i="1"/>
  <c r="AY330" i="1"/>
  <c r="AX330" i="1"/>
  <c r="AW330" i="1"/>
  <c r="AV330" i="1"/>
  <c r="AU330" i="1"/>
  <c r="AT330" i="1"/>
  <c r="AS330" i="1"/>
  <c r="AR330" i="1"/>
  <c r="AQ236" i="1"/>
  <c r="AQ239" i="1"/>
  <c r="AQ242" i="1"/>
  <c r="AQ245" i="1"/>
  <c r="AQ330" i="1"/>
  <c r="AP236" i="1"/>
  <c r="AP239" i="1"/>
  <c r="AP242" i="1"/>
  <c r="AP245" i="1"/>
  <c r="AP330" i="1"/>
  <c r="AO236" i="1"/>
  <c r="AO239" i="1"/>
  <c r="AO242" i="1"/>
  <c r="AO245" i="1"/>
  <c r="AO330" i="1"/>
  <c r="AN330" i="1"/>
  <c r="AM330" i="1"/>
  <c r="AL330"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CP329" i="1"/>
  <c r="CO329" i="1"/>
  <c r="CN329" i="1"/>
  <c r="CM329" i="1"/>
  <c r="CL329" i="1"/>
  <c r="CK329" i="1"/>
  <c r="CJ329" i="1"/>
  <c r="CI329" i="1"/>
  <c r="CH329" i="1"/>
  <c r="CG329" i="1"/>
  <c r="CF329" i="1"/>
  <c r="CE329" i="1"/>
  <c r="CD329" i="1"/>
  <c r="CC329" i="1"/>
  <c r="CB329" i="1"/>
  <c r="CA329" i="1"/>
  <c r="BZ329" i="1"/>
  <c r="BY329" i="1"/>
  <c r="BX329" i="1"/>
  <c r="BW329" i="1"/>
  <c r="BV329" i="1"/>
  <c r="BU329" i="1"/>
  <c r="BT329" i="1"/>
  <c r="BS329" i="1"/>
  <c r="BR329" i="1"/>
  <c r="BQ329" i="1"/>
  <c r="BP329" i="1"/>
  <c r="BO329" i="1"/>
  <c r="BN329" i="1"/>
  <c r="BM329" i="1"/>
  <c r="BL329" i="1"/>
  <c r="BK329" i="1"/>
  <c r="BJ329" i="1"/>
  <c r="BI329" i="1"/>
  <c r="BH329" i="1"/>
  <c r="BG329" i="1"/>
  <c r="BF329" i="1"/>
  <c r="BE329" i="1"/>
  <c r="BD329" i="1"/>
  <c r="BC329" i="1"/>
  <c r="BB329" i="1"/>
  <c r="BA329" i="1"/>
  <c r="AZ329" i="1"/>
  <c r="AY329" i="1"/>
  <c r="AX329" i="1"/>
  <c r="AW329" i="1"/>
  <c r="AV329" i="1"/>
  <c r="AU329" i="1"/>
  <c r="AT329" i="1"/>
  <c r="AS329" i="1"/>
  <c r="AR329" i="1"/>
  <c r="AQ235" i="1"/>
  <c r="AQ238" i="1"/>
  <c r="AQ241" i="1"/>
  <c r="AQ244" i="1"/>
  <c r="AQ329" i="1"/>
  <c r="AP235" i="1"/>
  <c r="AP238" i="1"/>
  <c r="AP241" i="1"/>
  <c r="AP244" i="1"/>
  <c r="AP329" i="1"/>
  <c r="AO235" i="1"/>
  <c r="AO238" i="1"/>
  <c r="AO241" i="1"/>
  <c r="AO244" i="1"/>
  <c r="AO329" i="1"/>
  <c r="AN329" i="1"/>
  <c r="AM329" i="1"/>
  <c r="AL329" i="1"/>
  <c r="AK329" i="1"/>
  <c r="AJ329" i="1"/>
  <c r="AI329" i="1"/>
  <c r="AH329" i="1"/>
  <c r="AG329" i="1"/>
  <c r="AF329" i="1"/>
  <c r="AE329" i="1"/>
  <c r="AD329" i="1"/>
  <c r="AC329" i="1"/>
  <c r="AB329" i="1"/>
  <c r="AA329" i="1"/>
  <c r="Z329" i="1"/>
  <c r="Y329" i="1"/>
  <c r="X329" i="1"/>
  <c r="W329" i="1"/>
  <c r="V329" i="1"/>
  <c r="U329" i="1"/>
  <c r="T329" i="1"/>
  <c r="S329" i="1"/>
  <c r="R329" i="1"/>
  <c r="Q329" i="1"/>
  <c r="P329" i="1"/>
  <c r="O329" i="1"/>
  <c r="N329" i="1"/>
  <c r="CP328" i="1"/>
  <c r="CO328" i="1"/>
  <c r="CN328" i="1"/>
  <c r="CM328" i="1"/>
  <c r="CL328" i="1"/>
  <c r="CK328" i="1"/>
  <c r="CJ328" i="1"/>
  <c r="CI328" i="1"/>
  <c r="CH328" i="1"/>
  <c r="CG328" i="1"/>
  <c r="CF328" i="1"/>
  <c r="CE328" i="1"/>
  <c r="CD328" i="1"/>
  <c r="CC328" i="1"/>
  <c r="CB328" i="1"/>
  <c r="CA237" i="1"/>
  <c r="CA240" i="1"/>
  <c r="CA243" i="1"/>
  <c r="CA328" i="1"/>
  <c r="BZ237" i="1"/>
  <c r="BZ240" i="1"/>
  <c r="BZ243" i="1"/>
  <c r="BZ328" i="1"/>
  <c r="BY237" i="1"/>
  <c r="BY240" i="1"/>
  <c r="BY243" i="1"/>
  <c r="BY328" i="1"/>
  <c r="BX328" i="1"/>
  <c r="BW328" i="1"/>
  <c r="BV328" i="1"/>
  <c r="BU328" i="1"/>
  <c r="BT328" i="1"/>
  <c r="BS328" i="1"/>
  <c r="BR328" i="1"/>
  <c r="BQ328" i="1"/>
  <c r="BP328" i="1"/>
  <c r="BO328" i="1"/>
  <c r="BN328" i="1"/>
  <c r="BM328" i="1"/>
  <c r="BL328" i="1"/>
  <c r="BK328" i="1"/>
  <c r="BJ328" i="1"/>
  <c r="BI328" i="1"/>
  <c r="BH328" i="1"/>
  <c r="BG328" i="1"/>
  <c r="BF328" i="1"/>
  <c r="BE328" i="1"/>
  <c r="BD328" i="1"/>
  <c r="BC328" i="1"/>
  <c r="BB328" i="1"/>
  <c r="BA328" i="1"/>
  <c r="AZ328" i="1"/>
  <c r="AY328"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CP327" i="1"/>
  <c r="CO327" i="1"/>
  <c r="CN327" i="1"/>
  <c r="CM327" i="1"/>
  <c r="CL327" i="1"/>
  <c r="CK327" i="1"/>
  <c r="CJ327" i="1"/>
  <c r="CI327" i="1"/>
  <c r="CH327" i="1"/>
  <c r="CG327" i="1"/>
  <c r="CF327" i="1"/>
  <c r="CE327" i="1"/>
  <c r="CD327" i="1"/>
  <c r="CC327" i="1"/>
  <c r="CB327" i="1"/>
  <c r="CA236" i="1"/>
  <c r="CA239" i="1"/>
  <c r="CA242" i="1"/>
  <c r="CA327" i="1"/>
  <c r="BZ236" i="1"/>
  <c r="BZ239" i="1"/>
  <c r="BZ242" i="1"/>
  <c r="BZ327" i="1"/>
  <c r="BY236" i="1"/>
  <c r="BY239" i="1"/>
  <c r="BY242" i="1"/>
  <c r="BY327" i="1"/>
  <c r="BX327" i="1"/>
  <c r="BW327" i="1"/>
  <c r="BV327" i="1"/>
  <c r="BU327" i="1"/>
  <c r="BT327" i="1"/>
  <c r="BS327" i="1"/>
  <c r="BR327" i="1"/>
  <c r="BQ327" i="1"/>
  <c r="BP327" i="1"/>
  <c r="BO327" i="1"/>
  <c r="BN327" i="1"/>
  <c r="BM327" i="1"/>
  <c r="BL327" i="1"/>
  <c r="BK327" i="1"/>
  <c r="BJ327" i="1"/>
  <c r="BI327" i="1"/>
  <c r="BH327" i="1"/>
  <c r="BG327" i="1"/>
  <c r="BF327" i="1"/>
  <c r="BE327" i="1"/>
  <c r="BD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CP326" i="1"/>
  <c r="CO326" i="1"/>
  <c r="CN326" i="1"/>
  <c r="CM326" i="1"/>
  <c r="CL326" i="1"/>
  <c r="CK326" i="1"/>
  <c r="CJ326" i="1"/>
  <c r="CI326" i="1"/>
  <c r="CH326" i="1"/>
  <c r="CG326" i="1"/>
  <c r="CF326" i="1"/>
  <c r="CE326" i="1"/>
  <c r="CD326" i="1"/>
  <c r="CC326" i="1"/>
  <c r="CB326" i="1"/>
  <c r="CA235" i="1"/>
  <c r="CA238" i="1"/>
  <c r="CA241" i="1"/>
  <c r="CA326" i="1"/>
  <c r="BZ235" i="1"/>
  <c r="BZ238" i="1"/>
  <c r="BZ241" i="1"/>
  <c r="BZ326" i="1"/>
  <c r="BY235" i="1"/>
  <c r="BY238" i="1"/>
  <c r="BY241" i="1"/>
  <c r="BY326" i="1"/>
  <c r="BX326" i="1"/>
  <c r="BW326" i="1"/>
  <c r="BV326" i="1"/>
  <c r="BU326" i="1"/>
  <c r="BT326" i="1"/>
  <c r="BS326" i="1"/>
  <c r="BR326" i="1"/>
  <c r="BQ326" i="1"/>
  <c r="BP326" i="1"/>
  <c r="BO326" i="1"/>
  <c r="BN326" i="1"/>
  <c r="BM326" i="1"/>
  <c r="BL326" i="1"/>
  <c r="BK326" i="1"/>
  <c r="BJ326" i="1"/>
  <c r="BI326" i="1"/>
  <c r="BH326" i="1"/>
  <c r="BG326" i="1"/>
  <c r="BF326" i="1"/>
  <c r="BE326" i="1"/>
  <c r="BD326" i="1"/>
  <c r="BC326" i="1"/>
  <c r="BB326" i="1"/>
  <c r="BA326" i="1"/>
  <c r="AZ326" i="1"/>
  <c r="AY326" i="1"/>
  <c r="AX326" i="1"/>
  <c r="AW326" i="1"/>
  <c r="AV326" i="1"/>
  <c r="AU326" i="1"/>
  <c r="AT326" i="1"/>
  <c r="AS326" i="1"/>
  <c r="AR326" i="1"/>
  <c r="AQ326" i="1"/>
  <c r="AP326" i="1"/>
  <c r="AO326" i="1"/>
  <c r="AN326" i="1"/>
  <c r="AM326" i="1"/>
  <c r="AL326" i="1"/>
  <c r="AK326" i="1"/>
  <c r="AJ326" i="1"/>
  <c r="AI326" i="1"/>
  <c r="AH326" i="1"/>
  <c r="AG326" i="1"/>
  <c r="AF326" i="1"/>
  <c r="AE326" i="1"/>
  <c r="AD326" i="1"/>
  <c r="AC326" i="1"/>
  <c r="AB326" i="1"/>
  <c r="AA326" i="1"/>
  <c r="Z326" i="1"/>
  <c r="Y326" i="1"/>
  <c r="X326" i="1"/>
  <c r="W326" i="1"/>
  <c r="V326" i="1"/>
  <c r="U326" i="1"/>
  <c r="T326" i="1"/>
  <c r="S326" i="1"/>
  <c r="R326" i="1"/>
  <c r="Q326" i="1"/>
  <c r="P326" i="1"/>
  <c r="O326" i="1"/>
  <c r="N326" i="1"/>
  <c r="CP325" i="1"/>
  <c r="CO325" i="1"/>
  <c r="CN325" i="1"/>
  <c r="CM325" i="1"/>
  <c r="CL325" i="1"/>
  <c r="CK325" i="1"/>
  <c r="CJ325" i="1"/>
  <c r="CI325" i="1"/>
  <c r="CH325" i="1"/>
  <c r="CG325" i="1"/>
  <c r="CF325" i="1"/>
  <c r="CE325" i="1"/>
  <c r="CD325" i="1"/>
  <c r="CC325" i="1"/>
  <c r="CB325" i="1"/>
  <c r="CA325" i="1"/>
  <c r="BZ325" i="1"/>
  <c r="BY325" i="1"/>
  <c r="BX325" i="1"/>
  <c r="BW325" i="1"/>
  <c r="BV325" i="1"/>
  <c r="BU325" i="1"/>
  <c r="BT325" i="1"/>
  <c r="BS325" i="1"/>
  <c r="BR325" i="1"/>
  <c r="BQ325" i="1"/>
  <c r="BP325" i="1"/>
  <c r="BO325" i="1"/>
  <c r="BN325" i="1"/>
  <c r="BM325" i="1"/>
  <c r="BL325" i="1"/>
  <c r="BK325" i="1"/>
  <c r="BJ325" i="1"/>
  <c r="BI325" i="1"/>
  <c r="BH325" i="1"/>
  <c r="BG325" i="1"/>
  <c r="BF325" i="1"/>
  <c r="BE325" i="1"/>
  <c r="BD325" i="1"/>
  <c r="BC325" i="1"/>
  <c r="BB325" i="1"/>
  <c r="BA325" i="1"/>
  <c r="AZ325" i="1"/>
  <c r="AY325" i="1"/>
  <c r="AX325" i="1"/>
  <c r="AW325" i="1"/>
  <c r="AV325" i="1"/>
  <c r="AU325" i="1"/>
  <c r="AT325" i="1"/>
  <c r="AS325" i="1"/>
  <c r="AR325" i="1"/>
  <c r="AQ325" i="1"/>
  <c r="AP325"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CP324" i="1"/>
  <c r="CO324" i="1"/>
  <c r="CN324" i="1"/>
  <c r="CM324" i="1"/>
  <c r="CL324" i="1"/>
  <c r="CK324" i="1"/>
  <c r="CJ324" i="1"/>
  <c r="CI324" i="1"/>
  <c r="CH324" i="1"/>
  <c r="CG324" i="1"/>
  <c r="CF324" i="1"/>
  <c r="CE324" i="1"/>
  <c r="CD324" i="1"/>
  <c r="CC324" i="1"/>
  <c r="CB324" i="1"/>
  <c r="CA324" i="1"/>
  <c r="BZ324" i="1"/>
  <c r="BY324" i="1"/>
  <c r="BX324" i="1"/>
  <c r="BW324" i="1"/>
  <c r="BV324" i="1"/>
  <c r="BU324" i="1"/>
  <c r="BT324" i="1"/>
  <c r="BS324" i="1"/>
  <c r="BR324" i="1"/>
  <c r="BQ324" i="1"/>
  <c r="BP324" i="1"/>
  <c r="BO324" i="1"/>
  <c r="BN324" i="1"/>
  <c r="BM324" i="1"/>
  <c r="BL324" i="1"/>
  <c r="BK324" i="1"/>
  <c r="BJ324" i="1"/>
  <c r="BI324" i="1"/>
  <c r="BH324" i="1"/>
  <c r="BG324" i="1"/>
  <c r="BF324" i="1"/>
  <c r="BE324" i="1"/>
  <c r="BD324" i="1"/>
  <c r="BC324" i="1"/>
  <c r="BB324" i="1"/>
  <c r="BA324" i="1"/>
  <c r="AZ324" i="1"/>
  <c r="AY324" i="1"/>
  <c r="AX324" i="1"/>
  <c r="AW324" i="1"/>
  <c r="AV324" i="1"/>
  <c r="AU324" i="1"/>
  <c r="AT324" i="1"/>
  <c r="AS324" i="1"/>
  <c r="AR324" i="1"/>
  <c r="AQ324" i="1"/>
  <c r="AP324" i="1"/>
  <c r="AO324" i="1"/>
  <c r="AN324" i="1"/>
  <c r="AM324" i="1"/>
  <c r="AL324" i="1"/>
  <c r="AK324" i="1"/>
  <c r="AJ324" i="1"/>
  <c r="AI324" i="1"/>
  <c r="AH324" i="1"/>
  <c r="AG324" i="1"/>
  <c r="AF324" i="1"/>
  <c r="AE324" i="1"/>
  <c r="AD324" i="1"/>
  <c r="AC324" i="1"/>
  <c r="AB324" i="1"/>
  <c r="AA324" i="1"/>
  <c r="Z324" i="1"/>
  <c r="Y324" i="1"/>
  <c r="X324" i="1"/>
  <c r="W324" i="1"/>
  <c r="V324" i="1"/>
  <c r="U324" i="1"/>
  <c r="T324" i="1"/>
  <c r="S324" i="1"/>
  <c r="R324" i="1"/>
  <c r="Q324" i="1"/>
  <c r="P324" i="1"/>
  <c r="O324" i="1"/>
  <c r="N324" i="1"/>
  <c r="CP323" i="1"/>
  <c r="CO323" i="1"/>
  <c r="CN323" i="1"/>
  <c r="CM323" i="1"/>
  <c r="CL323" i="1"/>
  <c r="CK323" i="1"/>
  <c r="CJ323" i="1"/>
  <c r="CI323" i="1"/>
  <c r="CH323" i="1"/>
  <c r="CG323" i="1"/>
  <c r="CF323" i="1"/>
  <c r="CE323" i="1"/>
  <c r="CD323" i="1"/>
  <c r="CC323" i="1"/>
  <c r="CB323" i="1"/>
  <c r="CA323" i="1"/>
  <c r="BZ323" i="1"/>
  <c r="BY323" i="1"/>
  <c r="BX323" i="1"/>
  <c r="BW323" i="1"/>
  <c r="BV323" i="1"/>
  <c r="BU323" i="1"/>
  <c r="BT323" i="1"/>
  <c r="BS323" i="1"/>
  <c r="BR323" i="1"/>
  <c r="BQ323" i="1"/>
  <c r="BP323" i="1"/>
  <c r="BO323" i="1"/>
  <c r="BN323" i="1"/>
  <c r="BM323" i="1"/>
  <c r="BL323" i="1"/>
  <c r="BK323" i="1"/>
  <c r="BJ323" i="1"/>
  <c r="BI323" i="1"/>
  <c r="BH323" i="1"/>
  <c r="BG323" i="1"/>
  <c r="BF323" i="1"/>
  <c r="BE323" i="1"/>
  <c r="BD323" i="1"/>
  <c r="BC323" i="1"/>
  <c r="BB323" i="1"/>
  <c r="BA323" i="1"/>
  <c r="AZ323" i="1"/>
  <c r="AY323" i="1"/>
  <c r="AX323" i="1"/>
  <c r="AW323" i="1"/>
  <c r="AV323" i="1"/>
  <c r="AU323" i="1"/>
  <c r="AT323" i="1"/>
  <c r="AS323" i="1"/>
  <c r="AR323" i="1"/>
  <c r="AQ323" i="1"/>
  <c r="AP323" i="1"/>
  <c r="AO323" i="1"/>
  <c r="AN323" i="1"/>
  <c r="AM323" i="1"/>
  <c r="AL323" i="1"/>
  <c r="AK323" i="1"/>
  <c r="AJ323" i="1"/>
  <c r="AI323" i="1"/>
  <c r="AH323" i="1"/>
  <c r="AG323" i="1"/>
  <c r="AF323" i="1"/>
  <c r="AE323" i="1"/>
  <c r="AD323" i="1"/>
  <c r="AC323" i="1"/>
  <c r="AB323" i="1"/>
  <c r="AA323" i="1"/>
  <c r="Z323" i="1"/>
  <c r="Y323" i="1"/>
  <c r="X323" i="1"/>
  <c r="W323" i="1"/>
  <c r="V323" i="1"/>
  <c r="U323" i="1"/>
  <c r="T323" i="1"/>
  <c r="S323" i="1"/>
  <c r="R323" i="1"/>
  <c r="Q323" i="1"/>
  <c r="P323" i="1"/>
  <c r="O323" i="1"/>
  <c r="N323" i="1"/>
  <c r="CP322" i="1"/>
  <c r="CO322" i="1"/>
  <c r="CN322" i="1"/>
  <c r="CM322" i="1"/>
  <c r="CL322" i="1"/>
  <c r="CK322" i="1"/>
  <c r="CJ322" i="1"/>
  <c r="CI322" i="1"/>
  <c r="CH322" i="1"/>
  <c r="CG322" i="1"/>
  <c r="CF322" i="1"/>
  <c r="CE322" i="1"/>
  <c r="CD322" i="1"/>
  <c r="CC322" i="1"/>
  <c r="CB322" i="1"/>
  <c r="CA322" i="1"/>
  <c r="BZ322" i="1"/>
  <c r="BY322" i="1"/>
  <c r="BX322" i="1"/>
  <c r="BW322" i="1"/>
  <c r="BV322" i="1"/>
  <c r="BU322" i="1"/>
  <c r="BT322" i="1"/>
  <c r="BS322" i="1"/>
  <c r="BR322" i="1"/>
  <c r="BQ322" i="1"/>
  <c r="BP322" i="1"/>
  <c r="BO322" i="1"/>
  <c r="BN322" i="1"/>
  <c r="BM322" i="1"/>
  <c r="BL322" i="1"/>
  <c r="BK322" i="1"/>
  <c r="BJ322" i="1"/>
  <c r="BI322" i="1"/>
  <c r="BH322" i="1"/>
  <c r="BG322" i="1"/>
  <c r="BF322" i="1"/>
  <c r="BE322" i="1"/>
  <c r="BD322" i="1"/>
  <c r="BC322" i="1"/>
  <c r="BB322" i="1"/>
  <c r="BA322" i="1"/>
  <c r="AZ322" i="1"/>
  <c r="AY322" i="1"/>
  <c r="AX322" i="1"/>
  <c r="AW322" i="1"/>
  <c r="AV322" i="1"/>
  <c r="AU322" i="1"/>
  <c r="AT322" i="1"/>
  <c r="AS322" i="1"/>
  <c r="AR322" i="1"/>
  <c r="AQ322" i="1"/>
  <c r="AP322" i="1"/>
  <c r="AO322" i="1"/>
  <c r="AN322" i="1"/>
  <c r="AM322" i="1"/>
  <c r="AL322" i="1"/>
  <c r="AK322" i="1"/>
  <c r="AJ322" i="1"/>
  <c r="AI322" i="1"/>
  <c r="AH322" i="1"/>
  <c r="AG322" i="1"/>
  <c r="AF322" i="1"/>
  <c r="AE322" i="1"/>
  <c r="AD322" i="1"/>
  <c r="AC322" i="1"/>
  <c r="AB322" i="1"/>
  <c r="AA322" i="1"/>
  <c r="Z322" i="1"/>
  <c r="Y322" i="1"/>
  <c r="X322" i="1"/>
  <c r="W322" i="1"/>
  <c r="V322" i="1"/>
  <c r="U322" i="1"/>
  <c r="T322" i="1"/>
  <c r="S322" i="1"/>
  <c r="R322" i="1"/>
  <c r="Q322" i="1"/>
  <c r="P322" i="1"/>
  <c r="O322" i="1"/>
  <c r="N322" i="1"/>
  <c r="CP321" i="1"/>
  <c r="CO321" i="1"/>
  <c r="CN321" i="1"/>
  <c r="CM321" i="1"/>
  <c r="CL321" i="1"/>
  <c r="CK321" i="1"/>
  <c r="CJ321" i="1"/>
  <c r="CI321" i="1"/>
  <c r="CH321" i="1"/>
  <c r="CG321" i="1"/>
  <c r="CF321" i="1"/>
  <c r="CE321" i="1"/>
  <c r="CD321" i="1"/>
  <c r="CC321" i="1"/>
  <c r="CB321" i="1"/>
  <c r="CA321" i="1"/>
  <c r="BZ321" i="1"/>
  <c r="BY321" i="1"/>
  <c r="BX321" i="1"/>
  <c r="BW321" i="1"/>
  <c r="BV321" i="1"/>
  <c r="BU321" i="1"/>
  <c r="BT321" i="1"/>
  <c r="BS321" i="1"/>
  <c r="BR321" i="1"/>
  <c r="BQ321" i="1"/>
  <c r="BP321" i="1"/>
  <c r="BO321" i="1"/>
  <c r="BN321" i="1"/>
  <c r="BM321" i="1"/>
  <c r="BL321" i="1"/>
  <c r="BK321" i="1"/>
  <c r="BJ321" i="1"/>
  <c r="BI321" i="1"/>
  <c r="BH321" i="1"/>
  <c r="BG321" i="1"/>
  <c r="BF321" i="1"/>
  <c r="BE321" i="1"/>
  <c r="BD321" i="1"/>
  <c r="BC321" i="1"/>
  <c r="BB321" i="1"/>
  <c r="BA321" i="1"/>
  <c r="AZ321" i="1"/>
  <c r="AY321" i="1"/>
  <c r="AX321" i="1"/>
  <c r="AW321" i="1"/>
  <c r="AV321" i="1"/>
  <c r="AU321" i="1"/>
  <c r="AT321" i="1"/>
  <c r="AS321" i="1"/>
  <c r="AR321" i="1"/>
  <c r="AQ321" i="1"/>
  <c r="AP321" i="1"/>
  <c r="AO321" i="1"/>
  <c r="AN321" i="1"/>
  <c r="AM321" i="1"/>
  <c r="AL321" i="1"/>
  <c r="AK321" i="1"/>
  <c r="AJ321" i="1"/>
  <c r="AI321" i="1"/>
  <c r="AH321" i="1"/>
  <c r="AG321" i="1"/>
  <c r="AF321" i="1"/>
  <c r="AE321" i="1"/>
  <c r="AD321" i="1"/>
  <c r="AC321" i="1"/>
  <c r="AB321" i="1"/>
  <c r="AA321" i="1"/>
  <c r="Z321" i="1"/>
  <c r="Y321" i="1"/>
  <c r="X321" i="1"/>
  <c r="W321" i="1"/>
  <c r="V321" i="1"/>
  <c r="U321" i="1"/>
  <c r="T321" i="1"/>
  <c r="S321" i="1"/>
  <c r="R321" i="1"/>
  <c r="Q321" i="1"/>
  <c r="P321" i="1"/>
  <c r="O321" i="1"/>
  <c r="N321" i="1"/>
  <c r="CP320" i="1"/>
  <c r="CO320" i="1"/>
  <c r="CN320" i="1"/>
  <c r="CM320" i="1"/>
  <c r="CL320" i="1"/>
  <c r="CK320" i="1"/>
  <c r="CJ320" i="1"/>
  <c r="CI320" i="1"/>
  <c r="CH320" i="1"/>
  <c r="CG320" i="1"/>
  <c r="CF320" i="1"/>
  <c r="CE320" i="1"/>
  <c r="CD320" i="1"/>
  <c r="CC320" i="1"/>
  <c r="CB320" i="1"/>
  <c r="CA320" i="1"/>
  <c r="BZ320" i="1"/>
  <c r="BY320" i="1"/>
  <c r="BX320" i="1"/>
  <c r="BW320" i="1"/>
  <c r="BV320" i="1"/>
  <c r="BU320" i="1"/>
  <c r="BT320" i="1"/>
  <c r="BS320" i="1"/>
  <c r="BR320" i="1"/>
  <c r="BQ320" i="1"/>
  <c r="BP320" i="1"/>
  <c r="BO320" i="1"/>
  <c r="BN320" i="1"/>
  <c r="BM320" i="1"/>
  <c r="BL320" i="1"/>
  <c r="BK320" i="1"/>
  <c r="BJ320" i="1"/>
  <c r="BI320" i="1"/>
  <c r="BH320" i="1"/>
  <c r="BG320" i="1"/>
  <c r="BF320" i="1"/>
  <c r="BE320" i="1"/>
  <c r="BD320" i="1"/>
  <c r="BC320" i="1"/>
  <c r="BB320" i="1"/>
  <c r="BA320" i="1"/>
  <c r="AZ320" i="1"/>
  <c r="AY320" i="1"/>
  <c r="AX320" i="1"/>
  <c r="AW320" i="1"/>
  <c r="AV320" i="1"/>
  <c r="AU320" i="1"/>
  <c r="AT320" i="1"/>
  <c r="AS320" i="1"/>
  <c r="AR320" i="1"/>
  <c r="AQ320" i="1"/>
  <c r="AP320" i="1"/>
  <c r="AO320" i="1"/>
  <c r="AN320" i="1"/>
  <c r="AM320" i="1"/>
  <c r="AL320" i="1"/>
  <c r="AK320" i="1"/>
  <c r="AJ320" i="1"/>
  <c r="AI320" i="1"/>
  <c r="AH320" i="1"/>
  <c r="AG320" i="1"/>
  <c r="AF320" i="1"/>
  <c r="AE320" i="1"/>
  <c r="AD320" i="1"/>
  <c r="AC320" i="1"/>
  <c r="AB320" i="1"/>
  <c r="AA320" i="1"/>
  <c r="Z320" i="1"/>
  <c r="Y320" i="1"/>
  <c r="X320" i="1"/>
  <c r="W320" i="1"/>
  <c r="V320" i="1"/>
  <c r="U320" i="1"/>
  <c r="T320" i="1"/>
  <c r="S320" i="1"/>
  <c r="R320" i="1"/>
  <c r="Q320" i="1"/>
  <c r="P320" i="1"/>
  <c r="O320" i="1"/>
  <c r="N320" i="1"/>
  <c r="CP319" i="1"/>
  <c r="CO319" i="1"/>
  <c r="CN319" i="1"/>
  <c r="CM319" i="1"/>
  <c r="CL319" i="1"/>
  <c r="CK319" i="1"/>
  <c r="CJ319" i="1"/>
  <c r="CI319" i="1"/>
  <c r="CH319" i="1"/>
  <c r="CG319" i="1"/>
  <c r="CF319" i="1"/>
  <c r="CE319" i="1"/>
  <c r="CD319" i="1"/>
  <c r="CC319" i="1"/>
  <c r="CB319" i="1"/>
  <c r="CA319" i="1"/>
  <c r="BZ319" i="1"/>
  <c r="BY319" i="1"/>
  <c r="BX319" i="1"/>
  <c r="BW319" i="1"/>
  <c r="BV319" i="1"/>
  <c r="BU319" i="1"/>
  <c r="BT319" i="1"/>
  <c r="BS319" i="1"/>
  <c r="BR319" i="1"/>
  <c r="BQ319" i="1"/>
  <c r="BP319" i="1"/>
  <c r="BO319" i="1"/>
  <c r="BN319" i="1"/>
  <c r="BM319" i="1"/>
  <c r="BL319" i="1"/>
  <c r="BK319" i="1"/>
  <c r="BJ319" i="1"/>
  <c r="BI319" i="1"/>
  <c r="BH319" i="1"/>
  <c r="BG319" i="1"/>
  <c r="BF319" i="1"/>
  <c r="BE319" i="1"/>
  <c r="BD319" i="1"/>
  <c r="BC319" i="1"/>
  <c r="BB319" i="1"/>
  <c r="BA319" i="1"/>
  <c r="AZ319" i="1"/>
  <c r="AY319" i="1"/>
  <c r="AX319" i="1"/>
  <c r="AW319" i="1"/>
  <c r="AV319" i="1"/>
  <c r="AU319" i="1"/>
  <c r="AT319" i="1"/>
  <c r="AS319" i="1"/>
  <c r="AR319" i="1"/>
  <c r="AQ319" i="1"/>
  <c r="AP319" i="1"/>
  <c r="AO319" i="1"/>
  <c r="AN319" i="1"/>
  <c r="AM319" i="1"/>
  <c r="AL319" i="1"/>
  <c r="AK319" i="1"/>
  <c r="AJ319" i="1"/>
  <c r="AI319" i="1"/>
  <c r="AH319" i="1"/>
  <c r="AG319" i="1"/>
  <c r="AF319" i="1"/>
  <c r="AE319" i="1"/>
  <c r="AD319" i="1"/>
  <c r="AC319" i="1"/>
  <c r="AB319" i="1"/>
  <c r="AA319" i="1"/>
  <c r="Z319" i="1"/>
  <c r="Y319" i="1"/>
  <c r="X319" i="1"/>
  <c r="W319" i="1"/>
  <c r="V319" i="1"/>
  <c r="U319" i="1"/>
  <c r="T319" i="1"/>
  <c r="S319" i="1"/>
  <c r="R319" i="1"/>
  <c r="Q319" i="1"/>
  <c r="P319" i="1"/>
  <c r="O319" i="1"/>
  <c r="N319" i="1"/>
  <c r="CP318" i="1"/>
  <c r="CO318" i="1"/>
  <c r="CN318" i="1"/>
  <c r="CM318" i="1"/>
  <c r="CL318" i="1"/>
  <c r="CK318" i="1"/>
  <c r="CJ318" i="1"/>
  <c r="CI318" i="1"/>
  <c r="CH318" i="1"/>
  <c r="CG318" i="1"/>
  <c r="CF318" i="1"/>
  <c r="CE318" i="1"/>
  <c r="CD318" i="1"/>
  <c r="CC318" i="1"/>
  <c r="CB318" i="1"/>
  <c r="CA318" i="1"/>
  <c r="BZ318" i="1"/>
  <c r="BY318" i="1"/>
  <c r="BX318" i="1"/>
  <c r="BW318" i="1"/>
  <c r="BV318" i="1"/>
  <c r="BU318" i="1"/>
  <c r="BT318" i="1"/>
  <c r="BS318" i="1"/>
  <c r="BR318" i="1"/>
  <c r="BQ318" i="1"/>
  <c r="BP318" i="1"/>
  <c r="BO318" i="1"/>
  <c r="BN318" i="1"/>
  <c r="BM318" i="1"/>
  <c r="BL318" i="1"/>
  <c r="BK318" i="1"/>
  <c r="BJ318" i="1"/>
  <c r="BI318" i="1"/>
  <c r="BH318" i="1"/>
  <c r="BG318" i="1"/>
  <c r="BF318" i="1"/>
  <c r="BE318" i="1"/>
  <c r="BD318" i="1"/>
  <c r="BC318" i="1"/>
  <c r="BB318" i="1"/>
  <c r="BA318" i="1"/>
  <c r="AZ318" i="1"/>
  <c r="AY318" i="1"/>
  <c r="AX318" i="1"/>
  <c r="AW318" i="1"/>
  <c r="AV318" i="1"/>
  <c r="AU318" i="1"/>
  <c r="AT318" i="1"/>
  <c r="AS318" i="1"/>
  <c r="AR318" i="1"/>
  <c r="AQ318" i="1"/>
  <c r="AP318" i="1"/>
  <c r="AO318" i="1"/>
  <c r="AN318" i="1"/>
  <c r="AM318" i="1"/>
  <c r="AL318" i="1"/>
  <c r="AK318" i="1"/>
  <c r="AJ318" i="1"/>
  <c r="AI318" i="1"/>
  <c r="AH318" i="1"/>
  <c r="AG318" i="1"/>
  <c r="AF318" i="1"/>
  <c r="AE318" i="1"/>
  <c r="AD318" i="1"/>
  <c r="AC318" i="1"/>
  <c r="AB318" i="1"/>
  <c r="AA318" i="1"/>
  <c r="Z318" i="1"/>
  <c r="Y318" i="1"/>
  <c r="X318" i="1"/>
  <c r="W318" i="1"/>
  <c r="V318" i="1"/>
  <c r="U318" i="1"/>
  <c r="T318" i="1"/>
  <c r="S318" i="1"/>
  <c r="R318" i="1"/>
  <c r="Q318" i="1"/>
  <c r="P318" i="1"/>
  <c r="O318" i="1"/>
  <c r="N318" i="1"/>
  <c r="CP317" i="1"/>
  <c r="CO317" i="1"/>
  <c r="CN317" i="1"/>
  <c r="CM317" i="1"/>
  <c r="CL317" i="1"/>
  <c r="CK317" i="1"/>
  <c r="CJ317" i="1"/>
  <c r="CI317" i="1"/>
  <c r="CH317" i="1"/>
  <c r="CG317" i="1"/>
  <c r="CF317" i="1"/>
  <c r="CE317" i="1"/>
  <c r="CD317" i="1"/>
  <c r="CC317" i="1"/>
  <c r="CB317" i="1"/>
  <c r="CA317" i="1"/>
  <c r="BZ317" i="1"/>
  <c r="BY317" i="1"/>
  <c r="BX317" i="1"/>
  <c r="BW317" i="1"/>
  <c r="BV317" i="1"/>
  <c r="BU317" i="1"/>
  <c r="BT317" i="1"/>
  <c r="BS317" i="1"/>
  <c r="BR317" i="1"/>
  <c r="BQ317" i="1"/>
  <c r="BP317" i="1"/>
  <c r="BO317" i="1"/>
  <c r="BN317" i="1"/>
  <c r="BM317" i="1"/>
  <c r="BL317" i="1"/>
  <c r="BK317" i="1"/>
  <c r="BJ317" i="1"/>
  <c r="BI317" i="1"/>
  <c r="BH317" i="1"/>
  <c r="BG317" i="1"/>
  <c r="BF317" i="1"/>
  <c r="BE317" i="1"/>
  <c r="BD317" i="1"/>
  <c r="BC317" i="1"/>
  <c r="BB317" i="1"/>
  <c r="BA317" i="1"/>
  <c r="AZ317" i="1"/>
  <c r="AY317" i="1"/>
  <c r="AX317" i="1"/>
  <c r="AW317" i="1"/>
  <c r="AV317" i="1"/>
  <c r="AU317" i="1"/>
  <c r="AT317" i="1"/>
  <c r="AS317" i="1"/>
  <c r="AR317" i="1"/>
  <c r="AQ317" i="1"/>
  <c r="AP317" i="1"/>
  <c r="AO317" i="1"/>
  <c r="AN317" i="1"/>
  <c r="AM317" i="1"/>
  <c r="AL317" i="1"/>
  <c r="AK317" i="1"/>
  <c r="AJ317" i="1"/>
  <c r="AI317" i="1"/>
  <c r="AH317" i="1"/>
  <c r="AG317" i="1"/>
  <c r="AF317" i="1"/>
  <c r="AE317" i="1"/>
  <c r="AD317" i="1"/>
  <c r="AC317" i="1"/>
  <c r="AB317" i="1"/>
  <c r="AA317" i="1"/>
  <c r="Z317" i="1"/>
  <c r="Y317" i="1"/>
  <c r="X317" i="1"/>
  <c r="W317" i="1"/>
  <c r="V317" i="1"/>
  <c r="U317" i="1"/>
  <c r="T317" i="1"/>
  <c r="S317" i="1"/>
  <c r="R317" i="1"/>
  <c r="Q317" i="1"/>
  <c r="P317" i="1"/>
  <c r="O317" i="1"/>
  <c r="N317" i="1"/>
  <c r="BR207" i="1"/>
  <c r="BU207" i="1"/>
  <c r="BX207" i="1"/>
  <c r="CA207" i="1"/>
  <c r="CD207" i="1"/>
  <c r="CG207" i="1"/>
  <c r="CJ207" i="1"/>
  <c r="CM207" i="1"/>
  <c r="CP207" i="1"/>
  <c r="CP210" i="1"/>
  <c r="CP213" i="1"/>
  <c r="CP216" i="1"/>
  <c r="CP219" i="1"/>
  <c r="CP222" i="1"/>
  <c r="CP225" i="1"/>
  <c r="CP228" i="1"/>
  <c r="CP231" i="1"/>
  <c r="CP316" i="1"/>
  <c r="BQ207" i="1"/>
  <c r="BT207" i="1"/>
  <c r="BW207" i="1"/>
  <c r="BZ207" i="1"/>
  <c r="CC207" i="1"/>
  <c r="CF207" i="1"/>
  <c r="CI207" i="1"/>
  <c r="CL207" i="1"/>
  <c r="CO207" i="1"/>
  <c r="CO210" i="1"/>
  <c r="CO213" i="1"/>
  <c r="CO216" i="1"/>
  <c r="CO219" i="1"/>
  <c r="CO222" i="1"/>
  <c r="CO225" i="1"/>
  <c r="CO228" i="1"/>
  <c r="CO231" i="1"/>
  <c r="CO316" i="1"/>
  <c r="BP207" i="1"/>
  <c r="BS207" i="1"/>
  <c r="BV207" i="1"/>
  <c r="BY207" i="1"/>
  <c r="CB207" i="1"/>
  <c r="CE207" i="1"/>
  <c r="CH207" i="1"/>
  <c r="CK207" i="1"/>
  <c r="CN207" i="1"/>
  <c r="CN210" i="1"/>
  <c r="CN213" i="1"/>
  <c r="CN216" i="1"/>
  <c r="CN219" i="1"/>
  <c r="CN222" i="1"/>
  <c r="CN225" i="1"/>
  <c r="CN228" i="1"/>
  <c r="CN231" i="1"/>
  <c r="CN316" i="1"/>
  <c r="CM316" i="1"/>
  <c r="CL316" i="1"/>
  <c r="CK316" i="1"/>
  <c r="CJ316" i="1"/>
  <c r="CI316" i="1"/>
  <c r="CH316" i="1"/>
  <c r="CG316" i="1"/>
  <c r="CF316" i="1"/>
  <c r="CE316" i="1"/>
  <c r="CD316" i="1"/>
  <c r="CC316" i="1"/>
  <c r="CB316" i="1"/>
  <c r="CA316" i="1"/>
  <c r="BZ316" i="1"/>
  <c r="BY316" i="1"/>
  <c r="BX316" i="1"/>
  <c r="BW316" i="1"/>
  <c r="BV316" i="1"/>
  <c r="BU316" i="1"/>
  <c r="BT316" i="1"/>
  <c r="BS316" i="1"/>
  <c r="BR316" i="1"/>
  <c r="BQ316" i="1"/>
  <c r="BP316" i="1"/>
  <c r="BO316" i="1"/>
  <c r="BN316" i="1"/>
  <c r="BM316" i="1"/>
  <c r="BL316" i="1"/>
  <c r="BK316" i="1"/>
  <c r="BJ316" i="1"/>
  <c r="BI316" i="1"/>
  <c r="BH316" i="1"/>
  <c r="BG316" i="1"/>
  <c r="BF316" i="1"/>
  <c r="BE316" i="1"/>
  <c r="BD316" i="1"/>
  <c r="BC316" i="1"/>
  <c r="BB316" i="1"/>
  <c r="BA316" i="1"/>
  <c r="AZ316" i="1"/>
  <c r="AY316" i="1"/>
  <c r="AX316" i="1"/>
  <c r="AW316" i="1"/>
  <c r="AV316" i="1"/>
  <c r="AU316" i="1"/>
  <c r="AT316" i="1"/>
  <c r="AS316" i="1"/>
  <c r="AR316" i="1"/>
  <c r="AQ316" i="1"/>
  <c r="AP316" i="1"/>
  <c r="AO316" i="1"/>
  <c r="AN316" i="1"/>
  <c r="AM316" i="1"/>
  <c r="AL316" i="1"/>
  <c r="AK316" i="1"/>
  <c r="AJ316" i="1"/>
  <c r="AI316" i="1"/>
  <c r="AH316" i="1"/>
  <c r="AG316" i="1"/>
  <c r="AF316" i="1"/>
  <c r="AE316" i="1"/>
  <c r="AD316" i="1"/>
  <c r="AC316" i="1"/>
  <c r="AB316" i="1"/>
  <c r="AA316" i="1"/>
  <c r="Z316" i="1"/>
  <c r="Y316" i="1"/>
  <c r="X316" i="1"/>
  <c r="W316" i="1"/>
  <c r="V316" i="1"/>
  <c r="U316" i="1"/>
  <c r="T316" i="1"/>
  <c r="S316" i="1"/>
  <c r="R316" i="1"/>
  <c r="Q316" i="1"/>
  <c r="P316" i="1"/>
  <c r="O316" i="1"/>
  <c r="N316" i="1"/>
  <c r="BR206" i="1"/>
  <c r="BU206" i="1"/>
  <c r="BX206" i="1"/>
  <c r="CA206" i="1"/>
  <c r="CD206" i="1"/>
  <c r="CG206" i="1"/>
  <c r="CJ206" i="1"/>
  <c r="CM206" i="1"/>
  <c r="CP206" i="1"/>
  <c r="CP209" i="1"/>
  <c r="CP212" i="1"/>
  <c r="CP215" i="1"/>
  <c r="CP218" i="1"/>
  <c r="CP221" i="1"/>
  <c r="CP224" i="1"/>
  <c r="CP227" i="1"/>
  <c r="CP230" i="1"/>
  <c r="CP315" i="1"/>
  <c r="BQ206" i="1"/>
  <c r="BT206" i="1"/>
  <c r="BW206" i="1"/>
  <c r="BZ206" i="1"/>
  <c r="CC206" i="1"/>
  <c r="CF206" i="1"/>
  <c r="CI206" i="1"/>
  <c r="CL206" i="1"/>
  <c r="CO206" i="1"/>
  <c r="CO209" i="1"/>
  <c r="CO212" i="1"/>
  <c r="CO215" i="1"/>
  <c r="CO218" i="1"/>
  <c r="CO221" i="1"/>
  <c r="CO224" i="1"/>
  <c r="CO227" i="1"/>
  <c r="CO230" i="1"/>
  <c r="CO315" i="1"/>
  <c r="BP206" i="1"/>
  <c r="BS206" i="1"/>
  <c r="BV206" i="1"/>
  <c r="BY206" i="1"/>
  <c r="CB206" i="1"/>
  <c r="CE206" i="1"/>
  <c r="CH206" i="1"/>
  <c r="CK206" i="1"/>
  <c r="CN206" i="1"/>
  <c r="CN209" i="1"/>
  <c r="CN212" i="1"/>
  <c r="CN215" i="1"/>
  <c r="CN218" i="1"/>
  <c r="CN221" i="1"/>
  <c r="CN224" i="1"/>
  <c r="CN227" i="1"/>
  <c r="CN230" i="1"/>
  <c r="CN315" i="1"/>
  <c r="CM315" i="1"/>
  <c r="CL315" i="1"/>
  <c r="CK315" i="1"/>
  <c r="CJ315" i="1"/>
  <c r="CI315" i="1"/>
  <c r="CH315" i="1"/>
  <c r="CG315" i="1"/>
  <c r="CF315" i="1"/>
  <c r="CE315" i="1"/>
  <c r="CD315" i="1"/>
  <c r="CC315" i="1"/>
  <c r="CB315" i="1"/>
  <c r="CA315" i="1"/>
  <c r="BZ315" i="1"/>
  <c r="BY315" i="1"/>
  <c r="BX315" i="1"/>
  <c r="BW315" i="1"/>
  <c r="BV315" i="1"/>
  <c r="BU315" i="1"/>
  <c r="BT315" i="1"/>
  <c r="BS315" i="1"/>
  <c r="BR315" i="1"/>
  <c r="BQ315" i="1"/>
  <c r="BP315" i="1"/>
  <c r="BO315" i="1"/>
  <c r="BN315" i="1"/>
  <c r="BM315" i="1"/>
  <c r="BL315" i="1"/>
  <c r="BK315" i="1"/>
  <c r="BJ315" i="1"/>
  <c r="BI315" i="1"/>
  <c r="BH315" i="1"/>
  <c r="BG315" i="1"/>
  <c r="BF315" i="1"/>
  <c r="BE315" i="1"/>
  <c r="BD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BR205" i="1"/>
  <c r="BU205" i="1"/>
  <c r="BX205" i="1"/>
  <c r="CA205" i="1"/>
  <c r="CD205" i="1"/>
  <c r="CG205" i="1"/>
  <c r="CJ205" i="1"/>
  <c r="CM205" i="1"/>
  <c r="CP205" i="1"/>
  <c r="CP208" i="1"/>
  <c r="CP211" i="1"/>
  <c r="CP214" i="1"/>
  <c r="CP217" i="1"/>
  <c r="CP220" i="1"/>
  <c r="CP223" i="1"/>
  <c r="CP226" i="1"/>
  <c r="CP229" i="1"/>
  <c r="CP314" i="1"/>
  <c r="BQ205" i="1"/>
  <c r="BT205" i="1"/>
  <c r="BW205" i="1"/>
  <c r="BZ205" i="1"/>
  <c r="CC205" i="1"/>
  <c r="CF205" i="1"/>
  <c r="CI205" i="1"/>
  <c r="CL205" i="1"/>
  <c r="CO205" i="1"/>
  <c r="CO208" i="1"/>
  <c r="CO211" i="1"/>
  <c r="CO214" i="1"/>
  <c r="CO217" i="1"/>
  <c r="CO220" i="1"/>
  <c r="CO223" i="1"/>
  <c r="CO226" i="1"/>
  <c r="CO229" i="1"/>
  <c r="CO314" i="1"/>
  <c r="BP205" i="1"/>
  <c r="BS205" i="1"/>
  <c r="BV205" i="1"/>
  <c r="BY205" i="1"/>
  <c r="CB205" i="1"/>
  <c r="CE205" i="1"/>
  <c r="CH205" i="1"/>
  <c r="CK205" i="1"/>
  <c r="CN205" i="1"/>
  <c r="CN208" i="1"/>
  <c r="CN211" i="1"/>
  <c r="CN214" i="1"/>
  <c r="CN217" i="1"/>
  <c r="CN220" i="1"/>
  <c r="CN223" i="1"/>
  <c r="CN226" i="1"/>
  <c r="CN229" i="1"/>
  <c r="CN314" i="1"/>
  <c r="CM314" i="1"/>
  <c r="CL314" i="1"/>
  <c r="CK314" i="1"/>
  <c r="CJ314" i="1"/>
  <c r="CI314" i="1"/>
  <c r="CH314" i="1"/>
  <c r="CG314" i="1"/>
  <c r="CF314" i="1"/>
  <c r="CE314" i="1"/>
  <c r="CD314" i="1"/>
  <c r="CC314" i="1"/>
  <c r="CB314" i="1"/>
  <c r="CA314" i="1"/>
  <c r="BZ314" i="1"/>
  <c r="BY314" i="1"/>
  <c r="BX314" i="1"/>
  <c r="BW314" i="1"/>
  <c r="BV314" i="1"/>
  <c r="BU314" i="1"/>
  <c r="BT314" i="1"/>
  <c r="BS314" i="1"/>
  <c r="BR314" i="1"/>
  <c r="BQ314" i="1"/>
  <c r="BP314" i="1"/>
  <c r="BO314" i="1"/>
  <c r="BN314" i="1"/>
  <c r="BM314" i="1"/>
  <c r="BL314" i="1"/>
  <c r="BK314" i="1"/>
  <c r="BJ314" i="1"/>
  <c r="BI314" i="1"/>
  <c r="BH314" i="1"/>
  <c r="BG314" i="1"/>
  <c r="BF314" i="1"/>
  <c r="BE314" i="1"/>
  <c r="BD314" i="1"/>
  <c r="BC314" i="1"/>
  <c r="BB314" i="1"/>
  <c r="BA314" i="1"/>
  <c r="AZ314" i="1"/>
  <c r="AY314" i="1"/>
  <c r="AX314" i="1"/>
  <c r="AW314" i="1"/>
  <c r="AV314" i="1"/>
  <c r="AU314" i="1"/>
  <c r="AT314" i="1"/>
  <c r="AS314" i="1"/>
  <c r="AR314" i="1"/>
  <c r="AQ314" i="1"/>
  <c r="AP314" i="1"/>
  <c r="AO314" i="1"/>
  <c r="AN314" i="1"/>
  <c r="AM314" i="1"/>
  <c r="AL314" i="1"/>
  <c r="AK314" i="1"/>
  <c r="AJ314" i="1"/>
  <c r="AI314" i="1"/>
  <c r="AH314" i="1"/>
  <c r="AG314" i="1"/>
  <c r="AF314" i="1"/>
  <c r="AE314" i="1"/>
  <c r="AD314" i="1"/>
  <c r="AC314" i="1"/>
  <c r="AB314" i="1"/>
  <c r="AA314" i="1"/>
  <c r="Z314" i="1"/>
  <c r="Y314" i="1"/>
  <c r="X314" i="1"/>
  <c r="W314" i="1"/>
  <c r="V314" i="1"/>
  <c r="U314" i="1"/>
  <c r="T314" i="1"/>
  <c r="S314" i="1"/>
  <c r="R314" i="1"/>
  <c r="Q314" i="1"/>
  <c r="P314" i="1"/>
  <c r="O314" i="1"/>
  <c r="N314" i="1"/>
  <c r="CP313" i="1"/>
  <c r="CO313" i="1"/>
  <c r="CN313" i="1"/>
  <c r="CM313" i="1"/>
  <c r="CL313" i="1"/>
  <c r="CK313" i="1"/>
  <c r="CJ313" i="1"/>
  <c r="CI313" i="1"/>
  <c r="CH313" i="1"/>
  <c r="CG313" i="1"/>
  <c r="CF313" i="1"/>
  <c r="CE313" i="1"/>
  <c r="CD313" i="1"/>
  <c r="CC313" i="1"/>
  <c r="CB313" i="1"/>
  <c r="CA313" i="1"/>
  <c r="BZ313" i="1"/>
  <c r="BY313" i="1"/>
  <c r="BX313" i="1"/>
  <c r="BW313" i="1"/>
  <c r="BV313" i="1"/>
  <c r="BU313" i="1"/>
  <c r="BT313" i="1"/>
  <c r="BS313" i="1"/>
  <c r="BR313" i="1"/>
  <c r="BQ313" i="1"/>
  <c r="BP313" i="1"/>
  <c r="BO313" i="1"/>
  <c r="BN313" i="1"/>
  <c r="BM313" i="1"/>
  <c r="BL313" i="1"/>
  <c r="BK313" i="1"/>
  <c r="BJ313" i="1"/>
  <c r="BI313" i="1"/>
  <c r="BH313" i="1"/>
  <c r="BG313" i="1"/>
  <c r="BF313" i="1"/>
  <c r="BE313" i="1"/>
  <c r="BD313" i="1"/>
  <c r="BC313" i="1"/>
  <c r="BB313" i="1"/>
  <c r="BA313" i="1"/>
  <c r="AZ313" i="1"/>
  <c r="AY313" i="1"/>
  <c r="AX313" i="1"/>
  <c r="AW313" i="1"/>
  <c r="AV313" i="1"/>
  <c r="AU313" i="1"/>
  <c r="AT313" i="1"/>
  <c r="AS313" i="1"/>
  <c r="AR313" i="1"/>
  <c r="AQ313" i="1"/>
  <c r="AP313" i="1"/>
  <c r="AO313" i="1"/>
  <c r="AN313" i="1"/>
  <c r="AM313" i="1"/>
  <c r="AL313" i="1"/>
  <c r="AK313" i="1"/>
  <c r="AJ313" i="1"/>
  <c r="AI313" i="1"/>
  <c r="AH313" i="1"/>
  <c r="AG313" i="1"/>
  <c r="AF313" i="1"/>
  <c r="AE313" i="1"/>
  <c r="AD313" i="1"/>
  <c r="AC313" i="1"/>
  <c r="AB313" i="1"/>
  <c r="AA313" i="1"/>
  <c r="Z313" i="1"/>
  <c r="Y313" i="1"/>
  <c r="X313" i="1"/>
  <c r="W313" i="1"/>
  <c r="V313" i="1"/>
  <c r="U313" i="1"/>
  <c r="T313" i="1"/>
  <c r="S313" i="1"/>
  <c r="R313" i="1"/>
  <c r="Q313" i="1"/>
  <c r="P313" i="1"/>
  <c r="O313" i="1"/>
  <c r="N313" i="1"/>
  <c r="CP312" i="1"/>
  <c r="CO312" i="1"/>
  <c r="CN312" i="1"/>
  <c r="CM312" i="1"/>
  <c r="CL312" i="1"/>
  <c r="CK312" i="1"/>
  <c r="CJ312" i="1"/>
  <c r="CI312" i="1"/>
  <c r="CH312" i="1"/>
  <c r="CG312" i="1"/>
  <c r="CF312" i="1"/>
  <c r="CE312" i="1"/>
  <c r="CD312" i="1"/>
  <c r="CC312" i="1"/>
  <c r="CB312" i="1"/>
  <c r="CA312" i="1"/>
  <c r="BZ312" i="1"/>
  <c r="BY312" i="1"/>
  <c r="BX312" i="1"/>
  <c r="BW312" i="1"/>
  <c r="BV312" i="1"/>
  <c r="BU312" i="1"/>
  <c r="BT312" i="1"/>
  <c r="BS312" i="1"/>
  <c r="BR312" i="1"/>
  <c r="BQ312" i="1"/>
  <c r="BP312" i="1"/>
  <c r="BO312" i="1"/>
  <c r="BN312" i="1"/>
  <c r="BM312" i="1"/>
  <c r="BL312" i="1"/>
  <c r="BK312" i="1"/>
  <c r="BJ312" i="1"/>
  <c r="BI312" i="1"/>
  <c r="BH312" i="1"/>
  <c r="BG312" i="1"/>
  <c r="BF312" i="1"/>
  <c r="BE312" i="1"/>
  <c r="BD312" i="1"/>
  <c r="BC312" i="1"/>
  <c r="BB312" i="1"/>
  <c r="BA312" i="1"/>
  <c r="AZ312" i="1"/>
  <c r="AY312" i="1"/>
  <c r="AX312" i="1"/>
  <c r="AW312" i="1"/>
  <c r="AV312" i="1"/>
  <c r="AU312" i="1"/>
  <c r="AT312" i="1"/>
  <c r="AS312" i="1"/>
  <c r="AR312" i="1"/>
  <c r="AQ312" i="1"/>
  <c r="AP312" i="1"/>
  <c r="AO312" i="1"/>
  <c r="AN312" i="1"/>
  <c r="AM312" i="1"/>
  <c r="AL312" i="1"/>
  <c r="AK312" i="1"/>
  <c r="AJ312" i="1"/>
  <c r="AI312" i="1"/>
  <c r="AH312" i="1"/>
  <c r="AG312" i="1"/>
  <c r="AF312" i="1"/>
  <c r="AE312" i="1"/>
  <c r="AD312" i="1"/>
  <c r="AC312" i="1"/>
  <c r="AB312" i="1"/>
  <c r="AA312" i="1"/>
  <c r="Z312" i="1"/>
  <c r="Y312" i="1"/>
  <c r="X312" i="1"/>
  <c r="W312" i="1"/>
  <c r="V312" i="1"/>
  <c r="U312" i="1"/>
  <c r="T312" i="1"/>
  <c r="S312" i="1"/>
  <c r="R312" i="1"/>
  <c r="Q312" i="1"/>
  <c r="P312" i="1"/>
  <c r="O312" i="1"/>
  <c r="N312" i="1"/>
  <c r="CP311" i="1"/>
  <c r="CO311" i="1"/>
  <c r="CN311" i="1"/>
  <c r="CM311" i="1"/>
  <c r="CL311" i="1"/>
  <c r="CK311" i="1"/>
  <c r="CJ311" i="1"/>
  <c r="CI311" i="1"/>
  <c r="CH311" i="1"/>
  <c r="CG311" i="1"/>
  <c r="CF311" i="1"/>
  <c r="CE311" i="1"/>
  <c r="CD311" i="1"/>
  <c r="CC311" i="1"/>
  <c r="CB311" i="1"/>
  <c r="CA311" i="1"/>
  <c r="BZ311" i="1"/>
  <c r="BY311" i="1"/>
  <c r="BX311" i="1"/>
  <c r="BW311" i="1"/>
  <c r="BV311" i="1"/>
  <c r="BU311" i="1"/>
  <c r="BT311" i="1"/>
  <c r="BS311" i="1"/>
  <c r="BR311" i="1"/>
  <c r="BQ311" i="1"/>
  <c r="BP311" i="1"/>
  <c r="BO311" i="1"/>
  <c r="BN311" i="1"/>
  <c r="BM311" i="1"/>
  <c r="BL311" i="1"/>
  <c r="BK311" i="1"/>
  <c r="BJ311" i="1"/>
  <c r="BI311" i="1"/>
  <c r="BH311" i="1"/>
  <c r="BG311" i="1"/>
  <c r="BF311" i="1"/>
  <c r="BE311" i="1"/>
  <c r="BD311" i="1"/>
  <c r="BC311" i="1"/>
  <c r="BB311" i="1"/>
  <c r="BA311" i="1"/>
  <c r="AZ311" i="1"/>
  <c r="AY311" i="1"/>
  <c r="AX311" i="1"/>
  <c r="AW311" i="1"/>
  <c r="AV311" i="1"/>
  <c r="AU311" i="1"/>
  <c r="AT311" i="1"/>
  <c r="AS311" i="1"/>
  <c r="AR311" i="1"/>
  <c r="AQ311" i="1"/>
  <c r="AP311" i="1"/>
  <c r="AO311" i="1"/>
  <c r="AN311" i="1"/>
  <c r="AM311" i="1"/>
  <c r="AL311" i="1"/>
  <c r="AK311" i="1"/>
  <c r="AJ311" i="1"/>
  <c r="AI311" i="1"/>
  <c r="AH311" i="1"/>
  <c r="AG311" i="1"/>
  <c r="AF311" i="1"/>
  <c r="AE311" i="1"/>
  <c r="AD311" i="1"/>
  <c r="AC311" i="1"/>
  <c r="AB311" i="1"/>
  <c r="AA311" i="1"/>
  <c r="Z311" i="1"/>
  <c r="Y311" i="1"/>
  <c r="X311" i="1"/>
  <c r="W311" i="1"/>
  <c r="V311" i="1"/>
  <c r="U311" i="1"/>
  <c r="T311" i="1"/>
  <c r="S311" i="1"/>
  <c r="R311" i="1"/>
  <c r="Q311" i="1"/>
  <c r="P311" i="1"/>
  <c r="O311" i="1"/>
  <c r="N311" i="1"/>
  <c r="CP310" i="1"/>
  <c r="CO310" i="1"/>
  <c r="CN310" i="1"/>
  <c r="CM310" i="1"/>
  <c r="CL310" i="1"/>
  <c r="CK310" i="1"/>
  <c r="CJ310" i="1"/>
  <c r="CI310" i="1"/>
  <c r="CH310" i="1"/>
  <c r="CG310" i="1"/>
  <c r="CF310" i="1"/>
  <c r="CE310" i="1"/>
  <c r="CD310" i="1"/>
  <c r="CC310" i="1"/>
  <c r="CB310" i="1"/>
  <c r="CA310" i="1"/>
  <c r="BZ310" i="1"/>
  <c r="BY310" i="1"/>
  <c r="BX310" i="1"/>
  <c r="BW310" i="1"/>
  <c r="BV310" i="1"/>
  <c r="BU310" i="1"/>
  <c r="BT310" i="1"/>
  <c r="BS310" i="1"/>
  <c r="BR310" i="1"/>
  <c r="BQ310" i="1"/>
  <c r="BP310" i="1"/>
  <c r="BO310" i="1"/>
  <c r="BN310" i="1"/>
  <c r="BM310" i="1"/>
  <c r="AQ207" i="1"/>
  <c r="AT207" i="1"/>
  <c r="AW207" i="1"/>
  <c r="AZ207" i="1"/>
  <c r="BC207" i="1"/>
  <c r="BF207" i="1"/>
  <c r="BI207" i="1"/>
  <c r="BL207" i="1"/>
  <c r="BL210" i="1"/>
  <c r="BL213" i="1"/>
  <c r="BL216" i="1"/>
  <c r="BL219" i="1"/>
  <c r="BL222" i="1"/>
  <c r="BL225" i="1"/>
  <c r="BL310" i="1"/>
  <c r="AP207" i="1"/>
  <c r="AS207" i="1"/>
  <c r="AV207" i="1"/>
  <c r="AY207" i="1"/>
  <c r="BB207" i="1"/>
  <c r="BE207" i="1"/>
  <c r="BH207" i="1"/>
  <c r="BK207" i="1"/>
  <c r="BK210" i="1"/>
  <c r="BK213" i="1"/>
  <c r="BK216" i="1"/>
  <c r="BK219" i="1"/>
  <c r="BK222" i="1"/>
  <c r="BK225" i="1"/>
  <c r="BK310" i="1"/>
  <c r="AO207" i="1"/>
  <c r="AR207" i="1"/>
  <c r="AU207" i="1"/>
  <c r="AX207" i="1"/>
  <c r="BA207" i="1"/>
  <c r="BD207" i="1"/>
  <c r="BG207" i="1"/>
  <c r="BJ207" i="1"/>
  <c r="BJ210" i="1"/>
  <c r="BJ213" i="1"/>
  <c r="BJ216" i="1"/>
  <c r="BJ219" i="1"/>
  <c r="BJ222" i="1"/>
  <c r="BJ225" i="1"/>
  <c r="BJ310" i="1"/>
  <c r="BI310" i="1"/>
  <c r="BH310" i="1"/>
  <c r="BG310" i="1"/>
  <c r="BF310" i="1"/>
  <c r="BE310" i="1"/>
  <c r="BD310" i="1"/>
  <c r="BC310" i="1"/>
  <c r="BB310" i="1"/>
  <c r="BA310" i="1"/>
  <c r="AZ310" i="1"/>
  <c r="AY310" i="1"/>
  <c r="AX310" i="1"/>
  <c r="AW310" i="1"/>
  <c r="AV310" i="1"/>
  <c r="AU310" i="1"/>
  <c r="AT310" i="1"/>
  <c r="AS310" i="1"/>
  <c r="AR310" i="1"/>
  <c r="AQ310" i="1"/>
  <c r="AP310" i="1"/>
  <c r="AO310" i="1"/>
  <c r="AN310" i="1"/>
  <c r="AM310" i="1"/>
  <c r="AL310" i="1"/>
  <c r="AK310" i="1"/>
  <c r="AJ310" i="1"/>
  <c r="AI310" i="1"/>
  <c r="AH310" i="1"/>
  <c r="AG310" i="1"/>
  <c r="AF310" i="1"/>
  <c r="AE310" i="1"/>
  <c r="AD310" i="1"/>
  <c r="AC310" i="1"/>
  <c r="AB310" i="1"/>
  <c r="AA310" i="1"/>
  <c r="Z310" i="1"/>
  <c r="Y310" i="1"/>
  <c r="X310" i="1"/>
  <c r="W310" i="1"/>
  <c r="V310" i="1"/>
  <c r="U310" i="1"/>
  <c r="T310" i="1"/>
  <c r="P207" i="1"/>
  <c r="S207" i="1"/>
  <c r="S210" i="1"/>
  <c r="S213" i="1"/>
  <c r="S216" i="1"/>
  <c r="S219" i="1"/>
  <c r="S222" i="1"/>
  <c r="S225" i="1"/>
  <c r="S310" i="1"/>
  <c r="O207" i="1"/>
  <c r="R207" i="1"/>
  <c r="R210" i="1"/>
  <c r="R213" i="1"/>
  <c r="R216" i="1"/>
  <c r="R219" i="1"/>
  <c r="R222" i="1"/>
  <c r="R225" i="1"/>
  <c r="R310" i="1"/>
  <c r="N207" i="1"/>
  <c r="Q207" i="1"/>
  <c r="Q210" i="1"/>
  <c r="Q213" i="1"/>
  <c r="Q216" i="1"/>
  <c r="Q219" i="1"/>
  <c r="Q222" i="1"/>
  <c r="Q225" i="1"/>
  <c r="Q310" i="1"/>
  <c r="P310" i="1"/>
  <c r="O310" i="1"/>
  <c r="N310" i="1"/>
  <c r="CP309" i="1"/>
  <c r="CO309" i="1"/>
  <c r="CN309" i="1"/>
  <c r="CM309" i="1"/>
  <c r="CL309" i="1"/>
  <c r="CK309" i="1"/>
  <c r="CJ309" i="1"/>
  <c r="CI309" i="1"/>
  <c r="CH309" i="1"/>
  <c r="CG309" i="1"/>
  <c r="CF309" i="1"/>
  <c r="CE309" i="1"/>
  <c r="CD309" i="1"/>
  <c r="CC309" i="1"/>
  <c r="CB309" i="1"/>
  <c r="CA309" i="1"/>
  <c r="BZ309" i="1"/>
  <c r="BY309" i="1"/>
  <c r="BX309" i="1"/>
  <c r="BW309" i="1"/>
  <c r="BV309" i="1"/>
  <c r="BU309" i="1"/>
  <c r="BT309" i="1"/>
  <c r="BS309" i="1"/>
  <c r="BR309" i="1"/>
  <c r="BQ309" i="1"/>
  <c r="BP309" i="1"/>
  <c r="BO309" i="1"/>
  <c r="BN309" i="1"/>
  <c r="BM309" i="1"/>
  <c r="AQ206" i="1"/>
  <c r="AT206" i="1"/>
  <c r="AW206" i="1"/>
  <c r="AZ206" i="1"/>
  <c r="BC206" i="1"/>
  <c r="BF206" i="1"/>
  <c r="BI206" i="1"/>
  <c r="BL206" i="1"/>
  <c r="BL209" i="1"/>
  <c r="BL212" i="1"/>
  <c r="BL215" i="1"/>
  <c r="BL218" i="1"/>
  <c r="BL221" i="1"/>
  <c r="BL224" i="1"/>
  <c r="BL309" i="1"/>
  <c r="AP206" i="1"/>
  <c r="AS206" i="1"/>
  <c r="AV206" i="1"/>
  <c r="AY206" i="1"/>
  <c r="BB206" i="1"/>
  <c r="BE206" i="1"/>
  <c r="BH206" i="1"/>
  <c r="BK206" i="1"/>
  <c r="BK209" i="1"/>
  <c r="BK212" i="1"/>
  <c r="BK215" i="1"/>
  <c r="BK218" i="1"/>
  <c r="BK221" i="1"/>
  <c r="BK224" i="1"/>
  <c r="BK309" i="1"/>
  <c r="AO206" i="1"/>
  <c r="AR206" i="1"/>
  <c r="AU206" i="1"/>
  <c r="AX206" i="1"/>
  <c r="BA206" i="1"/>
  <c r="BD206" i="1"/>
  <c r="BG206" i="1"/>
  <c r="BJ206" i="1"/>
  <c r="BJ209" i="1"/>
  <c r="BJ212" i="1"/>
  <c r="BJ215" i="1"/>
  <c r="BJ218" i="1"/>
  <c r="BJ221" i="1"/>
  <c r="BJ224" i="1"/>
  <c r="BJ309" i="1"/>
  <c r="BI309" i="1"/>
  <c r="BH309" i="1"/>
  <c r="BG309" i="1"/>
  <c r="BF309" i="1"/>
  <c r="BE309" i="1"/>
  <c r="BD309" i="1"/>
  <c r="BC309" i="1"/>
  <c r="BB309" i="1"/>
  <c r="BA309" i="1"/>
  <c r="AZ309" i="1"/>
  <c r="AY309" i="1"/>
  <c r="AX309" i="1"/>
  <c r="AW309" i="1"/>
  <c r="AV309" i="1"/>
  <c r="AU309" i="1"/>
  <c r="AT309" i="1"/>
  <c r="AS309" i="1"/>
  <c r="AR309" i="1"/>
  <c r="AQ309" i="1"/>
  <c r="AP309" i="1"/>
  <c r="AO309" i="1"/>
  <c r="AN309" i="1"/>
  <c r="AM309" i="1"/>
  <c r="AL309" i="1"/>
  <c r="AK309" i="1"/>
  <c r="AJ309" i="1"/>
  <c r="AI309" i="1"/>
  <c r="AH309" i="1"/>
  <c r="AG309" i="1"/>
  <c r="AF309" i="1"/>
  <c r="AE309" i="1"/>
  <c r="AD309" i="1"/>
  <c r="AC309" i="1"/>
  <c r="AB309" i="1"/>
  <c r="AA309" i="1"/>
  <c r="Z309" i="1"/>
  <c r="Y309" i="1"/>
  <c r="X309" i="1"/>
  <c r="W309" i="1"/>
  <c r="V309" i="1"/>
  <c r="U309" i="1"/>
  <c r="T309" i="1"/>
  <c r="P206" i="1"/>
  <c r="S206" i="1"/>
  <c r="S209" i="1"/>
  <c r="S212" i="1"/>
  <c r="S215" i="1"/>
  <c r="S218" i="1"/>
  <c r="S221" i="1"/>
  <c r="S224" i="1"/>
  <c r="S309" i="1"/>
  <c r="O206" i="1"/>
  <c r="R206" i="1"/>
  <c r="R209" i="1"/>
  <c r="R212" i="1"/>
  <c r="R215" i="1"/>
  <c r="R218" i="1"/>
  <c r="R221" i="1"/>
  <c r="R224" i="1"/>
  <c r="R309" i="1"/>
  <c r="N206" i="1"/>
  <c r="Q206" i="1"/>
  <c r="Q209" i="1"/>
  <c r="Q212" i="1"/>
  <c r="Q215" i="1"/>
  <c r="Q218" i="1"/>
  <c r="Q221" i="1"/>
  <c r="Q224" i="1"/>
  <c r="Q309" i="1"/>
  <c r="P309" i="1"/>
  <c r="O309" i="1"/>
  <c r="N309" i="1"/>
  <c r="CP308" i="1"/>
  <c r="CO308" i="1"/>
  <c r="CN308" i="1"/>
  <c r="CM308" i="1"/>
  <c r="CL308" i="1"/>
  <c r="CK308" i="1"/>
  <c r="CJ308" i="1"/>
  <c r="CI308" i="1"/>
  <c r="CH308" i="1"/>
  <c r="CG308" i="1"/>
  <c r="CF308" i="1"/>
  <c r="CE308" i="1"/>
  <c r="CD308" i="1"/>
  <c r="CC308" i="1"/>
  <c r="CB308" i="1"/>
  <c r="CA308" i="1"/>
  <c r="BZ308" i="1"/>
  <c r="BY308" i="1"/>
  <c r="BX308" i="1"/>
  <c r="BW308" i="1"/>
  <c r="BV308" i="1"/>
  <c r="BU308" i="1"/>
  <c r="BT308" i="1"/>
  <c r="BS308" i="1"/>
  <c r="BR308" i="1"/>
  <c r="BQ308" i="1"/>
  <c r="BP308" i="1"/>
  <c r="BO308" i="1"/>
  <c r="BN308" i="1"/>
  <c r="BM308" i="1"/>
  <c r="AQ205" i="1"/>
  <c r="AT205" i="1"/>
  <c r="AW205" i="1"/>
  <c r="AZ205" i="1"/>
  <c r="BC205" i="1"/>
  <c r="BF205" i="1"/>
  <c r="BI205" i="1"/>
  <c r="BL205" i="1"/>
  <c r="BL208" i="1"/>
  <c r="BL211" i="1"/>
  <c r="BL214" i="1"/>
  <c r="BL217" i="1"/>
  <c r="BL220" i="1"/>
  <c r="BL223" i="1"/>
  <c r="BL308" i="1"/>
  <c r="AP205" i="1"/>
  <c r="AS205" i="1"/>
  <c r="AV205" i="1"/>
  <c r="AY205" i="1"/>
  <c r="BB205" i="1"/>
  <c r="BE205" i="1"/>
  <c r="BH205" i="1"/>
  <c r="BK205" i="1"/>
  <c r="BK208" i="1"/>
  <c r="BK211" i="1"/>
  <c r="BK214" i="1"/>
  <c r="BK217" i="1"/>
  <c r="BK220" i="1"/>
  <c r="BK223" i="1"/>
  <c r="BK308" i="1"/>
  <c r="AO205" i="1"/>
  <c r="AR205" i="1"/>
  <c r="AU205" i="1"/>
  <c r="AX205" i="1"/>
  <c r="BA205" i="1"/>
  <c r="BD205" i="1"/>
  <c r="BG205" i="1"/>
  <c r="BJ205" i="1"/>
  <c r="BJ208" i="1"/>
  <c r="BJ211" i="1"/>
  <c r="BJ214" i="1"/>
  <c r="BJ217" i="1"/>
  <c r="BJ220" i="1"/>
  <c r="BJ223" i="1"/>
  <c r="BJ308" i="1"/>
  <c r="BI308" i="1"/>
  <c r="BH308" i="1"/>
  <c r="BG308" i="1"/>
  <c r="BF308" i="1"/>
  <c r="BE308" i="1"/>
  <c r="BD308" i="1"/>
  <c r="BC308" i="1"/>
  <c r="BB308" i="1"/>
  <c r="BA308" i="1"/>
  <c r="AZ308" i="1"/>
  <c r="AY308" i="1"/>
  <c r="AX308" i="1"/>
  <c r="AW308" i="1"/>
  <c r="AV308" i="1"/>
  <c r="AU308" i="1"/>
  <c r="AT308" i="1"/>
  <c r="AS308" i="1"/>
  <c r="AR308" i="1"/>
  <c r="AQ308" i="1"/>
  <c r="AP308" i="1"/>
  <c r="AO308" i="1"/>
  <c r="AN308" i="1"/>
  <c r="AM308" i="1"/>
  <c r="AL308" i="1"/>
  <c r="AK308" i="1"/>
  <c r="AJ308" i="1"/>
  <c r="AI308" i="1"/>
  <c r="AH308" i="1"/>
  <c r="AG308" i="1"/>
  <c r="AF308" i="1"/>
  <c r="AE308" i="1"/>
  <c r="AD308" i="1"/>
  <c r="AC308" i="1"/>
  <c r="AB308" i="1"/>
  <c r="AA308" i="1"/>
  <c r="Z308" i="1"/>
  <c r="Y308" i="1"/>
  <c r="X308" i="1"/>
  <c r="W308" i="1"/>
  <c r="V308" i="1"/>
  <c r="U308" i="1"/>
  <c r="T308" i="1"/>
  <c r="P205" i="1"/>
  <c r="S205" i="1"/>
  <c r="S208" i="1"/>
  <c r="S211" i="1"/>
  <c r="S214" i="1"/>
  <c r="S217" i="1"/>
  <c r="S220" i="1"/>
  <c r="S223" i="1"/>
  <c r="S308" i="1"/>
  <c r="O205" i="1"/>
  <c r="R205" i="1"/>
  <c r="R208" i="1"/>
  <c r="R211" i="1"/>
  <c r="R214" i="1"/>
  <c r="R217" i="1"/>
  <c r="R220" i="1"/>
  <c r="R223" i="1"/>
  <c r="R308" i="1"/>
  <c r="Q205" i="1"/>
  <c r="Q208" i="1"/>
  <c r="Q211" i="1"/>
  <c r="Q214" i="1"/>
  <c r="Q217" i="1"/>
  <c r="Q220" i="1"/>
  <c r="Q223" i="1"/>
  <c r="Q308" i="1"/>
  <c r="P308" i="1"/>
  <c r="O308" i="1"/>
  <c r="N308" i="1"/>
  <c r="CP307" i="1"/>
  <c r="CO307" i="1"/>
  <c r="CN307" i="1"/>
  <c r="CM210" i="1"/>
  <c r="CM213" i="1"/>
  <c r="CM216" i="1"/>
  <c r="CM219" i="1"/>
  <c r="CM222" i="1"/>
  <c r="CM307" i="1"/>
  <c r="CL210" i="1"/>
  <c r="CL213" i="1"/>
  <c r="CL216" i="1"/>
  <c r="CL219" i="1"/>
  <c r="CL222" i="1"/>
  <c r="CL307" i="1"/>
  <c r="CK210" i="1"/>
  <c r="CK213" i="1"/>
  <c r="CK216" i="1"/>
  <c r="CK219" i="1"/>
  <c r="CK222" i="1"/>
  <c r="CK307" i="1"/>
  <c r="CJ307" i="1"/>
  <c r="CI307" i="1"/>
  <c r="CH307" i="1"/>
  <c r="CG307" i="1"/>
  <c r="CF307" i="1"/>
  <c r="CE307" i="1"/>
  <c r="CD307" i="1"/>
  <c r="CC307" i="1"/>
  <c r="CB307" i="1"/>
  <c r="CA307" i="1"/>
  <c r="BZ307" i="1"/>
  <c r="BY307" i="1"/>
  <c r="BX307" i="1"/>
  <c r="BW307" i="1"/>
  <c r="BV307" i="1"/>
  <c r="BU307" i="1"/>
  <c r="BT307" i="1"/>
  <c r="BS307" i="1"/>
  <c r="BR307" i="1"/>
  <c r="BQ307" i="1"/>
  <c r="BP307" i="1"/>
  <c r="BO307" i="1"/>
  <c r="BN307" i="1"/>
  <c r="BM307" i="1"/>
  <c r="BL307" i="1"/>
  <c r="BK307" i="1"/>
  <c r="BJ307" i="1"/>
  <c r="BI210" i="1"/>
  <c r="BI213" i="1"/>
  <c r="BI216" i="1"/>
  <c r="BI219" i="1"/>
  <c r="BI222" i="1"/>
  <c r="BI307" i="1"/>
  <c r="BH210" i="1"/>
  <c r="BH213" i="1"/>
  <c r="BH216" i="1"/>
  <c r="BH219" i="1"/>
  <c r="BH222" i="1"/>
  <c r="BH307" i="1"/>
  <c r="BG210" i="1"/>
  <c r="BG213" i="1"/>
  <c r="BG216" i="1"/>
  <c r="BG219" i="1"/>
  <c r="BG222" i="1"/>
  <c r="BG307" i="1"/>
  <c r="BF307" i="1"/>
  <c r="BE307" i="1"/>
  <c r="BD307" i="1"/>
  <c r="BC307" i="1"/>
  <c r="BB307" i="1"/>
  <c r="BA307" i="1"/>
  <c r="AZ307" i="1"/>
  <c r="AY307" i="1"/>
  <c r="AX307" i="1"/>
  <c r="AW307" i="1"/>
  <c r="AV307" i="1"/>
  <c r="AU307" i="1"/>
  <c r="AT307" i="1"/>
  <c r="AS307" i="1"/>
  <c r="AR307" i="1"/>
  <c r="AQ307" i="1"/>
  <c r="AP307" i="1"/>
  <c r="AO307" i="1"/>
  <c r="AN307" i="1"/>
  <c r="AM307" i="1"/>
  <c r="AL307" i="1"/>
  <c r="AK307" i="1"/>
  <c r="AJ307" i="1"/>
  <c r="AI307" i="1"/>
  <c r="AH307" i="1"/>
  <c r="AG307" i="1"/>
  <c r="AF307" i="1"/>
  <c r="AE307" i="1"/>
  <c r="AD307" i="1"/>
  <c r="AC307" i="1"/>
  <c r="V207" i="1"/>
  <c r="Y207" i="1"/>
  <c r="AB207" i="1"/>
  <c r="AB210" i="1"/>
  <c r="AB213" i="1"/>
  <c r="AB216" i="1"/>
  <c r="AB219" i="1"/>
  <c r="AB222" i="1"/>
  <c r="AB307" i="1"/>
  <c r="U207" i="1"/>
  <c r="X207" i="1"/>
  <c r="AA207" i="1"/>
  <c r="AA210" i="1"/>
  <c r="AA213" i="1"/>
  <c r="AA216" i="1"/>
  <c r="AA219" i="1"/>
  <c r="AA222" i="1"/>
  <c r="AA307" i="1"/>
  <c r="T207" i="1"/>
  <c r="W207" i="1"/>
  <c r="Z207" i="1"/>
  <c r="Z210" i="1"/>
  <c r="Z213" i="1"/>
  <c r="Z216" i="1"/>
  <c r="Z219" i="1"/>
  <c r="Z222" i="1"/>
  <c r="Z307" i="1"/>
  <c r="Y210" i="1"/>
  <c r="Y213" i="1"/>
  <c r="Y216" i="1"/>
  <c r="Y219" i="1"/>
  <c r="Y222" i="1"/>
  <c r="Y307" i="1"/>
  <c r="X210" i="1"/>
  <c r="X213" i="1"/>
  <c r="X216" i="1"/>
  <c r="X219" i="1"/>
  <c r="X222" i="1"/>
  <c r="X307" i="1"/>
  <c r="W210" i="1"/>
  <c r="W213" i="1"/>
  <c r="W216" i="1"/>
  <c r="W219" i="1"/>
  <c r="W222" i="1"/>
  <c r="W307" i="1"/>
  <c r="V307" i="1"/>
  <c r="U307" i="1"/>
  <c r="T307" i="1"/>
  <c r="S307" i="1"/>
  <c r="R307" i="1"/>
  <c r="Q307" i="1"/>
  <c r="P210" i="1"/>
  <c r="P213" i="1"/>
  <c r="P216" i="1"/>
  <c r="P219" i="1"/>
  <c r="P222" i="1"/>
  <c r="P307" i="1"/>
  <c r="O210" i="1"/>
  <c r="O213" i="1"/>
  <c r="O216" i="1"/>
  <c r="O219" i="1"/>
  <c r="O222" i="1"/>
  <c r="O307" i="1"/>
  <c r="N210" i="1"/>
  <c r="N213" i="1"/>
  <c r="N216" i="1"/>
  <c r="N219" i="1"/>
  <c r="N222" i="1"/>
  <c r="N307" i="1"/>
  <c r="CP306" i="1"/>
  <c r="CO306" i="1"/>
  <c r="CN306" i="1"/>
  <c r="CM209" i="1"/>
  <c r="CM212" i="1"/>
  <c r="CM215" i="1"/>
  <c r="CM218" i="1"/>
  <c r="CM221" i="1"/>
  <c r="CM306" i="1"/>
  <c r="CL209" i="1"/>
  <c r="CL212" i="1"/>
  <c r="CL215" i="1"/>
  <c r="CL218" i="1"/>
  <c r="CL221" i="1"/>
  <c r="CL306" i="1"/>
  <c r="CK209" i="1"/>
  <c r="CK212" i="1"/>
  <c r="CK215" i="1"/>
  <c r="CK218" i="1"/>
  <c r="CK221" i="1"/>
  <c r="CK306" i="1"/>
  <c r="CJ306" i="1"/>
  <c r="CI306" i="1"/>
  <c r="CH306" i="1"/>
  <c r="CG306" i="1"/>
  <c r="CF306" i="1"/>
  <c r="CE306" i="1"/>
  <c r="CD306" i="1"/>
  <c r="CC306" i="1"/>
  <c r="CB306" i="1"/>
  <c r="CA306" i="1"/>
  <c r="BZ306" i="1"/>
  <c r="BY306" i="1"/>
  <c r="BX306" i="1"/>
  <c r="BW306" i="1"/>
  <c r="BV306" i="1"/>
  <c r="BU306" i="1"/>
  <c r="BT306" i="1"/>
  <c r="BS306" i="1"/>
  <c r="BR306" i="1"/>
  <c r="BQ306" i="1"/>
  <c r="BP306" i="1"/>
  <c r="BO306" i="1"/>
  <c r="BN306" i="1"/>
  <c r="BM306" i="1"/>
  <c r="BL306" i="1"/>
  <c r="BK306" i="1"/>
  <c r="BJ306" i="1"/>
  <c r="BI209" i="1"/>
  <c r="BI212" i="1"/>
  <c r="BI215" i="1"/>
  <c r="BI218" i="1"/>
  <c r="BI221" i="1"/>
  <c r="BI306" i="1"/>
  <c r="BH209" i="1"/>
  <c r="BH212" i="1"/>
  <c r="BH215" i="1"/>
  <c r="BH218" i="1"/>
  <c r="BH221" i="1"/>
  <c r="BH306" i="1"/>
  <c r="BG209" i="1"/>
  <c r="BG212" i="1"/>
  <c r="BG215" i="1"/>
  <c r="BG218" i="1"/>
  <c r="BG221" i="1"/>
  <c r="BG306" i="1"/>
  <c r="BF306" i="1"/>
  <c r="BE306" i="1"/>
  <c r="BD306" i="1"/>
  <c r="BC306" i="1"/>
  <c r="BB306" i="1"/>
  <c r="BA306" i="1"/>
  <c r="AZ306" i="1"/>
  <c r="AY306" i="1"/>
  <c r="AX306" i="1"/>
  <c r="AW306" i="1"/>
  <c r="AV306" i="1"/>
  <c r="AU306" i="1"/>
  <c r="AT306" i="1"/>
  <c r="AS306" i="1"/>
  <c r="AR306" i="1"/>
  <c r="AQ306" i="1"/>
  <c r="AP306" i="1"/>
  <c r="AO306" i="1"/>
  <c r="AN306" i="1"/>
  <c r="AM306" i="1"/>
  <c r="AL306" i="1"/>
  <c r="AK306" i="1"/>
  <c r="AJ306" i="1"/>
  <c r="AI306" i="1"/>
  <c r="AH306" i="1"/>
  <c r="AG306" i="1"/>
  <c r="AF306" i="1"/>
  <c r="AE306" i="1"/>
  <c r="AD306" i="1"/>
  <c r="AC306" i="1"/>
  <c r="V206" i="1"/>
  <c r="Y206" i="1"/>
  <c r="AB206" i="1"/>
  <c r="AB209" i="1"/>
  <c r="AB212" i="1"/>
  <c r="AB215" i="1"/>
  <c r="AB218" i="1"/>
  <c r="AB221" i="1"/>
  <c r="AB306" i="1"/>
  <c r="U206" i="1"/>
  <c r="X206" i="1"/>
  <c r="AA206" i="1"/>
  <c r="AA209" i="1"/>
  <c r="AA212" i="1"/>
  <c r="AA215" i="1"/>
  <c r="AA218" i="1"/>
  <c r="AA221" i="1"/>
  <c r="AA306" i="1"/>
  <c r="T206" i="1"/>
  <c r="W206" i="1"/>
  <c r="Z206" i="1"/>
  <c r="Z209" i="1"/>
  <c r="Z212" i="1"/>
  <c r="Z215" i="1"/>
  <c r="Z218" i="1"/>
  <c r="Z221" i="1"/>
  <c r="Z306" i="1"/>
  <c r="Y209" i="1"/>
  <c r="Y212" i="1"/>
  <c r="Y215" i="1"/>
  <c r="Y218" i="1"/>
  <c r="Y221" i="1"/>
  <c r="Y306" i="1"/>
  <c r="X209" i="1"/>
  <c r="X212" i="1"/>
  <c r="X215" i="1"/>
  <c r="X218" i="1"/>
  <c r="X221" i="1"/>
  <c r="X306" i="1"/>
  <c r="W209" i="1"/>
  <c r="W212" i="1"/>
  <c r="W215" i="1"/>
  <c r="W218" i="1"/>
  <c r="W221" i="1"/>
  <c r="W306" i="1"/>
  <c r="V306" i="1"/>
  <c r="U306" i="1"/>
  <c r="T306" i="1"/>
  <c r="S306" i="1"/>
  <c r="R306" i="1"/>
  <c r="Q306" i="1"/>
  <c r="P209" i="1"/>
  <c r="P212" i="1"/>
  <c r="P215" i="1"/>
  <c r="P218" i="1"/>
  <c r="P221" i="1"/>
  <c r="P306" i="1"/>
  <c r="O209" i="1"/>
  <c r="O212" i="1"/>
  <c r="O215" i="1"/>
  <c r="O218" i="1"/>
  <c r="O221" i="1"/>
  <c r="O306" i="1"/>
  <c r="N209" i="1"/>
  <c r="N212" i="1"/>
  <c r="N215" i="1"/>
  <c r="N218" i="1"/>
  <c r="N221" i="1"/>
  <c r="N306" i="1"/>
  <c r="CP305" i="1"/>
  <c r="CO305" i="1"/>
  <c r="CN305" i="1"/>
  <c r="CM208" i="1"/>
  <c r="CM211" i="1"/>
  <c r="CM214" i="1"/>
  <c r="CM217" i="1"/>
  <c r="CM220" i="1"/>
  <c r="CM305" i="1"/>
  <c r="CL208" i="1"/>
  <c r="CL211" i="1"/>
  <c r="CL214" i="1"/>
  <c r="CL217" i="1"/>
  <c r="CL220" i="1"/>
  <c r="CL305" i="1"/>
  <c r="CK208" i="1"/>
  <c r="CK211" i="1"/>
  <c r="CK214" i="1"/>
  <c r="CK217" i="1"/>
  <c r="CK220" i="1"/>
  <c r="CK305" i="1"/>
  <c r="CJ305" i="1"/>
  <c r="CI305" i="1"/>
  <c r="CH305" i="1"/>
  <c r="CG305" i="1"/>
  <c r="CF305" i="1"/>
  <c r="CE305" i="1"/>
  <c r="CD305" i="1"/>
  <c r="CC305" i="1"/>
  <c r="CB305" i="1"/>
  <c r="CA305" i="1"/>
  <c r="BZ305" i="1"/>
  <c r="BY305" i="1"/>
  <c r="BX305" i="1"/>
  <c r="BW305" i="1"/>
  <c r="BV305" i="1"/>
  <c r="BU305" i="1"/>
  <c r="BT305" i="1"/>
  <c r="BS305" i="1"/>
  <c r="BR305" i="1"/>
  <c r="BQ305" i="1"/>
  <c r="BP305" i="1"/>
  <c r="BO305" i="1"/>
  <c r="BN305" i="1"/>
  <c r="BM305" i="1"/>
  <c r="BL305" i="1"/>
  <c r="BK305" i="1"/>
  <c r="BJ305" i="1"/>
  <c r="BI208" i="1"/>
  <c r="BI211" i="1"/>
  <c r="BI214" i="1"/>
  <c r="BI217" i="1"/>
  <c r="BI220" i="1"/>
  <c r="BI305" i="1"/>
  <c r="BH208" i="1"/>
  <c r="BH211" i="1"/>
  <c r="BH214" i="1"/>
  <c r="BH217" i="1"/>
  <c r="BH220" i="1"/>
  <c r="BH305" i="1"/>
  <c r="BG208" i="1"/>
  <c r="BG211" i="1"/>
  <c r="BG214" i="1"/>
  <c r="BG217" i="1"/>
  <c r="BG220" i="1"/>
  <c r="BG305" i="1"/>
  <c r="BF305" i="1"/>
  <c r="BE305" i="1"/>
  <c r="BD305" i="1"/>
  <c r="BC305" i="1"/>
  <c r="BB305" i="1"/>
  <c r="BA305" i="1"/>
  <c r="AZ305" i="1"/>
  <c r="AY305" i="1"/>
  <c r="AX305" i="1"/>
  <c r="AW305" i="1"/>
  <c r="AV305" i="1"/>
  <c r="AU305" i="1"/>
  <c r="AT305" i="1"/>
  <c r="AS305" i="1"/>
  <c r="AR305" i="1"/>
  <c r="AQ305" i="1"/>
  <c r="AP305" i="1"/>
  <c r="AO305" i="1"/>
  <c r="AN305" i="1"/>
  <c r="AM305" i="1"/>
  <c r="AL305" i="1"/>
  <c r="AK305" i="1"/>
  <c r="AJ305" i="1"/>
  <c r="AI305" i="1"/>
  <c r="AH305" i="1"/>
  <c r="AG305" i="1"/>
  <c r="AF305" i="1"/>
  <c r="AE305" i="1"/>
  <c r="AD305" i="1"/>
  <c r="AC305" i="1"/>
  <c r="V205" i="1"/>
  <c r="Y205" i="1"/>
  <c r="AB205" i="1"/>
  <c r="AB208" i="1"/>
  <c r="AB211" i="1"/>
  <c r="AB214" i="1"/>
  <c r="AB217" i="1"/>
  <c r="AB220" i="1"/>
  <c r="AB305" i="1"/>
  <c r="U205" i="1"/>
  <c r="X205" i="1"/>
  <c r="AA205" i="1"/>
  <c r="AA208" i="1"/>
  <c r="AA211" i="1"/>
  <c r="AA214" i="1"/>
  <c r="AA217" i="1"/>
  <c r="AA220" i="1"/>
  <c r="AA305" i="1"/>
  <c r="T205" i="1"/>
  <c r="W205" i="1"/>
  <c r="Z205" i="1"/>
  <c r="Z208" i="1"/>
  <c r="Z211" i="1"/>
  <c r="Z214" i="1"/>
  <c r="Z217" i="1"/>
  <c r="Z220" i="1"/>
  <c r="Z305" i="1"/>
  <c r="Y208" i="1"/>
  <c r="Y211" i="1"/>
  <c r="Y214" i="1"/>
  <c r="Y217" i="1"/>
  <c r="Y220" i="1"/>
  <c r="Y305" i="1"/>
  <c r="X208" i="1"/>
  <c r="X211" i="1"/>
  <c r="X214" i="1"/>
  <c r="X217" i="1"/>
  <c r="X220" i="1"/>
  <c r="X305" i="1"/>
  <c r="W208" i="1"/>
  <c r="W211" i="1"/>
  <c r="W214" i="1"/>
  <c r="W217" i="1"/>
  <c r="W220" i="1"/>
  <c r="W305" i="1"/>
  <c r="V305" i="1"/>
  <c r="U305" i="1"/>
  <c r="T305" i="1"/>
  <c r="S305" i="1"/>
  <c r="R305" i="1"/>
  <c r="Q305" i="1"/>
  <c r="P208" i="1"/>
  <c r="P211" i="1"/>
  <c r="P214" i="1"/>
  <c r="P217" i="1"/>
  <c r="P220" i="1"/>
  <c r="P305" i="1"/>
  <c r="O208" i="1"/>
  <c r="O211" i="1"/>
  <c r="O214" i="1"/>
  <c r="O217" i="1"/>
  <c r="O220" i="1"/>
  <c r="O305" i="1"/>
  <c r="N208" i="1"/>
  <c r="N211" i="1"/>
  <c r="N214" i="1"/>
  <c r="N217" i="1"/>
  <c r="N220" i="1"/>
  <c r="N305" i="1"/>
  <c r="CP304" i="1"/>
  <c r="CO304" i="1"/>
  <c r="CN304" i="1"/>
  <c r="CM304" i="1"/>
  <c r="CL304" i="1"/>
  <c r="CK304" i="1"/>
  <c r="CJ210" i="1"/>
  <c r="CJ213" i="1"/>
  <c r="CJ216" i="1"/>
  <c r="CJ219" i="1"/>
  <c r="CJ304" i="1"/>
  <c r="CI210" i="1"/>
  <c r="CI213" i="1"/>
  <c r="CI216" i="1"/>
  <c r="CI219" i="1"/>
  <c r="CI304" i="1"/>
  <c r="CH210" i="1"/>
  <c r="CH213" i="1"/>
  <c r="CH216" i="1"/>
  <c r="CH219" i="1"/>
  <c r="CH304" i="1"/>
  <c r="CG304" i="1"/>
  <c r="CF304" i="1"/>
  <c r="CE304" i="1"/>
  <c r="CD210" i="1"/>
  <c r="CD213" i="1"/>
  <c r="CD216" i="1"/>
  <c r="CD219" i="1"/>
  <c r="CD304" i="1"/>
  <c r="CC210" i="1"/>
  <c r="CC213" i="1"/>
  <c r="CC216" i="1"/>
  <c r="CC219" i="1"/>
  <c r="CC304" i="1"/>
  <c r="CB210" i="1"/>
  <c r="CB213" i="1"/>
  <c r="CB216" i="1"/>
  <c r="CB219" i="1"/>
  <c r="CB304" i="1"/>
  <c r="CA304" i="1"/>
  <c r="BZ304" i="1"/>
  <c r="BY304" i="1"/>
  <c r="BX304" i="1"/>
  <c r="BW304" i="1"/>
  <c r="BV304" i="1"/>
  <c r="BU304" i="1"/>
  <c r="BT304" i="1"/>
  <c r="BS304" i="1"/>
  <c r="BR304" i="1"/>
  <c r="BQ304" i="1"/>
  <c r="BP304" i="1"/>
  <c r="BO304" i="1"/>
  <c r="BN304" i="1"/>
  <c r="BM304" i="1"/>
  <c r="BL304" i="1"/>
  <c r="BK304" i="1"/>
  <c r="BJ304" i="1"/>
  <c r="BI304" i="1"/>
  <c r="BH304" i="1"/>
  <c r="BG304" i="1"/>
  <c r="BF210" i="1"/>
  <c r="BF213" i="1"/>
  <c r="BF216" i="1"/>
  <c r="BF219" i="1"/>
  <c r="BF304" i="1"/>
  <c r="BE210" i="1"/>
  <c r="BE213" i="1"/>
  <c r="BE216" i="1"/>
  <c r="BE219" i="1"/>
  <c r="BE304" i="1"/>
  <c r="BD210" i="1"/>
  <c r="BD213" i="1"/>
  <c r="BD216" i="1"/>
  <c r="BD219" i="1"/>
  <c r="BD304" i="1"/>
  <c r="BC210" i="1"/>
  <c r="BC213" i="1"/>
  <c r="BC216" i="1"/>
  <c r="BC219" i="1"/>
  <c r="BC304" i="1"/>
  <c r="BB210" i="1"/>
  <c r="BB213" i="1"/>
  <c r="BB216" i="1"/>
  <c r="BB219" i="1"/>
  <c r="BB304" i="1"/>
  <c r="BA210" i="1"/>
  <c r="BA213" i="1"/>
  <c r="BA216" i="1"/>
  <c r="BA219" i="1"/>
  <c r="BA304" i="1"/>
  <c r="AZ304" i="1"/>
  <c r="AY304" i="1"/>
  <c r="AX304" i="1"/>
  <c r="AW304" i="1"/>
  <c r="AV304" i="1"/>
  <c r="AU304" i="1"/>
  <c r="AT304" i="1"/>
  <c r="AS304" i="1"/>
  <c r="AR304" i="1"/>
  <c r="AQ304" i="1"/>
  <c r="AP304" i="1"/>
  <c r="AO304" i="1"/>
  <c r="AN304" i="1"/>
  <c r="AM304" i="1"/>
  <c r="AL304" i="1"/>
  <c r="AK304" i="1"/>
  <c r="AJ304" i="1"/>
  <c r="AI304" i="1"/>
  <c r="AH304" i="1"/>
  <c r="AG304" i="1"/>
  <c r="AF304" i="1"/>
  <c r="AE304" i="1"/>
  <c r="AD304" i="1"/>
  <c r="AC304" i="1"/>
  <c r="AB304" i="1"/>
  <c r="AA304" i="1"/>
  <c r="Z304" i="1"/>
  <c r="Y304" i="1"/>
  <c r="X304" i="1"/>
  <c r="W304" i="1"/>
  <c r="V210" i="1"/>
  <c r="V213" i="1"/>
  <c r="V216" i="1"/>
  <c r="V219" i="1"/>
  <c r="V304" i="1"/>
  <c r="U210" i="1"/>
  <c r="U213" i="1"/>
  <c r="U216" i="1"/>
  <c r="U219" i="1"/>
  <c r="U304" i="1"/>
  <c r="T210" i="1"/>
  <c r="T213" i="1"/>
  <c r="T216" i="1"/>
  <c r="T219" i="1"/>
  <c r="T304" i="1"/>
  <c r="S304" i="1"/>
  <c r="R304" i="1"/>
  <c r="Q304" i="1"/>
  <c r="P304" i="1"/>
  <c r="O304" i="1"/>
  <c r="N304" i="1"/>
  <c r="CP303" i="1"/>
  <c r="CO303" i="1"/>
  <c r="CN303" i="1"/>
  <c r="CM303" i="1"/>
  <c r="CL303" i="1"/>
  <c r="CK303" i="1"/>
  <c r="CJ209" i="1"/>
  <c r="CJ212" i="1"/>
  <c r="CJ215" i="1"/>
  <c r="CJ218" i="1"/>
  <c r="CJ303" i="1"/>
  <c r="CI209" i="1"/>
  <c r="CI212" i="1"/>
  <c r="CI215" i="1"/>
  <c r="CI218" i="1"/>
  <c r="CI303" i="1"/>
  <c r="CH209" i="1"/>
  <c r="CH212" i="1"/>
  <c r="CH215" i="1"/>
  <c r="CH218" i="1"/>
  <c r="CH303" i="1"/>
  <c r="CG303" i="1"/>
  <c r="CF303" i="1"/>
  <c r="CE303" i="1"/>
  <c r="CD209" i="1"/>
  <c r="CD212" i="1"/>
  <c r="CD215" i="1"/>
  <c r="CD218" i="1"/>
  <c r="CD303" i="1"/>
  <c r="CC209" i="1"/>
  <c r="CC212" i="1"/>
  <c r="CC215" i="1"/>
  <c r="CC218" i="1"/>
  <c r="CC303" i="1"/>
  <c r="CB209" i="1"/>
  <c r="CB212" i="1"/>
  <c r="CB215" i="1"/>
  <c r="CB218" i="1"/>
  <c r="CB303" i="1"/>
  <c r="CA303" i="1"/>
  <c r="BZ303" i="1"/>
  <c r="BY303" i="1"/>
  <c r="BX303" i="1"/>
  <c r="BW303" i="1"/>
  <c r="BV303" i="1"/>
  <c r="BU303" i="1"/>
  <c r="BT303" i="1"/>
  <c r="BS303" i="1"/>
  <c r="BR303" i="1"/>
  <c r="BQ303" i="1"/>
  <c r="BP303" i="1"/>
  <c r="BO303" i="1"/>
  <c r="BN303" i="1"/>
  <c r="BM303" i="1"/>
  <c r="BL303" i="1"/>
  <c r="BK303" i="1"/>
  <c r="BJ303" i="1"/>
  <c r="BI303" i="1"/>
  <c r="BH303" i="1"/>
  <c r="BG303" i="1"/>
  <c r="BF209" i="1"/>
  <c r="BF212" i="1"/>
  <c r="BF215" i="1"/>
  <c r="BF218" i="1"/>
  <c r="BF303" i="1"/>
  <c r="BE209" i="1"/>
  <c r="BE212" i="1"/>
  <c r="BE215" i="1"/>
  <c r="BE218" i="1"/>
  <c r="BE303" i="1"/>
  <c r="BD209" i="1"/>
  <c r="BD212" i="1"/>
  <c r="BD215" i="1"/>
  <c r="BD218" i="1"/>
  <c r="BD303" i="1"/>
  <c r="BC209" i="1"/>
  <c r="BC212" i="1"/>
  <c r="BC215" i="1"/>
  <c r="BC218" i="1"/>
  <c r="BC303" i="1"/>
  <c r="BB209" i="1"/>
  <c r="BB212" i="1"/>
  <c r="BB215" i="1"/>
  <c r="BB218" i="1"/>
  <c r="BB303" i="1"/>
  <c r="BA209" i="1"/>
  <c r="BA212" i="1"/>
  <c r="BA215" i="1"/>
  <c r="BA218" i="1"/>
  <c r="BA303" i="1"/>
  <c r="AZ303" i="1"/>
  <c r="AY303" i="1"/>
  <c r="AX303" i="1"/>
  <c r="AW303" i="1"/>
  <c r="AV303" i="1"/>
  <c r="AU303" i="1"/>
  <c r="AT303" i="1"/>
  <c r="AS303" i="1"/>
  <c r="AR303" i="1"/>
  <c r="AQ303" i="1"/>
  <c r="AP303" i="1"/>
  <c r="AO303" i="1"/>
  <c r="AN303" i="1"/>
  <c r="AM303" i="1"/>
  <c r="AL303" i="1"/>
  <c r="AK303" i="1"/>
  <c r="AJ303" i="1"/>
  <c r="AI303" i="1"/>
  <c r="AH303" i="1"/>
  <c r="AG303" i="1"/>
  <c r="AF303" i="1"/>
  <c r="AE303" i="1"/>
  <c r="AD303" i="1"/>
  <c r="AC303" i="1"/>
  <c r="AB303" i="1"/>
  <c r="AA303" i="1"/>
  <c r="Z303" i="1"/>
  <c r="Y303" i="1"/>
  <c r="X303" i="1"/>
  <c r="W303" i="1"/>
  <c r="V209" i="1"/>
  <c r="V212" i="1"/>
  <c r="V215" i="1"/>
  <c r="V218" i="1"/>
  <c r="V303" i="1"/>
  <c r="U209" i="1"/>
  <c r="U212" i="1"/>
  <c r="U215" i="1"/>
  <c r="U218" i="1"/>
  <c r="U303" i="1"/>
  <c r="T209" i="1"/>
  <c r="T212" i="1"/>
  <c r="T215" i="1"/>
  <c r="T218" i="1"/>
  <c r="T303" i="1"/>
  <c r="S303" i="1"/>
  <c r="R303" i="1"/>
  <c r="Q303" i="1"/>
  <c r="P303" i="1"/>
  <c r="O303" i="1"/>
  <c r="N303" i="1"/>
  <c r="CP302" i="1"/>
  <c r="CO302" i="1"/>
  <c r="CN302" i="1"/>
  <c r="CM302" i="1"/>
  <c r="CL302" i="1"/>
  <c r="CK302" i="1"/>
  <c r="CJ208" i="1"/>
  <c r="CJ211" i="1"/>
  <c r="CJ214" i="1"/>
  <c r="CJ217" i="1"/>
  <c r="CJ302" i="1"/>
  <c r="CI208" i="1"/>
  <c r="CI211" i="1"/>
  <c r="CI214" i="1"/>
  <c r="CI217" i="1"/>
  <c r="CI302" i="1"/>
  <c r="CH208" i="1"/>
  <c r="CH211" i="1"/>
  <c r="CH214" i="1"/>
  <c r="CH217" i="1"/>
  <c r="CH302" i="1"/>
  <c r="CG302" i="1"/>
  <c r="CF302" i="1"/>
  <c r="CE302" i="1"/>
  <c r="CD208" i="1"/>
  <c r="CD211" i="1"/>
  <c r="CD214" i="1"/>
  <c r="CD217" i="1"/>
  <c r="CD302" i="1"/>
  <c r="CC208" i="1"/>
  <c r="CC211" i="1"/>
  <c r="CC214" i="1"/>
  <c r="CC217" i="1"/>
  <c r="CC302" i="1"/>
  <c r="CB208" i="1"/>
  <c r="CB211" i="1"/>
  <c r="CB214" i="1"/>
  <c r="CB217" i="1"/>
  <c r="CB302" i="1"/>
  <c r="CA302" i="1"/>
  <c r="BZ302" i="1"/>
  <c r="BY302" i="1"/>
  <c r="BX302" i="1"/>
  <c r="BW302" i="1"/>
  <c r="BV302" i="1"/>
  <c r="BU302" i="1"/>
  <c r="BT302" i="1"/>
  <c r="BS302" i="1"/>
  <c r="BR302" i="1"/>
  <c r="BQ302" i="1"/>
  <c r="BP302" i="1"/>
  <c r="BO302" i="1"/>
  <c r="BN302" i="1"/>
  <c r="BM302" i="1"/>
  <c r="BL302" i="1"/>
  <c r="BK302" i="1"/>
  <c r="BJ302" i="1"/>
  <c r="BI302" i="1"/>
  <c r="BH302" i="1"/>
  <c r="BG302" i="1"/>
  <c r="BF208" i="1"/>
  <c r="BF211" i="1"/>
  <c r="BF214" i="1"/>
  <c r="BF217" i="1"/>
  <c r="BF302" i="1"/>
  <c r="BE208" i="1"/>
  <c r="BE211" i="1"/>
  <c r="BE214" i="1"/>
  <c r="BE217" i="1"/>
  <c r="BE302" i="1"/>
  <c r="BD208" i="1"/>
  <c r="BD211" i="1"/>
  <c r="BD214" i="1"/>
  <c r="BD217" i="1"/>
  <c r="BD302" i="1"/>
  <c r="BC208" i="1"/>
  <c r="BC211" i="1"/>
  <c r="BC214" i="1"/>
  <c r="BC217" i="1"/>
  <c r="BC302" i="1"/>
  <c r="BB208" i="1"/>
  <c r="BB211" i="1"/>
  <c r="BB214" i="1"/>
  <c r="BB217" i="1"/>
  <c r="BB302" i="1"/>
  <c r="BA208" i="1"/>
  <c r="BA211" i="1"/>
  <c r="BA214" i="1"/>
  <c r="BA217" i="1"/>
  <c r="BA302" i="1"/>
  <c r="AZ302" i="1"/>
  <c r="AY302" i="1"/>
  <c r="AX302" i="1"/>
  <c r="AW302" i="1"/>
  <c r="AV302" i="1"/>
  <c r="AU302" i="1"/>
  <c r="AT302" i="1"/>
  <c r="AS302" i="1"/>
  <c r="AR302" i="1"/>
  <c r="AQ302" i="1"/>
  <c r="AP302" i="1"/>
  <c r="AO302" i="1"/>
  <c r="AN302" i="1"/>
  <c r="AM302" i="1"/>
  <c r="AL302" i="1"/>
  <c r="AK302" i="1"/>
  <c r="AJ302" i="1"/>
  <c r="AI302" i="1"/>
  <c r="AH302" i="1"/>
  <c r="AG302" i="1"/>
  <c r="AF302" i="1"/>
  <c r="AE302" i="1"/>
  <c r="AD302" i="1"/>
  <c r="AC302" i="1"/>
  <c r="AB302" i="1"/>
  <c r="AA302" i="1"/>
  <c r="Z302" i="1"/>
  <c r="Y302" i="1"/>
  <c r="X302" i="1"/>
  <c r="W302" i="1"/>
  <c r="V208" i="1"/>
  <c r="V211" i="1"/>
  <c r="V214" i="1"/>
  <c r="V217" i="1"/>
  <c r="V302" i="1"/>
  <c r="U208" i="1"/>
  <c r="U211" i="1"/>
  <c r="U214" i="1"/>
  <c r="U217" i="1"/>
  <c r="U302" i="1"/>
  <c r="T208" i="1"/>
  <c r="T211" i="1"/>
  <c r="T214" i="1"/>
  <c r="T217" i="1"/>
  <c r="T302" i="1"/>
  <c r="S302" i="1"/>
  <c r="R302" i="1"/>
  <c r="Q302" i="1"/>
  <c r="P302" i="1"/>
  <c r="O302" i="1"/>
  <c r="N302" i="1"/>
  <c r="CP301" i="1"/>
  <c r="CO301" i="1"/>
  <c r="CN301" i="1"/>
  <c r="CM301" i="1"/>
  <c r="CL301" i="1"/>
  <c r="CK301" i="1"/>
  <c r="CJ301" i="1"/>
  <c r="CI301" i="1"/>
  <c r="CH301" i="1"/>
  <c r="CG210" i="1"/>
  <c r="CG213" i="1"/>
  <c r="CG216" i="1"/>
  <c r="CG301" i="1"/>
  <c r="CF210" i="1"/>
  <c r="CF213" i="1"/>
  <c r="CF216" i="1"/>
  <c r="CF301" i="1"/>
  <c r="CE210" i="1"/>
  <c r="CE213" i="1"/>
  <c r="CE216" i="1"/>
  <c r="CE301" i="1"/>
  <c r="CD301" i="1"/>
  <c r="CC301" i="1"/>
  <c r="CB301" i="1"/>
  <c r="CA210" i="1"/>
  <c r="CA213" i="1"/>
  <c r="CA216" i="1"/>
  <c r="CA301" i="1"/>
  <c r="BZ210" i="1"/>
  <c r="BZ213" i="1"/>
  <c r="BZ216" i="1"/>
  <c r="BZ301" i="1"/>
  <c r="BY210" i="1"/>
  <c r="BY213" i="1"/>
  <c r="BY216" i="1"/>
  <c r="BY301" i="1"/>
  <c r="BX301" i="1"/>
  <c r="BW301" i="1"/>
  <c r="BV301" i="1"/>
  <c r="BU301" i="1"/>
  <c r="BT301" i="1"/>
  <c r="BS301" i="1"/>
  <c r="BR301" i="1"/>
  <c r="BQ301" i="1"/>
  <c r="BP301" i="1"/>
  <c r="BO301" i="1"/>
  <c r="BN301" i="1"/>
  <c r="BM301" i="1"/>
  <c r="BL301" i="1"/>
  <c r="BK301" i="1"/>
  <c r="BJ301" i="1"/>
  <c r="BI301" i="1"/>
  <c r="BH301" i="1"/>
  <c r="BG301" i="1"/>
  <c r="BF301" i="1"/>
  <c r="BE301" i="1"/>
  <c r="BD301" i="1"/>
  <c r="BC301" i="1"/>
  <c r="BB301" i="1"/>
  <c r="BA301" i="1"/>
  <c r="AZ210" i="1"/>
  <c r="AZ213" i="1"/>
  <c r="AZ216" i="1"/>
  <c r="AZ301" i="1"/>
  <c r="AY210" i="1"/>
  <c r="AY213" i="1"/>
  <c r="AY216" i="1"/>
  <c r="AY301" i="1"/>
  <c r="AX210" i="1"/>
  <c r="AX213" i="1"/>
  <c r="AX216" i="1"/>
  <c r="AX301" i="1"/>
  <c r="AW210" i="1"/>
  <c r="AW213" i="1"/>
  <c r="AW216" i="1"/>
  <c r="AW301" i="1"/>
  <c r="AV210" i="1"/>
  <c r="AV213" i="1"/>
  <c r="AV216" i="1"/>
  <c r="AV301" i="1"/>
  <c r="AU210" i="1"/>
  <c r="AU213" i="1"/>
  <c r="AU216" i="1"/>
  <c r="AU301" i="1"/>
  <c r="AT301" i="1"/>
  <c r="AS301" i="1"/>
  <c r="AR301" i="1"/>
  <c r="AQ301" i="1"/>
  <c r="AP301"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CP300" i="1"/>
  <c r="CO300" i="1"/>
  <c r="CN300" i="1"/>
  <c r="CM300" i="1"/>
  <c r="CL300" i="1"/>
  <c r="CK300" i="1"/>
  <c r="CJ300" i="1"/>
  <c r="CI300" i="1"/>
  <c r="CH300" i="1"/>
  <c r="CG209" i="1"/>
  <c r="CG212" i="1"/>
  <c r="CG215" i="1"/>
  <c r="CG300" i="1"/>
  <c r="CF209" i="1"/>
  <c r="CF212" i="1"/>
  <c r="CF215" i="1"/>
  <c r="CF300" i="1"/>
  <c r="CE209" i="1"/>
  <c r="CE212" i="1"/>
  <c r="CE215" i="1"/>
  <c r="CE300" i="1"/>
  <c r="CD300" i="1"/>
  <c r="CC300" i="1"/>
  <c r="CB300" i="1"/>
  <c r="CA209" i="1"/>
  <c r="CA212" i="1"/>
  <c r="CA215" i="1"/>
  <c r="CA300" i="1"/>
  <c r="BZ209" i="1"/>
  <c r="BZ212" i="1"/>
  <c r="BZ215" i="1"/>
  <c r="BZ300" i="1"/>
  <c r="BY209" i="1"/>
  <c r="BY212" i="1"/>
  <c r="BY215" i="1"/>
  <c r="BY300" i="1"/>
  <c r="BX300" i="1"/>
  <c r="BW300" i="1"/>
  <c r="BV300" i="1"/>
  <c r="BU300" i="1"/>
  <c r="BT300" i="1"/>
  <c r="BS300" i="1"/>
  <c r="BR300" i="1"/>
  <c r="BQ300" i="1"/>
  <c r="BP300" i="1"/>
  <c r="BO300" i="1"/>
  <c r="BN300" i="1"/>
  <c r="BM300" i="1"/>
  <c r="BL300" i="1"/>
  <c r="BK300" i="1"/>
  <c r="BJ300" i="1"/>
  <c r="BI300" i="1"/>
  <c r="BH300" i="1"/>
  <c r="BG300" i="1"/>
  <c r="BF300" i="1"/>
  <c r="BE300" i="1"/>
  <c r="BD300" i="1"/>
  <c r="BC300" i="1"/>
  <c r="BB300" i="1"/>
  <c r="BA300" i="1"/>
  <c r="AZ209" i="1"/>
  <c r="AZ212" i="1"/>
  <c r="AZ215" i="1"/>
  <c r="AZ300" i="1"/>
  <c r="AY209" i="1"/>
  <c r="AY212" i="1"/>
  <c r="AY215" i="1"/>
  <c r="AY300" i="1"/>
  <c r="AX209" i="1"/>
  <c r="AX212" i="1"/>
  <c r="AX215" i="1"/>
  <c r="AX300" i="1"/>
  <c r="AW209" i="1"/>
  <c r="AW212" i="1"/>
  <c r="AW215" i="1"/>
  <c r="AW300" i="1"/>
  <c r="AV209" i="1"/>
  <c r="AV212" i="1"/>
  <c r="AV215" i="1"/>
  <c r="AV300" i="1"/>
  <c r="AU209" i="1"/>
  <c r="AU212" i="1"/>
  <c r="AU215" i="1"/>
  <c r="AU300" i="1"/>
  <c r="AT300" i="1"/>
  <c r="AS300" i="1"/>
  <c r="AR300" i="1"/>
  <c r="AQ300" i="1"/>
  <c r="AP300" i="1"/>
  <c r="AO300" i="1"/>
  <c r="AN300" i="1"/>
  <c r="AM300" i="1"/>
  <c r="AL300" i="1"/>
  <c r="AK300" i="1"/>
  <c r="AJ300" i="1"/>
  <c r="AI300" i="1"/>
  <c r="AH300" i="1"/>
  <c r="AG300" i="1"/>
  <c r="AF300" i="1"/>
  <c r="AE300" i="1"/>
  <c r="AD300" i="1"/>
  <c r="AC300" i="1"/>
  <c r="AB300" i="1"/>
  <c r="AA300" i="1"/>
  <c r="Z300" i="1"/>
  <c r="Y300" i="1"/>
  <c r="X300" i="1"/>
  <c r="W300" i="1"/>
  <c r="V300" i="1"/>
  <c r="U300" i="1"/>
  <c r="T300" i="1"/>
  <c r="S300" i="1"/>
  <c r="R300" i="1"/>
  <c r="Q300" i="1"/>
  <c r="P300" i="1"/>
  <c r="O300" i="1"/>
  <c r="N300" i="1"/>
  <c r="CP299" i="1"/>
  <c r="CO299" i="1"/>
  <c r="CN299" i="1"/>
  <c r="CM299" i="1"/>
  <c r="CL299" i="1"/>
  <c r="CK299" i="1"/>
  <c r="CJ299" i="1"/>
  <c r="CI299" i="1"/>
  <c r="CH299" i="1"/>
  <c r="CG208" i="1"/>
  <c r="CG211" i="1"/>
  <c r="CG214" i="1"/>
  <c r="CG299" i="1"/>
  <c r="CF208" i="1"/>
  <c r="CF211" i="1"/>
  <c r="CF214" i="1"/>
  <c r="CF299" i="1"/>
  <c r="CE208" i="1"/>
  <c r="CE211" i="1"/>
  <c r="CE214" i="1"/>
  <c r="CE299" i="1"/>
  <c r="CD299" i="1"/>
  <c r="CC299" i="1"/>
  <c r="CB299" i="1"/>
  <c r="CA208" i="1"/>
  <c r="CA211" i="1"/>
  <c r="CA214" i="1"/>
  <c r="CA299" i="1"/>
  <c r="BZ208" i="1"/>
  <c r="BZ211" i="1"/>
  <c r="BZ214" i="1"/>
  <c r="BZ299" i="1"/>
  <c r="BY208" i="1"/>
  <c r="BY211" i="1"/>
  <c r="BY214" i="1"/>
  <c r="BY299" i="1"/>
  <c r="BX299" i="1"/>
  <c r="BW299" i="1"/>
  <c r="BV299" i="1"/>
  <c r="BU299" i="1"/>
  <c r="BT299" i="1"/>
  <c r="BS299" i="1"/>
  <c r="BR299" i="1"/>
  <c r="BQ299" i="1"/>
  <c r="BP299" i="1"/>
  <c r="BO299" i="1"/>
  <c r="BN299" i="1"/>
  <c r="BM299" i="1"/>
  <c r="BL299" i="1"/>
  <c r="BK299" i="1"/>
  <c r="BJ299" i="1"/>
  <c r="BI299" i="1"/>
  <c r="BH299" i="1"/>
  <c r="BG299" i="1"/>
  <c r="BF299" i="1"/>
  <c r="BE299" i="1"/>
  <c r="BD299" i="1"/>
  <c r="BC299" i="1"/>
  <c r="BB299" i="1"/>
  <c r="BA299" i="1"/>
  <c r="AZ208" i="1"/>
  <c r="AZ211" i="1"/>
  <c r="AZ214" i="1"/>
  <c r="AZ299" i="1"/>
  <c r="AY208" i="1"/>
  <c r="AY211" i="1"/>
  <c r="AY214" i="1"/>
  <c r="AY299" i="1"/>
  <c r="AX208" i="1"/>
  <c r="AX211" i="1"/>
  <c r="AX214" i="1"/>
  <c r="AX299" i="1"/>
  <c r="AW208" i="1"/>
  <c r="AW211" i="1"/>
  <c r="AW214" i="1"/>
  <c r="AW299" i="1"/>
  <c r="AV208" i="1"/>
  <c r="AV211" i="1"/>
  <c r="AV214" i="1"/>
  <c r="AV299" i="1"/>
  <c r="AU208" i="1"/>
  <c r="AU211" i="1"/>
  <c r="AU214" i="1"/>
  <c r="AU299" i="1"/>
  <c r="AT299" i="1"/>
  <c r="AS299" i="1"/>
  <c r="AR299" i="1"/>
  <c r="AQ299" i="1"/>
  <c r="AP299" i="1"/>
  <c r="AO299" i="1"/>
  <c r="AN299" i="1"/>
  <c r="AM299" i="1"/>
  <c r="AL299" i="1"/>
  <c r="AK299" i="1"/>
  <c r="AJ299" i="1"/>
  <c r="AI299" i="1"/>
  <c r="AH299" i="1"/>
  <c r="AG299" i="1"/>
  <c r="AF299" i="1"/>
  <c r="AE299" i="1"/>
  <c r="AD299" i="1"/>
  <c r="AC299" i="1"/>
  <c r="AB299" i="1"/>
  <c r="AA299" i="1"/>
  <c r="Z299" i="1"/>
  <c r="Y299" i="1"/>
  <c r="X299" i="1"/>
  <c r="W299" i="1"/>
  <c r="V299" i="1"/>
  <c r="U299" i="1"/>
  <c r="T299" i="1"/>
  <c r="S299" i="1"/>
  <c r="R299" i="1"/>
  <c r="Q299" i="1"/>
  <c r="P299" i="1"/>
  <c r="O299" i="1"/>
  <c r="N299" i="1"/>
  <c r="CP298" i="1"/>
  <c r="CO298" i="1"/>
  <c r="CN298" i="1"/>
  <c r="CM298" i="1"/>
  <c r="CL298" i="1"/>
  <c r="CK298" i="1"/>
  <c r="CJ298" i="1"/>
  <c r="CI298" i="1"/>
  <c r="CH298" i="1"/>
  <c r="CG298" i="1"/>
  <c r="CF298" i="1"/>
  <c r="CE298" i="1"/>
  <c r="CD298" i="1"/>
  <c r="CC298" i="1"/>
  <c r="CB298" i="1"/>
  <c r="CA298" i="1"/>
  <c r="BZ298" i="1"/>
  <c r="BY298" i="1"/>
  <c r="BX298" i="1"/>
  <c r="BW298" i="1"/>
  <c r="BV298" i="1"/>
  <c r="BU298" i="1"/>
  <c r="BT298" i="1"/>
  <c r="BS298" i="1"/>
  <c r="BR298" i="1"/>
  <c r="BQ298" i="1"/>
  <c r="BP298" i="1"/>
  <c r="BO207" i="1"/>
  <c r="BO210" i="1"/>
  <c r="BO213" i="1"/>
  <c r="BO298" i="1"/>
  <c r="BN207" i="1"/>
  <c r="BN210" i="1"/>
  <c r="BN213" i="1"/>
  <c r="BN298" i="1"/>
  <c r="BM207" i="1"/>
  <c r="BM210" i="1"/>
  <c r="BM213" i="1"/>
  <c r="BM298" i="1"/>
  <c r="BL298" i="1"/>
  <c r="BK298" i="1"/>
  <c r="BJ298" i="1"/>
  <c r="BI298" i="1"/>
  <c r="BH298" i="1"/>
  <c r="BG298" i="1"/>
  <c r="BF298" i="1"/>
  <c r="BE298" i="1"/>
  <c r="BD298" i="1"/>
  <c r="BC298" i="1"/>
  <c r="BB298" i="1"/>
  <c r="BA298" i="1"/>
  <c r="AZ298" i="1"/>
  <c r="AY298" i="1"/>
  <c r="AX298" i="1"/>
  <c r="AW298" i="1"/>
  <c r="AV298" i="1"/>
  <c r="AU298" i="1"/>
  <c r="AT210" i="1"/>
  <c r="AT213" i="1"/>
  <c r="AT298" i="1"/>
  <c r="AS210" i="1"/>
  <c r="AS213" i="1"/>
  <c r="AS298" i="1"/>
  <c r="AR210" i="1"/>
  <c r="AR213" i="1"/>
  <c r="AR298" i="1"/>
  <c r="AQ298" i="1"/>
  <c r="AP298" i="1"/>
  <c r="AO298" i="1"/>
  <c r="AN298" i="1"/>
  <c r="AM298" i="1"/>
  <c r="AL298" i="1"/>
  <c r="AK298" i="1"/>
  <c r="AJ298" i="1"/>
  <c r="AI298" i="1"/>
  <c r="AH298" i="1"/>
  <c r="AG298" i="1"/>
  <c r="AF298" i="1"/>
  <c r="AE298" i="1"/>
  <c r="AD298" i="1"/>
  <c r="AC298" i="1"/>
  <c r="AB298" i="1"/>
  <c r="AA298" i="1"/>
  <c r="Z298" i="1"/>
  <c r="Y298" i="1"/>
  <c r="X298" i="1"/>
  <c r="W298" i="1"/>
  <c r="V298" i="1"/>
  <c r="U298" i="1"/>
  <c r="T298" i="1"/>
  <c r="S298" i="1"/>
  <c r="R298" i="1"/>
  <c r="Q298" i="1"/>
  <c r="P298" i="1"/>
  <c r="O298" i="1"/>
  <c r="N298" i="1"/>
  <c r="CP297" i="1"/>
  <c r="CO297" i="1"/>
  <c r="CN297" i="1"/>
  <c r="CM297" i="1"/>
  <c r="CL297" i="1"/>
  <c r="CK297" i="1"/>
  <c r="CJ297" i="1"/>
  <c r="CI297" i="1"/>
  <c r="CH297" i="1"/>
  <c r="CG297" i="1"/>
  <c r="CF297" i="1"/>
  <c r="CE297" i="1"/>
  <c r="CD297" i="1"/>
  <c r="CC297" i="1"/>
  <c r="CB297" i="1"/>
  <c r="CA297" i="1"/>
  <c r="BZ297" i="1"/>
  <c r="BY297" i="1"/>
  <c r="BX297" i="1"/>
  <c r="BW297" i="1"/>
  <c r="BV297" i="1"/>
  <c r="BU297" i="1"/>
  <c r="BT297" i="1"/>
  <c r="BS297" i="1"/>
  <c r="BR297" i="1"/>
  <c r="BQ297" i="1"/>
  <c r="BP297" i="1"/>
  <c r="BO206" i="1"/>
  <c r="BO209" i="1"/>
  <c r="BO212" i="1"/>
  <c r="BO297" i="1"/>
  <c r="BN206" i="1"/>
  <c r="BN209" i="1"/>
  <c r="BN212" i="1"/>
  <c r="BN297" i="1"/>
  <c r="BM206" i="1"/>
  <c r="BM209" i="1"/>
  <c r="BM212" i="1"/>
  <c r="BM297" i="1"/>
  <c r="BL297" i="1"/>
  <c r="BK297" i="1"/>
  <c r="BJ297" i="1"/>
  <c r="BI297" i="1"/>
  <c r="BH297" i="1"/>
  <c r="BG297" i="1"/>
  <c r="BF297" i="1"/>
  <c r="BE297" i="1"/>
  <c r="BD297" i="1"/>
  <c r="BC297" i="1"/>
  <c r="BB297" i="1"/>
  <c r="BA297" i="1"/>
  <c r="AZ297" i="1"/>
  <c r="AY297" i="1"/>
  <c r="AX297" i="1"/>
  <c r="AW297" i="1"/>
  <c r="AV297" i="1"/>
  <c r="AU297" i="1"/>
  <c r="AT209" i="1"/>
  <c r="AT212" i="1"/>
  <c r="AT297" i="1"/>
  <c r="AS209" i="1"/>
  <c r="AS212" i="1"/>
  <c r="AS297" i="1"/>
  <c r="AR209" i="1"/>
  <c r="AR212" i="1"/>
  <c r="AR297" i="1"/>
  <c r="AQ297" i="1"/>
  <c r="AP297" i="1"/>
  <c r="AO297" i="1"/>
  <c r="AN297" i="1"/>
  <c r="AM297" i="1"/>
  <c r="AL297" i="1"/>
  <c r="AK297" i="1"/>
  <c r="AJ297" i="1"/>
  <c r="AI297" i="1"/>
  <c r="AH297" i="1"/>
  <c r="AG297" i="1"/>
  <c r="AF297" i="1"/>
  <c r="AE297" i="1"/>
  <c r="AD297" i="1"/>
  <c r="AC297" i="1"/>
  <c r="AB297" i="1"/>
  <c r="AA297" i="1"/>
  <c r="Z297" i="1"/>
  <c r="Y297" i="1"/>
  <c r="X297" i="1"/>
  <c r="W297" i="1"/>
  <c r="V297" i="1"/>
  <c r="U297" i="1"/>
  <c r="T297" i="1"/>
  <c r="S297" i="1"/>
  <c r="R297" i="1"/>
  <c r="Q297" i="1"/>
  <c r="P297" i="1"/>
  <c r="O297" i="1"/>
  <c r="N297" i="1"/>
  <c r="CP296" i="1"/>
  <c r="CO296" i="1"/>
  <c r="CN296" i="1"/>
  <c r="CM296" i="1"/>
  <c r="CL296" i="1"/>
  <c r="CK296" i="1"/>
  <c r="CJ296" i="1"/>
  <c r="CI296" i="1"/>
  <c r="CH296" i="1"/>
  <c r="CG296" i="1"/>
  <c r="CF296" i="1"/>
  <c r="CE296" i="1"/>
  <c r="CD296" i="1"/>
  <c r="CC296" i="1"/>
  <c r="CB296" i="1"/>
  <c r="CA296" i="1"/>
  <c r="BZ296" i="1"/>
  <c r="BY296" i="1"/>
  <c r="BX296" i="1"/>
  <c r="BW296" i="1"/>
  <c r="BV296" i="1"/>
  <c r="BU296" i="1"/>
  <c r="BT296" i="1"/>
  <c r="BS296" i="1"/>
  <c r="BR296" i="1"/>
  <c r="BQ296" i="1"/>
  <c r="BP296" i="1"/>
  <c r="BO205" i="1"/>
  <c r="BO208" i="1"/>
  <c r="BO211" i="1"/>
  <c r="BO296" i="1"/>
  <c r="BN205" i="1"/>
  <c r="BN208" i="1"/>
  <c r="BN211" i="1"/>
  <c r="BN296" i="1"/>
  <c r="BM205" i="1"/>
  <c r="BM208" i="1"/>
  <c r="BM211" i="1"/>
  <c r="BM296" i="1"/>
  <c r="BL296" i="1"/>
  <c r="BK296" i="1"/>
  <c r="BJ296" i="1"/>
  <c r="BI296" i="1"/>
  <c r="BH296" i="1"/>
  <c r="BG296" i="1"/>
  <c r="BF296" i="1"/>
  <c r="BE296" i="1"/>
  <c r="BD296" i="1"/>
  <c r="BC296" i="1"/>
  <c r="BB296" i="1"/>
  <c r="BA296" i="1"/>
  <c r="AZ296" i="1"/>
  <c r="AY296" i="1"/>
  <c r="AX296" i="1"/>
  <c r="AW296" i="1"/>
  <c r="AV296" i="1"/>
  <c r="AU296" i="1"/>
  <c r="AT208" i="1"/>
  <c r="AT211" i="1"/>
  <c r="AT296" i="1"/>
  <c r="AS208" i="1"/>
  <c r="AS211" i="1"/>
  <c r="AS296" i="1"/>
  <c r="AR208" i="1"/>
  <c r="AR211" i="1"/>
  <c r="AR296" i="1"/>
  <c r="AQ296" i="1"/>
  <c r="AP296" i="1"/>
  <c r="AO296" i="1"/>
  <c r="AN296" i="1"/>
  <c r="AM296" i="1"/>
  <c r="AL296" i="1"/>
  <c r="AK296" i="1"/>
  <c r="AJ296" i="1"/>
  <c r="AI296" i="1"/>
  <c r="AH296" i="1"/>
  <c r="AG296" i="1"/>
  <c r="AF296" i="1"/>
  <c r="AE296" i="1"/>
  <c r="AD296" i="1"/>
  <c r="AC296" i="1"/>
  <c r="AB296" i="1"/>
  <c r="AA296" i="1"/>
  <c r="Z296" i="1"/>
  <c r="Y296" i="1"/>
  <c r="X296" i="1"/>
  <c r="W296" i="1"/>
  <c r="V296" i="1"/>
  <c r="U296" i="1"/>
  <c r="T296" i="1"/>
  <c r="S296" i="1"/>
  <c r="R296" i="1"/>
  <c r="Q296" i="1"/>
  <c r="P296" i="1"/>
  <c r="O296" i="1"/>
  <c r="N296" i="1"/>
  <c r="CP295" i="1"/>
  <c r="CO295" i="1"/>
  <c r="CN295" i="1"/>
  <c r="CM295" i="1"/>
  <c r="CL295" i="1"/>
  <c r="CK295" i="1"/>
  <c r="CJ295" i="1"/>
  <c r="CI295" i="1"/>
  <c r="CH295" i="1"/>
  <c r="CG295" i="1"/>
  <c r="CF295" i="1"/>
  <c r="CE295" i="1"/>
  <c r="CD295" i="1"/>
  <c r="CC295" i="1"/>
  <c r="CB295" i="1"/>
  <c r="CA295" i="1"/>
  <c r="BZ295" i="1"/>
  <c r="BY295" i="1"/>
  <c r="BX295" i="1"/>
  <c r="BW295" i="1"/>
  <c r="BV295" i="1"/>
  <c r="BU295" i="1"/>
  <c r="BT295" i="1"/>
  <c r="BS295" i="1"/>
  <c r="BR295" i="1"/>
  <c r="BQ295" i="1"/>
  <c r="BP295" i="1"/>
  <c r="BO295" i="1"/>
  <c r="BN295" i="1"/>
  <c r="BM295" i="1"/>
  <c r="BL295" i="1"/>
  <c r="BK295" i="1"/>
  <c r="BJ295" i="1"/>
  <c r="BI295" i="1"/>
  <c r="BH295" i="1"/>
  <c r="BG295" i="1"/>
  <c r="BF295" i="1"/>
  <c r="BE295" i="1"/>
  <c r="BD295" i="1"/>
  <c r="BC295" i="1"/>
  <c r="BB295" i="1"/>
  <c r="BA295" i="1"/>
  <c r="AZ295" i="1"/>
  <c r="AY295" i="1"/>
  <c r="AX295" i="1"/>
  <c r="AW295" i="1"/>
  <c r="AV295" i="1"/>
  <c r="AU295" i="1"/>
  <c r="AT295" i="1"/>
  <c r="AS295" i="1"/>
  <c r="AR295" i="1"/>
  <c r="AQ295" i="1"/>
  <c r="AP295" i="1"/>
  <c r="AO295" i="1"/>
  <c r="AN295" i="1"/>
  <c r="AM295" i="1"/>
  <c r="AL295" i="1"/>
  <c r="AK295" i="1"/>
  <c r="AJ295" i="1"/>
  <c r="AI295" i="1"/>
  <c r="AH295" i="1"/>
  <c r="AG295" i="1"/>
  <c r="AF295" i="1"/>
  <c r="AE295" i="1"/>
  <c r="AD295" i="1"/>
  <c r="AC295" i="1"/>
  <c r="AB295" i="1"/>
  <c r="AA295" i="1"/>
  <c r="Z295" i="1"/>
  <c r="Y295" i="1"/>
  <c r="X295" i="1"/>
  <c r="W295" i="1"/>
  <c r="V295" i="1"/>
  <c r="U295" i="1"/>
  <c r="T295" i="1"/>
  <c r="S295" i="1"/>
  <c r="R295" i="1"/>
  <c r="Q295" i="1"/>
  <c r="P295" i="1"/>
  <c r="O295" i="1"/>
  <c r="N295" i="1"/>
  <c r="CP294" i="1"/>
  <c r="CO294" i="1"/>
  <c r="CN294" i="1"/>
  <c r="CM294" i="1"/>
  <c r="CL294" i="1"/>
  <c r="CK294" i="1"/>
  <c r="CJ294" i="1"/>
  <c r="CI294" i="1"/>
  <c r="CH294" i="1"/>
  <c r="CG294" i="1"/>
  <c r="CF294" i="1"/>
  <c r="CE294" i="1"/>
  <c r="CD294" i="1"/>
  <c r="CC294" i="1"/>
  <c r="CB294" i="1"/>
  <c r="CA294" i="1"/>
  <c r="BZ294" i="1"/>
  <c r="BY294" i="1"/>
  <c r="BX294" i="1"/>
  <c r="BW294" i="1"/>
  <c r="BV294" i="1"/>
  <c r="BU294" i="1"/>
  <c r="BT294" i="1"/>
  <c r="BS294" i="1"/>
  <c r="BR294" i="1"/>
  <c r="BQ294" i="1"/>
  <c r="BP294" i="1"/>
  <c r="BO294" i="1"/>
  <c r="BN294" i="1"/>
  <c r="BM294" i="1"/>
  <c r="BL294" i="1"/>
  <c r="BK294" i="1"/>
  <c r="BJ294" i="1"/>
  <c r="BI294" i="1"/>
  <c r="BH294" i="1"/>
  <c r="BG294" i="1"/>
  <c r="BF294" i="1"/>
  <c r="BE294" i="1"/>
  <c r="BD294" i="1"/>
  <c r="BC294" i="1"/>
  <c r="BB294" i="1"/>
  <c r="BA294" i="1"/>
  <c r="AZ294" i="1"/>
  <c r="AY294" i="1"/>
  <c r="AX294" i="1"/>
  <c r="AW294" i="1"/>
  <c r="AV294" i="1"/>
  <c r="AU294" i="1"/>
  <c r="AT294" i="1"/>
  <c r="AS294" i="1"/>
  <c r="AR294" i="1"/>
  <c r="AQ294" i="1"/>
  <c r="AP294" i="1"/>
  <c r="AO294" i="1"/>
  <c r="AN294" i="1"/>
  <c r="AM294" i="1"/>
  <c r="AL294" i="1"/>
  <c r="AK294" i="1"/>
  <c r="AJ294" i="1"/>
  <c r="AI294" i="1"/>
  <c r="AH294" i="1"/>
  <c r="AG294" i="1"/>
  <c r="AF294" i="1"/>
  <c r="AE294" i="1"/>
  <c r="AD294" i="1"/>
  <c r="AC294" i="1"/>
  <c r="AB294" i="1"/>
  <c r="AA294" i="1"/>
  <c r="Z294" i="1"/>
  <c r="Y294" i="1"/>
  <c r="X294" i="1"/>
  <c r="W294" i="1"/>
  <c r="V294" i="1"/>
  <c r="U294" i="1"/>
  <c r="T294" i="1"/>
  <c r="S294" i="1"/>
  <c r="R294" i="1"/>
  <c r="Q294" i="1"/>
  <c r="P294" i="1"/>
  <c r="O294" i="1"/>
  <c r="N294" i="1"/>
  <c r="CP293" i="1"/>
  <c r="CO293" i="1"/>
  <c r="CN293" i="1"/>
  <c r="CM293" i="1"/>
  <c r="CL293" i="1"/>
  <c r="CK293" i="1"/>
  <c r="CJ293" i="1"/>
  <c r="CI293" i="1"/>
  <c r="CH293" i="1"/>
  <c r="CG293" i="1"/>
  <c r="CF293" i="1"/>
  <c r="CE293" i="1"/>
  <c r="CD293" i="1"/>
  <c r="CC293" i="1"/>
  <c r="CB293" i="1"/>
  <c r="CA293" i="1"/>
  <c r="BZ293" i="1"/>
  <c r="BY293" i="1"/>
  <c r="BX293" i="1"/>
  <c r="BW293" i="1"/>
  <c r="BV293" i="1"/>
  <c r="BU293" i="1"/>
  <c r="BT293" i="1"/>
  <c r="BS293" i="1"/>
  <c r="BR293" i="1"/>
  <c r="BQ293" i="1"/>
  <c r="BP293" i="1"/>
  <c r="BO293" i="1"/>
  <c r="BN293" i="1"/>
  <c r="BM293" i="1"/>
  <c r="BL293" i="1"/>
  <c r="BK293" i="1"/>
  <c r="BJ293" i="1"/>
  <c r="BI293" i="1"/>
  <c r="BH293" i="1"/>
  <c r="BG293" i="1"/>
  <c r="BF293" i="1"/>
  <c r="BE293" i="1"/>
  <c r="BD293" i="1"/>
  <c r="BC293" i="1"/>
  <c r="BB293" i="1"/>
  <c r="BA293" i="1"/>
  <c r="AZ293" i="1"/>
  <c r="AY293" i="1"/>
  <c r="AX293" i="1"/>
  <c r="AW293" i="1"/>
  <c r="AV293" i="1"/>
  <c r="AU293" i="1"/>
  <c r="AT293" i="1"/>
  <c r="AS293" i="1"/>
  <c r="AR293" i="1"/>
  <c r="AQ293" i="1"/>
  <c r="AP293" i="1"/>
  <c r="AO293" i="1"/>
  <c r="AN293" i="1"/>
  <c r="AM293" i="1"/>
  <c r="AL293" i="1"/>
  <c r="AK293" i="1"/>
  <c r="AJ293" i="1"/>
  <c r="AI293" i="1"/>
  <c r="AH293" i="1"/>
  <c r="AG293" i="1"/>
  <c r="AF293" i="1"/>
  <c r="AE293" i="1"/>
  <c r="AD293" i="1"/>
  <c r="AC293" i="1"/>
  <c r="AB293" i="1"/>
  <c r="AA293" i="1"/>
  <c r="Z293" i="1"/>
  <c r="Y293" i="1"/>
  <c r="X293" i="1"/>
  <c r="W293" i="1"/>
  <c r="V293" i="1"/>
  <c r="U293" i="1"/>
  <c r="T293" i="1"/>
  <c r="S293" i="1"/>
  <c r="R293" i="1"/>
  <c r="Q293" i="1"/>
  <c r="P293" i="1"/>
  <c r="O293" i="1"/>
  <c r="N293" i="1"/>
  <c r="CP292" i="1"/>
  <c r="CO292" i="1"/>
  <c r="CN292" i="1"/>
  <c r="CM292" i="1"/>
  <c r="CL292" i="1"/>
  <c r="CK292" i="1"/>
  <c r="CJ292" i="1"/>
  <c r="CI292" i="1"/>
  <c r="CH292" i="1"/>
  <c r="CG292" i="1"/>
  <c r="CF292" i="1"/>
  <c r="CE292" i="1"/>
  <c r="CD292" i="1"/>
  <c r="CC292" i="1"/>
  <c r="CB292" i="1"/>
  <c r="CA292" i="1"/>
  <c r="BZ292" i="1"/>
  <c r="BY292" i="1"/>
  <c r="BX292" i="1"/>
  <c r="BW292" i="1"/>
  <c r="BV292" i="1"/>
  <c r="BU292" i="1"/>
  <c r="BT292" i="1"/>
  <c r="BS292" i="1"/>
  <c r="BR292" i="1"/>
  <c r="BQ292" i="1"/>
  <c r="BP292" i="1"/>
  <c r="BO292" i="1"/>
  <c r="BN292" i="1"/>
  <c r="BM292" i="1"/>
  <c r="BL292" i="1"/>
  <c r="BK292" i="1"/>
  <c r="BJ292" i="1"/>
  <c r="BI292" i="1"/>
  <c r="BH292" i="1"/>
  <c r="BG292" i="1"/>
  <c r="BF292" i="1"/>
  <c r="BE292" i="1"/>
  <c r="BD292" i="1"/>
  <c r="BC292" i="1"/>
  <c r="BB292" i="1"/>
  <c r="BA292" i="1"/>
  <c r="AZ292" i="1"/>
  <c r="AY292" i="1"/>
  <c r="AX292" i="1"/>
  <c r="AW292" i="1"/>
  <c r="AV292" i="1"/>
  <c r="AU292" i="1"/>
  <c r="AT292" i="1"/>
  <c r="AS292" i="1"/>
  <c r="AR292" i="1"/>
  <c r="AQ292" i="1"/>
  <c r="AP292" i="1"/>
  <c r="AO292" i="1"/>
  <c r="AN292" i="1"/>
  <c r="AM292" i="1"/>
  <c r="AL292" i="1"/>
  <c r="AK292" i="1"/>
  <c r="AJ292" i="1"/>
  <c r="AI292" i="1"/>
  <c r="AH292" i="1"/>
  <c r="AG292" i="1"/>
  <c r="AF292" i="1"/>
  <c r="AE292" i="1"/>
  <c r="AD292" i="1"/>
  <c r="AC292" i="1"/>
  <c r="AB292" i="1"/>
  <c r="AA292" i="1"/>
  <c r="Z292" i="1"/>
  <c r="Y292" i="1"/>
  <c r="X292" i="1"/>
  <c r="W292" i="1"/>
  <c r="V292" i="1"/>
  <c r="U292" i="1"/>
  <c r="T292" i="1"/>
  <c r="S292" i="1"/>
  <c r="R292" i="1"/>
  <c r="Q292" i="1"/>
  <c r="P292" i="1"/>
  <c r="O292" i="1"/>
  <c r="N292" i="1"/>
  <c r="CP291" i="1"/>
  <c r="CO291" i="1"/>
  <c r="CN291" i="1"/>
  <c r="CM291" i="1"/>
  <c r="CL291" i="1"/>
  <c r="CK291" i="1"/>
  <c r="CJ291" i="1"/>
  <c r="CI291" i="1"/>
  <c r="CH291" i="1"/>
  <c r="CG291" i="1"/>
  <c r="CF291" i="1"/>
  <c r="CE291" i="1"/>
  <c r="CD291" i="1"/>
  <c r="CC291" i="1"/>
  <c r="CB291" i="1"/>
  <c r="CA291" i="1"/>
  <c r="BZ291" i="1"/>
  <c r="BY291" i="1"/>
  <c r="BX291" i="1"/>
  <c r="BW291" i="1"/>
  <c r="BV291" i="1"/>
  <c r="BU291" i="1"/>
  <c r="BT291" i="1"/>
  <c r="BS291" i="1"/>
  <c r="BR291" i="1"/>
  <c r="BQ291" i="1"/>
  <c r="BP291" i="1"/>
  <c r="BO291" i="1"/>
  <c r="BN291" i="1"/>
  <c r="BM291" i="1"/>
  <c r="BL291" i="1"/>
  <c r="BK291" i="1"/>
  <c r="BJ291" i="1"/>
  <c r="BI291" i="1"/>
  <c r="BH291" i="1"/>
  <c r="BG291" i="1"/>
  <c r="BF291" i="1"/>
  <c r="BE291" i="1"/>
  <c r="BD291" i="1"/>
  <c r="BC291" i="1"/>
  <c r="BB291" i="1"/>
  <c r="BA291" i="1"/>
  <c r="AZ291" i="1"/>
  <c r="AY291" i="1"/>
  <c r="AX291" i="1"/>
  <c r="AW291" i="1"/>
  <c r="AV291" i="1"/>
  <c r="AU291" i="1"/>
  <c r="AT291" i="1"/>
  <c r="AS291" i="1"/>
  <c r="AR291" i="1"/>
  <c r="AQ291" i="1"/>
  <c r="AP291" i="1"/>
  <c r="AO291" i="1"/>
  <c r="AN291" i="1"/>
  <c r="AM291" i="1"/>
  <c r="AL291" i="1"/>
  <c r="AK291" i="1"/>
  <c r="AJ291" i="1"/>
  <c r="AI291" i="1"/>
  <c r="AH291" i="1"/>
  <c r="AG291" i="1"/>
  <c r="AF291" i="1"/>
  <c r="AE291" i="1"/>
  <c r="AD291" i="1"/>
  <c r="AC291" i="1"/>
  <c r="AB291" i="1"/>
  <c r="AA291" i="1"/>
  <c r="Z291" i="1"/>
  <c r="Y291" i="1"/>
  <c r="X291" i="1"/>
  <c r="W291" i="1"/>
  <c r="V291" i="1"/>
  <c r="U291" i="1"/>
  <c r="T291" i="1"/>
  <c r="S291" i="1"/>
  <c r="R291" i="1"/>
  <c r="Q291" i="1"/>
  <c r="P291" i="1"/>
  <c r="O291" i="1"/>
  <c r="N291" i="1"/>
  <c r="CP290" i="1"/>
  <c r="CO290" i="1"/>
  <c r="CN290" i="1"/>
  <c r="CM290" i="1"/>
  <c r="CL290" i="1"/>
  <c r="CK290" i="1"/>
  <c r="CJ290" i="1"/>
  <c r="CI290" i="1"/>
  <c r="CH290" i="1"/>
  <c r="CG290" i="1"/>
  <c r="CF290" i="1"/>
  <c r="CE290" i="1"/>
  <c r="CD290" i="1"/>
  <c r="CC290" i="1"/>
  <c r="CB290" i="1"/>
  <c r="CA290" i="1"/>
  <c r="BZ290" i="1"/>
  <c r="BY290" i="1"/>
  <c r="BX290" i="1"/>
  <c r="BW290" i="1"/>
  <c r="BV290" i="1"/>
  <c r="BU290" i="1"/>
  <c r="BT290" i="1"/>
  <c r="BS290" i="1"/>
  <c r="BR290" i="1"/>
  <c r="BQ290" i="1"/>
  <c r="BP290" i="1"/>
  <c r="BO290" i="1"/>
  <c r="BN290" i="1"/>
  <c r="BM290" i="1"/>
  <c r="BL290" i="1"/>
  <c r="BK290" i="1"/>
  <c r="BJ290" i="1"/>
  <c r="BI290" i="1"/>
  <c r="BH290" i="1"/>
  <c r="BG290" i="1"/>
  <c r="BF290" i="1"/>
  <c r="BE290" i="1"/>
  <c r="BD290" i="1"/>
  <c r="BC290" i="1"/>
  <c r="BB290" i="1"/>
  <c r="BA290" i="1"/>
  <c r="AZ290" i="1"/>
  <c r="AY290" i="1"/>
  <c r="AX290" i="1"/>
  <c r="AW290" i="1"/>
  <c r="AV290" i="1"/>
  <c r="AU290" i="1"/>
  <c r="AT290" i="1"/>
  <c r="AS290" i="1"/>
  <c r="AR290" i="1"/>
  <c r="AQ290" i="1"/>
  <c r="AP290" i="1"/>
  <c r="AO290" i="1"/>
  <c r="AN290" i="1"/>
  <c r="AM290" i="1"/>
  <c r="AL290" i="1"/>
  <c r="AK290" i="1"/>
  <c r="AJ290" i="1"/>
  <c r="AI290" i="1"/>
  <c r="AH290" i="1"/>
  <c r="AG290" i="1"/>
  <c r="AF290" i="1"/>
  <c r="AE290" i="1"/>
  <c r="AD290" i="1"/>
  <c r="AC290" i="1"/>
  <c r="AB290" i="1"/>
  <c r="AA290" i="1"/>
  <c r="Z290" i="1"/>
  <c r="Y290" i="1"/>
  <c r="X290" i="1"/>
  <c r="W290" i="1"/>
  <c r="V290" i="1"/>
  <c r="U290" i="1"/>
  <c r="T290" i="1"/>
  <c r="S290" i="1"/>
  <c r="R290" i="1"/>
  <c r="Q290" i="1"/>
  <c r="P290" i="1"/>
  <c r="O290" i="1"/>
  <c r="FG77" i="1"/>
  <c r="FH77" i="1"/>
  <c r="FI77" i="1"/>
  <c r="FJ77" i="1"/>
  <c r="FK77" i="1"/>
  <c r="FL77" i="1"/>
  <c r="FM77" i="1"/>
  <c r="FN77" i="1"/>
  <c r="FO77" i="1"/>
  <c r="FP77" i="1"/>
  <c r="FQ77" i="1"/>
  <c r="FR77" i="1"/>
  <c r="FS77" i="1"/>
  <c r="FT77" i="1"/>
  <c r="FU77" i="1"/>
  <c r="FV77" i="1"/>
  <c r="FW77" i="1"/>
  <c r="FX77" i="1"/>
  <c r="FY77" i="1"/>
  <c r="FZ77" i="1"/>
  <c r="GA77" i="1"/>
  <c r="GB77" i="1"/>
  <c r="GC77" i="1"/>
  <c r="GD77" i="1"/>
  <c r="GE77" i="1"/>
  <c r="GF77" i="1"/>
  <c r="FF78" i="1"/>
  <c r="FG78" i="1"/>
  <c r="FH78" i="1"/>
  <c r="FI78" i="1"/>
  <c r="FJ78" i="1"/>
  <c r="FK78" i="1"/>
  <c r="FL78" i="1"/>
  <c r="FM78" i="1"/>
  <c r="FN78" i="1"/>
  <c r="FO78" i="1"/>
  <c r="FP78" i="1"/>
  <c r="FQ78" i="1"/>
  <c r="FR78" i="1"/>
  <c r="FS78" i="1"/>
  <c r="FT78" i="1"/>
  <c r="FU78" i="1"/>
  <c r="FV78" i="1"/>
  <c r="FW78" i="1"/>
  <c r="FX78" i="1"/>
  <c r="FY78" i="1"/>
  <c r="FZ78" i="1"/>
  <c r="GA78" i="1"/>
  <c r="GB78" i="1"/>
  <c r="GC78" i="1"/>
  <c r="GD78" i="1"/>
  <c r="GE78" i="1"/>
  <c r="GF78" i="1"/>
  <c r="FF79" i="1"/>
  <c r="FG79" i="1"/>
  <c r="FH79" i="1"/>
  <c r="FI79" i="1"/>
  <c r="FJ79" i="1"/>
  <c r="FK79" i="1"/>
  <c r="FL79" i="1"/>
  <c r="FM79" i="1"/>
  <c r="FN79" i="1"/>
  <c r="FO79" i="1"/>
  <c r="FP79" i="1"/>
  <c r="FQ79" i="1"/>
  <c r="FR79" i="1"/>
  <c r="FS79" i="1"/>
  <c r="FT79" i="1"/>
  <c r="FU79" i="1"/>
  <c r="FV79" i="1"/>
  <c r="FW79" i="1"/>
  <c r="FX79" i="1"/>
  <c r="FY79" i="1"/>
  <c r="FZ79" i="1"/>
  <c r="GA79" i="1"/>
  <c r="GB79" i="1"/>
  <c r="GC79" i="1"/>
  <c r="GD79" i="1"/>
  <c r="GE79" i="1"/>
  <c r="GF79" i="1"/>
  <c r="FF80" i="1"/>
  <c r="FG80" i="1"/>
  <c r="FH80" i="1"/>
  <c r="FI80" i="1"/>
  <c r="FJ80" i="1"/>
  <c r="FK80" i="1"/>
  <c r="FL80" i="1"/>
  <c r="FM80" i="1"/>
  <c r="FN80" i="1"/>
  <c r="FO80" i="1"/>
  <c r="FP80" i="1"/>
  <c r="FQ80" i="1"/>
  <c r="FR80" i="1"/>
  <c r="FS80" i="1"/>
  <c r="FT80" i="1"/>
  <c r="FU80" i="1"/>
  <c r="FV80" i="1"/>
  <c r="FW80" i="1"/>
  <c r="FX80" i="1"/>
  <c r="FY80" i="1"/>
  <c r="FZ80" i="1"/>
  <c r="GA80" i="1"/>
  <c r="GB80" i="1"/>
  <c r="GC80" i="1"/>
  <c r="GD80" i="1"/>
  <c r="GE80" i="1"/>
  <c r="GF80" i="1"/>
  <c r="FF81" i="1"/>
  <c r="FG81" i="1"/>
  <c r="FH81" i="1"/>
  <c r="FI81" i="1"/>
  <c r="FJ81" i="1"/>
  <c r="FK81" i="1"/>
  <c r="FL81" i="1"/>
  <c r="FM81" i="1"/>
  <c r="FN81" i="1"/>
  <c r="FO81" i="1"/>
  <c r="FP81" i="1"/>
  <c r="FQ81" i="1"/>
  <c r="FR81" i="1"/>
  <c r="FS81" i="1"/>
  <c r="FT81" i="1"/>
  <c r="FU81" i="1"/>
  <c r="FV81" i="1"/>
  <c r="FW81" i="1"/>
  <c r="FX81" i="1"/>
  <c r="FY81" i="1"/>
  <c r="FZ81" i="1"/>
  <c r="GA81" i="1"/>
  <c r="GB81" i="1"/>
  <c r="GC81" i="1"/>
  <c r="GD81" i="1"/>
  <c r="GE81" i="1"/>
  <c r="GF81" i="1"/>
  <c r="FF82" i="1"/>
  <c r="FG82" i="1"/>
  <c r="FH82" i="1"/>
  <c r="FI82" i="1"/>
  <c r="FJ82" i="1"/>
  <c r="FK82" i="1"/>
  <c r="FL82" i="1"/>
  <c r="FM82" i="1"/>
  <c r="FN82" i="1"/>
  <c r="FO82" i="1"/>
  <c r="FP82" i="1"/>
  <c r="FQ82" i="1"/>
  <c r="FR82" i="1"/>
  <c r="FS82" i="1"/>
  <c r="FT82" i="1"/>
  <c r="FU82" i="1"/>
  <c r="FV82" i="1"/>
  <c r="FW82" i="1"/>
  <c r="FX82" i="1"/>
  <c r="FY82" i="1"/>
  <c r="FZ82" i="1"/>
  <c r="GA82" i="1"/>
  <c r="GB82" i="1"/>
  <c r="GC82" i="1"/>
  <c r="GD82" i="1"/>
  <c r="GE82" i="1"/>
  <c r="GF82" i="1"/>
  <c r="FF83" i="1"/>
  <c r="FG83" i="1"/>
  <c r="FH83" i="1"/>
  <c r="FI83" i="1"/>
  <c r="FJ83" i="1"/>
  <c r="FK83" i="1"/>
  <c r="FL83" i="1"/>
  <c r="FM83" i="1"/>
  <c r="FN83" i="1"/>
  <c r="FO83" i="1"/>
  <c r="FP83" i="1"/>
  <c r="FQ83" i="1"/>
  <c r="FR83" i="1"/>
  <c r="FS83" i="1"/>
  <c r="FT83" i="1"/>
  <c r="FU83" i="1"/>
  <c r="FV83" i="1"/>
  <c r="FW83" i="1"/>
  <c r="FX83" i="1"/>
  <c r="FY83" i="1"/>
  <c r="FZ83" i="1"/>
  <c r="GA83" i="1"/>
  <c r="GB83" i="1"/>
  <c r="GC83" i="1"/>
  <c r="GD83" i="1"/>
  <c r="GE83" i="1"/>
  <c r="GF83" i="1"/>
  <c r="FF84" i="1"/>
  <c r="FG84" i="1"/>
  <c r="FH84" i="1"/>
  <c r="FI84" i="1"/>
  <c r="FJ84" i="1"/>
  <c r="FK84" i="1"/>
  <c r="FL84" i="1"/>
  <c r="FM84" i="1"/>
  <c r="FN84" i="1"/>
  <c r="FO84" i="1"/>
  <c r="FP84" i="1"/>
  <c r="FQ84" i="1"/>
  <c r="FR84" i="1"/>
  <c r="FS84" i="1"/>
  <c r="FT84" i="1"/>
  <c r="FU84" i="1"/>
  <c r="FV84" i="1"/>
  <c r="FW84" i="1"/>
  <c r="FX84" i="1"/>
  <c r="FY84" i="1"/>
  <c r="FZ84" i="1"/>
  <c r="GA84" i="1"/>
  <c r="GB84" i="1"/>
  <c r="GC84" i="1"/>
  <c r="GD84" i="1"/>
  <c r="GE84" i="1"/>
  <c r="GF84" i="1"/>
  <c r="FF85" i="1"/>
  <c r="FG85" i="1"/>
  <c r="FH85" i="1"/>
  <c r="FI85" i="1"/>
  <c r="FJ85" i="1"/>
  <c r="FK85" i="1"/>
  <c r="FL85" i="1"/>
  <c r="FM85" i="1"/>
  <c r="FN85" i="1"/>
  <c r="FO85" i="1"/>
  <c r="FP85" i="1"/>
  <c r="FQ85" i="1"/>
  <c r="FR85" i="1"/>
  <c r="FS85" i="1"/>
  <c r="FT85" i="1"/>
  <c r="FU85" i="1"/>
  <c r="FV85" i="1"/>
  <c r="FW85" i="1"/>
  <c r="FX85" i="1"/>
  <c r="FY85" i="1"/>
  <c r="FZ85" i="1"/>
  <c r="GA85" i="1"/>
  <c r="GB85" i="1"/>
  <c r="GC85" i="1"/>
  <c r="GD85" i="1"/>
  <c r="GE85" i="1"/>
  <c r="GF85" i="1"/>
  <c r="FF86" i="1"/>
  <c r="FG86" i="1"/>
  <c r="FH86" i="1"/>
  <c r="FI86" i="1"/>
  <c r="FJ86" i="1"/>
  <c r="FK86" i="1"/>
  <c r="FL86" i="1"/>
  <c r="FM86" i="1"/>
  <c r="FN86" i="1"/>
  <c r="FO86" i="1"/>
  <c r="FP86" i="1"/>
  <c r="FQ86" i="1"/>
  <c r="FR86" i="1"/>
  <c r="FS86" i="1"/>
  <c r="FT86" i="1"/>
  <c r="FU86" i="1"/>
  <c r="FV86" i="1"/>
  <c r="FW86" i="1"/>
  <c r="FX86" i="1"/>
  <c r="FY86" i="1"/>
  <c r="FZ86" i="1"/>
  <c r="GA86" i="1"/>
  <c r="GB86" i="1"/>
  <c r="GC86" i="1"/>
  <c r="GD86" i="1"/>
  <c r="GE86" i="1"/>
  <c r="GF86" i="1"/>
  <c r="FF87" i="1"/>
  <c r="FG87" i="1"/>
  <c r="FH87" i="1"/>
  <c r="FI87" i="1"/>
  <c r="FJ87" i="1"/>
  <c r="FK87" i="1"/>
  <c r="FL87" i="1"/>
  <c r="FM87" i="1"/>
  <c r="FN87" i="1"/>
  <c r="FO87" i="1"/>
  <c r="FP87" i="1"/>
  <c r="FQ87" i="1"/>
  <c r="FR87" i="1"/>
  <c r="FS87" i="1"/>
  <c r="FT87" i="1"/>
  <c r="FU87" i="1"/>
  <c r="FV87" i="1"/>
  <c r="FW87" i="1"/>
  <c r="FX87" i="1"/>
  <c r="FY87" i="1"/>
  <c r="FZ87" i="1"/>
  <c r="GA87" i="1"/>
  <c r="GB87" i="1"/>
  <c r="GC87" i="1"/>
  <c r="GD87" i="1"/>
  <c r="GE87" i="1"/>
  <c r="GF87" i="1"/>
  <c r="FF88" i="1"/>
  <c r="FG88" i="1"/>
  <c r="FH88" i="1"/>
  <c r="FI88" i="1"/>
  <c r="FJ88" i="1"/>
  <c r="FK88" i="1"/>
  <c r="FL88" i="1"/>
  <c r="FM88" i="1"/>
  <c r="FN88" i="1"/>
  <c r="FO88" i="1"/>
  <c r="FP88" i="1"/>
  <c r="FQ88" i="1"/>
  <c r="FR88" i="1"/>
  <c r="FS88" i="1"/>
  <c r="FT88" i="1"/>
  <c r="FU88" i="1"/>
  <c r="FV88" i="1"/>
  <c r="FW88" i="1"/>
  <c r="FX88" i="1"/>
  <c r="FY88" i="1"/>
  <c r="FZ88" i="1"/>
  <c r="GA88" i="1"/>
  <c r="GB88" i="1"/>
  <c r="GC88" i="1"/>
  <c r="GD88" i="1"/>
  <c r="GE88" i="1"/>
  <c r="GF88" i="1"/>
  <c r="FF89" i="1"/>
  <c r="FG89" i="1"/>
  <c r="FH89" i="1"/>
  <c r="FI89" i="1"/>
  <c r="FJ89" i="1"/>
  <c r="FK89" i="1"/>
  <c r="FL89" i="1"/>
  <c r="FM89" i="1"/>
  <c r="FN89" i="1"/>
  <c r="FO89" i="1"/>
  <c r="FP89" i="1"/>
  <c r="FQ89" i="1"/>
  <c r="FR89" i="1"/>
  <c r="FS89" i="1"/>
  <c r="FT89" i="1"/>
  <c r="FU89" i="1"/>
  <c r="FV89" i="1"/>
  <c r="FW89" i="1"/>
  <c r="FX89" i="1"/>
  <c r="FY89" i="1"/>
  <c r="FZ89" i="1"/>
  <c r="GA89" i="1"/>
  <c r="GB89" i="1"/>
  <c r="GC89" i="1"/>
  <c r="GD89" i="1"/>
  <c r="GE89" i="1"/>
  <c r="GF89" i="1"/>
  <c r="FF90" i="1"/>
  <c r="FG90" i="1"/>
  <c r="FH90" i="1"/>
  <c r="FI90" i="1"/>
  <c r="FJ90" i="1"/>
  <c r="FK90" i="1"/>
  <c r="FL90" i="1"/>
  <c r="FM90" i="1"/>
  <c r="FN90" i="1"/>
  <c r="FO90" i="1"/>
  <c r="FP90" i="1"/>
  <c r="FQ90" i="1"/>
  <c r="FR90" i="1"/>
  <c r="FS90" i="1"/>
  <c r="FT90" i="1"/>
  <c r="FU90" i="1"/>
  <c r="FV90" i="1"/>
  <c r="FW90" i="1"/>
  <c r="FX90" i="1"/>
  <c r="FY90" i="1"/>
  <c r="FZ90" i="1"/>
  <c r="GA90" i="1"/>
  <c r="GB90" i="1"/>
  <c r="GC90" i="1"/>
  <c r="GD90" i="1"/>
  <c r="GE90" i="1"/>
  <c r="GF90" i="1"/>
  <c r="FF91" i="1"/>
  <c r="FG91" i="1"/>
  <c r="FH91" i="1"/>
  <c r="FI91" i="1"/>
  <c r="FJ91" i="1"/>
  <c r="FK91" i="1"/>
  <c r="FL91" i="1"/>
  <c r="FM91" i="1"/>
  <c r="FN91" i="1"/>
  <c r="FO91" i="1"/>
  <c r="FP91" i="1"/>
  <c r="FQ91" i="1"/>
  <c r="FR91" i="1"/>
  <c r="FS91" i="1"/>
  <c r="FT91" i="1"/>
  <c r="FU91" i="1"/>
  <c r="FV91" i="1"/>
  <c r="FW91" i="1"/>
  <c r="FX91" i="1"/>
  <c r="FY91" i="1"/>
  <c r="FZ91" i="1"/>
  <c r="GA91" i="1"/>
  <c r="GB91" i="1"/>
  <c r="GC91" i="1"/>
  <c r="GD91" i="1"/>
  <c r="GE91" i="1"/>
  <c r="GF91" i="1"/>
  <c r="FF92" i="1"/>
  <c r="FG92" i="1"/>
  <c r="FH92" i="1"/>
  <c r="FI92" i="1"/>
  <c r="FJ92" i="1"/>
  <c r="FK92" i="1"/>
  <c r="FL92" i="1"/>
  <c r="FM92" i="1"/>
  <c r="FN92" i="1"/>
  <c r="FO92" i="1"/>
  <c r="FP92" i="1"/>
  <c r="FQ92" i="1"/>
  <c r="FR92" i="1"/>
  <c r="FS92" i="1"/>
  <c r="FT92" i="1"/>
  <c r="FU92" i="1"/>
  <c r="FV92" i="1"/>
  <c r="FW92" i="1"/>
  <c r="FX92" i="1"/>
  <c r="FY92" i="1"/>
  <c r="FZ92" i="1"/>
  <c r="GA92" i="1"/>
  <c r="GB92" i="1"/>
  <c r="GC92" i="1"/>
  <c r="GD92" i="1"/>
  <c r="GE92" i="1"/>
  <c r="GF92" i="1"/>
  <c r="FF93" i="1"/>
  <c r="FG93" i="1"/>
  <c r="FH93" i="1"/>
  <c r="FI93" i="1"/>
  <c r="FJ93" i="1"/>
  <c r="FK93" i="1"/>
  <c r="FL93" i="1"/>
  <c r="FM93" i="1"/>
  <c r="FN93" i="1"/>
  <c r="FO93" i="1"/>
  <c r="FP93" i="1"/>
  <c r="FQ93" i="1"/>
  <c r="FR93" i="1"/>
  <c r="FS93" i="1"/>
  <c r="FT93" i="1"/>
  <c r="FU93" i="1"/>
  <c r="FV93" i="1"/>
  <c r="FW93" i="1"/>
  <c r="FX93" i="1"/>
  <c r="FY93" i="1"/>
  <c r="FZ93" i="1"/>
  <c r="GA93" i="1"/>
  <c r="GB93" i="1"/>
  <c r="GC93" i="1"/>
  <c r="GD93" i="1"/>
  <c r="GE93" i="1"/>
  <c r="GF93" i="1"/>
  <c r="FF94" i="1"/>
  <c r="FG94" i="1"/>
  <c r="FH94" i="1"/>
  <c r="FI94" i="1"/>
  <c r="FJ94" i="1"/>
  <c r="FK94" i="1"/>
  <c r="FL94" i="1"/>
  <c r="FM94" i="1"/>
  <c r="FN94" i="1"/>
  <c r="FO94" i="1"/>
  <c r="FP94" i="1"/>
  <c r="FQ94" i="1"/>
  <c r="FR94" i="1"/>
  <c r="FS94" i="1"/>
  <c r="FT94" i="1"/>
  <c r="FU94" i="1"/>
  <c r="FV94" i="1"/>
  <c r="FW94" i="1"/>
  <c r="FX94" i="1"/>
  <c r="FY94" i="1"/>
  <c r="FZ94" i="1"/>
  <c r="GA94" i="1"/>
  <c r="GB94" i="1"/>
  <c r="GC94" i="1"/>
  <c r="GD94" i="1"/>
  <c r="GE94" i="1"/>
  <c r="GF94" i="1"/>
  <c r="FF95" i="1"/>
  <c r="FG95" i="1"/>
  <c r="FH95" i="1"/>
  <c r="FI95" i="1"/>
  <c r="FJ95" i="1"/>
  <c r="FK95" i="1"/>
  <c r="FL95" i="1"/>
  <c r="FM95" i="1"/>
  <c r="FN95" i="1"/>
  <c r="FO95" i="1"/>
  <c r="FP95" i="1"/>
  <c r="FQ95" i="1"/>
  <c r="FR95" i="1"/>
  <c r="FS95" i="1"/>
  <c r="FT95" i="1"/>
  <c r="FU95" i="1"/>
  <c r="FV95" i="1"/>
  <c r="FW95" i="1"/>
  <c r="FX95" i="1"/>
  <c r="FY95" i="1"/>
  <c r="FZ95" i="1"/>
  <c r="GA95" i="1"/>
  <c r="GB95" i="1"/>
  <c r="GC95" i="1"/>
  <c r="GD95" i="1"/>
  <c r="GE95" i="1"/>
  <c r="GF95" i="1"/>
  <c r="FF96" i="1"/>
  <c r="FG96" i="1"/>
  <c r="FH96" i="1"/>
  <c r="FI96" i="1"/>
  <c r="FJ96" i="1"/>
  <c r="FK96" i="1"/>
  <c r="FL96" i="1"/>
  <c r="FM96" i="1"/>
  <c r="FN96" i="1"/>
  <c r="FO96" i="1"/>
  <c r="FP96" i="1"/>
  <c r="FQ96" i="1"/>
  <c r="FR96" i="1"/>
  <c r="FS96" i="1"/>
  <c r="FT96" i="1"/>
  <c r="FU96" i="1"/>
  <c r="FV96" i="1"/>
  <c r="FW96" i="1"/>
  <c r="FX96" i="1"/>
  <c r="FY96" i="1"/>
  <c r="FZ96" i="1"/>
  <c r="GA96" i="1"/>
  <c r="GB96" i="1"/>
  <c r="GC96" i="1"/>
  <c r="GD96" i="1"/>
  <c r="GE96" i="1"/>
  <c r="GF96" i="1"/>
  <c r="FF97" i="1"/>
  <c r="FG97" i="1"/>
  <c r="FH97" i="1"/>
  <c r="FI97" i="1"/>
  <c r="FJ97" i="1"/>
  <c r="FK97" i="1"/>
  <c r="FL97" i="1"/>
  <c r="FM97" i="1"/>
  <c r="FN97" i="1"/>
  <c r="FO97" i="1"/>
  <c r="FP97" i="1"/>
  <c r="FQ97" i="1"/>
  <c r="FR97" i="1"/>
  <c r="FS97" i="1"/>
  <c r="FT97" i="1"/>
  <c r="FU97" i="1"/>
  <c r="FV97" i="1"/>
  <c r="FW97" i="1"/>
  <c r="FX97" i="1"/>
  <c r="FY97" i="1"/>
  <c r="FZ97" i="1"/>
  <c r="GA97" i="1"/>
  <c r="GB97" i="1"/>
  <c r="GC97" i="1"/>
  <c r="GD97" i="1"/>
  <c r="GE97" i="1"/>
  <c r="GF97" i="1"/>
  <c r="FF98" i="1"/>
  <c r="FG98" i="1"/>
  <c r="FH98" i="1"/>
  <c r="FI98" i="1"/>
  <c r="FJ98" i="1"/>
  <c r="FK98" i="1"/>
  <c r="FL98" i="1"/>
  <c r="FM98" i="1"/>
  <c r="FN98" i="1"/>
  <c r="FO98" i="1"/>
  <c r="FP98" i="1"/>
  <c r="FQ98" i="1"/>
  <c r="FR98" i="1"/>
  <c r="FS98" i="1"/>
  <c r="FT98" i="1"/>
  <c r="FU98" i="1"/>
  <c r="FV98" i="1"/>
  <c r="FW98" i="1"/>
  <c r="FX98" i="1"/>
  <c r="FY98" i="1"/>
  <c r="FZ98" i="1"/>
  <c r="GA98" i="1"/>
  <c r="GB98" i="1"/>
  <c r="GC98" i="1"/>
  <c r="GD98" i="1"/>
  <c r="GE98" i="1"/>
  <c r="GF98" i="1"/>
  <c r="FF99" i="1"/>
  <c r="FG99" i="1"/>
  <c r="FH99" i="1"/>
  <c r="FI99" i="1"/>
  <c r="FJ99" i="1"/>
  <c r="FK99" i="1"/>
  <c r="FL99" i="1"/>
  <c r="FM99" i="1"/>
  <c r="FN99" i="1"/>
  <c r="FO99" i="1"/>
  <c r="FP99" i="1"/>
  <c r="FQ99" i="1"/>
  <c r="FR99" i="1"/>
  <c r="FS99" i="1"/>
  <c r="FT99" i="1"/>
  <c r="FU99" i="1"/>
  <c r="FV99" i="1"/>
  <c r="FW99" i="1"/>
  <c r="FX99" i="1"/>
  <c r="FY99" i="1"/>
  <c r="FZ99" i="1"/>
  <c r="GA99" i="1"/>
  <c r="GB99" i="1"/>
  <c r="GC99" i="1"/>
  <c r="GD99" i="1"/>
  <c r="GE99" i="1"/>
  <c r="GF99" i="1"/>
  <c r="FF100" i="1"/>
  <c r="FG100" i="1"/>
  <c r="FH100" i="1"/>
  <c r="FI100" i="1"/>
  <c r="FJ100" i="1"/>
  <c r="FK100" i="1"/>
  <c r="FL100" i="1"/>
  <c r="FM100" i="1"/>
  <c r="FN100" i="1"/>
  <c r="FO100" i="1"/>
  <c r="FP100" i="1"/>
  <c r="FQ100" i="1"/>
  <c r="FR100" i="1"/>
  <c r="FS100" i="1"/>
  <c r="FT100" i="1"/>
  <c r="FU100" i="1"/>
  <c r="FV100" i="1"/>
  <c r="FW100" i="1"/>
  <c r="FX100" i="1"/>
  <c r="FY100" i="1"/>
  <c r="FZ100" i="1"/>
  <c r="GA100" i="1"/>
  <c r="GB100" i="1"/>
  <c r="GC100" i="1"/>
  <c r="GD100" i="1"/>
  <c r="GE100" i="1"/>
  <c r="GF100" i="1"/>
  <c r="FF101" i="1"/>
  <c r="FG101" i="1"/>
  <c r="FH101" i="1"/>
  <c r="FI101" i="1"/>
  <c r="FJ101" i="1"/>
  <c r="FK101" i="1"/>
  <c r="FL101" i="1"/>
  <c r="FM101" i="1"/>
  <c r="FN101" i="1"/>
  <c r="FO101" i="1"/>
  <c r="FP101" i="1"/>
  <c r="FQ101" i="1"/>
  <c r="FR101" i="1"/>
  <c r="FS101" i="1"/>
  <c r="FT101" i="1"/>
  <c r="FU101" i="1"/>
  <c r="FV101" i="1"/>
  <c r="FW101" i="1"/>
  <c r="FX101" i="1"/>
  <c r="FY101" i="1"/>
  <c r="FZ101" i="1"/>
  <c r="GA101" i="1"/>
  <c r="GB101" i="1"/>
  <c r="GC101" i="1"/>
  <c r="GD101" i="1"/>
  <c r="GE101" i="1"/>
  <c r="GF101" i="1"/>
  <c r="FF102" i="1"/>
  <c r="FG102" i="1"/>
  <c r="FH102" i="1"/>
  <c r="FI102" i="1"/>
  <c r="FJ102" i="1"/>
  <c r="FK102" i="1"/>
  <c r="FL102" i="1"/>
  <c r="FM102" i="1"/>
  <c r="FN102" i="1"/>
  <c r="FO102" i="1"/>
  <c r="FP102" i="1"/>
  <c r="FQ102" i="1"/>
  <c r="FR102" i="1"/>
  <c r="FS102" i="1"/>
  <c r="FT102" i="1"/>
  <c r="FU102" i="1"/>
  <c r="FV102" i="1"/>
  <c r="FW102" i="1"/>
  <c r="FX102" i="1"/>
  <c r="FY102" i="1"/>
  <c r="FZ102" i="1"/>
  <c r="GA102" i="1"/>
  <c r="GB102" i="1"/>
  <c r="GC102" i="1"/>
  <c r="GD102" i="1"/>
  <c r="GE102" i="1"/>
  <c r="GF102" i="1"/>
  <c r="FF103" i="1"/>
  <c r="FG103" i="1"/>
  <c r="FH103" i="1"/>
  <c r="FI103" i="1"/>
  <c r="FJ103" i="1"/>
  <c r="FK103" i="1"/>
  <c r="FL103" i="1"/>
  <c r="FM103" i="1"/>
  <c r="FN103" i="1"/>
  <c r="FO103" i="1"/>
  <c r="FP103" i="1"/>
  <c r="FQ103" i="1"/>
  <c r="FR103" i="1"/>
  <c r="FS103" i="1"/>
  <c r="FT103" i="1"/>
  <c r="FU103" i="1"/>
  <c r="FV103" i="1"/>
  <c r="FW103" i="1"/>
  <c r="FX103" i="1"/>
  <c r="FY103" i="1"/>
  <c r="FZ103" i="1"/>
  <c r="GA103" i="1"/>
  <c r="GB103" i="1"/>
  <c r="GC103" i="1"/>
  <c r="GD103" i="1"/>
  <c r="GE103" i="1"/>
  <c r="GF103" i="1"/>
  <c r="FN104" i="1"/>
  <c r="FQ297" i="1"/>
  <c r="FQ300" i="1"/>
  <c r="FQ303" i="1"/>
  <c r="FQ306" i="1"/>
  <c r="FQ309" i="1"/>
  <c r="FQ312" i="1"/>
  <c r="FQ315" i="1"/>
  <c r="FQ318" i="1"/>
  <c r="FP297" i="1"/>
  <c r="FP300" i="1"/>
  <c r="FP303" i="1"/>
  <c r="FP306" i="1"/>
  <c r="FP309" i="1"/>
  <c r="FP312" i="1"/>
  <c r="FP315" i="1"/>
  <c r="FP318" i="1"/>
  <c r="FO297" i="1"/>
  <c r="FO300" i="1"/>
  <c r="FO303" i="1"/>
  <c r="FO306" i="1"/>
  <c r="FO309" i="1"/>
  <c r="FO312" i="1"/>
  <c r="FO315" i="1"/>
  <c r="FO318" i="1"/>
  <c r="FN297" i="1"/>
  <c r="FN300" i="1"/>
  <c r="FN303" i="1"/>
  <c r="FN306" i="1"/>
  <c r="FN309" i="1"/>
  <c r="FN312" i="1"/>
  <c r="FN315" i="1"/>
  <c r="FN318" i="1"/>
  <c r="FM297" i="1"/>
  <c r="FM300" i="1"/>
  <c r="FM303" i="1"/>
  <c r="FM306" i="1"/>
  <c r="FM309" i="1"/>
  <c r="FM312" i="1"/>
  <c r="FM315" i="1"/>
  <c r="FM318" i="1"/>
  <c r="FL297" i="1"/>
  <c r="FL300" i="1"/>
  <c r="FL303" i="1"/>
  <c r="FL306" i="1"/>
  <c r="FL309" i="1"/>
  <c r="FL312" i="1"/>
  <c r="FL315" i="1"/>
  <c r="FL318" i="1"/>
  <c r="EM318" i="1"/>
  <c r="EL318" i="1"/>
  <c r="EK318" i="1"/>
  <c r="ED294" i="1"/>
  <c r="EG294" i="1"/>
  <c r="EJ294" i="1"/>
  <c r="EJ297" i="1"/>
  <c r="EJ300" i="1"/>
  <c r="EJ303" i="1"/>
  <c r="EJ306" i="1"/>
  <c r="EJ309" i="1"/>
  <c r="EJ312" i="1"/>
  <c r="EJ315" i="1"/>
  <c r="EJ318" i="1"/>
  <c r="EC294" i="1"/>
  <c r="EF294" i="1"/>
  <c r="EI294" i="1"/>
  <c r="EI297" i="1"/>
  <c r="EI300" i="1"/>
  <c r="EI303" i="1"/>
  <c r="EI306" i="1"/>
  <c r="EI309" i="1"/>
  <c r="EI312" i="1"/>
  <c r="EI315" i="1"/>
  <c r="EI318" i="1"/>
  <c r="EB294" i="1"/>
  <c r="EE294" i="1"/>
  <c r="EH294" i="1"/>
  <c r="EH297" i="1"/>
  <c r="EH300" i="1"/>
  <c r="EH303" i="1"/>
  <c r="EH306" i="1"/>
  <c r="EH309" i="1"/>
  <c r="EH312" i="1"/>
  <c r="EH315" i="1"/>
  <c r="EH318" i="1"/>
  <c r="EG297" i="1"/>
  <c r="EG300" i="1"/>
  <c r="EG303" i="1"/>
  <c r="EG306" i="1"/>
  <c r="EG309" i="1"/>
  <c r="EG312" i="1"/>
  <c r="EG315" i="1"/>
  <c r="EG318" i="1"/>
  <c r="EF297" i="1"/>
  <c r="EF300" i="1"/>
  <c r="EF303" i="1"/>
  <c r="EF306" i="1"/>
  <c r="EF309" i="1"/>
  <c r="EF312" i="1"/>
  <c r="EF315" i="1"/>
  <c r="EF318" i="1"/>
  <c r="EE297" i="1"/>
  <c r="EE300" i="1"/>
  <c r="EE303" i="1"/>
  <c r="EE306" i="1"/>
  <c r="EE309" i="1"/>
  <c r="EE312" i="1"/>
  <c r="EE315" i="1"/>
  <c r="EE318" i="1"/>
  <c r="ED297" i="1"/>
  <c r="ED300" i="1"/>
  <c r="ED303" i="1"/>
  <c r="ED306" i="1"/>
  <c r="ED309" i="1"/>
  <c r="ED312" i="1"/>
  <c r="ED315" i="1"/>
  <c r="ED318" i="1"/>
  <c r="EC297" i="1"/>
  <c r="EC300" i="1"/>
  <c r="EC303" i="1"/>
  <c r="EC306" i="1"/>
  <c r="EC309" i="1"/>
  <c r="EC312" i="1"/>
  <c r="EC315" i="1"/>
  <c r="EC318" i="1"/>
  <c r="EB297" i="1"/>
  <c r="EB300" i="1"/>
  <c r="EB303" i="1"/>
  <c r="EB306" i="1"/>
  <c r="EB309" i="1"/>
  <c r="EB312" i="1"/>
  <c r="EB315" i="1"/>
  <c r="EB318" i="1"/>
  <c r="EA318" i="1"/>
  <c r="DZ318" i="1"/>
  <c r="DY318" i="1"/>
  <c r="FQ296" i="1"/>
  <c r="FQ299" i="1"/>
  <c r="FQ302" i="1"/>
  <c r="FQ305" i="1"/>
  <c r="FQ308" i="1"/>
  <c r="FQ311" i="1"/>
  <c r="FQ314" i="1"/>
  <c r="FQ317" i="1"/>
  <c r="FP296" i="1"/>
  <c r="FP299" i="1"/>
  <c r="FP302" i="1"/>
  <c r="FP305" i="1"/>
  <c r="FP308" i="1"/>
  <c r="FP311" i="1"/>
  <c r="FP314" i="1"/>
  <c r="FP317" i="1"/>
  <c r="FO296" i="1"/>
  <c r="FO299" i="1"/>
  <c r="FO302" i="1"/>
  <c r="FO305" i="1"/>
  <c r="FO308" i="1"/>
  <c r="FO311" i="1"/>
  <c r="FO314" i="1"/>
  <c r="FO317" i="1"/>
  <c r="FN296" i="1"/>
  <c r="FN299" i="1"/>
  <c r="FN302" i="1"/>
  <c r="FN305" i="1"/>
  <c r="FN308" i="1"/>
  <c r="FN311" i="1"/>
  <c r="FN314" i="1"/>
  <c r="FN317" i="1"/>
  <c r="FM296" i="1"/>
  <c r="FM299" i="1"/>
  <c r="FM302" i="1"/>
  <c r="FM305" i="1"/>
  <c r="FM308" i="1"/>
  <c r="FM311" i="1"/>
  <c r="FM314" i="1"/>
  <c r="FM317" i="1"/>
  <c r="FL296" i="1"/>
  <c r="FL299" i="1"/>
  <c r="FL302" i="1"/>
  <c r="FL305" i="1"/>
  <c r="FL308" i="1"/>
  <c r="FL311" i="1"/>
  <c r="FL314" i="1"/>
  <c r="FL317" i="1"/>
  <c r="EM317" i="1"/>
  <c r="EL317" i="1"/>
  <c r="EK317" i="1"/>
  <c r="ED293" i="1"/>
  <c r="EG293" i="1"/>
  <c r="EJ293" i="1"/>
  <c r="EJ296" i="1"/>
  <c r="EJ299" i="1"/>
  <c r="EJ302" i="1"/>
  <c r="EJ305" i="1"/>
  <c r="EJ308" i="1"/>
  <c r="EJ311" i="1"/>
  <c r="EJ314" i="1"/>
  <c r="EJ317" i="1"/>
  <c r="EC293" i="1"/>
  <c r="EF293" i="1"/>
  <c r="EI293" i="1"/>
  <c r="EI296" i="1"/>
  <c r="EI299" i="1"/>
  <c r="EI302" i="1"/>
  <c r="EI305" i="1"/>
  <c r="EI308" i="1"/>
  <c r="EI311" i="1"/>
  <c r="EI314" i="1"/>
  <c r="EI317" i="1"/>
  <c r="EB293" i="1"/>
  <c r="EE293" i="1"/>
  <c r="EH293" i="1"/>
  <c r="EH296" i="1"/>
  <c r="EH299" i="1"/>
  <c r="EH302" i="1"/>
  <c r="EH305" i="1"/>
  <c r="EH308" i="1"/>
  <c r="EH311" i="1"/>
  <c r="EH314" i="1"/>
  <c r="EH317" i="1"/>
  <c r="EG296" i="1"/>
  <c r="EG299" i="1"/>
  <c r="EG302" i="1"/>
  <c r="EG305" i="1"/>
  <c r="EG308" i="1"/>
  <c r="EG311" i="1"/>
  <c r="EG314" i="1"/>
  <c r="EG317" i="1"/>
  <c r="EF296" i="1"/>
  <c r="EF299" i="1"/>
  <c r="EF302" i="1"/>
  <c r="EF305" i="1"/>
  <c r="EF308" i="1"/>
  <c r="EF311" i="1"/>
  <c r="EF314" i="1"/>
  <c r="EF317" i="1"/>
  <c r="EE296" i="1"/>
  <c r="EE299" i="1"/>
  <c r="EE302" i="1"/>
  <c r="EE305" i="1"/>
  <c r="EE308" i="1"/>
  <c r="EE311" i="1"/>
  <c r="EE314" i="1"/>
  <c r="EE317" i="1"/>
  <c r="ED296" i="1"/>
  <c r="ED299" i="1"/>
  <c r="ED302" i="1"/>
  <c r="ED305" i="1"/>
  <c r="ED308" i="1"/>
  <c r="ED311" i="1"/>
  <c r="ED314" i="1"/>
  <c r="ED317" i="1"/>
  <c r="EC296" i="1"/>
  <c r="EC299" i="1"/>
  <c r="EC302" i="1"/>
  <c r="EC305" i="1"/>
  <c r="EC308" i="1"/>
  <c r="EC311" i="1"/>
  <c r="EC314" i="1"/>
  <c r="EC317" i="1"/>
  <c r="EB296" i="1"/>
  <c r="EB299" i="1"/>
  <c r="EB302" i="1"/>
  <c r="EB305" i="1"/>
  <c r="EB308" i="1"/>
  <c r="EB311" i="1"/>
  <c r="EB314" i="1"/>
  <c r="EB317" i="1"/>
  <c r="EA317" i="1"/>
  <c r="DZ317" i="1"/>
  <c r="DY317" i="1"/>
  <c r="FQ295" i="1"/>
  <c r="FQ298" i="1"/>
  <c r="FQ301" i="1"/>
  <c r="FQ304" i="1"/>
  <c r="FQ307" i="1"/>
  <c r="FQ310" i="1"/>
  <c r="FQ313" i="1"/>
  <c r="FQ316" i="1"/>
  <c r="FP295" i="1"/>
  <c r="FP298" i="1"/>
  <c r="FP301" i="1"/>
  <c r="FP304" i="1"/>
  <c r="FP307" i="1"/>
  <c r="FP310" i="1"/>
  <c r="FP313" i="1"/>
  <c r="FP316" i="1"/>
  <c r="FO295" i="1"/>
  <c r="FO298" i="1"/>
  <c r="FO301" i="1"/>
  <c r="FO304" i="1"/>
  <c r="FO307" i="1"/>
  <c r="FO310" i="1"/>
  <c r="FO313" i="1"/>
  <c r="FO316" i="1"/>
  <c r="FN295" i="1"/>
  <c r="FN298" i="1"/>
  <c r="FN301" i="1"/>
  <c r="FN304" i="1"/>
  <c r="FN307" i="1"/>
  <c r="FN310" i="1"/>
  <c r="FN313" i="1"/>
  <c r="FN316" i="1"/>
  <c r="FM295" i="1"/>
  <c r="FM298" i="1"/>
  <c r="FM301" i="1"/>
  <c r="FM304" i="1"/>
  <c r="FM307" i="1"/>
  <c r="FM310" i="1"/>
  <c r="FM313" i="1"/>
  <c r="FM316" i="1"/>
  <c r="FL295" i="1"/>
  <c r="FL298" i="1"/>
  <c r="FL301" i="1"/>
  <c r="FL304" i="1"/>
  <c r="FL307" i="1"/>
  <c r="FL310" i="1"/>
  <c r="FL313" i="1"/>
  <c r="FL316" i="1"/>
  <c r="EM316" i="1"/>
  <c r="EL316" i="1"/>
  <c r="EK316" i="1"/>
  <c r="ED292" i="1"/>
  <c r="EG292" i="1"/>
  <c r="EJ292" i="1"/>
  <c r="EJ295" i="1"/>
  <c r="EJ298" i="1"/>
  <c r="EJ301" i="1"/>
  <c r="EJ304" i="1"/>
  <c r="EJ307" i="1"/>
  <c r="EJ310" i="1"/>
  <c r="EJ313" i="1"/>
  <c r="EJ316" i="1"/>
  <c r="EC292" i="1"/>
  <c r="EF292" i="1"/>
  <c r="EI292" i="1"/>
  <c r="EI295" i="1"/>
  <c r="EI298" i="1"/>
  <c r="EI301" i="1"/>
  <c r="EI304" i="1"/>
  <c r="EI307" i="1"/>
  <c r="EI310" i="1"/>
  <c r="EI313" i="1"/>
  <c r="EI316" i="1"/>
  <c r="EB292" i="1"/>
  <c r="EE292" i="1"/>
  <c r="EH292" i="1"/>
  <c r="EH295" i="1"/>
  <c r="EH298" i="1"/>
  <c r="EH301" i="1"/>
  <c r="EH304" i="1"/>
  <c r="EH307" i="1"/>
  <c r="EH310" i="1"/>
  <c r="EH313" i="1"/>
  <c r="EH316" i="1"/>
  <c r="EG295" i="1"/>
  <c r="EG298" i="1"/>
  <c r="EG301" i="1"/>
  <c r="EG304" i="1"/>
  <c r="EG307" i="1"/>
  <c r="EG310" i="1"/>
  <c r="EG313" i="1"/>
  <c r="EG316" i="1"/>
  <c r="EF295" i="1"/>
  <c r="EF298" i="1"/>
  <c r="EF301" i="1"/>
  <c r="EF304" i="1"/>
  <c r="EF307" i="1"/>
  <c r="EF310" i="1"/>
  <c r="EF313" i="1"/>
  <c r="EF316" i="1"/>
  <c r="EE295" i="1"/>
  <c r="EE298" i="1"/>
  <c r="EE301" i="1"/>
  <c r="EE304" i="1"/>
  <c r="EE307" i="1"/>
  <c r="EE310" i="1"/>
  <c r="EE313" i="1"/>
  <c r="EE316" i="1"/>
  <c r="ED295" i="1"/>
  <c r="ED298" i="1"/>
  <c r="ED301" i="1"/>
  <c r="ED304" i="1"/>
  <c r="ED307" i="1"/>
  <c r="ED310" i="1"/>
  <c r="ED313" i="1"/>
  <c r="ED316" i="1"/>
  <c r="EC295" i="1"/>
  <c r="EC298" i="1"/>
  <c r="EC301" i="1"/>
  <c r="EC304" i="1"/>
  <c r="EC307" i="1"/>
  <c r="EC310" i="1"/>
  <c r="EC313" i="1"/>
  <c r="EC316" i="1"/>
  <c r="EB295" i="1"/>
  <c r="EB298" i="1"/>
  <c r="EB301" i="1"/>
  <c r="EB304" i="1"/>
  <c r="EB307" i="1"/>
  <c r="EB310" i="1"/>
  <c r="EB313" i="1"/>
  <c r="EB316" i="1"/>
  <c r="EA316" i="1"/>
  <c r="DZ316" i="1"/>
  <c r="DY316" i="1"/>
  <c r="GL291" i="1"/>
  <c r="GK291" i="1"/>
  <c r="GJ291" i="1"/>
  <c r="GF288" i="1"/>
  <c r="GF291" i="1"/>
  <c r="GE288" i="1"/>
  <c r="GE291" i="1"/>
  <c r="GD288" i="1"/>
  <c r="GD291" i="1"/>
  <c r="GC288" i="1"/>
  <c r="GC291" i="1"/>
  <c r="GB288" i="1"/>
  <c r="GB291" i="1"/>
  <c r="GA288" i="1"/>
  <c r="GA291" i="1"/>
  <c r="FZ288" i="1"/>
  <c r="FZ291" i="1"/>
  <c r="FY288" i="1"/>
  <c r="FY291" i="1"/>
  <c r="FX288" i="1"/>
  <c r="FX291" i="1"/>
  <c r="FW279" i="1"/>
  <c r="FW282" i="1"/>
  <c r="FW285" i="1"/>
  <c r="FW288" i="1"/>
  <c r="FW291" i="1"/>
  <c r="FV279" i="1"/>
  <c r="FV282" i="1"/>
  <c r="FV285" i="1"/>
  <c r="FV288" i="1"/>
  <c r="FV291" i="1"/>
  <c r="FU279" i="1"/>
  <c r="FU282" i="1"/>
  <c r="FU285" i="1"/>
  <c r="FU288" i="1"/>
  <c r="FU291" i="1"/>
  <c r="FT270" i="1"/>
  <c r="FT273" i="1"/>
  <c r="FT276" i="1"/>
  <c r="FT279" i="1"/>
  <c r="FT282" i="1"/>
  <c r="FT285" i="1"/>
  <c r="FT288" i="1"/>
  <c r="FT291" i="1"/>
  <c r="FS270" i="1"/>
  <c r="FS273" i="1"/>
  <c r="FS276" i="1"/>
  <c r="FS279" i="1"/>
  <c r="FS282" i="1"/>
  <c r="FS285" i="1"/>
  <c r="FS288" i="1"/>
  <c r="FS291" i="1"/>
  <c r="FR270" i="1"/>
  <c r="FR273" i="1"/>
  <c r="FR276" i="1"/>
  <c r="FR279" i="1"/>
  <c r="FR282" i="1"/>
  <c r="FR285" i="1"/>
  <c r="FR288" i="1"/>
  <c r="FR291" i="1"/>
  <c r="FQ270" i="1"/>
  <c r="FQ273" i="1"/>
  <c r="FQ276" i="1"/>
  <c r="FQ279" i="1"/>
  <c r="FQ282" i="1"/>
  <c r="FQ285" i="1"/>
  <c r="FQ288" i="1"/>
  <c r="FQ291" i="1"/>
  <c r="FP270" i="1"/>
  <c r="FP273" i="1"/>
  <c r="FP276" i="1"/>
  <c r="FP279" i="1"/>
  <c r="FP282" i="1"/>
  <c r="FP285" i="1"/>
  <c r="FP288" i="1"/>
  <c r="FP291" i="1"/>
  <c r="FO270" i="1"/>
  <c r="FO273" i="1"/>
  <c r="FO276" i="1"/>
  <c r="FO279" i="1"/>
  <c r="FO282" i="1"/>
  <c r="FO285" i="1"/>
  <c r="FO288" i="1"/>
  <c r="FO291" i="1"/>
  <c r="FN270" i="1"/>
  <c r="FN273" i="1"/>
  <c r="FN276" i="1"/>
  <c r="FN279" i="1"/>
  <c r="FN282" i="1"/>
  <c r="FN285" i="1"/>
  <c r="FN288" i="1"/>
  <c r="FN291" i="1"/>
  <c r="FM270" i="1"/>
  <c r="FM273" i="1"/>
  <c r="FM276" i="1"/>
  <c r="FM279" i="1"/>
  <c r="FM282" i="1"/>
  <c r="FM285" i="1"/>
  <c r="FM288" i="1"/>
  <c r="FM291" i="1"/>
  <c r="FL270" i="1"/>
  <c r="FL273" i="1"/>
  <c r="FL276" i="1"/>
  <c r="FL279" i="1"/>
  <c r="FL282" i="1"/>
  <c r="FL285" i="1"/>
  <c r="FL288" i="1"/>
  <c r="FL291" i="1"/>
  <c r="FK288" i="1"/>
  <c r="FK291" i="1"/>
  <c r="FJ288" i="1"/>
  <c r="FJ291" i="1"/>
  <c r="FI288" i="1"/>
  <c r="FI291" i="1"/>
  <c r="FH291" i="1"/>
  <c r="FG291" i="1"/>
  <c r="FF291" i="1"/>
  <c r="EY291" i="1"/>
  <c r="EX291" i="1"/>
  <c r="EW291" i="1"/>
  <c r="EV288" i="1"/>
  <c r="EV291" i="1"/>
  <c r="EU288" i="1"/>
  <c r="EU291" i="1"/>
  <c r="ET288" i="1"/>
  <c r="ET291" i="1"/>
  <c r="ES285" i="1"/>
  <c r="ES288" i="1"/>
  <c r="ES291" i="1"/>
  <c r="ER285" i="1"/>
  <c r="ER288" i="1"/>
  <c r="ER291" i="1"/>
  <c r="EQ285" i="1"/>
  <c r="EQ288" i="1"/>
  <c r="EQ291" i="1"/>
  <c r="EP288" i="1"/>
  <c r="EP291" i="1"/>
  <c r="EO288" i="1"/>
  <c r="EO291" i="1"/>
  <c r="EN288" i="1"/>
  <c r="EN291" i="1"/>
  <c r="EM282" i="1"/>
  <c r="EM285" i="1"/>
  <c r="EM288" i="1"/>
  <c r="EM291" i="1"/>
  <c r="EL282" i="1"/>
  <c r="EL285" i="1"/>
  <c r="EL288" i="1"/>
  <c r="EL291" i="1"/>
  <c r="EK282" i="1"/>
  <c r="EK285" i="1"/>
  <c r="EK288" i="1"/>
  <c r="EK291" i="1"/>
  <c r="EG267" i="1"/>
  <c r="EJ267" i="1"/>
  <c r="EJ270" i="1"/>
  <c r="EJ273" i="1"/>
  <c r="EJ276" i="1"/>
  <c r="EJ279" i="1"/>
  <c r="EJ282" i="1"/>
  <c r="EJ285" i="1"/>
  <c r="EJ288" i="1"/>
  <c r="EJ291" i="1"/>
  <c r="EF267" i="1"/>
  <c r="EI267" i="1"/>
  <c r="EI270" i="1"/>
  <c r="EI273" i="1"/>
  <c r="EI276" i="1"/>
  <c r="EI279" i="1"/>
  <c r="EI282" i="1"/>
  <c r="EI285" i="1"/>
  <c r="EI288" i="1"/>
  <c r="EI291" i="1"/>
  <c r="EE267" i="1"/>
  <c r="EH267" i="1"/>
  <c r="EH270" i="1"/>
  <c r="EH273" i="1"/>
  <c r="EH276" i="1"/>
  <c r="EH279" i="1"/>
  <c r="EH282" i="1"/>
  <c r="EH285" i="1"/>
  <c r="EH288" i="1"/>
  <c r="EH291" i="1"/>
  <c r="EG270" i="1"/>
  <c r="EG273" i="1"/>
  <c r="EG276" i="1"/>
  <c r="EG279" i="1"/>
  <c r="EG282" i="1"/>
  <c r="EG285" i="1"/>
  <c r="EG288" i="1"/>
  <c r="EG291" i="1"/>
  <c r="EF270" i="1"/>
  <c r="EF273" i="1"/>
  <c r="EF276" i="1"/>
  <c r="EF279" i="1"/>
  <c r="EF282" i="1"/>
  <c r="EF285" i="1"/>
  <c r="EF288" i="1"/>
  <c r="EF291" i="1"/>
  <c r="EE270" i="1"/>
  <c r="EE273" i="1"/>
  <c r="EE276" i="1"/>
  <c r="EE279" i="1"/>
  <c r="EE282" i="1"/>
  <c r="EE285" i="1"/>
  <c r="EE288" i="1"/>
  <c r="EE291" i="1"/>
  <c r="ED288" i="1"/>
  <c r="ED291" i="1"/>
  <c r="EC288" i="1"/>
  <c r="EC291" i="1"/>
  <c r="EB288" i="1"/>
  <c r="EB291" i="1"/>
  <c r="EA288" i="1"/>
  <c r="EA291" i="1"/>
  <c r="DZ288" i="1"/>
  <c r="DZ291" i="1"/>
  <c r="DY288" i="1"/>
  <c r="DY291" i="1"/>
  <c r="DX291" i="1"/>
  <c r="DW291" i="1"/>
  <c r="DV291" i="1"/>
  <c r="DU291" i="1"/>
  <c r="DT291" i="1"/>
  <c r="DS291" i="1"/>
  <c r="DL291" i="1"/>
  <c r="DK291" i="1"/>
  <c r="DJ291" i="1"/>
  <c r="GL290" i="1"/>
  <c r="GK290" i="1"/>
  <c r="GJ290" i="1"/>
  <c r="GF287" i="1"/>
  <c r="GF290" i="1"/>
  <c r="GE287" i="1"/>
  <c r="GE290" i="1"/>
  <c r="GD287" i="1"/>
  <c r="GD290" i="1"/>
  <c r="GC287" i="1"/>
  <c r="GC290" i="1"/>
  <c r="GB287" i="1"/>
  <c r="GB290" i="1"/>
  <c r="GA287" i="1"/>
  <c r="GA290" i="1"/>
  <c r="FZ287" i="1"/>
  <c r="FZ290" i="1"/>
  <c r="FY287" i="1"/>
  <c r="FY290" i="1"/>
  <c r="FX287" i="1"/>
  <c r="FX290" i="1"/>
  <c r="FW278" i="1"/>
  <c r="FW281" i="1"/>
  <c r="FW284" i="1"/>
  <c r="FW287" i="1"/>
  <c r="FW290" i="1"/>
  <c r="FV278" i="1"/>
  <c r="FV281" i="1"/>
  <c r="FV284" i="1"/>
  <c r="FV287" i="1"/>
  <c r="FV290" i="1"/>
  <c r="FU278" i="1"/>
  <c r="FU281" i="1"/>
  <c r="FU284" i="1"/>
  <c r="FU287" i="1"/>
  <c r="FU290" i="1"/>
  <c r="FT269" i="1"/>
  <c r="FT272" i="1"/>
  <c r="FT275" i="1"/>
  <c r="FT278" i="1"/>
  <c r="FT281" i="1"/>
  <c r="FT284" i="1"/>
  <c r="FT287" i="1"/>
  <c r="FT290" i="1"/>
  <c r="FS269" i="1"/>
  <c r="FS272" i="1"/>
  <c r="FS275" i="1"/>
  <c r="FS278" i="1"/>
  <c r="FS281" i="1"/>
  <c r="FS284" i="1"/>
  <c r="FS287" i="1"/>
  <c r="FS290" i="1"/>
  <c r="FR269" i="1"/>
  <c r="FR272" i="1"/>
  <c r="FR275" i="1"/>
  <c r="FR278" i="1"/>
  <c r="FR281" i="1"/>
  <c r="FR284" i="1"/>
  <c r="FR287" i="1"/>
  <c r="FR290" i="1"/>
  <c r="FQ269" i="1"/>
  <c r="FQ272" i="1"/>
  <c r="FQ275" i="1"/>
  <c r="FQ278" i="1"/>
  <c r="FQ281" i="1"/>
  <c r="FQ284" i="1"/>
  <c r="FQ287" i="1"/>
  <c r="FQ290" i="1"/>
  <c r="FP269" i="1"/>
  <c r="FP272" i="1"/>
  <c r="FP275" i="1"/>
  <c r="FP278" i="1"/>
  <c r="FP281" i="1"/>
  <c r="FP284" i="1"/>
  <c r="FP287" i="1"/>
  <c r="FP290" i="1"/>
  <c r="FO269" i="1"/>
  <c r="FO272" i="1"/>
  <c r="FO275" i="1"/>
  <c r="FO278" i="1"/>
  <c r="FO281" i="1"/>
  <c r="FO284" i="1"/>
  <c r="FO287" i="1"/>
  <c r="FO290" i="1"/>
  <c r="FN269" i="1"/>
  <c r="FN272" i="1"/>
  <c r="FN275" i="1"/>
  <c r="FN278" i="1"/>
  <c r="FN281" i="1"/>
  <c r="FN284" i="1"/>
  <c r="FN287" i="1"/>
  <c r="FN290" i="1"/>
  <c r="FM269" i="1"/>
  <c r="FM272" i="1"/>
  <c r="FM275" i="1"/>
  <c r="FM278" i="1"/>
  <c r="FM281" i="1"/>
  <c r="FM284" i="1"/>
  <c r="FM287" i="1"/>
  <c r="FM290" i="1"/>
  <c r="FL269" i="1"/>
  <c r="FL272" i="1"/>
  <c r="FL275" i="1"/>
  <c r="FL278" i="1"/>
  <c r="FL281" i="1"/>
  <c r="FL284" i="1"/>
  <c r="FL287" i="1"/>
  <c r="FL290" i="1"/>
  <c r="FK287" i="1"/>
  <c r="FK290" i="1"/>
  <c r="FJ287" i="1"/>
  <c r="FJ290" i="1"/>
  <c r="FI287" i="1"/>
  <c r="FI290" i="1"/>
  <c r="FH290" i="1"/>
  <c r="FG290" i="1"/>
  <c r="FF290" i="1"/>
  <c r="EY290" i="1"/>
  <c r="EX290" i="1"/>
  <c r="EW290" i="1"/>
  <c r="EV287" i="1"/>
  <c r="EV290" i="1"/>
  <c r="EU287" i="1"/>
  <c r="EU290" i="1"/>
  <c r="ET287" i="1"/>
  <c r="ET290" i="1"/>
  <c r="ES284" i="1"/>
  <c r="ES287" i="1"/>
  <c r="ES290" i="1"/>
  <c r="ER284" i="1"/>
  <c r="ER287" i="1"/>
  <c r="ER290" i="1"/>
  <c r="EQ284" i="1"/>
  <c r="EQ287" i="1"/>
  <c r="EQ290" i="1"/>
  <c r="EP287" i="1"/>
  <c r="EP290" i="1"/>
  <c r="EO287" i="1"/>
  <c r="EO290" i="1"/>
  <c r="EN287" i="1"/>
  <c r="EN290" i="1"/>
  <c r="EM281" i="1"/>
  <c r="EM284" i="1"/>
  <c r="EM287" i="1"/>
  <c r="EM290" i="1"/>
  <c r="EL281" i="1"/>
  <c r="EL284" i="1"/>
  <c r="EL287" i="1"/>
  <c r="EL290" i="1"/>
  <c r="EK281" i="1"/>
  <c r="EK284" i="1"/>
  <c r="EK287" i="1"/>
  <c r="EK290" i="1"/>
  <c r="EG266" i="1"/>
  <c r="EJ266" i="1"/>
  <c r="EJ269" i="1"/>
  <c r="EJ272" i="1"/>
  <c r="EJ275" i="1"/>
  <c r="EJ278" i="1"/>
  <c r="EJ281" i="1"/>
  <c r="EJ284" i="1"/>
  <c r="EJ287" i="1"/>
  <c r="EJ290" i="1"/>
  <c r="EF266" i="1"/>
  <c r="EI266" i="1"/>
  <c r="EI269" i="1"/>
  <c r="EI272" i="1"/>
  <c r="EI275" i="1"/>
  <c r="EI278" i="1"/>
  <c r="EI281" i="1"/>
  <c r="EI284" i="1"/>
  <c r="EI287" i="1"/>
  <c r="EI290" i="1"/>
  <c r="EE266" i="1"/>
  <c r="EH266" i="1"/>
  <c r="EH269" i="1"/>
  <c r="EH272" i="1"/>
  <c r="EH275" i="1"/>
  <c r="EH278" i="1"/>
  <c r="EH281" i="1"/>
  <c r="EH284" i="1"/>
  <c r="EH287" i="1"/>
  <c r="EH290" i="1"/>
  <c r="EG269" i="1"/>
  <c r="EG272" i="1"/>
  <c r="EG275" i="1"/>
  <c r="EG278" i="1"/>
  <c r="EG281" i="1"/>
  <c r="EG284" i="1"/>
  <c r="EG287" i="1"/>
  <c r="EG290" i="1"/>
  <c r="EF269" i="1"/>
  <c r="EF272" i="1"/>
  <c r="EF275" i="1"/>
  <c r="EF278" i="1"/>
  <c r="EF281" i="1"/>
  <c r="EF284" i="1"/>
  <c r="EF287" i="1"/>
  <c r="EF290" i="1"/>
  <c r="EE269" i="1"/>
  <c r="EE272" i="1"/>
  <c r="EE275" i="1"/>
  <c r="EE278" i="1"/>
  <c r="EE281" i="1"/>
  <c r="EE284" i="1"/>
  <c r="EE287" i="1"/>
  <c r="EE290" i="1"/>
  <c r="ED287" i="1"/>
  <c r="ED290" i="1"/>
  <c r="EC287" i="1"/>
  <c r="EC290" i="1"/>
  <c r="EB287" i="1"/>
  <c r="EB290" i="1"/>
  <c r="EA287" i="1"/>
  <c r="EA290" i="1"/>
  <c r="DZ287" i="1"/>
  <c r="DZ290" i="1"/>
  <c r="DY287" i="1"/>
  <c r="DY290" i="1"/>
  <c r="DX290" i="1"/>
  <c r="DW290" i="1"/>
  <c r="DV290" i="1"/>
  <c r="DU290" i="1"/>
  <c r="DT290" i="1"/>
  <c r="DS290" i="1"/>
  <c r="DL290" i="1"/>
  <c r="DK290" i="1"/>
  <c r="DJ290" i="1"/>
  <c r="GL289" i="1"/>
  <c r="GK289" i="1"/>
  <c r="GJ289" i="1"/>
  <c r="GF286" i="1"/>
  <c r="GF289" i="1"/>
  <c r="GE286" i="1"/>
  <c r="GE289" i="1"/>
  <c r="GD286" i="1"/>
  <c r="GD289" i="1"/>
  <c r="GC286" i="1"/>
  <c r="GC289" i="1"/>
  <c r="GB286" i="1"/>
  <c r="GB289" i="1"/>
  <c r="GA286" i="1"/>
  <c r="GA289" i="1"/>
  <c r="FZ286" i="1"/>
  <c r="FZ289" i="1"/>
  <c r="FY286" i="1"/>
  <c r="FY289" i="1"/>
  <c r="FX286" i="1"/>
  <c r="FX289" i="1"/>
  <c r="FW277" i="1"/>
  <c r="FW280" i="1"/>
  <c r="FW283" i="1"/>
  <c r="FW286" i="1"/>
  <c r="FW289" i="1"/>
  <c r="FV277" i="1"/>
  <c r="FV280" i="1"/>
  <c r="FV283" i="1"/>
  <c r="FV286" i="1"/>
  <c r="FV289" i="1"/>
  <c r="FU277" i="1"/>
  <c r="FU280" i="1"/>
  <c r="FU283" i="1"/>
  <c r="FU286" i="1"/>
  <c r="FU289" i="1"/>
  <c r="FT268" i="1"/>
  <c r="FT271" i="1"/>
  <c r="FT274" i="1"/>
  <c r="FT277" i="1"/>
  <c r="FT280" i="1"/>
  <c r="FT283" i="1"/>
  <c r="FT286" i="1"/>
  <c r="FT289" i="1"/>
  <c r="FS268" i="1"/>
  <c r="FS271" i="1"/>
  <c r="FS274" i="1"/>
  <c r="FS277" i="1"/>
  <c r="FS280" i="1"/>
  <c r="FS283" i="1"/>
  <c r="FS286" i="1"/>
  <c r="FS289" i="1"/>
  <c r="FR268" i="1"/>
  <c r="FR271" i="1"/>
  <c r="FR274" i="1"/>
  <c r="FR277" i="1"/>
  <c r="FR280" i="1"/>
  <c r="FR283" i="1"/>
  <c r="FR286" i="1"/>
  <c r="FR289" i="1"/>
  <c r="FQ268" i="1"/>
  <c r="FQ271" i="1"/>
  <c r="FQ274" i="1"/>
  <c r="FQ277" i="1"/>
  <c r="FQ280" i="1"/>
  <c r="FQ283" i="1"/>
  <c r="FQ286" i="1"/>
  <c r="FQ289" i="1"/>
  <c r="FP268" i="1"/>
  <c r="FP271" i="1"/>
  <c r="FP274" i="1"/>
  <c r="FP277" i="1"/>
  <c r="FP280" i="1"/>
  <c r="FP283" i="1"/>
  <c r="FP286" i="1"/>
  <c r="FP289" i="1"/>
  <c r="FO268" i="1"/>
  <c r="FO271" i="1"/>
  <c r="FO274" i="1"/>
  <c r="FO277" i="1"/>
  <c r="FO280" i="1"/>
  <c r="FO283" i="1"/>
  <c r="FO286" i="1"/>
  <c r="FO289" i="1"/>
  <c r="FN268" i="1"/>
  <c r="FN271" i="1"/>
  <c r="FN274" i="1"/>
  <c r="FN277" i="1"/>
  <c r="FN280" i="1"/>
  <c r="FN283" i="1"/>
  <c r="FN286" i="1"/>
  <c r="FN289" i="1"/>
  <c r="FM268" i="1"/>
  <c r="FM271" i="1"/>
  <c r="FM274" i="1"/>
  <c r="FM277" i="1"/>
  <c r="FM280" i="1"/>
  <c r="FM283" i="1"/>
  <c r="FM286" i="1"/>
  <c r="FM289" i="1"/>
  <c r="FL268" i="1"/>
  <c r="FL271" i="1"/>
  <c r="FL274" i="1"/>
  <c r="FL277" i="1"/>
  <c r="FL280" i="1"/>
  <c r="FL283" i="1"/>
  <c r="FL286" i="1"/>
  <c r="FL289" i="1"/>
  <c r="FK286" i="1"/>
  <c r="FK289" i="1"/>
  <c r="FJ286" i="1"/>
  <c r="FJ289" i="1"/>
  <c r="FI286" i="1"/>
  <c r="FI289" i="1"/>
  <c r="FH289" i="1"/>
  <c r="FG289" i="1"/>
  <c r="FF289" i="1"/>
  <c r="EY289" i="1"/>
  <c r="EX289" i="1"/>
  <c r="EW289" i="1"/>
  <c r="EV286" i="1"/>
  <c r="EV289" i="1"/>
  <c r="EU286" i="1"/>
  <c r="EU289" i="1"/>
  <c r="ET286" i="1"/>
  <c r="ET289" i="1"/>
  <c r="ES283" i="1"/>
  <c r="ES286" i="1"/>
  <c r="ES289" i="1"/>
  <c r="ER283" i="1"/>
  <c r="ER286" i="1"/>
  <c r="ER289" i="1"/>
  <c r="EQ283" i="1"/>
  <c r="EQ286" i="1"/>
  <c r="EQ289" i="1"/>
  <c r="EP286" i="1"/>
  <c r="EP289" i="1"/>
  <c r="EO286" i="1"/>
  <c r="EO289" i="1"/>
  <c r="EN286" i="1"/>
  <c r="EN289" i="1"/>
  <c r="EM280" i="1"/>
  <c r="EM283" i="1"/>
  <c r="EM286" i="1"/>
  <c r="EM289" i="1"/>
  <c r="EL280" i="1"/>
  <c r="EL283" i="1"/>
  <c r="EL286" i="1"/>
  <c r="EL289" i="1"/>
  <c r="EK280" i="1"/>
  <c r="EK283" i="1"/>
  <c r="EK286" i="1"/>
  <c r="EK289" i="1"/>
  <c r="EG265" i="1"/>
  <c r="EJ265" i="1"/>
  <c r="EJ268" i="1"/>
  <c r="EJ271" i="1"/>
  <c r="EJ274" i="1"/>
  <c r="EJ277" i="1"/>
  <c r="EJ280" i="1"/>
  <c r="EJ283" i="1"/>
  <c r="EJ286" i="1"/>
  <c r="EJ289" i="1"/>
  <c r="EF265" i="1"/>
  <c r="EI265" i="1"/>
  <c r="EI268" i="1"/>
  <c r="EI271" i="1"/>
  <c r="EI274" i="1"/>
  <c r="EI277" i="1"/>
  <c r="EI280" i="1"/>
  <c r="EI283" i="1"/>
  <c r="EI286" i="1"/>
  <c r="EI289" i="1"/>
  <c r="EE265" i="1"/>
  <c r="EH265" i="1"/>
  <c r="EH268" i="1"/>
  <c r="EH271" i="1"/>
  <c r="EH274" i="1"/>
  <c r="EH277" i="1"/>
  <c r="EH280" i="1"/>
  <c r="EH283" i="1"/>
  <c r="EH286" i="1"/>
  <c r="EH289" i="1"/>
  <c r="EG268" i="1"/>
  <c r="EG271" i="1"/>
  <c r="EG274" i="1"/>
  <c r="EG277" i="1"/>
  <c r="EG280" i="1"/>
  <c r="EG283" i="1"/>
  <c r="EG286" i="1"/>
  <c r="EG289" i="1"/>
  <c r="EF268" i="1"/>
  <c r="EF271" i="1"/>
  <c r="EF274" i="1"/>
  <c r="EF277" i="1"/>
  <c r="EF280" i="1"/>
  <c r="EF283" i="1"/>
  <c r="EF286" i="1"/>
  <c r="EF289" i="1"/>
  <c r="EE268" i="1"/>
  <c r="EE271" i="1"/>
  <c r="EE274" i="1"/>
  <c r="EE277" i="1"/>
  <c r="EE280" i="1"/>
  <c r="EE283" i="1"/>
  <c r="EE286" i="1"/>
  <c r="EE289" i="1"/>
  <c r="ED286" i="1"/>
  <c r="ED289" i="1"/>
  <c r="EC286" i="1"/>
  <c r="EC289" i="1"/>
  <c r="EB286" i="1"/>
  <c r="EB289" i="1"/>
  <c r="EA286" i="1"/>
  <c r="EA289" i="1"/>
  <c r="DZ286" i="1"/>
  <c r="DZ289" i="1"/>
  <c r="DY286" i="1"/>
  <c r="DY289" i="1"/>
  <c r="DX289" i="1"/>
  <c r="DW289" i="1"/>
  <c r="DV289" i="1"/>
  <c r="DU289" i="1"/>
  <c r="DT289" i="1"/>
  <c r="DS289" i="1"/>
  <c r="DL289" i="1"/>
  <c r="DK289" i="1"/>
  <c r="DJ289" i="1"/>
  <c r="GI258" i="1"/>
  <c r="GI261" i="1"/>
  <c r="GI264" i="1"/>
  <c r="GH258" i="1"/>
  <c r="GH261" i="1"/>
  <c r="GH264" i="1"/>
  <c r="GG258" i="1"/>
  <c r="GG261" i="1"/>
  <c r="GG264" i="1"/>
  <c r="GF255" i="1"/>
  <c r="GF258" i="1"/>
  <c r="GF261" i="1"/>
  <c r="GF264" i="1"/>
  <c r="GE255" i="1"/>
  <c r="GE258" i="1"/>
  <c r="GE261" i="1"/>
  <c r="GE264" i="1"/>
  <c r="GD255" i="1"/>
  <c r="GD258" i="1"/>
  <c r="GD261" i="1"/>
  <c r="GD264" i="1"/>
  <c r="GC252" i="1"/>
  <c r="GC255" i="1"/>
  <c r="GC258" i="1"/>
  <c r="GC261" i="1"/>
  <c r="GC264" i="1"/>
  <c r="GB252" i="1"/>
  <c r="GB255" i="1"/>
  <c r="GB258" i="1"/>
  <c r="GB261" i="1"/>
  <c r="GB264" i="1"/>
  <c r="GA252" i="1"/>
  <c r="GA255" i="1"/>
  <c r="GA258" i="1"/>
  <c r="GA261" i="1"/>
  <c r="GA264" i="1"/>
  <c r="FZ255" i="1"/>
  <c r="FZ258" i="1"/>
  <c r="FZ261" i="1"/>
  <c r="FZ264" i="1"/>
  <c r="FY255" i="1"/>
  <c r="FY258" i="1"/>
  <c r="FY261" i="1"/>
  <c r="FY264" i="1"/>
  <c r="FX255" i="1"/>
  <c r="FX258" i="1"/>
  <c r="FX261" i="1"/>
  <c r="FX264" i="1"/>
  <c r="FW252" i="1"/>
  <c r="FW255" i="1"/>
  <c r="FW258" i="1"/>
  <c r="FW261" i="1"/>
  <c r="FW264" i="1"/>
  <c r="FV252" i="1"/>
  <c r="FV255" i="1"/>
  <c r="FV258" i="1"/>
  <c r="FV261" i="1"/>
  <c r="FV264" i="1"/>
  <c r="FU252" i="1"/>
  <c r="FU255" i="1"/>
  <c r="FU258" i="1"/>
  <c r="FU261" i="1"/>
  <c r="FU264" i="1"/>
  <c r="FT243" i="1"/>
  <c r="FT246" i="1"/>
  <c r="FT249" i="1"/>
  <c r="FT252" i="1"/>
  <c r="FT255" i="1"/>
  <c r="FT258" i="1"/>
  <c r="FT261" i="1"/>
  <c r="FT264" i="1"/>
  <c r="FS243" i="1"/>
  <c r="FS246" i="1"/>
  <c r="FS249" i="1"/>
  <c r="FS252" i="1"/>
  <c r="FS255" i="1"/>
  <c r="FS258" i="1"/>
  <c r="FS261" i="1"/>
  <c r="FS264" i="1"/>
  <c r="FR243" i="1"/>
  <c r="FR246" i="1"/>
  <c r="FR249" i="1"/>
  <c r="FR252" i="1"/>
  <c r="FR255" i="1"/>
  <c r="FR258" i="1"/>
  <c r="FR261" i="1"/>
  <c r="FR264" i="1"/>
  <c r="FQ243" i="1"/>
  <c r="FQ246" i="1"/>
  <c r="FQ249" i="1"/>
  <c r="FQ252" i="1"/>
  <c r="FQ255" i="1"/>
  <c r="FQ258" i="1"/>
  <c r="FQ261" i="1"/>
  <c r="FQ264" i="1"/>
  <c r="FP243" i="1"/>
  <c r="FP246" i="1"/>
  <c r="FP249" i="1"/>
  <c r="FP252" i="1"/>
  <c r="FP255" i="1"/>
  <c r="FP258" i="1"/>
  <c r="FP261" i="1"/>
  <c r="FP264" i="1"/>
  <c r="FO243" i="1"/>
  <c r="FO246" i="1"/>
  <c r="FO249" i="1"/>
  <c r="FO252" i="1"/>
  <c r="FO255" i="1"/>
  <c r="FO258" i="1"/>
  <c r="FO261" i="1"/>
  <c r="FO264" i="1"/>
  <c r="FN243" i="1"/>
  <c r="FN246" i="1"/>
  <c r="FN249" i="1"/>
  <c r="FN252" i="1"/>
  <c r="FN255" i="1"/>
  <c r="FN258" i="1"/>
  <c r="FN261" i="1"/>
  <c r="FN264" i="1"/>
  <c r="FM243" i="1"/>
  <c r="FM246" i="1"/>
  <c r="FM249" i="1"/>
  <c r="FM252" i="1"/>
  <c r="FM255" i="1"/>
  <c r="FM258" i="1"/>
  <c r="FM261" i="1"/>
  <c r="FM264" i="1"/>
  <c r="FL243" i="1"/>
  <c r="FL246" i="1"/>
  <c r="FL249" i="1"/>
  <c r="FL252" i="1"/>
  <c r="FL255" i="1"/>
  <c r="FL258" i="1"/>
  <c r="FL261" i="1"/>
  <c r="FL264" i="1"/>
  <c r="FK249" i="1"/>
  <c r="FK252" i="1"/>
  <c r="FK255" i="1"/>
  <c r="FK258" i="1"/>
  <c r="FK261" i="1"/>
  <c r="FK264" i="1"/>
  <c r="FJ249" i="1"/>
  <c r="FJ252" i="1"/>
  <c r="FJ255" i="1"/>
  <c r="FJ258" i="1"/>
  <c r="FJ261" i="1"/>
  <c r="FJ264" i="1"/>
  <c r="FI249" i="1"/>
  <c r="FI252" i="1"/>
  <c r="FI255" i="1"/>
  <c r="FI258" i="1"/>
  <c r="FI261" i="1"/>
  <c r="FI264" i="1"/>
  <c r="FH261" i="1"/>
  <c r="FH264" i="1"/>
  <c r="FG261" i="1"/>
  <c r="FG264" i="1"/>
  <c r="FF261" i="1"/>
  <c r="FF264" i="1"/>
  <c r="FE258" i="1"/>
  <c r="FE261" i="1"/>
  <c r="FE264" i="1"/>
  <c r="FD258" i="1"/>
  <c r="FD261" i="1"/>
  <c r="FD264" i="1"/>
  <c r="FC258" i="1"/>
  <c r="FC261" i="1"/>
  <c r="FC264" i="1"/>
  <c r="FB255" i="1"/>
  <c r="FB258" i="1"/>
  <c r="FB261" i="1"/>
  <c r="FB264" i="1"/>
  <c r="FA255" i="1"/>
  <c r="FA258" i="1"/>
  <c r="FA261" i="1"/>
  <c r="FA264" i="1"/>
  <c r="EZ255" i="1"/>
  <c r="EZ258" i="1"/>
  <c r="EZ261" i="1"/>
  <c r="EZ264" i="1"/>
  <c r="EY255" i="1"/>
  <c r="EY258" i="1"/>
  <c r="EY261" i="1"/>
  <c r="EY264" i="1"/>
  <c r="EX255" i="1"/>
  <c r="EX258" i="1"/>
  <c r="EX261" i="1"/>
  <c r="EX264" i="1"/>
  <c r="EW255" i="1"/>
  <c r="EW258" i="1"/>
  <c r="EW261" i="1"/>
  <c r="EW264" i="1"/>
  <c r="EV252" i="1"/>
  <c r="EV255" i="1"/>
  <c r="EV258" i="1"/>
  <c r="EV261" i="1"/>
  <c r="EV264" i="1"/>
  <c r="EU252" i="1"/>
  <c r="EU255" i="1"/>
  <c r="EU258" i="1"/>
  <c r="EU261" i="1"/>
  <c r="EU264" i="1"/>
  <c r="ET252" i="1"/>
  <c r="ET255" i="1"/>
  <c r="ET258" i="1"/>
  <c r="ET261" i="1"/>
  <c r="ET264" i="1"/>
  <c r="ES252" i="1"/>
  <c r="ES255" i="1"/>
  <c r="ES258" i="1"/>
  <c r="ES261" i="1"/>
  <c r="ES264" i="1"/>
  <c r="ER252" i="1"/>
  <c r="ER255" i="1"/>
  <c r="ER258" i="1"/>
  <c r="ER261" i="1"/>
  <c r="ER264" i="1"/>
  <c r="EQ252" i="1"/>
  <c r="EQ255" i="1"/>
  <c r="EQ258" i="1"/>
  <c r="EQ261" i="1"/>
  <c r="EQ264" i="1"/>
  <c r="EP249" i="1"/>
  <c r="EP252" i="1"/>
  <c r="EP255" i="1"/>
  <c r="EP258" i="1"/>
  <c r="EP261" i="1"/>
  <c r="EP264" i="1"/>
  <c r="EO249" i="1"/>
  <c r="EO252" i="1"/>
  <c r="EO255" i="1"/>
  <c r="EO258" i="1"/>
  <c r="EO261" i="1"/>
  <c r="EO264" i="1"/>
  <c r="EN249" i="1"/>
  <c r="EN252" i="1"/>
  <c r="EN255" i="1"/>
  <c r="EN258" i="1"/>
  <c r="EN261" i="1"/>
  <c r="EN264" i="1"/>
  <c r="EM243" i="1"/>
  <c r="EM246" i="1"/>
  <c r="EM249" i="1"/>
  <c r="EM252" i="1"/>
  <c r="EM255" i="1"/>
  <c r="EM258" i="1"/>
  <c r="EM261" i="1"/>
  <c r="EM264" i="1"/>
  <c r="EL243" i="1"/>
  <c r="EL246" i="1"/>
  <c r="EL249" i="1"/>
  <c r="EL252" i="1"/>
  <c r="EL255" i="1"/>
  <c r="EL258" i="1"/>
  <c r="EL261" i="1"/>
  <c r="EL264" i="1"/>
  <c r="EK243" i="1"/>
  <c r="EK246" i="1"/>
  <c r="EK249" i="1"/>
  <c r="EK252" i="1"/>
  <c r="EK255" i="1"/>
  <c r="EK258" i="1"/>
  <c r="EK261" i="1"/>
  <c r="EK264" i="1"/>
  <c r="EA240" i="1"/>
  <c r="ED240" i="1"/>
  <c r="EG240" i="1"/>
  <c r="EJ240" i="1"/>
  <c r="EJ243" i="1"/>
  <c r="EJ246" i="1"/>
  <c r="EJ249" i="1"/>
  <c r="EJ252" i="1"/>
  <c r="EJ255" i="1"/>
  <c r="EJ258" i="1"/>
  <c r="EJ261" i="1"/>
  <c r="EJ264" i="1"/>
  <c r="DZ240" i="1"/>
  <c r="EC240" i="1"/>
  <c r="EF240" i="1"/>
  <c r="EI240" i="1"/>
  <c r="EI243" i="1"/>
  <c r="EI246" i="1"/>
  <c r="EI249" i="1"/>
  <c r="EI252" i="1"/>
  <c r="EI255" i="1"/>
  <c r="EI258" i="1"/>
  <c r="EI261" i="1"/>
  <c r="EI264" i="1"/>
  <c r="DY240" i="1"/>
  <c r="EB240" i="1"/>
  <c r="EE240" i="1"/>
  <c r="EH240" i="1"/>
  <c r="EH243" i="1"/>
  <c r="EH246" i="1"/>
  <c r="EH249" i="1"/>
  <c r="EH252" i="1"/>
  <c r="EH255" i="1"/>
  <c r="EH258" i="1"/>
  <c r="EH261" i="1"/>
  <c r="EH264" i="1"/>
  <c r="EG243" i="1"/>
  <c r="EG246" i="1"/>
  <c r="EG249" i="1"/>
  <c r="EG252" i="1"/>
  <c r="EG255" i="1"/>
  <c r="EG258" i="1"/>
  <c r="EG261" i="1"/>
  <c r="EG264" i="1"/>
  <c r="EF243" i="1"/>
  <c r="EF246" i="1"/>
  <c r="EF249" i="1"/>
  <c r="EF252" i="1"/>
  <c r="EF255" i="1"/>
  <c r="EF258" i="1"/>
  <c r="EF261" i="1"/>
  <c r="EF264" i="1"/>
  <c r="EE243" i="1"/>
  <c r="EE246" i="1"/>
  <c r="EE249" i="1"/>
  <c r="EE252" i="1"/>
  <c r="EE255" i="1"/>
  <c r="EE258" i="1"/>
  <c r="EE261" i="1"/>
  <c r="EE264" i="1"/>
  <c r="ED243" i="1"/>
  <c r="ED246" i="1"/>
  <c r="ED249" i="1"/>
  <c r="ED252" i="1"/>
  <c r="ED255" i="1"/>
  <c r="ED258" i="1"/>
  <c r="ED261" i="1"/>
  <c r="ED264" i="1"/>
  <c r="EC243" i="1"/>
  <c r="EC246" i="1"/>
  <c r="EC249" i="1"/>
  <c r="EC252" i="1"/>
  <c r="EC255" i="1"/>
  <c r="EC258" i="1"/>
  <c r="EC261" i="1"/>
  <c r="EC264" i="1"/>
  <c r="EB243" i="1"/>
  <c r="EB246" i="1"/>
  <c r="EB249" i="1"/>
  <c r="EB252" i="1"/>
  <c r="EB255" i="1"/>
  <c r="EB258" i="1"/>
  <c r="EB261" i="1"/>
  <c r="EB264" i="1"/>
  <c r="EA243" i="1"/>
  <c r="EA246" i="1"/>
  <c r="EA249" i="1"/>
  <c r="EA252" i="1"/>
  <c r="EA255" i="1"/>
  <c r="EA258" i="1"/>
  <c r="EA261" i="1"/>
  <c r="EA264" i="1"/>
  <c r="DZ243" i="1"/>
  <c r="DZ246" i="1"/>
  <c r="DZ249" i="1"/>
  <c r="DZ252" i="1"/>
  <c r="DZ255" i="1"/>
  <c r="DZ258" i="1"/>
  <c r="DZ261" i="1"/>
  <c r="DZ264" i="1"/>
  <c r="DY243" i="1"/>
  <c r="DY246" i="1"/>
  <c r="DY249" i="1"/>
  <c r="DY252" i="1"/>
  <c r="DY255" i="1"/>
  <c r="DY258" i="1"/>
  <c r="DY261" i="1"/>
  <c r="DY264" i="1"/>
  <c r="DX258" i="1"/>
  <c r="DX261" i="1"/>
  <c r="DX264" i="1"/>
  <c r="DW258" i="1"/>
  <c r="DW261" i="1"/>
  <c r="DW264" i="1"/>
  <c r="DV258" i="1"/>
  <c r="DV261" i="1"/>
  <c r="DV264" i="1"/>
  <c r="DU258" i="1"/>
  <c r="DU261" i="1"/>
  <c r="DU264" i="1"/>
  <c r="DT258" i="1"/>
  <c r="DT261" i="1"/>
  <c r="DT264" i="1"/>
  <c r="DS258" i="1"/>
  <c r="DS261" i="1"/>
  <c r="DS264" i="1"/>
  <c r="DR255" i="1"/>
  <c r="DR258" i="1"/>
  <c r="DR261" i="1"/>
  <c r="DR264" i="1"/>
  <c r="DQ255" i="1"/>
  <c r="DQ258" i="1"/>
  <c r="DQ261" i="1"/>
  <c r="DQ264" i="1"/>
  <c r="DP255" i="1"/>
  <c r="DP258" i="1"/>
  <c r="DP261" i="1"/>
  <c r="DP264" i="1"/>
  <c r="DO261" i="1"/>
  <c r="DO264" i="1"/>
  <c r="DN261" i="1"/>
  <c r="DN264" i="1"/>
  <c r="DM261" i="1"/>
  <c r="DM264" i="1"/>
  <c r="DL258" i="1"/>
  <c r="DL261" i="1"/>
  <c r="DL264" i="1"/>
  <c r="DK258" i="1"/>
  <c r="DK261" i="1"/>
  <c r="DK264" i="1"/>
  <c r="DJ258" i="1"/>
  <c r="DJ261" i="1"/>
  <c r="DJ264" i="1"/>
  <c r="GI257" i="1"/>
  <c r="GI260" i="1"/>
  <c r="GI263" i="1"/>
  <c r="GH257" i="1"/>
  <c r="GH260" i="1"/>
  <c r="GH263" i="1"/>
  <c r="GG257" i="1"/>
  <c r="GG260" i="1"/>
  <c r="GG263" i="1"/>
  <c r="GF254" i="1"/>
  <c r="GF257" i="1"/>
  <c r="GF260" i="1"/>
  <c r="GF263" i="1"/>
  <c r="GE254" i="1"/>
  <c r="GE257" i="1"/>
  <c r="GE260" i="1"/>
  <c r="GE263" i="1"/>
  <c r="GD254" i="1"/>
  <c r="GD257" i="1"/>
  <c r="GD260" i="1"/>
  <c r="GD263" i="1"/>
  <c r="GC251" i="1"/>
  <c r="GC254" i="1"/>
  <c r="GC257" i="1"/>
  <c r="GC260" i="1"/>
  <c r="GC263" i="1"/>
  <c r="GB251" i="1"/>
  <c r="GB254" i="1"/>
  <c r="GB257" i="1"/>
  <c r="GB260" i="1"/>
  <c r="GB263" i="1"/>
  <c r="GA251" i="1"/>
  <c r="GA254" i="1"/>
  <c r="GA257" i="1"/>
  <c r="GA260" i="1"/>
  <c r="GA263" i="1"/>
  <c r="FZ254" i="1"/>
  <c r="FZ257" i="1"/>
  <c r="FZ260" i="1"/>
  <c r="FZ263" i="1"/>
  <c r="FY254" i="1"/>
  <c r="FY257" i="1"/>
  <c r="FY260" i="1"/>
  <c r="FY263" i="1"/>
  <c r="FX254" i="1"/>
  <c r="FX257" i="1"/>
  <c r="FX260" i="1"/>
  <c r="FX263" i="1"/>
  <c r="FW251" i="1"/>
  <c r="FW254" i="1"/>
  <c r="FW257" i="1"/>
  <c r="FW260" i="1"/>
  <c r="FW263" i="1"/>
  <c r="FV251" i="1"/>
  <c r="FV254" i="1"/>
  <c r="FV257" i="1"/>
  <c r="FV260" i="1"/>
  <c r="FV263" i="1"/>
  <c r="FU251" i="1"/>
  <c r="FU254" i="1"/>
  <c r="FU257" i="1"/>
  <c r="FU260" i="1"/>
  <c r="FU263" i="1"/>
  <c r="FT242" i="1"/>
  <c r="FT245" i="1"/>
  <c r="FT248" i="1"/>
  <c r="FT251" i="1"/>
  <c r="FT254" i="1"/>
  <c r="FT257" i="1"/>
  <c r="FT260" i="1"/>
  <c r="FT263" i="1"/>
  <c r="FS242" i="1"/>
  <c r="FS245" i="1"/>
  <c r="FS248" i="1"/>
  <c r="FS251" i="1"/>
  <c r="FS254" i="1"/>
  <c r="FS257" i="1"/>
  <c r="FS260" i="1"/>
  <c r="FS263" i="1"/>
  <c r="FR242" i="1"/>
  <c r="FR245" i="1"/>
  <c r="FR248" i="1"/>
  <c r="FR251" i="1"/>
  <c r="FR254" i="1"/>
  <c r="FR257" i="1"/>
  <c r="FR260" i="1"/>
  <c r="FR263" i="1"/>
  <c r="FQ242" i="1"/>
  <c r="FQ245" i="1"/>
  <c r="FQ248" i="1"/>
  <c r="FQ251" i="1"/>
  <c r="FQ254" i="1"/>
  <c r="FQ257" i="1"/>
  <c r="FQ260" i="1"/>
  <c r="FQ263" i="1"/>
  <c r="FP242" i="1"/>
  <c r="FP245" i="1"/>
  <c r="FP248" i="1"/>
  <c r="FP251" i="1"/>
  <c r="FP254" i="1"/>
  <c r="FP257" i="1"/>
  <c r="FP260" i="1"/>
  <c r="FP263" i="1"/>
  <c r="FO242" i="1"/>
  <c r="FO245" i="1"/>
  <c r="FO248" i="1"/>
  <c r="FO251" i="1"/>
  <c r="FO254" i="1"/>
  <c r="FO257" i="1"/>
  <c r="FO260" i="1"/>
  <c r="FO263" i="1"/>
  <c r="FN242" i="1"/>
  <c r="FN245" i="1"/>
  <c r="FN248" i="1"/>
  <c r="FN251" i="1"/>
  <c r="FN254" i="1"/>
  <c r="FN257" i="1"/>
  <c r="FN260" i="1"/>
  <c r="FN263" i="1"/>
  <c r="FM242" i="1"/>
  <c r="FM245" i="1"/>
  <c r="FM248" i="1"/>
  <c r="FM251" i="1"/>
  <c r="FM254" i="1"/>
  <c r="FM257" i="1"/>
  <c r="FM260" i="1"/>
  <c r="FM263" i="1"/>
  <c r="FL242" i="1"/>
  <c r="FL245" i="1"/>
  <c r="FL248" i="1"/>
  <c r="FL251" i="1"/>
  <c r="FL254" i="1"/>
  <c r="FL257" i="1"/>
  <c r="FL260" i="1"/>
  <c r="FL263" i="1"/>
  <c r="FK248" i="1"/>
  <c r="FK251" i="1"/>
  <c r="FK254" i="1"/>
  <c r="FK257" i="1"/>
  <c r="FK260" i="1"/>
  <c r="FK263" i="1"/>
  <c r="FJ248" i="1"/>
  <c r="FJ251" i="1"/>
  <c r="FJ254" i="1"/>
  <c r="FJ257" i="1"/>
  <c r="FJ260" i="1"/>
  <c r="FJ263" i="1"/>
  <c r="FI248" i="1"/>
  <c r="FI251" i="1"/>
  <c r="FI254" i="1"/>
  <c r="FI257" i="1"/>
  <c r="FI260" i="1"/>
  <c r="FI263" i="1"/>
  <c r="FH260" i="1"/>
  <c r="FH263" i="1"/>
  <c r="FG260" i="1"/>
  <c r="FG263" i="1"/>
  <c r="FF260" i="1"/>
  <c r="FF263" i="1"/>
  <c r="FE257" i="1"/>
  <c r="FE260" i="1"/>
  <c r="FE263" i="1"/>
  <c r="FD257" i="1"/>
  <c r="FD260" i="1"/>
  <c r="FD263" i="1"/>
  <c r="FC257" i="1"/>
  <c r="FC260" i="1"/>
  <c r="FC263" i="1"/>
  <c r="FB254" i="1"/>
  <c r="FB257" i="1"/>
  <c r="FB260" i="1"/>
  <c r="FB263" i="1"/>
  <c r="FA254" i="1"/>
  <c r="FA257" i="1"/>
  <c r="FA260" i="1"/>
  <c r="FA263" i="1"/>
  <c r="EZ254" i="1"/>
  <c r="EZ257" i="1"/>
  <c r="EZ260" i="1"/>
  <c r="EZ263" i="1"/>
  <c r="EY254" i="1"/>
  <c r="EY257" i="1"/>
  <c r="EY260" i="1"/>
  <c r="EY263" i="1"/>
  <c r="EX254" i="1"/>
  <c r="EX257" i="1"/>
  <c r="EX260" i="1"/>
  <c r="EX263" i="1"/>
  <c r="EW254" i="1"/>
  <c r="EW257" i="1"/>
  <c r="EW260" i="1"/>
  <c r="EW263" i="1"/>
  <c r="EV251" i="1"/>
  <c r="EV254" i="1"/>
  <c r="EV257" i="1"/>
  <c r="EV260" i="1"/>
  <c r="EV263" i="1"/>
  <c r="EU251" i="1"/>
  <c r="EU254" i="1"/>
  <c r="EU257" i="1"/>
  <c r="EU260" i="1"/>
  <c r="EU263" i="1"/>
  <c r="ET251" i="1"/>
  <c r="ET254" i="1"/>
  <c r="ET257" i="1"/>
  <c r="ET260" i="1"/>
  <c r="ET263" i="1"/>
  <c r="ES251" i="1"/>
  <c r="ES254" i="1"/>
  <c r="ES257" i="1"/>
  <c r="ES260" i="1"/>
  <c r="ES263" i="1"/>
  <c r="ER251" i="1"/>
  <c r="ER254" i="1"/>
  <c r="ER257" i="1"/>
  <c r="ER260" i="1"/>
  <c r="ER263" i="1"/>
  <c r="EQ251" i="1"/>
  <c r="EQ254" i="1"/>
  <c r="EQ257" i="1"/>
  <c r="EQ260" i="1"/>
  <c r="EQ263" i="1"/>
  <c r="EP248" i="1"/>
  <c r="EP251" i="1"/>
  <c r="EP254" i="1"/>
  <c r="EP257" i="1"/>
  <c r="EP260" i="1"/>
  <c r="EP263" i="1"/>
  <c r="EO248" i="1"/>
  <c r="EO251" i="1"/>
  <c r="EO254" i="1"/>
  <c r="EO257" i="1"/>
  <c r="EO260" i="1"/>
  <c r="EO263" i="1"/>
  <c r="EN248" i="1"/>
  <c r="EN251" i="1"/>
  <c r="EN254" i="1"/>
  <c r="EN257" i="1"/>
  <c r="EN260" i="1"/>
  <c r="EN263" i="1"/>
  <c r="EM242" i="1"/>
  <c r="EM245" i="1"/>
  <c r="EM248" i="1"/>
  <c r="EM251" i="1"/>
  <c r="EM254" i="1"/>
  <c r="EM257" i="1"/>
  <c r="EM260" i="1"/>
  <c r="EM263" i="1"/>
  <c r="EL242" i="1"/>
  <c r="EL245" i="1"/>
  <c r="EL248" i="1"/>
  <c r="EL251" i="1"/>
  <c r="EL254" i="1"/>
  <c r="EL257" i="1"/>
  <c r="EL260" i="1"/>
  <c r="EL263" i="1"/>
  <c r="EK242" i="1"/>
  <c r="EK245" i="1"/>
  <c r="EK248" i="1"/>
  <c r="EK251" i="1"/>
  <c r="EK254" i="1"/>
  <c r="EK257" i="1"/>
  <c r="EK260" i="1"/>
  <c r="EK263" i="1"/>
  <c r="EA239" i="1"/>
  <c r="ED239" i="1"/>
  <c r="EG239" i="1"/>
  <c r="EJ239" i="1"/>
  <c r="EJ242" i="1"/>
  <c r="EJ245" i="1"/>
  <c r="EJ248" i="1"/>
  <c r="EJ251" i="1"/>
  <c r="EJ254" i="1"/>
  <c r="EJ257" i="1"/>
  <c r="EJ260" i="1"/>
  <c r="EJ263" i="1"/>
  <c r="DZ239" i="1"/>
  <c r="EC239" i="1"/>
  <c r="EF239" i="1"/>
  <c r="EI239" i="1"/>
  <c r="EI242" i="1"/>
  <c r="EI245" i="1"/>
  <c r="EI248" i="1"/>
  <c r="EI251" i="1"/>
  <c r="EI254" i="1"/>
  <c r="EI257" i="1"/>
  <c r="EI260" i="1"/>
  <c r="EI263" i="1"/>
  <c r="DY239" i="1"/>
  <c r="EB239" i="1"/>
  <c r="EE239" i="1"/>
  <c r="EH239" i="1"/>
  <c r="EH242" i="1"/>
  <c r="EH245" i="1"/>
  <c r="EH248" i="1"/>
  <c r="EH251" i="1"/>
  <c r="EH254" i="1"/>
  <c r="EH257" i="1"/>
  <c r="EH260" i="1"/>
  <c r="EH263" i="1"/>
  <c r="EG242" i="1"/>
  <c r="EG245" i="1"/>
  <c r="EG248" i="1"/>
  <c r="EG251" i="1"/>
  <c r="EG254" i="1"/>
  <c r="EG257" i="1"/>
  <c r="EG260" i="1"/>
  <c r="EG263" i="1"/>
  <c r="EF242" i="1"/>
  <c r="EF245" i="1"/>
  <c r="EF248" i="1"/>
  <c r="EF251" i="1"/>
  <c r="EF254" i="1"/>
  <c r="EF257" i="1"/>
  <c r="EF260" i="1"/>
  <c r="EF263" i="1"/>
  <c r="EE242" i="1"/>
  <c r="EE245" i="1"/>
  <c r="EE248" i="1"/>
  <c r="EE251" i="1"/>
  <c r="EE254" i="1"/>
  <c r="EE257" i="1"/>
  <c r="EE260" i="1"/>
  <c r="EE263" i="1"/>
  <c r="ED242" i="1"/>
  <c r="ED245" i="1"/>
  <c r="ED248" i="1"/>
  <c r="ED251" i="1"/>
  <c r="ED254" i="1"/>
  <c r="ED257" i="1"/>
  <c r="ED260" i="1"/>
  <c r="ED263" i="1"/>
  <c r="EC242" i="1"/>
  <c r="EC245" i="1"/>
  <c r="EC248" i="1"/>
  <c r="EC251" i="1"/>
  <c r="EC254" i="1"/>
  <c r="EC257" i="1"/>
  <c r="EC260" i="1"/>
  <c r="EC263" i="1"/>
  <c r="EB242" i="1"/>
  <c r="EB245" i="1"/>
  <c r="EB248" i="1"/>
  <c r="EB251" i="1"/>
  <c r="EB254" i="1"/>
  <c r="EB257" i="1"/>
  <c r="EB260" i="1"/>
  <c r="EB263" i="1"/>
  <c r="EA242" i="1"/>
  <c r="EA245" i="1"/>
  <c r="EA248" i="1"/>
  <c r="EA251" i="1"/>
  <c r="EA254" i="1"/>
  <c r="EA257" i="1"/>
  <c r="EA260" i="1"/>
  <c r="EA263" i="1"/>
  <c r="DZ242" i="1"/>
  <c r="DZ245" i="1"/>
  <c r="DZ248" i="1"/>
  <c r="DZ251" i="1"/>
  <c r="DZ254" i="1"/>
  <c r="DZ257" i="1"/>
  <c r="DZ260" i="1"/>
  <c r="DZ263" i="1"/>
  <c r="DY242" i="1"/>
  <c r="DY245" i="1"/>
  <c r="DY248" i="1"/>
  <c r="DY251" i="1"/>
  <c r="DY254" i="1"/>
  <c r="DY257" i="1"/>
  <c r="DY260" i="1"/>
  <c r="DY263" i="1"/>
  <c r="DX257" i="1"/>
  <c r="DX260" i="1"/>
  <c r="DX263" i="1"/>
  <c r="DW257" i="1"/>
  <c r="DW260" i="1"/>
  <c r="DW263" i="1"/>
  <c r="DV257" i="1"/>
  <c r="DV260" i="1"/>
  <c r="DV263" i="1"/>
  <c r="DU257" i="1"/>
  <c r="DU260" i="1"/>
  <c r="DU263" i="1"/>
  <c r="DT257" i="1"/>
  <c r="DT260" i="1"/>
  <c r="DT263" i="1"/>
  <c r="DS257" i="1"/>
  <c r="DS260" i="1"/>
  <c r="DS263" i="1"/>
  <c r="DR254" i="1"/>
  <c r="DR257" i="1"/>
  <c r="DR260" i="1"/>
  <c r="DR263" i="1"/>
  <c r="DQ254" i="1"/>
  <c r="DQ257" i="1"/>
  <c r="DQ260" i="1"/>
  <c r="DQ263" i="1"/>
  <c r="DP254" i="1"/>
  <c r="DP257" i="1"/>
  <c r="DP260" i="1"/>
  <c r="DP263" i="1"/>
  <c r="DO260" i="1"/>
  <c r="DO263" i="1"/>
  <c r="DN260" i="1"/>
  <c r="DN263" i="1"/>
  <c r="DM260" i="1"/>
  <c r="DM263" i="1"/>
  <c r="DL257" i="1"/>
  <c r="DL260" i="1"/>
  <c r="DL263" i="1"/>
  <c r="DK257" i="1"/>
  <c r="DK260" i="1"/>
  <c r="DK263" i="1"/>
  <c r="DJ257" i="1"/>
  <c r="DJ260" i="1"/>
  <c r="DJ263" i="1"/>
  <c r="GI256" i="1"/>
  <c r="GI259" i="1"/>
  <c r="GI262" i="1"/>
  <c r="GH256" i="1"/>
  <c r="GH259" i="1"/>
  <c r="GH262" i="1"/>
  <c r="GG256" i="1"/>
  <c r="GG259" i="1"/>
  <c r="GG262" i="1"/>
  <c r="GF253" i="1"/>
  <c r="GF256" i="1"/>
  <c r="GF259" i="1"/>
  <c r="GF262" i="1"/>
  <c r="GE253" i="1"/>
  <c r="GE256" i="1"/>
  <c r="GE259" i="1"/>
  <c r="GE262" i="1"/>
  <c r="GD253" i="1"/>
  <c r="GD256" i="1"/>
  <c r="GD259" i="1"/>
  <c r="GD262" i="1"/>
  <c r="GC250" i="1"/>
  <c r="GC253" i="1"/>
  <c r="GC256" i="1"/>
  <c r="GC259" i="1"/>
  <c r="GC262" i="1"/>
  <c r="GB250" i="1"/>
  <c r="GB253" i="1"/>
  <c r="GB256" i="1"/>
  <c r="GB259" i="1"/>
  <c r="GB262" i="1"/>
  <c r="GA250" i="1"/>
  <c r="GA253" i="1"/>
  <c r="GA256" i="1"/>
  <c r="GA259" i="1"/>
  <c r="GA262" i="1"/>
  <c r="FZ253" i="1"/>
  <c r="FZ256" i="1"/>
  <c r="FZ259" i="1"/>
  <c r="FZ262" i="1"/>
  <c r="FY253" i="1"/>
  <c r="FY256" i="1"/>
  <c r="FY259" i="1"/>
  <c r="FY262" i="1"/>
  <c r="FX253" i="1"/>
  <c r="FX256" i="1"/>
  <c r="FX259" i="1"/>
  <c r="FX262" i="1"/>
  <c r="FW250" i="1"/>
  <c r="FW253" i="1"/>
  <c r="FW256" i="1"/>
  <c r="FW259" i="1"/>
  <c r="FW262" i="1"/>
  <c r="FV250" i="1"/>
  <c r="FV253" i="1"/>
  <c r="FV256" i="1"/>
  <c r="FV259" i="1"/>
  <c r="FV262" i="1"/>
  <c r="FU250" i="1"/>
  <c r="FU253" i="1"/>
  <c r="FU256" i="1"/>
  <c r="FU259" i="1"/>
  <c r="FU262" i="1"/>
  <c r="FT241" i="1"/>
  <c r="FT244" i="1"/>
  <c r="FT247" i="1"/>
  <c r="FT250" i="1"/>
  <c r="FT253" i="1"/>
  <c r="FT256" i="1"/>
  <c r="FT259" i="1"/>
  <c r="FT262" i="1"/>
  <c r="FS241" i="1"/>
  <c r="FS244" i="1"/>
  <c r="FS247" i="1"/>
  <c r="FS250" i="1"/>
  <c r="FS253" i="1"/>
  <c r="FS256" i="1"/>
  <c r="FS259" i="1"/>
  <c r="FS262" i="1"/>
  <c r="FR241" i="1"/>
  <c r="FR244" i="1"/>
  <c r="FR247" i="1"/>
  <c r="FR250" i="1"/>
  <c r="FR253" i="1"/>
  <c r="FR256" i="1"/>
  <c r="FR259" i="1"/>
  <c r="FR262" i="1"/>
  <c r="FQ241" i="1"/>
  <c r="FQ244" i="1"/>
  <c r="FQ247" i="1"/>
  <c r="FQ250" i="1"/>
  <c r="FQ253" i="1"/>
  <c r="FQ256" i="1"/>
  <c r="FQ259" i="1"/>
  <c r="FQ262" i="1"/>
  <c r="FP241" i="1"/>
  <c r="FP244" i="1"/>
  <c r="FP247" i="1"/>
  <c r="FP250" i="1"/>
  <c r="FP253" i="1"/>
  <c r="FP256" i="1"/>
  <c r="FP259" i="1"/>
  <c r="FP262" i="1"/>
  <c r="FO241" i="1"/>
  <c r="FO244" i="1"/>
  <c r="FO247" i="1"/>
  <c r="FO250" i="1"/>
  <c r="FO253" i="1"/>
  <c r="FO256" i="1"/>
  <c r="FO259" i="1"/>
  <c r="FO262" i="1"/>
  <c r="FN241" i="1"/>
  <c r="FN244" i="1"/>
  <c r="FN247" i="1"/>
  <c r="FN250" i="1"/>
  <c r="FN253" i="1"/>
  <c r="FN256" i="1"/>
  <c r="FN259" i="1"/>
  <c r="FN262" i="1"/>
  <c r="FM241" i="1"/>
  <c r="FM244" i="1"/>
  <c r="FM247" i="1"/>
  <c r="FM250" i="1"/>
  <c r="FM253" i="1"/>
  <c r="FM256" i="1"/>
  <c r="FM259" i="1"/>
  <c r="FM262" i="1"/>
  <c r="FL241" i="1"/>
  <c r="FL244" i="1"/>
  <c r="FL247" i="1"/>
  <c r="FL250" i="1"/>
  <c r="FL253" i="1"/>
  <c r="FL256" i="1"/>
  <c r="FL259" i="1"/>
  <c r="FL262" i="1"/>
  <c r="FK247" i="1"/>
  <c r="FK250" i="1"/>
  <c r="FK253" i="1"/>
  <c r="FK256" i="1"/>
  <c r="FK259" i="1"/>
  <c r="FK262" i="1"/>
  <c r="FJ247" i="1"/>
  <c r="FJ250" i="1"/>
  <c r="FJ253" i="1"/>
  <c r="FJ256" i="1"/>
  <c r="FJ259" i="1"/>
  <c r="FJ262" i="1"/>
  <c r="FI247" i="1"/>
  <c r="FI250" i="1"/>
  <c r="FI253" i="1"/>
  <c r="FI256" i="1"/>
  <c r="FI259" i="1"/>
  <c r="FI262" i="1"/>
  <c r="FH259" i="1"/>
  <c r="FH262" i="1"/>
  <c r="FG259" i="1"/>
  <c r="FG262" i="1"/>
  <c r="FF259" i="1"/>
  <c r="FF262" i="1"/>
  <c r="FE256" i="1"/>
  <c r="FE259" i="1"/>
  <c r="FE262" i="1"/>
  <c r="FD256" i="1"/>
  <c r="FD259" i="1"/>
  <c r="FD262" i="1"/>
  <c r="FC256" i="1"/>
  <c r="FC259" i="1"/>
  <c r="FC262" i="1"/>
  <c r="FB253" i="1"/>
  <c r="FB256" i="1"/>
  <c r="FB259" i="1"/>
  <c r="FB262" i="1"/>
  <c r="FA253" i="1"/>
  <c r="FA256" i="1"/>
  <c r="FA259" i="1"/>
  <c r="FA262" i="1"/>
  <c r="EZ253" i="1"/>
  <c r="EZ256" i="1"/>
  <c r="EZ259" i="1"/>
  <c r="EZ262" i="1"/>
  <c r="EY253" i="1"/>
  <c r="EY256" i="1"/>
  <c r="EY259" i="1"/>
  <c r="EY262" i="1"/>
  <c r="EX253" i="1"/>
  <c r="EX256" i="1"/>
  <c r="EX259" i="1"/>
  <c r="EX262" i="1"/>
  <c r="EW253" i="1"/>
  <c r="EW256" i="1"/>
  <c r="EW259" i="1"/>
  <c r="EW262" i="1"/>
  <c r="EV250" i="1"/>
  <c r="EV253" i="1"/>
  <c r="EV256" i="1"/>
  <c r="EV259" i="1"/>
  <c r="EV262" i="1"/>
  <c r="EU250" i="1"/>
  <c r="EU253" i="1"/>
  <c r="EU256" i="1"/>
  <c r="EU259" i="1"/>
  <c r="EU262" i="1"/>
  <c r="ET250" i="1"/>
  <c r="ET253" i="1"/>
  <c r="ET256" i="1"/>
  <c r="ET259" i="1"/>
  <c r="ET262" i="1"/>
  <c r="ES250" i="1"/>
  <c r="ES253" i="1"/>
  <c r="ES256" i="1"/>
  <c r="ES259" i="1"/>
  <c r="ES262" i="1"/>
  <c r="ER250" i="1"/>
  <c r="ER253" i="1"/>
  <c r="ER256" i="1"/>
  <c r="ER259" i="1"/>
  <c r="ER262" i="1"/>
  <c r="EQ250" i="1"/>
  <c r="EQ253" i="1"/>
  <c r="EQ256" i="1"/>
  <c r="EQ259" i="1"/>
  <c r="EQ262" i="1"/>
  <c r="EP247" i="1"/>
  <c r="EP250" i="1"/>
  <c r="EP253" i="1"/>
  <c r="EP256" i="1"/>
  <c r="EP259" i="1"/>
  <c r="EP262" i="1"/>
  <c r="EO247" i="1"/>
  <c r="EO250" i="1"/>
  <c r="EO253" i="1"/>
  <c r="EO256" i="1"/>
  <c r="EO259" i="1"/>
  <c r="EO262" i="1"/>
  <c r="EN247" i="1"/>
  <c r="EN250" i="1"/>
  <c r="EN253" i="1"/>
  <c r="EN256" i="1"/>
  <c r="EN259" i="1"/>
  <c r="EN262" i="1"/>
  <c r="EM241" i="1"/>
  <c r="EM244" i="1"/>
  <c r="EM247" i="1"/>
  <c r="EM250" i="1"/>
  <c r="EM253" i="1"/>
  <c r="EM256" i="1"/>
  <c r="EM259" i="1"/>
  <c r="EM262" i="1"/>
  <c r="EL241" i="1"/>
  <c r="EL244" i="1"/>
  <c r="EL247" i="1"/>
  <c r="EL250" i="1"/>
  <c r="EL253" i="1"/>
  <c r="EL256" i="1"/>
  <c r="EL259" i="1"/>
  <c r="EL262" i="1"/>
  <c r="EK241" i="1"/>
  <c r="EK244" i="1"/>
  <c r="EK247" i="1"/>
  <c r="EK250" i="1"/>
  <c r="EK253" i="1"/>
  <c r="EK256" i="1"/>
  <c r="EK259" i="1"/>
  <c r="EK262" i="1"/>
  <c r="EA238" i="1"/>
  <c r="ED238" i="1"/>
  <c r="EG238" i="1"/>
  <c r="EJ238" i="1"/>
  <c r="EJ241" i="1"/>
  <c r="EJ244" i="1"/>
  <c r="EJ247" i="1"/>
  <c r="EJ250" i="1"/>
  <c r="EJ253" i="1"/>
  <c r="EJ256" i="1"/>
  <c r="EJ259" i="1"/>
  <c r="EJ262" i="1"/>
  <c r="DZ238" i="1"/>
  <c r="EC238" i="1"/>
  <c r="EF238" i="1"/>
  <c r="EI238" i="1"/>
  <c r="EI241" i="1"/>
  <c r="EI244" i="1"/>
  <c r="EI247" i="1"/>
  <c r="EI250" i="1"/>
  <c r="EI253" i="1"/>
  <c r="EI256" i="1"/>
  <c r="EI259" i="1"/>
  <c r="EI262" i="1"/>
  <c r="DY238" i="1"/>
  <c r="EB238" i="1"/>
  <c r="EE238" i="1"/>
  <c r="EH238" i="1"/>
  <c r="EH241" i="1"/>
  <c r="EH244" i="1"/>
  <c r="EH247" i="1"/>
  <c r="EH250" i="1"/>
  <c r="EH253" i="1"/>
  <c r="EH256" i="1"/>
  <c r="EH259" i="1"/>
  <c r="EH262" i="1"/>
  <c r="EG241" i="1"/>
  <c r="EG244" i="1"/>
  <c r="EG247" i="1"/>
  <c r="EG250" i="1"/>
  <c r="EG253" i="1"/>
  <c r="EG256" i="1"/>
  <c r="EG259" i="1"/>
  <c r="EG262" i="1"/>
  <c r="EF241" i="1"/>
  <c r="EF244" i="1"/>
  <c r="EF247" i="1"/>
  <c r="EF250" i="1"/>
  <c r="EF253" i="1"/>
  <c r="EF256" i="1"/>
  <c r="EF259" i="1"/>
  <c r="EF262" i="1"/>
  <c r="EE241" i="1"/>
  <c r="EE244" i="1"/>
  <c r="EE247" i="1"/>
  <c r="EE250" i="1"/>
  <c r="EE253" i="1"/>
  <c r="EE256" i="1"/>
  <c r="EE259" i="1"/>
  <c r="EE262" i="1"/>
  <c r="ED241" i="1"/>
  <c r="ED244" i="1"/>
  <c r="ED247" i="1"/>
  <c r="ED250" i="1"/>
  <c r="ED253" i="1"/>
  <c r="ED256" i="1"/>
  <c r="ED259" i="1"/>
  <c r="ED262" i="1"/>
  <c r="EC241" i="1"/>
  <c r="EC244" i="1"/>
  <c r="EC247" i="1"/>
  <c r="EC250" i="1"/>
  <c r="EC253" i="1"/>
  <c r="EC256" i="1"/>
  <c r="EC259" i="1"/>
  <c r="EC262" i="1"/>
  <c r="EB241" i="1"/>
  <c r="EB244" i="1"/>
  <c r="EB247" i="1"/>
  <c r="EB250" i="1"/>
  <c r="EB253" i="1"/>
  <c r="EB256" i="1"/>
  <c r="EB259" i="1"/>
  <c r="EB262" i="1"/>
  <c r="EA241" i="1"/>
  <c r="EA244" i="1"/>
  <c r="EA247" i="1"/>
  <c r="EA250" i="1"/>
  <c r="EA253" i="1"/>
  <c r="EA256" i="1"/>
  <c r="EA259" i="1"/>
  <c r="EA262" i="1"/>
  <c r="DZ241" i="1"/>
  <c r="DZ244" i="1"/>
  <c r="DZ247" i="1"/>
  <c r="DZ250" i="1"/>
  <c r="DZ253" i="1"/>
  <c r="DZ256" i="1"/>
  <c r="DZ259" i="1"/>
  <c r="DZ262" i="1"/>
  <c r="DY241" i="1"/>
  <c r="DY244" i="1"/>
  <c r="DY247" i="1"/>
  <c r="DY250" i="1"/>
  <c r="DY253" i="1"/>
  <c r="DY256" i="1"/>
  <c r="DY259" i="1"/>
  <c r="DY262" i="1"/>
  <c r="DX256" i="1"/>
  <c r="DX259" i="1"/>
  <c r="DX262" i="1"/>
  <c r="DW256" i="1"/>
  <c r="DW259" i="1"/>
  <c r="DW262" i="1"/>
  <c r="DV256" i="1"/>
  <c r="DV259" i="1"/>
  <c r="DV262" i="1"/>
  <c r="DU256" i="1"/>
  <c r="DU259" i="1"/>
  <c r="DU262" i="1"/>
  <c r="DT256" i="1"/>
  <c r="DT259" i="1"/>
  <c r="DT262" i="1"/>
  <c r="DS256" i="1"/>
  <c r="DS259" i="1"/>
  <c r="DS262" i="1"/>
  <c r="DR253" i="1"/>
  <c r="DR256" i="1"/>
  <c r="DR259" i="1"/>
  <c r="DR262" i="1"/>
  <c r="DQ253" i="1"/>
  <c r="DQ256" i="1"/>
  <c r="DQ259" i="1"/>
  <c r="DQ262" i="1"/>
  <c r="DP253" i="1"/>
  <c r="DP256" i="1"/>
  <c r="DP259" i="1"/>
  <c r="DP262" i="1"/>
  <c r="DO259" i="1"/>
  <c r="DO262" i="1"/>
  <c r="DN259" i="1"/>
  <c r="DN262" i="1"/>
  <c r="DM259" i="1"/>
  <c r="DM262" i="1"/>
  <c r="DL256" i="1"/>
  <c r="DL259" i="1"/>
  <c r="DL262" i="1"/>
  <c r="DK256" i="1"/>
  <c r="DK259" i="1"/>
  <c r="DK262" i="1"/>
  <c r="DJ256" i="1"/>
  <c r="DJ259" i="1"/>
  <c r="DJ262" i="1"/>
  <c r="FQ230" i="1"/>
  <c r="FP230" i="1"/>
  <c r="FO230" i="1"/>
  <c r="FN230" i="1"/>
  <c r="FM230" i="1"/>
  <c r="FL230" i="1"/>
  <c r="FQ229" i="1"/>
  <c r="FP229" i="1"/>
  <c r="FO229" i="1"/>
  <c r="FN229" i="1"/>
  <c r="FM229" i="1"/>
  <c r="FL229" i="1"/>
  <c r="FQ228" i="1"/>
  <c r="FP228" i="1"/>
  <c r="FO228" i="1"/>
  <c r="FN228" i="1"/>
  <c r="FM228" i="1"/>
  <c r="FL228" i="1"/>
  <c r="GV196" i="1"/>
  <c r="GU196" i="1"/>
  <c r="GT196" i="1"/>
  <c r="GV195" i="1"/>
  <c r="GU195" i="1"/>
  <c r="GT195" i="1"/>
  <c r="GV194" i="1"/>
  <c r="GU194" i="1"/>
  <c r="GT194" i="1"/>
  <c r="BF70" i="1"/>
  <c r="CJ70" i="1"/>
  <c r="BE70" i="1"/>
  <c r="CI70" i="1"/>
  <c r="BD70" i="1"/>
  <c r="CH70" i="1"/>
  <c r="BC70" i="1"/>
  <c r="CG70" i="1"/>
  <c r="BB70" i="1"/>
  <c r="CF70" i="1"/>
  <c r="BA70" i="1"/>
  <c r="CE70" i="1"/>
  <c r="AZ70" i="1"/>
  <c r="CD70" i="1"/>
  <c r="AY70" i="1"/>
  <c r="CC70" i="1"/>
  <c r="AX70" i="1"/>
  <c r="CB70" i="1"/>
  <c r="AW70" i="1"/>
  <c r="CA70" i="1"/>
  <c r="AV70" i="1"/>
  <c r="BZ70" i="1"/>
  <c r="AU70" i="1"/>
  <c r="BY70" i="1"/>
  <c r="AT70" i="1"/>
  <c r="BX70" i="1"/>
  <c r="AS70" i="1"/>
  <c r="BW70" i="1"/>
  <c r="AR70" i="1"/>
  <c r="BV70" i="1"/>
  <c r="AQ70" i="1"/>
  <c r="BU70" i="1"/>
  <c r="AP70" i="1"/>
  <c r="BT70" i="1"/>
  <c r="AO70" i="1"/>
  <c r="BS70" i="1"/>
  <c r="AN70" i="1"/>
  <c r="BR70" i="1"/>
  <c r="AM70" i="1"/>
  <c r="BQ70" i="1"/>
  <c r="AL70" i="1"/>
  <c r="BP70" i="1"/>
  <c r="AK70" i="1"/>
  <c r="BO70" i="1"/>
  <c r="AJ70" i="1"/>
  <c r="BN70" i="1"/>
  <c r="AI70" i="1"/>
  <c r="BM70" i="1"/>
  <c r="AH70" i="1"/>
  <c r="BL70" i="1"/>
  <c r="AG70" i="1"/>
  <c r="BK70" i="1"/>
  <c r="AF70" i="1"/>
  <c r="BJ70" i="1"/>
  <c r="BF69" i="1"/>
  <c r="CJ69" i="1"/>
  <c r="BE69" i="1"/>
  <c r="CI69" i="1"/>
  <c r="BD69" i="1"/>
  <c r="CH69" i="1"/>
  <c r="BC69" i="1"/>
  <c r="CG69" i="1"/>
  <c r="BB69" i="1"/>
  <c r="CF69" i="1"/>
  <c r="BA69" i="1"/>
  <c r="CE69" i="1"/>
  <c r="AZ69" i="1"/>
  <c r="CD69" i="1"/>
  <c r="AY69" i="1"/>
  <c r="CC69" i="1"/>
  <c r="AX69" i="1"/>
  <c r="CB69" i="1"/>
  <c r="AW69" i="1"/>
  <c r="CA69" i="1"/>
  <c r="AV69" i="1"/>
  <c r="BZ69" i="1"/>
  <c r="AU69" i="1"/>
  <c r="BY69" i="1"/>
  <c r="AT69" i="1"/>
  <c r="BX69" i="1"/>
  <c r="AS69" i="1"/>
  <c r="BW69" i="1"/>
  <c r="AR69" i="1"/>
  <c r="BV69" i="1"/>
  <c r="AQ69" i="1"/>
  <c r="BU69" i="1"/>
  <c r="AP69" i="1"/>
  <c r="BT69" i="1"/>
  <c r="AO69" i="1"/>
  <c r="BS69" i="1"/>
  <c r="AN69" i="1"/>
  <c r="BR69" i="1"/>
  <c r="AM69" i="1"/>
  <c r="BQ69" i="1"/>
  <c r="AL69" i="1"/>
  <c r="BP69" i="1"/>
  <c r="AK69" i="1"/>
  <c r="BO69" i="1"/>
  <c r="AJ69" i="1"/>
  <c r="BN69" i="1"/>
  <c r="AI69" i="1"/>
  <c r="BM69" i="1"/>
  <c r="AH69" i="1"/>
  <c r="BL69" i="1"/>
  <c r="AG69" i="1"/>
  <c r="BK69" i="1"/>
  <c r="AF69" i="1"/>
  <c r="BJ69" i="1"/>
  <c r="BF68" i="1"/>
  <c r="CJ68" i="1"/>
  <c r="BE68" i="1"/>
  <c r="CI68" i="1"/>
  <c r="BD68" i="1"/>
  <c r="CH68" i="1"/>
  <c r="BC68" i="1"/>
  <c r="CG68" i="1"/>
  <c r="BB68" i="1"/>
  <c r="CF68" i="1"/>
  <c r="BA68" i="1"/>
  <c r="CE68" i="1"/>
  <c r="AZ68" i="1"/>
  <c r="CD68" i="1"/>
  <c r="AY68" i="1"/>
  <c r="CC68" i="1"/>
  <c r="AX68" i="1"/>
  <c r="CB68" i="1"/>
  <c r="AW68" i="1"/>
  <c r="CA68" i="1"/>
  <c r="AV68" i="1"/>
  <c r="BZ68" i="1"/>
  <c r="AU68" i="1"/>
  <c r="BY68" i="1"/>
  <c r="AT68" i="1"/>
  <c r="BX68" i="1"/>
  <c r="AS68" i="1"/>
  <c r="BW68" i="1"/>
  <c r="AR68" i="1"/>
  <c r="BV68" i="1"/>
  <c r="AQ68" i="1"/>
  <c r="BU68" i="1"/>
  <c r="AP68" i="1"/>
  <c r="BT68" i="1"/>
  <c r="AO68" i="1"/>
  <c r="BS68" i="1"/>
  <c r="AN68" i="1"/>
  <c r="BR68" i="1"/>
  <c r="AM68" i="1"/>
  <c r="BQ68" i="1"/>
  <c r="AL68" i="1"/>
  <c r="BP68" i="1"/>
  <c r="AK68" i="1"/>
  <c r="BO68" i="1"/>
  <c r="AJ68" i="1"/>
  <c r="BN68" i="1"/>
  <c r="AI68" i="1"/>
  <c r="BM68" i="1"/>
  <c r="AH68" i="1"/>
  <c r="BL68" i="1"/>
  <c r="AG68" i="1"/>
  <c r="BK68" i="1"/>
  <c r="AF68" i="1"/>
  <c r="BJ68" i="1"/>
  <c r="BF67" i="1"/>
  <c r="CJ67" i="1"/>
  <c r="BE67" i="1"/>
  <c r="CI67" i="1"/>
  <c r="BD67" i="1"/>
  <c r="CH67" i="1"/>
  <c r="BC67" i="1"/>
  <c r="CG67" i="1"/>
  <c r="BB67" i="1"/>
  <c r="CF67" i="1"/>
  <c r="BA67" i="1"/>
  <c r="CE67" i="1"/>
  <c r="AZ67" i="1"/>
  <c r="CD67" i="1"/>
  <c r="AY67" i="1"/>
  <c r="CC67" i="1"/>
  <c r="AX67" i="1"/>
  <c r="CB67" i="1"/>
  <c r="AW67" i="1"/>
  <c r="CA67" i="1"/>
  <c r="AV67" i="1"/>
  <c r="BZ67" i="1"/>
  <c r="AU67" i="1"/>
  <c r="BY67" i="1"/>
  <c r="AT67" i="1"/>
  <c r="BX67" i="1"/>
  <c r="AS67" i="1"/>
  <c r="BW67" i="1"/>
  <c r="AR67" i="1"/>
  <c r="BV67" i="1"/>
  <c r="AQ67" i="1"/>
  <c r="BU67" i="1"/>
  <c r="AP67" i="1"/>
  <c r="BT67" i="1"/>
  <c r="AO67" i="1"/>
  <c r="BS67" i="1"/>
  <c r="AN67" i="1"/>
  <c r="BR67" i="1"/>
  <c r="AM67" i="1"/>
  <c r="BQ67" i="1"/>
  <c r="AL67" i="1"/>
  <c r="BP67" i="1"/>
  <c r="AK67" i="1"/>
  <c r="BO67" i="1"/>
  <c r="AJ67" i="1"/>
  <c r="BN67" i="1"/>
  <c r="AI67" i="1"/>
  <c r="BM67" i="1"/>
  <c r="AH67" i="1"/>
  <c r="BL67" i="1"/>
  <c r="AG67" i="1"/>
  <c r="BK67" i="1"/>
  <c r="AF67" i="1"/>
  <c r="BJ67" i="1"/>
  <c r="BF66" i="1"/>
  <c r="CJ66" i="1"/>
  <c r="BE66" i="1"/>
  <c r="CI66" i="1"/>
  <c r="BD66" i="1"/>
  <c r="CH66" i="1"/>
  <c r="BC66" i="1"/>
  <c r="CG66" i="1"/>
  <c r="BB66" i="1"/>
  <c r="CF66" i="1"/>
  <c r="BA66" i="1"/>
  <c r="CE66" i="1"/>
  <c r="AZ66" i="1"/>
  <c r="CD66" i="1"/>
  <c r="AY66" i="1"/>
  <c r="CC66" i="1"/>
  <c r="AX66" i="1"/>
  <c r="CB66" i="1"/>
  <c r="AW66" i="1"/>
  <c r="CA66" i="1"/>
  <c r="AV66" i="1"/>
  <c r="BZ66" i="1"/>
  <c r="AU66" i="1"/>
  <c r="BY66" i="1"/>
  <c r="AT66" i="1"/>
  <c r="BX66" i="1"/>
  <c r="AS66" i="1"/>
  <c r="BW66" i="1"/>
  <c r="AR66" i="1"/>
  <c r="BV66" i="1"/>
  <c r="AQ66" i="1"/>
  <c r="BU66" i="1"/>
  <c r="AP66" i="1"/>
  <c r="BT66" i="1"/>
  <c r="AO66" i="1"/>
  <c r="BS66" i="1"/>
  <c r="AN66" i="1"/>
  <c r="BR66" i="1"/>
  <c r="AM66" i="1"/>
  <c r="BQ66" i="1"/>
  <c r="AL66" i="1"/>
  <c r="BP66" i="1"/>
  <c r="AK66" i="1"/>
  <c r="BO66" i="1"/>
  <c r="AJ66" i="1"/>
  <c r="BN66" i="1"/>
  <c r="AI66" i="1"/>
  <c r="BM66" i="1"/>
  <c r="AH66" i="1"/>
  <c r="BL66" i="1"/>
  <c r="AG66" i="1"/>
  <c r="BK66" i="1"/>
  <c r="AF66" i="1"/>
  <c r="BJ66" i="1"/>
  <c r="BF65" i="1"/>
  <c r="CJ65" i="1"/>
  <c r="BE65" i="1"/>
  <c r="CI65" i="1"/>
  <c r="BD65" i="1"/>
  <c r="CH65" i="1"/>
  <c r="BC65" i="1"/>
  <c r="CG65" i="1"/>
  <c r="BB65" i="1"/>
  <c r="CF65" i="1"/>
  <c r="BA65" i="1"/>
  <c r="CE65" i="1"/>
  <c r="AZ65" i="1"/>
  <c r="CD65" i="1"/>
  <c r="AY65" i="1"/>
  <c r="CC65" i="1"/>
  <c r="AX65" i="1"/>
  <c r="CB65" i="1"/>
  <c r="AW65" i="1"/>
  <c r="CA65" i="1"/>
  <c r="AV65" i="1"/>
  <c r="BZ65" i="1"/>
  <c r="AU65" i="1"/>
  <c r="BY65" i="1"/>
  <c r="AT65" i="1"/>
  <c r="BX65" i="1"/>
  <c r="AS65" i="1"/>
  <c r="BW65" i="1"/>
  <c r="AR65" i="1"/>
  <c r="BV65" i="1"/>
  <c r="AQ65" i="1"/>
  <c r="BU65" i="1"/>
  <c r="AP65" i="1"/>
  <c r="BT65" i="1"/>
  <c r="AO65" i="1"/>
  <c r="BS65" i="1"/>
  <c r="AN65" i="1"/>
  <c r="BR65" i="1"/>
  <c r="AM65" i="1"/>
  <c r="BQ65" i="1"/>
  <c r="AL65" i="1"/>
  <c r="BP65" i="1"/>
  <c r="AK65" i="1"/>
  <c r="BO65" i="1"/>
  <c r="AJ65" i="1"/>
  <c r="BN65" i="1"/>
  <c r="AI65" i="1"/>
  <c r="BM65" i="1"/>
  <c r="AH65" i="1"/>
  <c r="BL65" i="1"/>
  <c r="AG65" i="1"/>
  <c r="BK65" i="1"/>
  <c r="AF65" i="1"/>
  <c r="BJ65" i="1"/>
  <c r="BF64" i="1"/>
  <c r="CJ64" i="1"/>
  <c r="BE64" i="1"/>
  <c r="CI64" i="1"/>
  <c r="BD64" i="1"/>
  <c r="CH64" i="1"/>
  <c r="BC64" i="1"/>
  <c r="CG64" i="1"/>
  <c r="BB64" i="1"/>
  <c r="CF64" i="1"/>
  <c r="BA64" i="1"/>
  <c r="CE64" i="1"/>
  <c r="AZ64" i="1"/>
  <c r="CD64" i="1"/>
  <c r="AY64" i="1"/>
  <c r="CC64" i="1"/>
  <c r="AX64" i="1"/>
  <c r="CB64" i="1"/>
  <c r="AW64" i="1"/>
  <c r="CA64" i="1"/>
  <c r="AV64" i="1"/>
  <c r="BZ64" i="1"/>
  <c r="AU64" i="1"/>
  <c r="BY64" i="1"/>
  <c r="AT64" i="1"/>
  <c r="BX64" i="1"/>
  <c r="AS64" i="1"/>
  <c r="BW64" i="1"/>
  <c r="AR64" i="1"/>
  <c r="BV64" i="1"/>
  <c r="AQ64" i="1"/>
  <c r="BU64" i="1"/>
  <c r="AP64" i="1"/>
  <c r="BT64" i="1"/>
  <c r="AO64" i="1"/>
  <c r="BS64" i="1"/>
  <c r="AN64" i="1"/>
  <c r="BR64" i="1"/>
  <c r="AM64" i="1"/>
  <c r="BQ64" i="1"/>
  <c r="AL64" i="1"/>
  <c r="BP64" i="1"/>
  <c r="AK64" i="1"/>
  <c r="BO64" i="1"/>
  <c r="AJ64" i="1"/>
  <c r="BN64" i="1"/>
  <c r="AI64" i="1"/>
  <c r="BM64" i="1"/>
  <c r="AH64" i="1"/>
  <c r="BL64" i="1"/>
  <c r="AG64" i="1"/>
  <c r="BK64" i="1"/>
  <c r="AF64" i="1"/>
  <c r="BJ64" i="1"/>
  <c r="BF63" i="1"/>
  <c r="CJ63" i="1"/>
  <c r="BE63" i="1"/>
  <c r="CI63" i="1"/>
  <c r="BD63" i="1"/>
  <c r="CH63" i="1"/>
  <c r="BC63" i="1"/>
  <c r="CG63" i="1"/>
  <c r="BB63" i="1"/>
  <c r="CF63" i="1"/>
  <c r="BA63" i="1"/>
  <c r="CE63" i="1"/>
  <c r="AZ63" i="1"/>
  <c r="CD63" i="1"/>
  <c r="AY63" i="1"/>
  <c r="CC63" i="1"/>
  <c r="AX63" i="1"/>
  <c r="CB63" i="1"/>
  <c r="AW63" i="1"/>
  <c r="CA63" i="1"/>
  <c r="AV63" i="1"/>
  <c r="BZ63" i="1"/>
  <c r="AU63" i="1"/>
  <c r="BY63" i="1"/>
  <c r="AT63" i="1"/>
  <c r="BX63" i="1"/>
  <c r="AS63" i="1"/>
  <c r="BW63" i="1"/>
  <c r="AR63" i="1"/>
  <c r="BV63" i="1"/>
  <c r="AQ63" i="1"/>
  <c r="BU63" i="1"/>
  <c r="AP63" i="1"/>
  <c r="BT63" i="1"/>
  <c r="AO63" i="1"/>
  <c r="BS63" i="1"/>
  <c r="AN63" i="1"/>
  <c r="BR63" i="1"/>
  <c r="AM63" i="1"/>
  <c r="BQ63" i="1"/>
  <c r="AL63" i="1"/>
  <c r="BP63" i="1"/>
  <c r="AK63" i="1"/>
  <c r="BO63" i="1"/>
  <c r="AJ63" i="1"/>
  <c r="BN63" i="1"/>
  <c r="AI63" i="1"/>
  <c r="BM63" i="1"/>
  <c r="AH63" i="1"/>
  <c r="BL63" i="1"/>
  <c r="AG63" i="1"/>
  <c r="BK63" i="1"/>
  <c r="AF63" i="1"/>
  <c r="BJ63" i="1"/>
  <c r="BF62" i="1"/>
  <c r="CJ62" i="1"/>
  <c r="BE62" i="1"/>
  <c r="CI62" i="1"/>
  <c r="BD62" i="1"/>
  <c r="CH62" i="1"/>
  <c r="BC62" i="1"/>
  <c r="CG62" i="1"/>
  <c r="BB62" i="1"/>
  <c r="CF62" i="1"/>
  <c r="BA62" i="1"/>
  <c r="CE62" i="1"/>
  <c r="AZ62" i="1"/>
  <c r="CD62" i="1"/>
  <c r="AY62" i="1"/>
  <c r="CC62" i="1"/>
  <c r="AX62" i="1"/>
  <c r="CB62" i="1"/>
  <c r="AW62" i="1"/>
  <c r="CA62" i="1"/>
  <c r="AV62" i="1"/>
  <c r="BZ62" i="1"/>
  <c r="AU62" i="1"/>
  <c r="BY62" i="1"/>
  <c r="AT62" i="1"/>
  <c r="BX62" i="1"/>
  <c r="AS62" i="1"/>
  <c r="BW62" i="1"/>
  <c r="AR62" i="1"/>
  <c r="BV62" i="1"/>
  <c r="AQ62" i="1"/>
  <c r="BU62" i="1"/>
  <c r="AP62" i="1"/>
  <c r="BT62" i="1"/>
  <c r="AO62" i="1"/>
  <c r="BS62" i="1"/>
  <c r="AN62" i="1"/>
  <c r="BR62" i="1"/>
  <c r="AM62" i="1"/>
  <c r="BQ62" i="1"/>
  <c r="AL62" i="1"/>
  <c r="BP62" i="1"/>
  <c r="AK62" i="1"/>
  <c r="BO62" i="1"/>
  <c r="AJ62" i="1"/>
  <c r="BN62" i="1"/>
  <c r="AI62" i="1"/>
  <c r="BM62" i="1"/>
  <c r="AH62" i="1"/>
  <c r="BL62" i="1"/>
  <c r="AG62" i="1"/>
  <c r="BK62" i="1"/>
  <c r="AF62" i="1"/>
  <c r="BJ62" i="1"/>
  <c r="BF61" i="1"/>
  <c r="CJ61" i="1"/>
  <c r="BE61" i="1"/>
  <c r="CI61" i="1"/>
  <c r="BD61" i="1"/>
  <c r="CH61" i="1"/>
  <c r="BC61" i="1"/>
  <c r="CG61" i="1"/>
  <c r="BB61" i="1"/>
  <c r="CF61" i="1"/>
  <c r="BA61" i="1"/>
  <c r="CE61" i="1"/>
  <c r="AZ61" i="1"/>
  <c r="CD61" i="1"/>
  <c r="AY61" i="1"/>
  <c r="CC61" i="1"/>
  <c r="AX61" i="1"/>
  <c r="CB61" i="1"/>
  <c r="AW61" i="1"/>
  <c r="CA61" i="1"/>
  <c r="AV61" i="1"/>
  <c r="BZ61" i="1"/>
  <c r="AU61" i="1"/>
  <c r="BY61" i="1"/>
  <c r="AT61" i="1"/>
  <c r="BX61" i="1"/>
  <c r="AS61" i="1"/>
  <c r="BW61" i="1"/>
  <c r="AR61" i="1"/>
  <c r="BV61" i="1"/>
  <c r="AQ61" i="1"/>
  <c r="BU61" i="1"/>
  <c r="AP61" i="1"/>
  <c r="BT61" i="1"/>
  <c r="AO61" i="1"/>
  <c r="BS61" i="1"/>
  <c r="AN61" i="1"/>
  <c r="BR61" i="1"/>
  <c r="AM61" i="1"/>
  <c r="BQ61" i="1"/>
  <c r="AL61" i="1"/>
  <c r="BP61" i="1"/>
  <c r="AK61" i="1"/>
  <c r="BO61" i="1"/>
  <c r="AJ61" i="1"/>
  <c r="BN61" i="1"/>
  <c r="AI61" i="1"/>
  <c r="BM61" i="1"/>
  <c r="AH61" i="1"/>
  <c r="BL61" i="1"/>
  <c r="AG61" i="1"/>
  <c r="BK61" i="1"/>
  <c r="AF61" i="1"/>
  <c r="BJ61" i="1"/>
  <c r="BF60" i="1"/>
  <c r="CJ60" i="1"/>
  <c r="BE60" i="1"/>
  <c r="CI60" i="1"/>
  <c r="BD60" i="1"/>
  <c r="CH60" i="1"/>
  <c r="BC60" i="1"/>
  <c r="CG60" i="1"/>
  <c r="BB60" i="1"/>
  <c r="CF60" i="1"/>
  <c r="BA60" i="1"/>
  <c r="CE60" i="1"/>
  <c r="AZ60" i="1"/>
  <c r="CD60" i="1"/>
  <c r="AY60" i="1"/>
  <c r="CC60" i="1"/>
  <c r="AX60" i="1"/>
  <c r="CB60" i="1"/>
  <c r="AW60" i="1"/>
  <c r="CA60" i="1"/>
  <c r="AV60" i="1"/>
  <c r="BZ60" i="1"/>
  <c r="AU60" i="1"/>
  <c r="BY60" i="1"/>
  <c r="AT60" i="1"/>
  <c r="BX60" i="1"/>
  <c r="AS60" i="1"/>
  <c r="BW60" i="1"/>
  <c r="AR60" i="1"/>
  <c r="BV60" i="1"/>
  <c r="AQ60" i="1"/>
  <c r="BU60" i="1"/>
  <c r="AP60" i="1"/>
  <c r="BT60" i="1"/>
  <c r="AO60" i="1"/>
  <c r="BS60" i="1"/>
  <c r="AN60" i="1"/>
  <c r="BR60" i="1"/>
  <c r="AM60" i="1"/>
  <c r="BQ60" i="1"/>
  <c r="AL60" i="1"/>
  <c r="BP60" i="1"/>
  <c r="AK60" i="1"/>
  <c r="BO60" i="1"/>
  <c r="AJ60" i="1"/>
  <c r="BN60" i="1"/>
  <c r="AI60" i="1"/>
  <c r="BM60" i="1"/>
  <c r="AH60" i="1"/>
  <c r="BL60" i="1"/>
  <c r="AG60" i="1"/>
  <c r="BK60" i="1"/>
  <c r="AF60" i="1"/>
  <c r="BJ60" i="1"/>
  <c r="BF59" i="1"/>
  <c r="CJ59" i="1"/>
  <c r="BE59" i="1"/>
  <c r="CI59" i="1"/>
  <c r="BD59" i="1"/>
  <c r="CH59" i="1"/>
  <c r="BC59" i="1"/>
  <c r="CG59" i="1"/>
  <c r="BB59" i="1"/>
  <c r="CF59" i="1"/>
  <c r="BA59" i="1"/>
  <c r="CE59" i="1"/>
  <c r="AZ59" i="1"/>
  <c r="CD59" i="1"/>
  <c r="AY59" i="1"/>
  <c r="CC59" i="1"/>
  <c r="AX59" i="1"/>
  <c r="CB59" i="1"/>
  <c r="AW59" i="1"/>
  <c r="CA59" i="1"/>
  <c r="AV59" i="1"/>
  <c r="BZ59" i="1"/>
  <c r="AU59" i="1"/>
  <c r="BY59" i="1"/>
  <c r="AT59" i="1"/>
  <c r="BX59" i="1"/>
  <c r="AS59" i="1"/>
  <c r="BW59" i="1"/>
  <c r="AR59" i="1"/>
  <c r="BV59" i="1"/>
  <c r="AQ59" i="1"/>
  <c r="BU59" i="1"/>
  <c r="AP59" i="1"/>
  <c r="BT59" i="1"/>
  <c r="AO59" i="1"/>
  <c r="BS59" i="1"/>
  <c r="AN59" i="1"/>
  <c r="BR59" i="1"/>
  <c r="AM59" i="1"/>
  <c r="BQ59" i="1"/>
  <c r="AL59" i="1"/>
  <c r="BP59" i="1"/>
  <c r="AK59" i="1"/>
  <c r="BO59" i="1"/>
  <c r="AJ59" i="1"/>
  <c r="BN59" i="1"/>
  <c r="AI59" i="1"/>
  <c r="BM59" i="1"/>
  <c r="AH59" i="1"/>
  <c r="BL59" i="1"/>
  <c r="AG59" i="1"/>
  <c r="BK59" i="1"/>
  <c r="AF59" i="1"/>
  <c r="BJ59" i="1"/>
  <c r="BF58" i="1"/>
  <c r="CJ58" i="1"/>
  <c r="BE58" i="1"/>
  <c r="CI58" i="1"/>
  <c r="BD58" i="1"/>
  <c r="CH58" i="1"/>
  <c r="BC58" i="1"/>
  <c r="CG58" i="1"/>
  <c r="BB58" i="1"/>
  <c r="CF58" i="1"/>
  <c r="BA58" i="1"/>
  <c r="CE58" i="1"/>
  <c r="AZ58" i="1"/>
  <c r="CD58" i="1"/>
  <c r="AY58" i="1"/>
  <c r="CC58" i="1"/>
  <c r="AX58" i="1"/>
  <c r="CB58" i="1"/>
  <c r="AW58" i="1"/>
  <c r="CA58" i="1"/>
  <c r="AV58" i="1"/>
  <c r="BZ58" i="1"/>
  <c r="AU58" i="1"/>
  <c r="BY58" i="1"/>
  <c r="AT58" i="1"/>
  <c r="BX58" i="1"/>
  <c r="AS58" i="1"/>
  <c r="BW58" i="1"/>
  <c r="AR58" i="1"/>
  <c r="BV58" i="1"/>
  <c r="AQ58" i="1"/>
  <c r="BU58" i="1"/>
  <c r="AP58" i="1"/>
  <c r="BT58" i="1"/>
  <c r="AO58" i="1"/>
  <c r="BS58" i="1"/>
  <c r="AN58" i="1"/>
  <c r="BR58" i="1"/>
  <c r="AM58" i="1"/>
  <c r="BQ58" i="1"/>
  <c r="AL58" i="1"/>
  <c r="BP58" i="1"/>
  <c r="AK58" i="1"/>
  <c r="BO58" i="1"/>
  <c r="AJ58" i="1"/>
  <c r="BN58" i="1"/>
  <c r="AI58" i="1"/>
  <c r="BM58" i="1"/>
  <c r="AH58" i="1"/>
  <c r="BL58" i="1"/>
  <c r="AG58" i="1"/>
  <c r="BK58" i="1"/>
  <c r="AF58" i="1"/>
  <c r="BJ58" i="1"/>
  <c r="BF57" i="1"/>
  <c r="CJ57" i="1"/>
  <c r="BE57" i="1"/>
  <c r="CI57" i="1"/>
  <c r="BD57" i="1"/>
  <c r="CH57" i="1"/>
  <c r="BC57" i="1"/>
  <c r="CG57" i="1"/>
  <c r="BB57" i="1"/>
  <c r="CF57" i="1"/>
  <c r="BA57" i="1"/>
  <c r="CE57" i="1"/>
  <c r="AZ57" i="1"/>
  <c r="CD57" i="1"/>
  <c r="AY57" i="1"/>
  <c r="CC57" i="1"/>
  <c r="AX57" i="1"/>
  <c r="CB57" i="1"/>
  <c r="AW57" i="1"/>
  <c r="CA57" i="1"/>
  <c r="AV57" i="1"/>
  <c r="BZ57" i="1"/>
  <c r="AU57" i="1"/>
  <c r="BY57" i="1"/>
  <c r="AT57" i="1"/>
  <c r="BX57" i="1"/>
  <c r="AS57" i="1"/>
  <c r="BW57" i="1"/>
  <c r="AR57" i="1"/>
  <c r="BV57" i="1"/>
  <c r="AQ57" i="1"/>
  <c r="BU57" i="1"/>
  <c r="AP57" i="1"/>
  <c r="BT57" i="1"/>
  <c r="AO57" i="1"/>
  <c r="BS57" i="1"/>
  <c r="AN57" i="1"/>
  <c r="BR57" i="1"/>
  <c r="AM57" i="1"/>
  <c r="BQ57" i="1"/>
  <c r="AL57" i="1"/>
  <c r="BP57" i="1"/>
  <c r="AK57" i="1"/>
  <c r="BO57" i="1"/>
  <c r="AJ57" i="1"/>
  <c r="BN57" i="1"/>
  <c r="AI57" i="1"/>
  <c r="BM57" i="1"/>
  <c r="AH57" i="1"/>
  <c r="BL57" i="1"/>
  <c r="AG57" i="1"/>
  <c r="BK57" i="1"/>
  <c r="AF57" i="1"/>
  <c r="BJ57" i="1"/>
  <c r="BF56" i="1"/>
  <c r="CJ56" i="1"/>
  <c r="BE56" i="1"/>
  <c r="CI56" i="1"/>
  <c r="BD56" i="1"/>
  <c r="CH56" i="1"/>
  <c r="BC56" i="1"/>
  <c r="CG56" i="1"/>
  <c r="BB56" i="1"/>
  <c r="CF56" i="1"/>
  <c r="BA56" i="1"/>
  <c r="CE56" i="1"/>
  <c r="AZ56" i="1"/>
  <c r="CD56" i="1"/>
  <c r="AY56" i="1"/>
  <c r="CC56" i="1"/>
  <c r="AX56" i="1"/>
  <c r="CB56" i="1"/>
  <c r="AW56" i="1"/>
  <c r="CA56" i="1"/>
  <c r="AV56" i="1"/>
  <c r="BZ56" i="1"/>
  <c r="AU56" i="1"/>
  <c r="BY56" i="1"/>
  <c r="AT56" i="1"/>
  <c r="BX56" i="1"/>
  <c r="AS56" i="1"/>
  <c r="BW56" i="1"/>
  <c r="AR56" i="1"/>
  <c r="BV56" i="1"/>
  <c r="AQ56" i="1"/>
  <c r="BU56" i="1"/>
  <c r="AP56" i="1"/>
  <c r="BT56" i="1"/>
  <c r="AO56" i="1"/>
  <c r="BS56" i="1"/>
  <c r="AN56" i="1"/>
  <c r="BR56" i="1"/>
  <c r="AM56" i="1"/>
  <c r="BQ56" i="1"/>
  <c r="AL56" i="1"/>
  <c r="BP56" i="1"/>
  <c r="AK56" i="1"/>
  <c r="BO56" i="1"/>
  <c r="AJ56" i="1"/>
  <c r="BN56" i="1"/>
  <c r="AI56" i="1"/>
  <c r="BM56" i="1"/>
  <c r="AH56" i="1"/>
  <c r="BL56" i="1"/>
  <c r="AG56" i="1"/>
  <c r="BK56" i="1"/>
  <c r="AF56" i="1"/>
  <c r="BJ56" i="1"/>
  <c r="BF55" i="1"/>
  <c r="CJ55" i="1"/>
  <c r="BE55" i="1"/>
  <c r="CI55" i="1"/>
  <c r="BD55" i="1"/>
  <c r="CH55" i="1"/>
  <c r="BC55" i="1"/>
  <c r="CG55" i="1"/>
  <c r="BB55" i="1"/>
  <c r="CF55" i="1"/>
  <c r="BA55" i="1"/>
  <c r="CE55" i="1"/>
  <c r="AZ55" i="1"/>
  <c r="CD55" i="1"/>
  <c r="AY55" i="1"/>
  <c r="CC55" i="1"/>
  <c r="AX55" i="1"/>
  <c r="CB55" i="1"/>
  <c r="AW55" i="1"/>
  <c r="CA55" i="1"/>
  <c r="AV55" i="1"/>
  <c r="BZ55" i="1"/>
  <c r="AU55" i="1"/>
  <c r="BY55" i="1"/>
  <c r="AT55" i="1"/>
  <c r="BX55" i="1"/>
  <c r="AS55" i="1"/>
  <c r="BW55" i="1"/>
  <c r="AR55" i="1"/>
  <c r="BV55" i="1"/>
  <c r="AQ55" i="1"/>
  <c r="BU55" i="1"/>
  <c r="AP55" i="1"/>
  <c r="BT55" i="1"/>
  <c r="AO55" i="1"/>
  <c r="BS55" i="1"/>
  <c r="AN55" i="1"/>
  <c r="BR55" i="1"/>
  <c r="AM55" i="1"/>
  <c r="BQ55" i="1"/>
  <c r="AL55" i="1"/>
  <c r="BP55" i="1"/>
  <c r="AK55" i="1"/>
  <c r="BO55" i="1"/>
  <c r="AJ55" i="1"/>
  <c r="BN55" i="1"/>
  <c r="AI55" i="1"/>
  <c r="BM55" i="1"/>
  <c r="AH55" i="1"/>
  <c r="BL55" i="1"/>
  <c r="AG55" i="1"/>
  <c r="BK55" i="1"/>
  <c r="AF55" i="1"/>
  <c r="BJ55" i="1"/>
  <c r="BF54" i="1"/>
  <c r="CJ54" i="1"/>
  <c r="BE54" i="1"/>
  <c r="CI54" i="1"/>
  <c r="BD54" i="1"/>
  <c r="CH54" i="1"/>
  <c r="BC54" i="1"/>
  <c r="CG54" i="1"/>
  <c r="BB54" i="1"/>
  <c r="CF54" i="1"/>
  <c r="BA54" i="1"/>
  <c r="CE54" i="1"/>
  <c r="AZ54" i="1"/>
  <c r="CD54" i="1"/>
  <c r="AY54" i="1"/>
  <c r="CC54" i="1"/>
  <c r="AX54" i="1"/>
  <c r="CB54" i="1"/>
  <c r="AW54" i="1"/>
  <c r="CA54" i="1"/>
  <c r="AV54" i="1"/>
  <c r="BZ54" i="1"/>
  <c r="AU54" i="1"/>
  <c r="BY54" i="1"/>
  <c r="AT54" i="1"/>
  <c r="BX54" i="1"/>
  <c r="AS54" i="1"/>
  <c r="BW54" i="1"/>
  <c r="AR54" i="1"/>
  <c r="BV54" i="1"/>
  <c r="AQ54" i="1"/>
  <c r="BU54" i="1"/>
  <c r="AP54" i="1"/>
  <c r="BT54" i="1"/>
  <c r="AO54" i="1"/>
  <c r="BS54" i="1"/>
  <c r="AN54" i="1"/>
  <c r="BR54" i="1"/>
  <c r="AM54" i="1"/>
  <c r="BQ54" i="1"/>
  <c r="AL54" i="1"/>
  <c r="BP54" i="1"/>
  <c r="AK54" i="1"/>
  <c r="BO54" i="1"/>
  <c r="AJ54" i="1"/>
  <c r="BN54" i="1"/>
  <c r="AI54" i="1"/>
  <c r="BM54" i="1"/>
  <c r="AH54" i="1"/>
  <c r="BL54" i="1"/>
  <c r="AG54" i="1"/>
  <c r="BK54" i="1"/>
  <c r="AF54" i="1"/>
  <c r="BJ54" i="1"/>
  <c r="BF53" i="1"/>
  <c r="CJ53" i="1"/>
  <c r="BE53" i="1"/>
  <c r="CI53" i="1"/>
  <c r="BD53" i="1"/>
  <c r="CH53" i="1"/>
  <c r="BC53" i="1"/>
  <c r="CG53" i="1"/>
  <c r="BB53" i="1"/>
  <c r="CF53" i="1"/>
  <c r="BA53" i="1"/>
  <c r="CE53" i="1"/>
  <c r="AZ53" i="1"/>
  <c r="CD53" i="1"/>
  <c r="AY53" i="1"/>
  <c r="CC53" i="1"/>
  <c r="AX53" i="1"/>
  <c r="CB53" i="1"/>
  <c r="AW53" i="1"/>
  <c r="CA53" i="1"/>
  <c r="AV53" i="1"/>
  <c r="BZ53" i="1"/>
  <c r="AU53" i="1"/>
  <c r="BY53" i="1"/>
  <c r="AT53" i="1"/>
  <c r="BX53" i="1"/>
  <c r="AS53" i="1"/>
  <c r="BW53" i="1"/>
  <c r="AR53" i="1"/>
  <c r="BV53" i="1"/>
  <c r="AQ53" i="1"/>
  <c r="BU53" i="1"/>
  <c r="AP53" i="1"/>
  <c r="BT53" i="1"/>
  <c r="AO53" i="1"/>
  <c r="BS53" i="1"/>
  <c r="AN53" i="1"/>
  <c r="BR53" i="1"/>
  <c r="AM53" i="1"/>
  <c r="BQ53" i="1"/>
  <c r="AL53" i="1"/>
  <c r="BP53" i="1"/>
  <c r="AK53" i="1"/>
  <c r="BO53" i="1"/>
  <c r="AJ53" i="1"/>
  <c r="BN53" i="1"/>
  <c r="AI53" i="1"/>
  <c r="BM53" i="1"/>
  <c r="AH53" i="1"/>
  <c r="BL53" i="1"/>
  <c r="AG53" i="1"/>
  <c r="BK53" i="1"/>
  <c r="AF53" i="1"/>
  <c r="BJ53" i="1"/>
  <c r="BF52" i="1"/>
  <c r="CJ52" i="1"/>
  <c r="BE52" i="1"/>
  <c r="CI52" i="1"/>
  <c r="BD52" i="1"/>
  <c r="CH52" i="1"/>
  <c r="BC52" i="1"/>
  <c r="CG52" i="1"/>
  <c r="BB52" i="1"/>
  <c r="CF52" i="1"/>
  <c r="BA52" i="1"/>
  <c r="CE52" i="1"/>
  <c r="AZ52" i="1"/>
  <c r="CD52" i="1"/>
  <c r="AY52" i="1"/>
  <c r="CC52" i="1"/>
  <c r="AX52" i="1"/>
  <c r="CB52" i="1"/>
  <c r="AW52" i="1"/>
  <c r="CA52" i="1"/>
  <c r="AV52" i="1"/>
  <c r="BZ52" i="1"/>
  <c r="AU52" i="1"/>
  <c r="BY52" i="1"/>
  <c r="AT52" i="1"/>
  <c r="BX52" i="1"/>
  <c r="AS52" i="1"/>
  <c r="BW52" i="1"/>
  <c r="AR52" i="1"/>
  <c r="BV52" i="1"/>
  <c r="AQ52" i="1"/>
  <c r="BU52" i="1"/>
  <c r="AP52" i="1"/>
  <c r="BT52" i="1"/>
  <c r="AO52" i="1"/>
  <c r="BS52" i="1"/>
  <c r="AN52" i="1"/>
  <c r="BR52" i="1"/>
  <c r="AM52" i="1"/>
  <c r="BQ52" i="1"/>
  <c r="AL52" i="1"/>
  <c r="BP52" i="1"/>
  <c r="AK52" i="1"/>
  <c r="BO52" i="1"/>
  <c r="AJ52" i="1"/>
  <c r="BN52" i="1"/>
  <c r="AI52" i="1"/>
  <c r="BM52" i="1"/>
  <c r="AH52" i="1"/>
  <c r="BL52" i="1"/>
  <c r="AG52" i="1"/>
  <c r="BK52" i="1"/>
  <c r="AF52" i="1"/>
  <c r="BJ52" i="1"/>
  <c r="BF51" i="1"/>
  <c r="CJ51" i="1"/>
  <c r="BE51" i="1"/>
  <c r="CI51" i="1"/>
  <c r="BD51" i="1"/>
  <c r="CH51" i="1"/>
  <c r="BC51" i="1"/>
  <c r="CG51" i="1"/>
  <c r="BB51" i="1"/>
  <c r="CF51" i="1"/>
  <c r="BA51" i="1"/>
  <c r="CE51" i="1"/>
  <c r="AZ51" i="1"/>
  <c r="CD51" i="1"/>
  <c r="AY51" i="1"/>
  <c r="CC51" i="1"/>
  <c r="AX51" i="1"/>
  <c r="CB51" i="1"/>
  <c r="AW51" i="1"/>
  <c r="CA51" i="1"/>
  <c r="AV51" i="1"/>
  <c r="BZ51" i="1"/>
  <c r="AU51" i="1"/>
  <c r="BY51" i="1"/>
  <c r="AT51" i="1"/>
  <c r="BX51" i="1"/>
  <c r="AS51" i="1"/>
  <c r="BW51" i="1"/>
  <c r="AR51" i="1"/>
  <c r="BV51" i="1"/>
  <c r="AQ51" i="1"/>
  <c r="BU51" i="1"/>
  <c r="AP51" i="1"/>
  <c r="BT51" i="1"/>
  <c r="AO51" i="1"/>
  <c r="BS51" i="1"/>
  <c r="AN51" i="1"/>
  <c r="BR51" i="1"/>
  <c r="AM51" i="1"/>
  <c r="BQ51" i="1"/>
  <c r="AL51" i="1"/>
  <c r="BP51" i="1"/>
  <c r="AK51" i="1"/>
  <c r="BO51" i="1"/>
  <c r="AJ51" i="1"/>
  <c r="BN51" i="1"/>
  <c r="AI51" i="1"/>
  <c r="BM51" i="1"/>
  <c r="AH51" i="1"/>
  <c r="BL51" i="1"/>
  <c r="AG51" i="1"/>
  <c r="BK51" i="1"/>
  <c r="AF51" i="1"/>
  <c r="BJ51" i="1"/>
  <c r="BF50" i="1"/>
  <c r="CJ50" i="1"/>
  <c r="BE50" i="1"/>
  <c r="CI50" i="1"/>
  <c r="BD50" i="1"/>
  <c r="CH50" i="1"/>
  <c r="BC50" i="1"/>
  <c r="CG50" i="1"/>
  <c r="BB50" i="1"/>
  <c r="CF50" i="1"/>
  <c r="BA50" i="1"/>
  <c r="CE50" i="1"/>
  <c r="AZ50" i="1"/>
  <c r="CD50" i="1"/>
  <c r="AY50" i="1"/>
  <c r="CC50" i="1"/>
  <c r="AX50" i="1"/>
  <c r="CB50" i="1"/>
  <c r="AW50" i="1"/>
  <c r="CA50" i="1"/>
  <c r="AV50" i="1"/>
  <c r="BZ50" i="1"/>
  <c r="AU50" i="1"/>
  <c r="BY50" i="1"/>
  <c r="AT50" i="1"/>
  <c r="BX50" i="1"/>
  <c r="AS50" i="1"/>
  <c r="BW50" i="1"/>
  <c r="AR50" i="1"/>
  <c r="BV50" i="1"/>
  <c r="AQ50" i="1"/>
  <c r="BU50" i="1"/>
  <c r="AP50" i="1"/>
  <c r="BT50" i="1"/>
  <c r="AO50" i="1"/>
  <c r="BS50" i="1"/>
  <c r="AN50" i="1"/>
  <c r="BR50" i="1"/>
  <c r="AM50" i="1"/>
  <c r="BQ50" i="1"/>
  <c r="AL50" i="1"/>
  <c r="BP50" i="1"/>
  <c r="AK50" i="1"/>
  <c r="BO50" i="1"/>
  <c r="AJ50" i="1"/>
  <c r="BN50" i="1"/>
  <c r="AI50" i="1"/>
  <c r="BM50" i="1"/>
  <c r="AH50" i="1"/>
  <c r="BL50" i="1"/>
  <c r="AG50" i="1"/>
  <c r="BK50" i="1"/>
  <c r="AF50" i="1"/>
  <c r="BJ50" i="1"/>
  <c r="BF49" i="1"/>
  <c r="CJ49" i="1"/>
  <c r="BE49" i="1"/>
  <c r="CI49" i="1"/>
  <c r="BD49" i="1"/>
  <c r="CH49" i="1"/>
  <c r="BC49" i="1"/>
  <c r="CG49" i="1"/>
  <c r="BB49" i="1"/>
  <c r="CF49" i="1"/>
  <c r="BA49" i="1"/>
  <c r="CE49" i="1"/>
  <c r="AZ49" i="1"/>
  <c r="CD49" i="1"/>
  <c r="AY49" i="1"/>
  <c r="CC49" i="1"/>
  <c r="AX49" i="1"/>
  <c r="CB49" i="1"/>
  <c r="AW49" i="1"/>
  <c r="CA49" i="1"/>
  <c r="AV49" i="1"/>
  <c r="BZ49" i="1"/>
  <c r="AU49" i="1"/>
  <c r="BY49" i="1"/>
  <c r="AT49" i="1"/>
  <c r="BX49" i="1"/>
  <c r="AS49" i="1"/>
  <c r="BW49" i="1"/>
  <c r="AR49" i="1"/>
  <c r="BV49" i="1"/>
  <c r="AQ49" i="1"/>
  <c r="BU49" i="1"/>
  <c r="AP49" i="1"/>
  <c r="BT49" i="1"/>
  <c r="AO49" i="1"/>
  <c r="BS49" i="1"/>
  <c r="AN49" i="1"/>
  <c r="BR49" i="1"/>
  <c r="AM49" i="1"/>
  <c r="BQ49" i="1"/>
  <c r="AL49" i="1"/>
  <c r="BP49" i="1"/>
  <c r="AK49" i="1"/>
  <c r="BO49" i="1"/>
  <c r="AJ49" i="1"/>
  <c r="BN49" i="1"/>
  <c r="AI49" i="1"/>
  <c r="BM49" i="1"/>
  <c r="AH49" i="1"/>
  <c r="BL49" i="1"/>
  <c r="AG49" i="1"/>
  <c r="BK49" i="1"/>
  <c r="AF49" i="1"/>
  <c r="BJ49" i="1"/>
  <c r="BF48" i="1"/>
  <c r="CJ48" i="1"/>
  <c r="BE48" i="1"/>
  <c r="CI48" i="1"/>
  <c r="BD48" i="1"/>
  <c r="CH48" i="1"/>
  <c r="BC48" i="1"/>
  <c r="CG48" i="1"/>
  <c r="BB48" i="1"/>
  <c r="CF48" i="1"/>
  <c r="BA48" i="1"/>
  <c r="CE48" i="1"/>
  <c r="AZ48" i="1"/>
  <c r="CD48" i="1"/>
  <c r="AY48" i="1"/>
  <c r="CC48" i="1"/>
  <c r="AX48" i="1"/>
  <c r="CB48" i="1"/>
  <c r="AW48" i="1"/>
  <c r="CA48" i="1"/>
  <c r="AV48" i="1"/>
  <c r="BZ48" i="1"/>
  <c r="AU48" i="1"/>
  <c r="BY48" i="1"/>
  <c r="AT48" i="1"/>
  <c r="BX48" i="1"/>
  <c r="AS48" i="1"/>
  <c r="BW48" i="1"/>
  <c r="AR48" i="1"/>
  <c r="BV48" i="1"/>
  <c r="AQ48" i="1"/>
  <c r="BU48" i="1"/>
  <c r="AP48" i="1"/>
  <c r="BT48" i="1"/>
  <c r="AO48" i="1"/>
  <c r="BS48" i="1"/>
  <c r="AN48" i="1"/>
  <c r="BR48" i="1"/>
  <c r="AM48" i="1"/>
  <c r="BQ48" i="1"/>
  <c r="AL48" i="1"/>
  <c r="BP48" i="1"/>
  <c r="AK48" i="1"/>
  <c r="BO48" i="1"/>
  <c r="AJ48" i="1"/>
  <c r="BN48" i="1"/>
  <c r="AI48" i="1"/>
  <c r="BM48" i="1"/>
  <c r="AH48" i="1"/>
  <c r="BL48" i="1"/>
  <c r="AG48" i="1"/>
  <c r="BK48" i="1"/>
  <c r="AF48" i="1"/>
  <c r="BJ48" i="1"/>
  <c r="BF47" i="1"/>
  <c r="CJ47" i="1"/>
  <c r="BE47" i="1"/>
  <c r="CI47" i="1"/>
  <c r="BD47" i="1"/>
  <c r="CH47" i="1"/>
  <c r="BC47" i="1"/>
  <c r="CG47" i="1"/>
  <c r="BB47" i="1"/>
  <c r="CF47" i="1"/>
  <c r="BA47" i="1"/>
  <c r="CE47" i="1"/>
  <c r="AZ47" i="1"/>
  <c r="CD47" i="1"/>
  <c r="AY47" i="1"/>
  <c r="CC47" i="1"/>
  <c r="AX47" i="1"/>
  <c r="CB47" i="1"/>
  <c r="AW47" i="1"/>
  <c r="CA47" i="1"/>
  <c r="AV47" i="1"/>
  <c r="BZ47" i="1"/>
  <c r="AU47" i="1"/>
  <c r="BY47" i="1"/>
  <c r="AT47" i="1"/>
  <c r="BX47" i="1"/>
  <c r="AS47" i="1"/>
  <c r="BW47" i="1"/>
  <c r="AR47" i="1"/>
  <c r="BV47" i="1"/>
  <c r="AQ47" i="1"/>
  <c r="BU47" i="1"/>
  <c r="AP47" i="1"/>
  <c r="BT47" i="1"/>
  <c r="AO47" i="1"/>
  <c r="BS47" i="1"/>
  <c r="AN47" i="1"/>
  <c r="BR47" i="1"/>
  <c r="AM47" i="1"/>
  <c r="BQ47" i="1"/>
  <c r="AL47" i="1"/>
  <c r="BP47" i="1"/>
  <c r="AK47" i="1"/>
  <c r="BO47" i="1"/>
  <c r="AJ47" i="1"/>
  <c r="BN47" i="1"/>
  <c r="AI47" i="1"/>
  <c r="BM47" i="1"/>
  <c r="AH47" i="1"/>
  <c r="BL47" i="1"/>
  <c r="AG47" i="1"/>
  <c r="BK47" i="1"/>
  <c r="AF47" i="1"/>
  <c r="BJ47" i="1"/>
  <c r="BF46" i="1"/>
  <c r="CJ46" i="1"/>
  <c r="BE46" i="1"/>
  <c r="CI46" i="1"/>
  <c r="BD46" i="1"/>
  <c r="CH46" i="1"/>
  <c r="BC46" i="1"/>
  <c r="CG46" i="1"/>
  <c r="BB46" i="1"/>
  <c r="CF46" i="1"/>
  <c r="BA46" i="1"/>
  <c r="CE46" i="1"/>
  <c r="AZ46" i="1"/>
  <c r="CD46" i="1"/>
  <c r="AY46" i="1"/>
  <c r="CC46" i="1"/>
  <c r="AX46" i="1"/>
  <c r="CB46" i="1"/>
  <c r="AW46" i="1"/>
  <c r="CA46" i="1"/>
  <c r="AV46" i="1"/>
  <c r="BZ46" i="1"/>
  <c r="AU46" i="1"/>
  <c r="BY46" i="1"/>
  <c r="AT46" i="1"/>
  <c r="BX46" i="1"/>
  <c r="AS46" i="1"/>
  <c r="BW46" i="1"/>
  <c r="AR46" i="1"/>
  <c r="BV46" i="1"/>
  <c r="AQ46" i="1"/>
  <c r="BU46" i="1"/>
  <c r="AP46" i="1"/>
  <c r="BT46" i="1"/>
  <c r="AO46" i="1"/>
  <c r="BS46" i="1"/>
  <c r="AN46" i="1"/>
  <c r="BR46" i="1"/>
  <c r="AM46" i="1"/>
  <c r="BQ46" i="1"/>
  <c r="AL46" i="1"/>
  <c r="BP46" i="1"/>
  <c r="AK46" i="1"/>
  <c r="BO46" i="1"/>
  <c r="AJ46" i="1"/>
  <c r="BN46" i="1"/>
  <c r="AI46" i="1"/>
  <c r="BM46" i="1"/>
  <c r="AH46" i="1"/>
  <c r="BL46" i="1"/>
  <c r="AG46" i="1"/>
  <c r="BK46" i="1"/>
  <c r="AF46" i="1"/>
  <c r="BJ46" i="1"/>
  <c r="BF45" i="1"/>
  <c r="CJ45" i="1"/>
  <c r="BE45" i="1"/>
  <c r="CI45" i="1"/>
  <c r="BD45" i="1"/>
  <c r="CH45" i="1"/>
  <c r="BC45" i="1"/>
  <c r="CG45" i="1"/>
  <c r="BB45" i="1"/>
  <c r="CF45" i="1"/>
  <c r="BA45" i="1"/>
  <c r="CE45" i="1"/>
  <c r="AZ45" i="1"/>
  <c r="CD45" i="1"/>
  <c r="AY45" i="1"/>
  <c r="CC45" i="1"/>
  <c r="AX45" i="1"/>
  <c r="CB45" i="1"/>
  <c r="AW45" i="1"/>
  <c r="CA45" i="1"/>
  <c r="AV45" i="1"/>
  <c r="BZ45" i="1"/>
  <c r="AU45" i="1"/>
  <c r="BY45" i="1"/>
  <c r="AT45" i="1"/>
  <c r="BX45" i="1"/>
  <c r="AS45" i="1"/>
  <c r="BW45" i="1"/>
  <c r="AR45" i="1"/>
  <c r="BV45" i="1"/>
  <c r="AQ45" i="1"/>
  <c r="BU45" i="1"/>
  <c r="AP45" i="1"/>
  <c r="BT45" i="1"/>
  <c r="AO45" i="1"/>
  <c r="BS45" i="1"/>
  <c r="AN45" i="1"/>
  <c r="BR45" i="1"/>
  <c r="AM45" i="1"/>
  <c r="BQ45" i="1"/>
  <c r="AL45" i="1"/>
  <c r="BP45" i="1"/>
  <c r="AK45" i="1"/>
  <c r="BO45" i="1"/>
  <c r="AJ45" i="1"/>
  <c r="BN45" i="1"/>
  <c r="AI45" i="1"/>
  <c r="BM45" i="1"/>
  <c r="AH45" i="1"/>
  <c r="BL45" i="1"/>
  <c r="AG45" i="1"/>
  <c r="BK45" i="1"/>
  <c r="AF45" i="1"/>
  <c r="BJ45" i="1"/>
  <c r="BF44" i="1"/>
  <c r="CJ44" i="1"/>
  <c r="BE44" i="1"/>
  <c r="CI44" i="1"/>
  <c r="BD44" i="1"/>
  <c r="CH44" i="1"/>
  <c r="BC44" i="1"/>
  <c r="CG44" i="1"/>
  <c r="BB44" i="1"/>
  <c r="CF44" i="1"/>
  <c r="BA44" i="1"/>
  <c r="CE44" i="1"/>
  <c r="AZ44" i="1"/>
  <c r="CD44" i="1"/>
  <c r="AY44" i="1"/>
  <c r="CC44" i="1"/>
  <c r="AX44" i="1"/>
  <c r="CB44" i="1"/>
  <c r="AW44" i="1"/>
  <c r="CA44" i="1"/>
  <c r="AV44" i="1"/>
  <c r="BZ44" i="1"/>
  <c r="AU44" i="1"/>
  <c r="BY44" i="1"/>
  <c r="AT44" i="1"/>
  <c r="BX44" i="1"/>
  <c r="AS44" i="1"/>
  <c r="BW44" i="1"/>
  <c r="AR44" i="1"/>
  <c r="BV44" i="1"/>
  <c r="AQ44" i="1"/>
  <c r="BU44" i="1"/>
  <c r="AP44" i="1"/>
  <c r="BT44" i="1"/>
  <c r="AO44" i="1"/>
  <c r="BS44" i="1"/>
  <c r="AN44" i="1"/>
  <c r="BR44" i="1"/>
  <c r="AM44" i="1"/>
  <c r="BQ44" i="1"/>
  <c r="AL44" i="1"/>
  <c r="BP44" i="1"/>
  <c r="AK44" i="1"/>
  <c r="BO44" i="1"/>
  <c r="AJ44" i="1"/>
  <c r="BN44" i="1"/>
  <c r="AI44" i="1"/>
  <c r="BM44" i="1"/>
  <c r="AH44" i="1"/>
  <c r="BL44" i="1"/>
  <c r="AG44" i="1"/>
  <c r="BK44" i="1"/>
  <c r="AF44" i="1"/>
  <c r="BJ44" i="1"/>
  <c r="BP262" i="1"/>
  <c r="BP265" i="1"/>
  <c r="BP268" i="1"/>
  <c r="BP271" i="1"/>
  <c r="BP274" i="1"/>
  <c r="BP277" i="1"/>
  <c r="BP280" i="1"/>
  <c r="BP195" i="1"/>
  <c r="BQ262" i="1"/>
  <c r="BQ265" i="1"/>
  <c r="BQ268" i="1"/>
  <c r="BQ271" i="1"/>
  <c r="BQ274" i="1"/>
  <c r="BQ277" i="1"/>
  <c r="BQ280" i="1"/>
  <c r="BQ195" i="1"/>
  <c r="BR262" i="1"/>
  <c r="BR265" i="1"/>
  <c r="BR268" i="1"/>
  <c r="BR271" i="1"/>
  <c r="BR274" i="1"/>
  <c r="BR277" i="1"/>
  <c r="BR280" i="1"/>
  <c r="BR195" i="1"/>
  <c r="BS262" i="1"/>
  <c r="BS265" i="1"/>
  <c r="BS268" i="1"/>
  <c r="BS271" i="1"/>
  <c r="BS274" i="1"/>
  <c r="BS277" i="1"/>
  <c r="BS280" i="1"/>
  <c r="BS195" i="1"/>
  <c r="BT262" i="1"/>
  <c r="BT265" i="1"/>
  <c r="BT268" i="1"/>
  <c r="BT271" i="1"/>
  <c r="BT274" i="1"/>
  <c r="BT277" i="1"/>
  <c r="BT280" i="1"/>
  <c r="BT195" i="1"/>
  <c r="BU262" i="1"/>
  <c r="BU265" i="1"/>
  <c r="BU268" i="1"/>
  <c r="BU271" i="1"/>
  <c r="BU274" i="1"/>
  <c r="BU277" i="1"/>
  <c r="BU280" i="1"/>
  <c r="BU195" i="1"/>
  <c r="BP263" i="1"/>
  <c r="BP266" i="1"/>
  <c r="BP269" i="1"/>
  <c r="BP272" i="1"/>
  <c r="BP275" i="1"/>
  <c r="BP278" i="1"/>
  <c r="BP281" i="1"/>
  <c r="BP196" i="1"/>
  <c r="BQ263" i="1"/>
  <c r="BQ266" i="1"/>
  <c r="BQ269" i="1"/>
  <c r="BQ272" i="1"/>
  <c r="BQ275" i="1"/>
  <c r="BQ278" i="1"/>
  <c r="BQ281" i="1"/>
  <c r="BQ196" i="1"/>
  <c r="BR263" i="1"/>
  <c r="BR266" i="1"/>
  <c r="BR269" i="1"/>
  <c r="BR272" i="1"/>
  <c r="BR275" i="1"/>
  <c r="BR278" i="1"/>
  <c r="BR281" i="1"/>
  <c r="BR196" i="1"/>
  <c r="BS263" i="1"/>
  <c r="BS266" i="1"/>
  <c r="BS269" i="1"/>
  <c r="BS272" i="1"/>
  <c r="BS275" i="1"/>
  <c r="BS278" i="1"/>
  <c r="BS281" i="1"/>
  <c r="BS196" i="1"/>
  <c r="BT263" i="1"/>
  <c r="BT266" i="1"/>
  <c r="BT269" i="1"/>
  <c r="BT272" i="1"/>
  <c r="BT275" i="1"/>
  <c r="BT278" i="1"/>
  <c r="BT281" i="1"/>
  <c r="BT196" i="1"/>
  <c r="BU263" i="1"/>
  <c r="BU266" i="1"/>
  <c r="BU269" i="1"/>
  <c r="BU272" i="1"/>
  <c r="BU275" i="1"/>
  <c r="BU278" i="1"/>
  <c r="BU281" i="1"/>
  <c r="BU196" i="1"/>
  <c r="BP264" i="1"/>
  <c r="BP267" i="1"/>
  <c r="BP270" i="1"/>
  <c r="BP273" i="1"/>
  <c r="BP276" i="1"/>
  <c r="BP279" i="1"/>
  <c r="BP282" i="1"/>
  <c r="BP197" i="1"/>
  <c r="BQ264" i="1"/>
  <c r="BQ267" i="1"/>
  <c r="BQ270" i="1"/>
  <c r="BQ273" i="1"/>
  <c r="BQ276" i="1"/>
  <c r="BQ279" i="1"/>
  <c r="BQ282" i="1"/>
  <c r="BQ197" i="1"/>
  <c r="BR264" i="1"/>
  <c r="BR267" i="1"/>
  <c r="BR270" i="1"/>
  <c r="BR273" i="1"/>
  <c r="BR276" i="1"/>
  <c r="BR279" i="1"/>
  <c r="BR282" i="1"/>
  <c r="BR197" i="1"/>
  <c r="BS264" i="1"/>
  <c r="BS267" i="1"/>
  <c r="BS270" i="1"/>
  <c r="BS273" i="1"/>
  <c r="BS276" i="1"/>
  <c r="BS279" i="1"/>
  <c r="BS282" i="1"/>
  <c r="BS197" i="1"/>
  <c r="BT264" i="1"/>
  <c r="BT267" i="1"/>
  <c r="BT270" i="1"/>
  <c r="BT273" i="1"/>
  <c r="BT276" i="1"/>
  <c r="BT279" i="1"/>
  <c r="BT282" i="1"/>
  <c r="BT197" i="1"/>
  <c r="BU264" i="1"/>
  <c r="BU267" i="1"/>
  <c r="BU270" i="1"/>
  <c r="BU273" i="1"/>
  <c r="BU276" i="1"/>
  <c r="BU279" i="1"/>
  <c r="BU282" i="1"/>
  <c r="BU197" i="1"/>
  <c r="Z256" i="1"/>
  <c r="AA256" i="1"/>
  <c r="AB256" i="1"/>
  <c r="Z257" i="1"/>
  <c r="AA257" i="1"/>
  <c r="AB257" i="1"/>
  <c r="Z258" i="1"/>
  <c r="AA258" i="1"/>
  <c r="AB258" i="1"/>
  <c r="BP235" i="1"/>
  <c r="BP238" i="1"/>
  <c r="BP241" i="1"/>
  <c r="BP244" i="1"/>
  <c r="BQ235" i="1"/>
  <c r="BQ238" i="1"/>
  <c r="BQ241" i="1"/>
  <c r="BQ244" i="1"/>
  <c r="BR235" i="1"/>
  <c r="BR238" i="1"/>
  <c r="BR241" i="1"/>
  <c r="BR244" i="1"/>
  <c r="BS235" i="1"/>
  <c r="BS238" i="1"/>
  <c r="BS241" i="1"/>
  <c r="BS244" i="1"/>
  <c r="BT235" i="1"/>
  <c r="BT238" i="1"/>
  <c r="BT241" i="1"/>
  <c r="BT244" i="1"/>
  <c r="BU235" i="1"/>
  <c r="BU238" i="1"/>
  <c r="BU241" i="1"/>
  <c r="BU244" i="1"/>
  <c r="BV235" i="1"/>
  <c r="BV238" i="1"/>
  <c r="BV241" i="1"/>
  <c r="BV244" i="1"/>
  <c r="BW235" i="1"/>
  <c r="BW238" i="1"/>
  <c r="BW241" i="1"/>
  <c r="BW244" i="1"/>
  <c r="BX235" i="1"/>
  <c r="BX238" i="1"/>
  <c r="BX241" i="1"/>
  <c r="BX244" i="1"/>
  <c r="BY244" i="1"/>
  <c r="BZ244" i="1"/>
  <c r="CA244" i="1"/>
  <c r="BP236" i="1"/>
  <c r="BP239" i="1"/>
  <c r="BP242" i="1"/>
  <c r="BP245" i="1"/>
  <c r="BQ236" i="1"/>
  <c r="BQ239" i="1"/>
  <c r="BQ242" i="1"/>
  <c r="BQ245" i="1"/>
  <c r="BR236" i="1"/>
  <c r="BR239" i="1"/>
  <c r="BR242" i="1"/>
  <c r="BR245" i="1"/>
  <c r="BS236" i="1"/>
  <c r="BS239" i="1"/>
  <c r="BS242" i="1"/>
  <c r="BS245" i="1"/>
  <c r="BT236" i="1"/>
  <c r="BT239" i="1"/>
  <c r="BT242" i="1"/>
  <c r="BT245" i="1"/>
  <c r="BU236" i="1"/>
  <c r="BU239" i="1"/>
  <c r="BU242" i="1"/>
  <c r="BU245" i="1"/>
  <c r="BV236" i="1"/>
  <c r="BV239" i="1"/>
  <c r="BV242" i="1"/>
  <c r="BV245" i="1"/>
  <c r="BW236" i="1"/>
  <c r="BW239" i="1"/>
  <c r="BW242" i="1"/>
  <c r="BW245" i="1"/>
  <c r="BX236" i="1"/>
  <c r="BX239" i="1"/>
  <c r="BX242" i="1"/>
  <c r="BX245" i="1"/>
  <c r="BY245" i="1"/>
  <c r="BZ245" i="1"/>
  <c r="CA245" i="1"/>
  <c r="BP237" i="1"/>
  <c r="BP240" i="1"/>
  <c r="BP243" i="1"/>
  <c r="BP246" i="1"/>
  <c r="BQ237" i="1"/>
  <c r="BQ240" i="1"/>
  <c r="BQ243" i="1"/>
  <c r="BQ246" i="1"/>
  <c r="BR237" i="1"/>
  <c r="BR240" i="1"/>
  <c r="BR243" i="1"/>
  <c r="BR246" i="1"/>
  <c r="BS237" i="1"/>
  <c r="BS240" i="1"/>
  <c r="BS243" i="1"/>
  <c r="BS246" i="1"/>
  <c r="BT237" i="1"/>
  <c r="BT240" i="1"/>
  <c r="BT243" i="1"/>
  <c r="BT246" i="1"/>
  <c r="BU237" i="1"/>
  <c r="BU240" i="1"/>
  <c r="BU243" i="1"/>
  <c r="BU246" i="1"/>
  <c r="BV237" i="1"/>
  <c r="BV240" i="1"/>
  <c r="BV243" i="1"/>
  <c r="BV246" i="1"/>
  <c r="BW237" i="1"/>
  <c r="BW240" i="1"/>
  <c r="BW243" i="1"/>
  <c r="BW246" i="1"/>
  <c r="BX237" i="1"/>
  <c r="BX240" i="1"/>
  <c r="BX243" i="1"/>
  <c r="BX246" i="1"/>
  <c r="BY246" i="1"/>
  <c r="BZ246" i="1"/>
  <c r="CA246" i="1"/>
  <c r="DE131" i="1"/>
  <c r="DF131" i="1"/>
  <c r="DG131" i="1"/>
  <c r="DH131" i="1"/>
  <c r="DI131" i="1"/>
  <c r="DJ131" i="1"/>
  <c r="DK131" i="1"/>
  <c r="DL131" i="1"/>
  <c r="DM131" i="1"/>
  <c r="DN131" i="1"/>
  <c r="DO131" i="1"/>
  <c r="DP131" i="1"/>
  <c r="DQ131" i="1"/>
  <c r="DR131" i="1"/>
  <c r="DS131" i="1"/>
  <c r="DT131" i="1"/>
  <c r="DU131" i="1"/>
  <c r="DV131" i="1"/>
  <c r="DW131" i="1"/>
  <c r="DX131" i="1"/>
  <c r="DY131" i="1"/>
  <c r="DZ131" i="1"/>
  <c r="EA131" i="1"/>
  <c r="EB131" i="1"/>
  <c r="EC131" i="1"/>
  <c r="ED131" i="1"/>
  <c r="EE131" i="1"/>
  <c r="DE132" i="1"/>
  <c r="DF132" i="1"/>
  <c r="DG132" i="1"/>
  <c r="DH132" i="1"/>
  <c r="DI132" i="1"/>
  <c r="DJ132" i="1"/>
  <c r="DK132" i="1"/>
  <c r="DL132" i="1"/>
  <c r="DM132" i="1"/>
  <c r="DN132" i="1"/>
  <c r="DO132" i="1"/>
  <c r="DP132" i="1"/>
  <c r="DQ132" i="1"/>
  <c r="DR132" i="1"/>
  <c r="DS132" i="1"/>
  <c r="DT132" i="1"/>
  <c r="DU132" i="1"/>
  <c r="DV132" i="1"/>
  <c r="DW132" i="1"/>
  <c r="DX132" i="1"/>
  <c r="DY132" i="1"/>
  <c r="DZ132" i="1"/>
  <c r="EA132" i="1"/>
  <c r="EB132" i="1"/>
  <c r="EC132" i="1"/>
  <c r="ED132" i="1"/>
  <c r="EE132" i="1"/>
  <c r="DE133" i="1"/>
  <c r="DF133" i="1"/>
  <c r="DG133" i="1"/>
  <c r="DH133" i="1"/>
  <c r="DI133" i="1"/>
  <c r="DJ133" i="1"/>
  <c r="DK133" i="1"/>
  <c r="DL133" i="1"/>
  <c r="DM133" i="1"/>
  <c r="DN133" i="1"/>
  <c r="DO133" i="1"/>
  <c r="DP133" i="1"/>
  <c r="DQ133" i="1"/>
  <c r="DR133" i="1"/>
  <c r="DS133" i="1"/>
  <c r="DT133" i="1"/>
  <c r="DU133" i="1"/>
  <c r="DV133" i="1"/>
  <c r="DW133" i="1"/>
  <c r="DX133" i="1"/>
  <c r="DY133" i="1"/>
  <c r="DZ133" i="1"/>
  <c r="EA133" i="1"/>
  <c r="EB133" i="1"/>
  <c r="EC133" i="1"/>
  <c r="ED133" i="1"/>
  <c r="EE133" i="1"/>
  <c r="DE128" i="1"/>
  <c r="DF128" i="1"/>
  <c r="DG128" i="1"/>
  <c r="DH128" i="1"/>
  <c r="DI128" i="1"/>
  <c r="DJ128" i="1"/>
  <c r="DK128" i="1"/>
  <c r="DL128" i="1"/>
  <c r="DM128" i="1"/>
  <c r="DN128" i="1"/>
  <c r="DO128" i="1"/>
  <c r="DP128" i="1"/>
  <c r="DQ128" i="1"/>
  <c r="DR128" i="1"/>
  <c r="DS128" i="1"/>
  <c r="DT128" i="1"/>
  <c r="DU128" i="1"/>
  <c r="DV128" i="1"/>
  <c r="DW128" i="1"/>
  <c r="DX128" i="1"/>
  <c r="DY128" i="1"/>
  <c r="DZ128" i="1"/>
  <c r="EA128" i="1"/>
  <c r="EB128" i="1"/>
  <c r="EC128" i="1"/>
  <c r="ED128" i="1"/>
  <c r="EE128" i="1"/>
  <c r="DE129" i="1"/>
  <c r="DF129" i="1"/>
  <c r="DG129" i="1"/>
  <c r="DH129" i="1"/>
  <c r="DI129" i="1"/>
  <c r="DJ129" i="1"/>
  <c r="DK129" i="1"/>
  <c r="DL129" i="1"/>
  <c r="DM129" i="1"/>
  <c r="DN129" i="1"/>
  <c r="DO129" i="1"/>
  <c r="DP129" i="1"/>
  <c r="DQ129" i="1"/>
  <c r="DR129" i="1"/>
  <c r="DS129" i="1"/>
  <c r="DT129" i="1"/>
  <c r="DU129" i="1"/>
  <c r="DV129" i="1"/>
  <c r="DW129" i="1"/>
  <c r="DX129" i="1"/>
  <c r="DY129" i="1"/>
  <c r="DZ129" i="1"/>
  <c r="EA129" i="1"/>
  <c r="EB129" i="1"/>
  <c r="EC129" i="1"/>
  <c r="ED129" i="1"/>
  <c r="EE129" i="1"/>
  <c r="DE130" i="1"/>
  <c r="DF130" i="1"/>
  <c r="DG130" i="1"/>
  <c r="DH130" i="1"/>
  <c r="DI130" i="1"/>
  <c r="DJ130" i="1"/>
  <c r="DK130" i="1"/>
  <c r="DL130" i="1"/>
  <c r="DM130" i="1"/>
  <c r="DN130" i="1"/>
  <c r="DO130" i="1"/>
  <c r="DP130" i="1"/>
  <c r="DQ130" i="1"/>
  <c r="DR130" i="1"/>
  <c r="DS130" i="1"/>
  <c r="DT130" i="1"/>
  <c r="DU130" i="1"/>
  <c r="DV130" i="1"/>
  <c r="DW130" i="1"/>
  <c r="DX130" i="1"/>
  <c r="DY130" i="1"/>
  <c r="DZ130" i="1"/>
  <c r="EA130" i="1"/>
  <c r="EB130" i="1"/>
  <c r="EC130" i="1"/>
  <c r="ED130" i="1"/>
  <c r="EE130" i="1"/>
  <c r="DE125" i="1"/>
  <c r="DF125" i="1"/>
  <c r="DG125" i="1"/>
  <c r="DH125" i="1"/>
  <c r="DI125" i="1"/>
  <c r="DJ125" i="1"/>
  <c r="DK125" i="1"/>
  <c r="DL125" i="1"/>
  <c r="DM125" i="1"/>
  <c r="DN125" i="1"/>
  <c r="DO125" i="1"/>
  <c r="DP125" i="1"/>
  <c r="DQ125" i="1"/>
  <c r="DR125" i="1"/>
  <c r="DS125" i="1"/>
  <c r="DT125" i="1"/>
  <c r="DU125" i="1"/>
  <c r="DV125" i="1"/>
  <c r="DW125" i="1"/>
  <c r="DX125" i="1"/>
  <c r="DY125" i="1"/>
  <c r="DZ125" i="1"/>
  <c r="EA125" i="1"/>
  <c r="EB125" i="1"/>
  <c r="EC125" i="1"/>
  <c r="ED125" i="1"/>
  <c r="EE125" i="1"/>
  <c r="DE126" i="1"/>
  <c r="DF126" i="1"/>
  <c r="DG126" i="1"/>
  <c r="DH126" i="1"/>
  <c r="DI126" i="1"/>
  <c r="DJ126" i="1"/>
  <c r="DK126" i="1"/>
  <c r="DL126" i="1"/>
  <c r="DM126" i="1"/>
  <c r="DN126" i="1"/>
  <c r="DO126" i="1"/>
  <c r="DP126" i="1"/>
  <c r="DQ126" i="1"/>
  <c r="DR126" i="1"/>
  <c r="DS126" i="1"/>
  <c r="DT126" i="1"/>
  <c r="DU126" i="1"/>
  <c r="DV126" i="1"/>
  <c r="DW126" i="1"/>
  <c r="DX126" i="1"/>
  <c r="DY126" i="1"/>
  <c r="DZ126" i="1"/>
  <c r="EA126" i="1"/>
  <c r="EB126" i="1"/>
  <c r="EC126" i="1"/>
  <c r="ED126" i="1"/>
  <c r="EE126" i="1"/>
  <c r="DE127" i="1"/>
  <c r="DF127" i="1"/>
  <c r="DG127" i="1"/>
  <c r="DH127" i="1"/>
  <c r="DI127" i="1"/>
  <c r="DJ127" i="1"/>
  <c r="DK127" i="1"/>
  <c r="DL127" i="1"/>
  <c r="DM127" i="1"/>
  <c r="DN127" i="1"/>
  <c r="DO127" i="1"/>
  <c r="DP127" i="1"/>
  <c r="DQ127" i="1"/>
  <c r="DR127" i="1"/>
  <c r="DS127" i="1"/>
  <c r="DT127" i="1"/>
  <c r="DU127" i="1"/>
  <c r="DV127" i="1"/>
  <c r="DW127" i="1"/>
  <c r="DX127" i="1"/>
  <c r="DY127" i="1"/>
  <c r="DZ127" i="1"/>
  <c r="EA127" i="1"/>
  <c r="EB127" i="1"/>
  <c r="EC127" i="1"/>
  <c r="ED127" i="1"/>
  <c r="EE127" i="1"/>
  <c r="DE122" i="1"/>
  <c r="DF122" i="1"/>
  <c r="DG122" i="1"/>
  <c r="DH122" i="1"/>
  <c r="DI122" i="1"/>
  <c r="DJ122" i="1"/>
  <c r="DK122" i="1"/>
  <c r="DL122" i="1"/>
  <c r="DM122" i="1"/>
  <c r="DN122" i="1"/>
  <c r="DO122" i="1"/>
  <c r="DP122" i="1"/>
  <c r="DQ122" i="1"/>
  <c r="DR122" i="1"/>
  <c r="DS122" i="1"/>
  <c r="DT122" i="1"/>
  <c r="DU122" i="1"/>
  <c r="DV122" i="1"/>
  <c r="DW122" i="1"/>
  <c r="DX122" i="1"/>
  <c r="DY122" i="1"/>
  <c r="DZ122" i="1"/>
  <c r="EA122" i="1"/>
  <c r="EB122" i="1"/>
  <c r="EC122" i="1"/>
  <c r="ED122" i="1"/>
  <c r="EE122" i="1"/>
  <c r="DE123" i="1"/>
  <c r="DF123" i="1"/>
  <c r="DG123" i="1"/>
  <c r="DH123" i="1"/>
  <c r="DI123" i="1"/>
  <c r="DJ123" i="1"/>
  <c r="DK123" i="1"/>
  <c r="DL123" i="1"/>
  <c r="DM123" i="1"/>
  <c r="DN123" i="1"/>
  <c r="DO123" i="1"/>
  <c r="DP123" i="1"/>
  <c r="DQ123" i="1"/>
  <c r="DR123" i="1"/>
  <c r="DS123" i="1"/>
  <c r="DT123" i="1"/>
  <c r="DU123" i="1"/>
  <c r="DV123" i="1"/>
  <c r="DW123" i="1"/>
  <c r="DX123" i="1"/>
  <c r="DY123" i="1"/>
  <c r="DZ123" i="1"/>
  <c r="EA123" i="1"/>
  <c r="EB123" i="1"/>
  <c r="EC123" i="1"/>
  <c r="ED123" i="1"/>
  <c r="EE123" i="1"/>
  <c r="DE124" i="1"/>
  <c r="DF124" i="1"/>
  <c r="DG124" i="1"/>
  <c r="DH124" i="1"/>
  <c r="DI124" i="1"/>
  <c r="DJ124" i="1"/>
  <c r="DK124" i="1"/>
  <c r="DL124" i="1"/>
  <c r="DM124" i="1"/>
  <c r="DN124" i="1"/>
  <c r="DO124" i="1"/>
  <c r="DP124" i="1"/>
  <c r="DQ124" i="1"/>
  <c r="DR124" i="1"/>
  <c r="DS124" i="1"/>
  <c r="DT124" i="1"/>
  <c r="DU124" i="1"/>
  <c r="DV124" i="1"/>
  <c r="DW124" i="1"/>
  <c r="DX124" i="1"/>
  <c r="DY124" i="1"/>
  <c r="DZ124" i="1"/>
  <c r="EA124" i="1"/>
  <c r="EB124" i="1"/>
  <c r="EC124" i="1"/>
  <c r="ED124" i="1"/>
  <c r="EE124" i="1"/>
  <c r="DE119" i="1"/>
  <c r="DF119" i="1"/>
  <c r="DG119" i="1"/>
  <c r="DH119" i="1"/>
  <c r="DI119" i="1"/>
  <c r="DJ119" i="1"/>
  <c r="DK119" i="1"/>
  <c r="DL119" i="1"/>
  <c r="DM119" i="1"/>
  <c r="DN119" i="1"/>
  <c r="DO119" i="1"/>
  <c r="DP119" i="1"/>
  <c r="DQ119" i="1"/>
  <c r="DR119" i="1"/>
  <c r="DS119" i="1"/>
  <c r="DT119" i="1"/>
  <c r="DU119" i="1"/>
  <c r="DV119" i="1"/>
  <c r="DW119" i="1"/>
  <c r="DX119" i="1"/>
  <c r="DY119" i="1"/>
  <c r="DZ119" i="1"/>
  <c r="EA119" i="1"/>
  <c r="EB119" i="1"/>
  <c r="EC119" i="1"/>
  <c r="ED119" i="1"/>
  <c r="EE119" i="1"/>
  <c r="DE120" i="1"/>
  <c r="DF120" i="1"/>
  <c r="DG120" i="1"/>
  <c r="DH120" i="1"/>
  <c r="DI120" i="1"/>
  <c r="DJ120" i="1"/>
  <c r="DK120" i="1"/>
  <c r="DL120" i="1"/>
  <c r="DM120" i="1"/>
  <c r="DN120" i="1"/>
  <c r="DO120" i="1"/>
  <c r="DP120" i="1"/>
  <c r="DQ120" i="1"/>
  <c r="DR120" i="1"/>
  <c r="DS120" i="1"/>
  <c r="DT120" i="1"/>
  <c r="DU120" i="1"/>
  <c r="DV120" i="1"/>
  <c r="DW120" i="1"/>
  <c r="DX120" i="1"/>
  <c r="DY120" i="1"/>
  <c r="DZ120" i="1"/>
  <c r="EA120" i="1"/>
  <c r="EB120" i="1"/>
  <c r="EC120" i="1"/>
  <c r="ED120" i="1"/>
  <c r="EE120" i="1"/>
  <c r="DE121" i="1"/>
  <c r="DF121" i="1"/>
  <c r="DG121" i="1"/>
  <c r="DH121" i="1"/>
  <c r="DI121" i="1"/>
  <c r="DJ121" i="1"/>
  <c r="DK121" i="1"/>
  <c r="DL121" i="1"/>
  <c r="DM121" i="1"/>
  <c r="DN121" i="1"/>
  <c r="DO121" i="1"/>
  <c r="DP121" i="1"/>
  <c r="DQ121" i="1"/>
  <c r="DR121" i="1"/>
  <c r="DS121" i="1"/>
  <c r="DT121" i="1"/>
  <c r="DU121" i="1"/>
  <c r="DV121" i="1"/>
  <c r="DW121" i="1"/>
  <c r="DX121" i="1"/>
  <c r="DY121" i="1"/>
  <c r="DZ121" i="1"/>
  <c r="EA121" i="1"/>
  <c r="EB121" i="1"/>
  <c r="EC121" i="1"/>
  <c r="ED121" i="1"/>
  <c r="EE121"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ED117" i="1"/>
  <c r="EE117" i="1"/>
  <c r="DE118" i="1"/>
  <c r="DF118" i="1"/>
  <c r="DG118" i="1"/>
  <c r="DH118" i="1"/>
  <c r="DI118" i="1"/>
  <c r="DJ118" i="1"/>
  <c r="DK118" i="1"/>
  <c r="DL118" i="1"/>
  <c r="DM118" i="1"/>
  <c r="DN118" i="1"/>
  <c r="DO118" i="1"/>
  <c r="DP118" i="1"/>
  <c r="DQ118" i="1"/>
  <c r="DR118" i="1"/>
  <c r="DS118" i="1"/>
  <c r="DT118" i="1"/>
  <c r="DU118" i="1"/>
  <c r="DV118" i="1"/>
  <c r="DW118" i="1"/>
  <c r="DX118" i="1"/>
  <c r="DY118" i="1"/>
  <c r="DZ118" i="1"/>
  <c r="EA118" i="1"/>
  <c r="EB118" i="1"/>
  <c r="EC118" i="1"/>
  <c r="ED118" i="1"/>
  <c r="EE118" i="1"/>
  <c r="DE113" i="1"/>
  <c r="DF113" i="1"/>
  <c r="DG113" i="1"/>
  <c r="DH113" i="1"/>
  <c r="DI113" i="1"/>
  <c r="DJ113" i="1"/>
  <c r="DK113" i="1"/>
  <c r="DL113" i="1"/>
  <c r="DM113" i="1"/>
  <c r="DN113" i="1"/>
  <c r="DO113" i="1"/>
  <c r="DP113" i="1"/>
  <c r="DQ113" i="1"/>
  <c r="DR113" i="1"/>
  <c r="DS113" i="1"/>
  <c r="DT113" i="1"/>
  <c r="DU113" i="1"/>
  <c r="DV113" i="1"/>
  <c r="DW113" i="1"/>
  <c r="DX113" i="1"/>
  <c r="DY113" i="1"/>
  <c r="DZ113" i="1"/>
  <c r="EA113" i="1"/>
  <c r="EB113" i="1"/>
  <c r="EC113" i="1"/>
  <c r="ED113" i="1"/>
  <c r="EE113"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ED114" i="1"/>
  <c r="EE114" i="1"/>
  <c r="DE115" i="1"/>
  <c r="DF115" i="1"/>
  <c r="DG115" i="1"/>
  <c r="DH115" i="1"/>
  <c r="DI115" i="1"/>
  <c r="DJ115" i="1"/>
  <c r="DK115" i="1"/>
  <c r="DL115" i="1"/>
  <c r="DM115" i="1"/>
  <c r="DN115" i="1"/>
  <c r="DO115" i="1"/>
  <c r="DP115" i="1"/>
  <c r="DQ115" i="1"/>
  <c r="DR115" i="1"/>
  <c r="DS115" i="1"/>
  <c r="DT115" i="1"/>
  <c r="DU115" i="1"/>
  <c r="DV115" i="1"/>
  <c r="DW115" i="1"/>
  <c r="DX115" i="1"/>
  <c r="DY115" i="1"/>
  <c r="DZ115" i="1"/>
  <c r="EA115" i="1"/>
  <c r="EB115" i="1"/>
  <c r="EC115" i="1"/>
  <c r="ED115" i="1"/>
  <c r="EE115" i="1"/>
  <c r="DE110" i="1"/>
  <c r="DF110" i="1"/>
  <c r="DG110" i="1"/>
  <c r="DH110" i="1"/>
  <c r="DI110" i="1"/>
  <c r="DJ110" i="1"/>
  <c r="DK110" i="1"/>
  <c r="DL110" i="1"/>
  <c r="DM110" i="1"/>
  <c r="DN110" i="1"/>
  <c r="DO110" i="1"/>
  <c r="DP110" i="1"/>
  <c r="DQ110" i="1"/>
  <c r="DR110" i="1"/>
  <c r="DS110" i="1"/>
  <c r="DT110" i="1"/>
  <c r="DU110" i="1"/>
  <c r="DV110" i="1"/>
  <c r="DW110" i="1"/>
  <c r="DX110" i="1"/>
  <c r="DY110" i="1"/>
  <c r="DZ110" i="1"/>
  <c r="EA110" i="1"/>
  <c r="EB110" i="1"/>
  <c r="EC110" i="1"/>
  <c r="ED110" i="1"/>
  <c r="EE110" i="1"/>
  <c r="DE111" i="1"/>
  <c r="DF111" i="1"/>
  <c r="DG111" i="1"/>
  <c r="DH111" i="1"/>
  <c r="DI111" i="1"/>
  <c r="DJ111" i="1"/>
  <c r="DK111" i="1"/>
  <c r="DL111" i="1"/>
  <c r="DM111" i="1"/>
  <c r="DN111" i="1"/>
  <c r="DO111" i="1"/>
  <c r="DP111" i="1"/>
  <c r="DQ111" i="1"/>
  <c r="DR111" i="1"/>
  <c r="DS111" i="1"/>
  <c r="DT111" i="1"/>
  <c r="DU111" i="1"/>
  <c r="DV111" i="1"/>
  <c r="DW111" i="1"/>
  <c r="DX111" i="1"/>
  <c r="DY111" i="1"/>
  <c r="DZ111" i="1"/>
  <c r="EA111" i="1"/>
  <c r="EB111" i="1"/>
  <c r="EC111" i="1"/>
  <c r="ED111" i="1"/>
  <c r="EE111" i="1"/>
  <c r="DE112" i="1"/>
  <c r="DF112" i="1"/>
  <c r="DG112" i="1"/>
  <c r="DH112" i="1"/>
  <c r="DI112" i="1"/>
  <c r="DJ112" i="1"/>
  <c r="DK112" i="1"/>
  <c r="DL112" i="1"/>
  <c r="DM112" i="1"/>
  <c r="DN112" i="1"/>
  <c r="DO112" i="1"/>
  <c r="DP112" i="1"/>
  <c r="DQ112" i="1"/>
  <c r="DR112" i="1"/>
  <c r="DS112" i="1"/>
  <c r="DT112" i="1"/>
  <c r="DU112" i="1"/>
  <c r="DV112" i="1"/>
  <c r="DW112" i="1"/>
  <c r="DX112" i="1"/>
  <c r="DY112" i="1"/>
  <c r="DZ112" i="1"/>
  <c r="EA112" i="1"/>
  <c r="EB112" i="1"/>
  <c r="EC112" i="1"/>
  <c r="ED112" i="1"/>
  <c r="EE112" i="1"/>
  <c r="DE107" i="1"/>
  <c r="DF107" i="1"/>
  <c r="DG107" i="1"/>
  <c r="DH107" i="1"/>
  <c r="DI107" i="1"/>
  <c r="DJ107" i="1"/>
  <c r="DK107" i="1"/>
  <c r="DL107" i="1"/>
  <c r="DM107" i="1"/>
  <c r="DN107" i="1"/>
  <c r="DO107" i="1"/>
  <c r="DP107" i="1"/>
  <c r="DQ107" i="1"/>
  <c r="DR107" i="1"/>
  <c r="DS107" i="1"/>
  <c r="DT107" i="1"/>
  <c r="DU107" i="1"/>
  <c r="DV107" i="1"/>
  <c r="DW107" i="1"/>
  <c r="DX107" i="1"/>
  <c r="DY107" i="1"/>
  <c r="DZ107" i="1"/>
  <c r="EA107" i="1"/>
  <c r="EB107" i="1"/>
  <c r="EC107" i="1"/>
  <c r="ED107" i="1"/>
  <c r="EE107" i="1"/>
  <c r="DE108" i="1"/>
  <c r="DF108" i="1"/>
  <c r="DG108" i="1"/>
  <c r="DH108" i="1"/>
  <c r="DI108" i="1"/>
  <c r="DJ108" i="1"/>
  <c r="DK108" i="1"/>
  <c r="DL108" i="1"/>
  <c r="DM108" i="1"/>
  <c r="DN108" i="1"/>
  <c r="DO108" i="1"/>
  <c r="DP108" i="1"/>
  <c r="DQ108" i="1"/>
  <c r="DR108" i="1"/>
  <c r="DS108" i="1"/>
  <c r="DT108" i="1"/>
  <c r="DU108" i="1"/>
  <c r="DV108" i="1"/>
  <c r="DW108" i="1"/>
  <c r="DX108" i="1"/>
  <c r="DY108" i="1"/>
  <c r="DZ108" i="1"/>
  <c r="EA108" i="1"/>
  <c r="EB108" i="1"/>
  <c r="EC108" i="1"/>
  <c r="ED108" i="1"/>
  <c r="EE108" i="1"/>
  <c r="DE109" i="1"/>
  <c r="DF109" i="1"/>
  <c r="DG109" i="1"/>
  <c r="DH109" i="1"/>
  <c r="DI109" i="1"/>
  <c r="DJ109" i="1"/>
  <c r="DK109" i="1"/>
  <c r="DL109" i="1"/>
  <c r="DM109" i="1"/>
  <c r="DN109" i="1"/>
  <c r="DO109" i="1"/>
  <c r="DP109" i="1"/>
  <c r="DQ109" i="1"/>
  <c r="DR109" i="1"/>
  <c r="DS109" i="1"/>
  <c r="DT109" i="1"/>
  <c r="DU109" i="1"/>
  <c r="DV109" i="1"/>
  <c r="DW109" i="1"/>
  <c r="DX109" i="1"/>
  <c r="DY109" i="1"/>
  <c r="DZ109" i="1"/>
  <c r="EA109" i="1"/>
  <c r="EB109" i="1"/>
  <c r="EC109" i="1"/>
  <c r="ED109" i="1"/>
  <c r="EE109" i="1"/>
  <c r="BR71" i="1"/>
  <c r="AN71" i="1"/>
  <c r="AS14" i="1"/>
  <c r="AQ3" i="1"/>
  <c r="AS12" i="1"/>
  <c r="CX77" i="1"/>
  <c r="B73" i="1"/>
  <c r="G72" i="1"/>
  <c r="AQ4" i="1"/>
  <c r="AO283" i="1"/>
  <c r="AP283" i="1"/>
  <c r="AQ283" i="1"/>
  <c r="AO284" i="1"/>
  <c r="AP284" i="1"/>
  <c r="AQ284" i="1"/>
  <c r="AO285" i="1"/>
  <c r="AP285" i="1"/>
  <c r="AQ285" i="1"/>
  <c r="AF259" i="1"/>
  <c r="AF262" i="1"/>
  <c r="AF265" i="1"/>
  <c r="AF268" i="1"/>
  <c r="AF271" i="1"/>
  <c r="AF274" i="1"/>
  <c r="AF277" i="1"/>
  <c r="AF280" i="1"/>
  <c r="AF283" i="1"/>
  <c r="AG259" i="1"/>
  <c r="AG262" i="1"/>
  <c r="AG265" i="1"/>
  <c r="AG268" i="1"/>
  <c r="AG271" i="1"/>
  <c r="AG274" i="1"/>
  <c r="AG277" i="1"/>
  <c r="AG280" i="1"/>
  <c r="AG283" i="1"/>
  <c r="AH259" i="1"/>
  <c r="AH262" i="1"/>
  <c r="AH265" i="1"/>
  <c r="AH268" i="1"/>
  <c r="AH271" i="1"/>
  <c r="AH274" i="1"/>
  <c r="AH277" i="1"/>
  <c r="AH280" i="1"/>
  <c r="AH283" i="1"/>
  <c r="AF260" i="1"/>
  <c r="AF263" i="1"/>
  <c r="AF266" i="1"/>
  <c r="AF269" i="1"/>
  <c r="AF272" i="1"/>
  <c r="AF275" i="1"/>
  <c r="AF278" i="1"/>
  <c r="AF281" i="1"/>
  <c r="AF284" i="1"/>
  <c r="AG260" i="1"/>
  <c r="AG263" i="1"/>
  <c r="AG266" i="1"/>
  <c r="AG269" i="1"/>
  <c r="AG272" i="1"/>
  <c r="AG275" i="1"/>
  <c r="AG278" i="1"/>
  <c r="AG281" i="1"/>
  <c r="AG284" i="1"/>
  <c r="AH260" i="1"/>
  <c r="AH263" i="1"/>
  <c r="AH266" i="1"/>
  <c r="AH269" i="1"/>
  <c r="AH272" i="1"/>
  <c r="AH275" i="1"/>
  <c r="AH278" i="1"/>
  <c r="AH281" i="1"/>
  <c r="AH284" i="1"/>
  <c r="AF261" i="1"/>
  <c r="AF264" i="1"/>
  <c r="AF267" i="1"/>
  <c r="AF270" i="1"/>
  <c r="AF273" i="1"/>
  <c r="AF276" i="1"/>
  <c r="AF279" i="1"/>
  <c r="AF282" i="1"/>
  <c r="AF285" i="1"/>
  <c r="AG261" i="1"/>
  <c r="AG264" i="1"/>
  <c r="AG267" i="1"/>
  <c r="AG270" i="1"/>
  <c r="AG273" i="1"/>
  <c r="AG276" i="1"/>
  <c r="AG279" i="1"/>
  <c r="AG282" i="1"/>
  <c r="AG285" i="1"/>
  <c r="AH261" i="1"/>
  <c r="AH264" i="1"/>
  <c r="AH267" i="1"/>
  <c r="AH270" i="1"/>
  <c r="AH273" i="1"/>
  <c r="AH276" i="1"/>
  <c r="AH279" i="1"/>
  <c r="AH282" i="1"/>
  <c r="AH285" i="1"/>
  <c r="AC283" i="1"/>
  <c r="AD283" i="1"/>
  <c r="AE283" i="1"/>
  <c r="AC284" i="1"/>
  <c r="AD284" i="1"/>
  <c r="AE284" i="1"/>
  <c r="AC285" i="1"/>
  <c r="AD285" i="1"/>
  <c r="AE285" i="1"/>
  <c r="AX253" i="1"/>
  <c r="AY253" i="1"/>
  <c r="AZ253" i="1"/>
  <c r="AX254" i="1"/>
  <c r="AY254" i="1"/>
  <c r="AZ254" i="1"/>
  <c r="AX255" i="1"/>
  <c r="AY255" i="1"/>
  <c r="AZ255" i="1"/>
  <c r="AC253" i="1"/>
  <c r="AD253" i="1"/>
  <c r="AE253" i="1"/>
  <c r="AC254" i="1"/>
  <c r="AD254" i="1"/>
  <c r="AE254" i="1"/>
  <c r="AC255" i="1"/>
  <c r="AD255" i="1"/>
  <c r="AE255" i="1"/>
  <c r="BY247" i="1"/>
  <c r="BY250" i="1"/>
  <c r="BZ247" i="1"/>
  <c r="BZ250" i="1"/>
  <c r="CA247" i="1"/>
  <c r="CA250" i="1"/>
  <c r="BY248" i="1"/>
  <c r="BY251" i="1"/>
  <c r="BZ248" i="1"/>
  <c r="BZ251" i="1"/>
  <c r="CA248" i="1"/>
  <c r="CA251" i="1"/>
  <c r="BY249" i="1"/>
  <c r="BY252" i="1"/>
  <c r="BZ249" i="1"/>
  <c r="BZ252" i="1"/>
  <c r="CA249" i="1"/>
  <c r="CA252" i="1"/>
  <c r="BV247" i="1"/>
  <c r="BV250" i="1"/>
  <c r="BW247" i="1"/>
  <c r="BW250" i="1"/>
  <c r="BX247" i="1"/>
  <c r="BX250" i="1"/>
  <c r="BV248" i="1"/>
  <c r="BV251" i="1"/>
  <c r="BW248" i="1"/>
  <c r="BW251" i="1"/>
  <c r="BX248" i="1"/>
  <c r="BX251" i="1"/>
  <c r="BV249" i="1"/>
  <c r="BV252" i="1"/>
  <c r="BW249" i="1"/>
  <c r="BW252" i="1"/>
  <c r="BX249" i="1"/>
  <c r="BX252" i="1"/>
  <c r="AU250" i="1"/>
  <c r="AV250" i="1"/>
  <c r="AW250" i="1"/>
  <c r="AU251" i="1"/>
  <c r="AV251" i="1"/>
  <c r="AW251" i="1"/>
  <c r="AU252" i="1"/>
  <c r="AV252" i="1"/>
  <c r="AW252" i="1"/>
  <c r="AX217" i="1"/>
  <c r="AX220" i="1"/>
  <c r="AY217" i="1"/>
  <c r="AY220" i="1"/>
  <c r="AZ217" i="1"/>
  <c r="AZ220" i="1"/>
  <c r="AX218" i="1"/>
  <c r="AX221" i="1"/>
  <c r="AY218" i="1"/>
  <c r="AY221" i="1"/>
  <c r="AZ218" i="1"/>
  <c r="AZ221" i="1"/>
  <c r="AX219" i="1"/>
  <c r="AX222" i="1"/>
  <c r="AY219" i="1"/>
  <c r="AY222" i="1"/>
  <c r="AZ219" i="1"/>
  <c r="AZ222" i="1"/>
  <c r="CE217" i="1"/>
  <c r="CF217" i="1"/>
  <c r="CG217" i="1"/>
  <c r="CE218" i="1"/>
  <c r="CF218" i="1"/>
  <c r="CG218" i="1"/>
  <c r="CE219" i="1"/>
  <c r="CF219" i="1"/>
  <c r="CG219" i="1"/>
  <c r="AU217" i="1"/>
  <c r="AV217" i="1"/>
  <c r="AW217" i="1"/>
  <c r="AU218" i="1"/>
  <c r="AV218" i="1"/>
  <c r="AW218" i="1"/>
  <c r="AU219" i="1"/>
  <c r="AV219" i="1"/>
  <c r="AW219" i="1"/>
  <c r="AO208" i="1"/>
  <c r="AO211" i="1"/>
  <c r="AO214" i="1"/>
  <c r="AO217" i="1"/>
  <c r="AP208" i="1"/>
  <c r="AP211" i="1"/>
  <c r="AP214" i="1"/>
  <c r="AP217" i="1"/>
  <c r="AQ208" i="1"/>
  <c r="AQ211" i="1"/>
  <c r="AQ214" i="1"/>
  <c r="AQ217" i="1"/>
  <c r="AO209" i="1"/>
  <c r="AO212" i="1"/>
  <c r="AO215" i="1"/>
  <c r="AO218" i="1"/>
  <c r="AP209" i="1"/>
  <c r="AP212" i="1"/>
  <c r="AP215" i="1"/>
  <c r="AP218" i="1"/>
  <c r="AQ209" i="1"/>
  <c r="AQ212" i="1"/>
  <c r="AQ215" i="1"/>
  <c r="AQ218" i="1"/>
  <c r="AO210" i="1"/>
  <c r="AO213" i="1"/>
  <c r="AO216" i="1"/>
  <c r="AO219" i="1"/>
  <c r="AP210" i="1"/>
  <c r="AP213" i="1"/>
  <c r="AP216" i="1"/>
  <c r="AP219" i="1"/>
  <c r="AQ210" i="1"/>
  <c r="AQ213" i="1"/>
  <c r="AQ216" i="1"/>
  <c r="AQ219" i="1"/>
  <c r="AR214" i="1"/>
  <c r="AS214" i="1"/>
  <c r="AT214" i="1"/>
  <c r="AR215" i="1"/>
  <c r="AS215" i="1"/>
  <c r="AT215" i="1"/>
  <c r="AR216" i="1"/>
  <c r="AS216" i="1"/>
  <c r="AT216" i="1"/>
  <c r="AC205" i="1"/>
  <c r="AC208" i="1"/>
  <c r="AD205" i="1"/>
  <c r="AD208" i="1"/>
  <c r="AE205" i="1"/>
  <c r="AE208" i="1"/>
  <c r="AC206" i="1"/>
  <c r="AC209" i="1"/>
  <c r="AD206" i="1"/>
  <c r="AD209" i="1"/>
  <c r="AE206" i="1"/>
  <c r="AE209" i="1"/>
  <c r="AC207" i="1"/>
  <c r="AC210" i="1"/>
  <c r="AD207" i="1"/>
  <c r="AD210" i="1"/>
  <c r="AE207" i="1"/>
  <c r="AE210" i="1"/>
  <c r="BU285" i="1"/>
  <c r="BT285" i="1"/>
  <c r="BS285" i="1"/>
  <c r="BR285" i="1"/>
  <c r="BQ285" i="1"/>
  <c r="BP285" i="1"/>
  <c r="AK261" i="1"/>
  <c r="AN261" i="1"/>
  <c r="AN264" i="1"/>
  <c r="AN267" i="1"/>
  <c r="AN270" i="1"/>
  <c r="AN273" i="1"/>
  <c r="AN276" i="1"/>
  <c r="AN279" i="1"/>
  <c r="AN282" i="1"/>
  <c r="AN285" i="1"/>
  <c r="AJ261" i="1"/>
  <c r="AM261" i="1"/>
  <c r="AM264" i="1"/>
  <c r="AM267" i="1"/>
  <c r="AM270" i="1"/>
  <c r="AM273" i="1"/>
  <c r="AM276" i="1"/>
  <c r="AM279" i="1"/>
  <c r="AM282" i="1"/>
  <c r="AM285" i="1"/>
  <c r="AI261" i="1"/>
  <c r="AL261" i="1"/>
  <c r="AL264" i="1"/>
  <c r="AL267" i="1"/>
  <c r="AL270" i="1"/>
  <c r="AL273" i="1"/>
  <c r="AL276" i="1"/>
  <c r="AL279" i="1"/>
  <c r="AL282" i="1"/>
  <c r="AL285" i="1"/>
  <c r="AK264" i="1"/>
  <c r="AK267" i="1"/>
  <c r="AK270" i="1"/>
  <c r="AK273" i="1"/>
  <c r="AK276" i="1"/>
  <c r="AK279" i="1"/>
  <c r="AK282" i="1"/>
  <c r="AK285" i="1"/>
  <c r="AJ264" i="1"/>
  <c r="AJ267" i="1"/>
  <c r="AJ270" i="1"/>
  <c r="AJ273" i="1"/>
  <c r="AJ276" i="1"/>
  <c r="AJ279" i="1"/>
  <c r="AJ282" i="1"/>
  <c r="AJ285" i="1"/>
  <c r="AI264" i="1"/>
  <c r="AI267" i="1"/>
  <c r="AI270" i="1"/>
  <c r="AI273" i="1"/>
  <c r="AI276" i="1"/>
  <c r="AI279" i="1"/>
  <c r="AI282" i="1"/>
  <c r="AI285" i="1"/>
  <c r="BU284" i="1"/>
  <c r="BT284" i="1"/>
  <c r="BS284" i="1"/>
  <c r="BR284" i="1"/>
  <c r="BQ284" i="1"/>
  <c r="BP284" i="1"/>
  <c r="AK260" i="1"/>
  <c r="AN260" i="1"/>
  <c r="AN263" i="1"/>
  <c r="AN266" i="1"/>
  <c r="AN269" i="1"/>
  <c r="AN272" i="1"/>
  <c r="AN275" i="1"/>
  <c r="AN278" i="1"/>
  <c r="AN281" i="1"/>
  <c r="AN284" i="1"/>
  <c r="AJ260" i="1"/>
  <c r="AM260" i="1"/>
  <c r="AM263" i="1"/>
  <c r="AM266" i="1"/>
  <c r="AM269" i="1"/>
  <c r="AM272" i="1"/>
  <c r="AM275" i="1"/>
  <c r="AM278" i="1"/>
  <c r="AM281" i="1"/>
  <c r="AM284" i="1"/>
  <c r="AI260" i="1"/>
  <c r="AL260" i="1"/>
  <c r="AL263" i="1"/>
  <c r="AL266" i="1"/>
  <c r="AL269" i="1"/>
  <c r="AL272" i="1"/>
  <c r="AL275" i="1"/>
  <c r="AL278" i="1"/>
  <c r="AL281" i="1"/>
  <c r="AL284" i="1"/>
  <c r="AK263" i="1"/>
  <c r="AK266" i="1"/>
  <c r="AK269" i="1"/>
  <c r="AK272" i="1"/>
  <c r="AK275" i="1"/>
  <c r="AK278" i="1"/>
  <c r="AK281" i="1"/>
  <c r="AK284" i="1"/>
  <c r="AJ263" i="1"/>
  <c r="AJ266" i="1"/>
  <c r="AJ269" i="1"/>
  <c r="AJ272" i="1"/>
  <c r="AJ275" i="1"/>
  <c r="AJ278" i="1"/>
  <c r="AJ281" i="1"/>
  <c r="AJ284" i="1"/>
  <c r="AI263" i="1"/>
  <c r="AI266" i="1"/>
  <c r="AI269" i="1"/>
  <c r="AI272" i="1"/>
  <c r="AI275" i="1"/>
  <c r="AI278" i="1"/>
  <c r="AI281" i="1"/>
  <c r="AI284" i="1"/>
  <c r="BU283" i="1"/>
  <c r="BT283" i="1"/>
  <c r="BS283" i="1"/>
  <c r="BR283" i="1"/>
  <c r="BQ283" i="1"/>
  <c r="BP283" i="1"/>
  <c r="AK259" i="1"/>
  <c r="AN259" i="1"/>
  <c r="AN262" i="1"/>
  <c r="AN265" i="1"/>
  <c r="AN268" i="1"/>
  <c r="AN271" i="1"/>
  <c r="AN274" i="1"/>
  <c r="AN277" i="1"/>
  <c r="AN280" i="1"/>
  <c r="AN283" i="1"/>
  <c r="AJ259" i="1"/>
  <c r="AM259" i="1"/>
  <c r="AM262" i="1"/>
  <c r="AM265" i="1"/>
  <c r="AM268" i="1"/>
  <c r="AM271" i="1"/>
  <c r="AM274" i="1"/>
  <c r="AM277" i="1"/>
  <c r="AM280" i="1"/>
  <c r="AM283" i="1"/>
  <c r="AI259" i="1"/>
  <c r="AL259" i="1"/>
  <c r="AL262" i="1"/>
  <c r="AL265" i="1"/>
  <c r="AL268" i="1"/>
  <c r="AL271" i="1"/>
  <c r="AL274" i="1"/>
  <c r="AL277" i="1"/>
  <c r="AL280" i="1"/>
  <c r="AL283" i="1"/>
  <c r="AK262" i="1"/>
  <c r="AK265" i="1"/>
  <c r="AK268" i="1"/>
  <c r="AK271" i="1"/>
  <c r="AK274" i="1"/>
  <c r="AK277" i="1"/>
  <c r="AK280" i="1"/>
  <c r="AK283" i="1"/>
  <c r="AJ262" i="1"/>
  <c r="AJ265" i="1"/>
  <c r="AJ268" i="1"/>
  <c r="AJ271" i="1"/>
  <c r="AJ274" i="1"/>
  <c r="AJ277" i="1"/>
  <c r="AJ280" i="1"/>
  <c r="AJ283" i="1"/>
  <c r="AI262" i="1"/>
  <c r="AI265" i="1"/>
  <c r="AI268" i="1"/>
  <c r="AI271" i="1"/>
  <c r="AI274" i="1"/>
  <c r="AI277" i="1"/>
  <c r="AI280" i="1"/>
  <c r="AI283" i="1"/>
  <c r="BU249" i="1"/>
  <c r="BU252" i="1"/>
  <c r="BU255" i="1"/>
  <c r="BU258" i="1"/>
  <c r="BT249" i="1"/>
  <c r="BT252" i="1"/>
  <c r="BT255" i="1"/>
  <c r="BT258" i="1"/>
  <c r="BS249" i="1"/>
  <c r="BS252" i="1"/>
  <c r="BS255" i="1"/>
  <c r="BS258" i="1"/>
  <c r="BC258" i="1"/>
  <c r="BB258" i="1"/>
  <c r="BA258" i="1"/>
  <c r="AZ258" i="1"/>
  <c r="AY258" i="1"/>
  <c r="AX258" i="1"/>
  <c r="AW255" i="1"/>
  <c r="AW258" i="1"/>
  <c r="AV255" i="1"/>
  <c r="AV258" i="1"/>
  <c r="AU255" i="1"/>
  <c r="AU258" i="1"/>
  <c r="AT255" i="1"/>
  <c r="AT258" i="1"/>
  <c r="AS255" i="1"/>
  <c r="AS258" i="1"/>
  <c r="AR255" i="1"/>
  <c r="AR258" i="1"/>
  <c r="AQ249" i="1"/>
  <c r="AQ252" i="1"/>
  <c r="AQ255" i="1"/>
  <c r="AQ258" i="1"/>
  <c r="AP249" i="1"/>
  <c r="AP252" i="1"/>
  <c r="AP255" i="1"/>
  <c r="AP258" i="1"/>
  <c r="AO249" i="1"/>
  <c r="AO252" i="1"/>
  <c r="AO255" i="1"/>
  <c r="AO258" i="1"/>
  <c r="AK234" i="1"/>
  <c r="AN234" i="1"/>
  <c r="AN237" i="1"/>
  <c r="AN240" i="1"/>
  <c r="AN243" i="1"/>
  <c r="AN246" i="1"/>
  <c r="AN249" i="1"/>
  <c r="AN252" i="1"/>
  <c r="AN255" i="1"/>
  <c r="AN258" i="1"/>
  <c r="AJ234" i="1"/>
  <c r="AM234" i="1"/>
  <c r="AM237" i="1"/>
  <c r="AM240" i="1"/>
  <c r="AM243" i="1"/>
  <c r="AM246" i="1"/>
  <c r="AM249" i="1"/>
  <c r="AM252" i="1"/>
  <c r="AM255" i="1"/>
  <c r="AM258" i="1"/>
  <c r="AI234" i="1"/>
  <c r="AL234" i="1"/>
  <c r="AL237" i="1"/>
  <c r="AL240" i="1"/>
  <c r="AL243" i="1"/>
  <c r="AL246" i="1"/>
  <c r="AL249" i="1"/>
  <c r="AL252" i="1"/>
  <c r="AL255" i="1"/>
  <c r="AL258" i="1"/>
  <c r="AK237" i="1"/>
  <c r="AK240" i="1"/>
  <c r="AK243" i="1"/>
  <c r="AK246" i="1"/>
  <c r="AK249" i="1"/>
  <c r="AK252" i="1"/>
  <c r="AK255" i="1"/>
  <c r="AK258" i="1"/>
  <c r="AJ237" i="1"/>
  <c r="AJ240" i="1"/>
  <c r="AJ243" i="1"/>
  <c r="AJ246" i="1"/>
  <c r="AJ249" i="1"/>
  <c r="AJ252" i="1"/>
  <c r="AJ255" i="1"/>
  <c r="AJ258" i="1"/>
  <c r="AI237" i="1"/>
  <c r="AI240" i="1"/>
  <c r="AI243" i="1"/>
  <c r="AI246" i="1"/>
  <c r="AI249" i="1"/>
  <c r="AI252" i="1"/>
  <c r="AI255" i="1"/>
  <c r="AI258" i="1"/>
  <c r="AH255" i="1"/>
  <c r="AH258" i="1"/>
  <c r="AG255" i="1"/>
  <c r="AG258" i="1"/>
  <c r="AF255" i="1"/>
  <c r="AF258" i="1"/>
  <c r="AE258" i="1"/>
  <c r="AD258" i="1"/>
  <c r="AC258" i="1"/>
  <c r="Y258" i="1"/>
  <c r="X258" i="1"/>
  <c r="W258" i="1"/>
  <c r="P258" i="1"/>
  <c r="O258" i="1"/>
  <c r="N258" i="1"/>
  <c r="BU248" i="1"/>
  <c r="BU251" i="1"/>
  <c r="BU254" i="1"/>
  <c r="BU257" i="1"/>
  <c r="BT248" i="1"/>
  <c r="BT251" i="1"/>
  <c r="BT254" i="1"/>
  <c r="BT257" i="1"/>
  <c r="BS248" i="1"/>
  <c r="BS251" i="1"/>
  <c r="BS254" i="1"/>
  <c r="BS257" i="1"/>
  <c r="BC257" i="1"/>
  <c r="BB257" i="1"/>
  <c r="BA257" i="1"/>
  <c r="AZ257" i="1"/>
  <c r="AY257" i="1"/>
  <c r="AX257" i="1"/>
  <c r="AW254" i="1"/>
  <c r="AW257" i="1"/>
  <c r="AV254" i="1"/>
  <c r="AV257" i="1"/>
  <c r="AU254" i="1"/>
  <c r="AU257" i="1"/>
  <c r="AT254" i="1"/>
  <c r="AT257" i="1"/>
  <c r="AS254" i="1"/>
  <c r="AS257" i="1"/>
  <c r="AR254" i="1"/>
  <c r="AR257" i="1"/>
  <c r="AQ248" i="1"/>
  <c r="AQ251" i="1"/>
  <c r="AQ254" i="1"/>
  <c r="AQ257" i="1"/>
  <c r="AP248" i="1"/>
  <c r="AP251" i="1"/>
  <c r="AP254" i="1"/>
  <c r="AP257" i="1"/>
  <c r="AO248" i="1"/>
  <c r="AO251" i="1"/>
  <c r="AO254" i="1"/>
  <c r="AO257" i="1"/>
  <c r="AK233" i="1"/>
  <c r="AN233" i="1"/>
  <c r="AN236" i="1"/>
  <c r="AN239" i="1"/>
  <c r="AN242" i="1"/>
  <c r="AN245" i="1"/>
  <c r="AN248" i="1"/>
  <c r="AN251" i="1"/>
  <c r="AN254" i="1"/>
  <c r="AN257" i="1"/>
  <c r="AJ233" i="1"/>
  <c r="AM233" i="1"/>
  <c r="AM236" i="1"/>
  <c r="AM239" i="1"/>
  <c r="AM242" i="1"/>
  <c r="AM245" i="1"/>
  <c r="AM248" i="1"/>
  <c r="AM251" i="1"/>
  <c r="AM254" i="1"/>
  <c r="AM257" i="1"/>
  <c r="AI233" i="1"/>
  <c r="AL233" i="1"/>
  <c r="AL236" i="1"/>
  <c r="AL239" i="1"/>
  <c r="AL242" i="1"/>
  <c r="AL245" i="1"/>
  <c r="AL248" i="1"/>
  <c r="AL251" i="1"/>
  <c r="AL254" i="1"/>
  <c r="AL257" i="1"/>
  <c r="AK236" i="1"/>
  <c r="AK239" i="1"/>
  <c r="AK242" i="1"/>
  <c r="AK245" i="1"/>
  <c r="AK248" i="1"/>
  <c r="AK251" i="1"/>
  <c r="AK254" i="1"/>
  <c r="AK257" i="1"/>
  <c r="AJ236" i="1"/>
  <c r="AJ239" i="1"/>
  <c r="AJ242" i="1"/>
  <c r="AJ245" i="1"/>
  <c r="AJ248" i="1"/>
  <c r="AJ251" i="1"/>
  <c r="AJ254" i="1"/>
  <c r="AJ257" i="1"/>
  <c r="AI236" i="1"/>
  <c r="AI239" i="1"/>
  <c r="AI242" i="1"/>
  <c r="AI245" i="1"/>
  <c r="AI248" i="1"/>
  <c r="AI251" i="1"/>
  <c r="AI254" i="1"/>
  <c r="AI257" i="1"/>
  <c r="AH254" i="1"/>
  <c r="AH257" i="1"/>
  <c r="AG254" i="1"/>
  <c r="AG257" i="1"/>
  <c r="AF254" i="1"/>
  <c r="AF257" i="1"/>
  <c r="AE257" i="1"/>
  <c r="AD257" i="1"/>
  <c r="AC257" i="1"/>
  <c r="Y257" i="1"/>
  <c r="X257" i="1"/>
  <c r="W257" i="1"/>
  <c r="P257" i="1"/>
  <c r="O257" i="1"/>
  <c r="N257" i="1"/>
  <c r="BU247" i="1"/>
  <c r="BU250" i="1"/>
  <c r="BU253" i="1"/>
  <c r="BU256" i="1"/>
  <c r="BT247" i="1"/>
  <c r="BT250" i="1"/>
  <c r="BT253" i="1"/>
  <c r="BT256" i="1"/>
  <c r="BS247" i="1"/>
  <c r="BS250" i="1"/>
  <c r="BS253" i="1"/>
  <c r="BS256" i="1"/>
  <c r="BC256" i="1"/>
  <c r="BB256" i="1"/>
  <c r="BA256" i="1"/>
  <c r="AZ256" i="1"/>
  <c r="AY256" i="1"/>
  <c r="AX256" i="1"/>
  <c r="AW253" i="1"/>
  <c r="AW256" i="1"/>
  <c r="AV253" i="1"/>
  <c r="AV256" i="1"/>
  <c r="AU253" i="1"/>
  <c r="AU256" i="1"/>
  <c r="AT253" i="1"/>
  <c r="AT256" i="1"/>
  <c r="AS253" i="1"/>
  <c r="AS256" i="1"/>
  <c r="AR253" i="1"/>
  <c r="AR256" i="1"/>
  <c r="AQ247" i="1"/>
  <c r="AQ250" i="1"/>
  <c r="AQ253" i="1"/>
  <c r="AQ256" i="1"/>
  <c r="AP247" i="1"/>
  <c r="AP250" i="1"/>
  <c r="AP253" i="1"/>
  <c r="AP256" i="1"/>
  <c r="AO247" i="1"/>
  <c r="AO250" i="1"/>
  <c r="AO253" i="1"/>
  <c r="AO256" i="1"/>
  <c r="AK232" i="1"/>
  <c r="AN232" i="1"/>
  <c r="AN235" i="1"/>
  <c r="AN238" i="1"/>
  <c r="AN241" i="1"/>
  <c r="AN244" i="1"/>
  <c r="AN247" i="1"/>
  <c r="AN250" i="1"/>
  <c r="AN253" i="1"/>
  <c r="AN256" i="1"/>
  <c r="AJ232" i="1"/>
  <c r="AM232" i="1"/>
  <c r="AM235" i="1"/>
  <c r="AM238" i="1"/>
  <c r="AM241" i="1"/>
  <c r="AM244" i="1"/>
  <c r="AM247" i="1"/>
  <c r="AM250" i="1"/>
  <c r="AM253" i="1"/>
  <c r="AM256" i="1"/>
  <c r="AI232" i="1"/>
  <c r="AL232" i="1"/>
  <c r="AL235" i="1"/>
  <c r="AL238" i="1"/>
  <c r="AL241" i="1"/>
  <c r="AL244" i="1"/>
  <c r="AL247" i="1"/>
  <c r="AL250" i="1"/>
  <c r="AL253" i="1"/>
  <c r="AL256" i="1"/>
  <c r="AK235" i="1"/>
  <c r="AK238" i="1"/>
  <c r="AK241" i="1"/>
  <c r="AK244" i="1"/>
  <c r="AK247" i="1"/>
  <c r="AK250" i="1"/>
  <c r="AK253" i="1"/>
  <c r="AK256" i="1"/>
  <c r="AJ235" i="1"/>
  <c r="AJ238" i="1"/>
  <c r="AJ241" i="1"/>
  <c r="AJ244" i="1"/>
  <c r="AJ247" i="1"/>
  <c r="AJ250" i="1"/>
  <c r="AJ253" i="1"/>
  <c r="AJ256" i="1"/>
  <c r="AI235" i="1"/>
  <c r="AI238" i="1"/>
  <c r="AI241" i="1"/>
  <c r="AI244" i="1"/>
  <c r="AI247" i="1"/>
  <c r="AI250" i="1"/>
  <c r="AI253" i="1"/>
  <c r="AI256" i="1"/>
  <c r="AH253" i="1"/>
  <c r="AH256" i="1"/>
  <c r="AG253" i="1"/>
  <c r="AG256" i="1"/>
  <c r="AF253" i="1"/>
  <c r="AF256" i="1"/>
  <c r="AE256" i="1"/>
  <c r="AD256" i="1"/>
  <c r="AC256" i="1"/>
  <c r="Y256" i="1"/>
  <c r="X256" i="1"/>
  <c r="W256" i="1"/>
  <c r="P256" i="1"/>
  <c r="O256" i="1"/>
  <c r="N256" i="1"/>
  <c r="BR249" i="1"/>
  <c r="BR252" i="1"/>
  <c r="BQ249" i="1"/>
  <c r="BQ252" i="1"/>
  <c r="BP249" i="1"/>
  <c r="BP252" i="1"/>
  <c r="BR248" i="1"/>
  <c r="BR251" i="1"/>
  <c r="BQ248" i="1"/>
  <c r="BQ251" i="1"/>
  <c r="BP248" i="1"/>
  <c r="BP251" i="1"/>
  <c r="BR247" i="1"/>
  <c r="BR250" i="1"/>
  <c r="BQ247" i="1"/>
  <c r="BQ250" i="1"/>
  <c r="BP247" i="1"/>
  <c r="BP250" i="1"/>
  <c r="BU210" i="1"/>
  <c r="BU213" i="1"/>
  <c r="BU216" i="1"/>
  <c r="BU219" i="1"/>
  <c r="BU222" i="1"/>
  <c r="BU225" i="1"/>
  <c r="BU228" i="1"/>
  <c r="BU231" i="1"/>
  <c r="BT210" i="1"/>
  <c r="BT213" i="1"/>
  <c r="BT216" i="1"/>
  <c r="BT219" i="1"/>
  <c r="BT222" i="1"/>
  <c r="BT225" i="1"/>
  <c r="BT228" i="1"/>
  <c r="BT231" i="1"/>
  <c r="BS210" i="1"/>
  <c r="BS213" i="1"/>
  <c r="BS216" i="1"/>
  <c r="BS219" i="1"/>
  <c r="BS222" i="1"/>
  <c r="BS225" i="1"/>
  <c r="BS228" i="1"/>
  <c r="BS231" i="1"/>
  <c r="BR210" i="1"/>
  <c r="BR213" i="1"/>
  <c r="BR216" i="1"/>
  <c r="BR219" i="1"/>
  <c r="BR222" i="1"/>
  <c r="BR225" i="1"/>
  <c r="BR228" i="1"/>
  <c r="BR231" i="1"/>
  <c r="BQ210" i="1"/>
  <c r="BQ213" i="1"/>
  <c r="BQ216" i="1"/>
  <c r="BQ219" i="1"/>
  <c r="BQ222" i="1"/>
  <c r="BQ225" i="1"/>
  <c r="BQ228" i="1"/>
  <c r="BQ231" i="1"/>
  <c r="BP210" i="1"/>
  <c r="BP213" i="1"/>
  <c r="BP216" i="1"/>
  <c r="BP219" i="1"/>
  <c r="BP222" i="1"/>
  <c r="BP225" i="1"/>
  <c r="BP228" i="1"/>
  <c r="BP231" i="1"/>
  <c r="BO216" i="1"/>
  <c r="BO219" i="1"/>
  <c r="BO222" i="1"/>
  <c r="BO225" i="1"/>
  <c r="BO228" i="1"/>
  <c r="BO231" i="1"/>
  <c r="BN216" i="1"/>
  <c r="BN219" i="1"/>
  <c r="BN222" i="1"/>
  <c r="BN225" i="1"/>
  <c r="BN228" i="1"/>
  <c r="BN231" i="1"/>
  <c r="BM216" i="1"/>
  <c r="BM219" i="1"/>
  <c r="BM222" i="1"/>
  <c r="BM225" i="1"/>
  <c r="BM228" i="1"/>
  <c r="BM231" i="1"/>
  <c r="BL228" i="1"/>
  <c r="BL231" i="1"/>
  <c r="BK228" i="1"/>
  <c r="BK231" i="1"/>
  <c r="BJ228" i="1"/>
  <c r="BJ231" i="1"/>
  <c r="BI225" i="1"/>
  <c r="BI228" i="1"/>
  <c r="BI231" i="1"/>
  <c r="BH225" i="1"/>
  <c r="BH228" i="1"/>
  <c r="BH231" i="1"/>
  <c r="BG225" i="1"/>
  <c r="BG228" i="1"/>
  <c r="BG231" i="1"/>
  <c r="BF222" i="1"/>
  <c r="BF225" i="1"/>
  <c r="BF228" i="1"/>
  <c r="BF231" i="1"/>
  <c r="BE222" i="1"/>
  <c r="BE225" i="1"/>
  <c r="BE228" i="1"/>
  <c r="BE231" i="1"/>
  <c r="BD222" i="1"/>
  <c r="BD225" i="1"/>
  <c r="BD228" i="1"/>
  <c r="BD231" i="1"/>
  <c r="BC222" i="1"/>
  <c r="BC225" i="1"/>
  <c r="BC228" i="1"/>
  <c r="BC231" i="1"/>
  <c r="BB222" i="1"/>
  <c r="BB225" i="1"/>
  <c r="BB228" i="1"/>
  <c r="BB231" i="1"/>
  <c r="BA222" i="1"/>
  <c r="BA225" i="1"/>
  <c r="BA228" i="1"/>
  <c r="BA231" i="1"/>
  <c r="AZ225" i="1"/>
  <c r="AZ228" i="1"/>
  <c r="AZ231" i="1"/>
  <c r="AY225" i="1"/>
  <c r="AY228" i="1"/>
  <c r="AY231" i="1"/>
  <c r="AX225" i="1"/>
  <c r="AX228" i="1"/>
  <c r="AX231" i="1"/>
  <c r="AW222" i="1"/>
  <c r="AW225" i="1"/>
  <c r="AW228" i="1"/>
  <c r="AW231" i="1"/>
  <c r="AV222" i="1"/>
  <c r="AV225" i="1"/>
  <c r="AV228" i="1"/>
  <c r="AV231" i="1"/>
  <c r="AU222" i="1"/>
  <c r="AU225" i="1"/>
  <c r="AU228" i="1"/>
  <c r="AU231" i="1"/>
  <c r="AT219" i="1"/>
  <c r="AT222" i="1"/>
  <c r="AT225" i="1"/>
  <c r="AT228" i="1"/>
  <c r="AT231" i="1"/>
  <c r="AS219" i="1"/>
  <c r="AS222" i="1"/>
  <c r="AS225" i="1"/>
  <c r="AS228" i="1"/>
  <c r="AS231" i="1"/>
  <c r="AR219" i="1"/>
  <c r="AR222" i="1"/>
  <c r="AR225" i="1"/>
  <c r="AR228" i="1"/>
  <c r="AR231" i="1"/>
  <c r="AQ222" i="1"/>
  <c r="AQ225" i="1"/>
  <c r="AQ228" i="1"/>
  <c r="AQ231" i="1"/>
  <c r="AP222" i="1"/>
  <c r="AP225" i="1"/>
  <c r="AP228" i="1"/>
  <c r="AP231" i="1"/>
  <c r="AO222" i="1"/>
  <c r="AO225" i="1"/>
  <c r="AO228" i="1"/>
  <c r="AO231" i="1"/>
  <c r="AH207" i="1"/>
  <c r="AK207" i="1"/>
  <c r="AN207" i="1"/>
  <c r="AN210" i="1"/>
  <c r="AN213" i="1"/>
  <c r="AN216" i="1"/>
  <c r="AN219" i="1"/>
  <c r="AN222" i="1"/>
  <c r="AN225" i="1"/>
  <c r="AN228" i="1"/>
  <c r="AN231" i="1"/>
  <c r="AG207" i="1"/>
  <c r="AJ207" i="1"/>
  <c r="AM207" i="1"/>
  <c r="AM210" i="1"/>
  <c r="AM213" i="1"/>
  <c r="AM216" i="1"/>
  <c r="AM219" i="1"/>
  <c r="AM222" i="1"/>
  <c r="AM225" i="1"/>
  <c r="AM228" i="1"/>
  <c r="AM231" i="1"/>
  <c r="AF207" i="1"/>
  <c r="AI207" i="1"/>
  <c r="AL207" i="1"/>
  <c r="AL210" i="1"/>
  <c r="AL213" i="1"/>
  <c r="AL216" i="1"/>
  <c r="AL219" i="1"/>
  <c r="AL222" i="1"/>
  <c r="AL225" i="1"/>
  <c r="AL228" i="1"/>
  <c r="AL231" i="1"/>
  <c r="AK210" i="1"/>
  <c r="AK213" i="1"/>
  <c r="AK216" i="1"/>
  <c r="AK219" i="1"/>
  <c r="AK222" i="1"/>
  <c r="AK225" i="1"/>
  <c r="AK228" i="1"/>
  <c r="AK231" i="1"/>
  <c r="AJ210" i="1"/>
  <c r="AJ213" i="1"/>
  <c r="AJ216" i="1"/>
  <c r="AJ219" i="1"/>
  <c r="AJ222" i="1"/>
  <c r="AJ225" i="1"/>
  <c r="AJ228" i="1"/>
  <c r="AJ231" i="1"/>
  <c r="AI210" i="1"/>
  <c r="AI213" i="1"/>
  <c r="AI216" i="1"/>
  <c r="AI219" i="1"/>
  <c r="AI222" i="1"/>
  <c r="AI225" i="1"/>
  <c r="AI228" i="1"/>
  <c r="AI231" i="1"/>
  <c r="AH210" i="1"/>
  <c r="AH213" i="1"/>
  <c r="AH216" i="1"/>
  <c r="AH219" i="1"/>
  <c r="AH222" i="1"/>
  <c r="AH225" i="1"/>
  <c r="AH228" i="1"/>
  <c r="AH231" i="1"/>
  <c r="AG210" i="1"/>
  <c r="AG213" i="1"/>
  <c r="AG216" i="1"/>
  <c r="AG219" i="1"/>
  <c r="AG222" i="1"/>
  <c r="AG225" i="1"/>
  <c r="AG228" i="1"/>
  <c r="AG231" i="1"/>
  <c r="AF210" i="1"/>
  <c r="AF213" i="1"/>
  <c r="AF216" i="1"/>
  <c r="AF219" i="1"/>
  <c r="AF222" i="1"/>
  <c r="AF225" i="1"/>
  <c r="AF228" i="1"/>
  <c r="AF231" i="1"/>
  <c r="AE213" i="1"/>
  <c r="AE216" i="1"/>
  <c r="AE219" i="1"/>
  <c r="AE222" i="1"/>
  <c r="AE225" i="1"/>
  <c r="AE228" i="1"/>
  <c r="AE231" i="1"/>
  <c r="AD213" i="1"/>
  <c r="AD216" i="1"/>
  <c r="AD219" i="1"/>
  <c r="AD222" i="1"/>
  <c r="AD225" i="1"/>
  <c r="AD228" i="1"/>
  <c r="AD231" i="1"/>
  <c r="AC213" i="1"/>
  <c r="AC216" i="1"/>
  <c r="AC219" i="1"/>
  <c r="AC222" i="1"/>
  <c r="AC225" i="1"/>
  <c r="AC228" i="1"/>
  <c r="AC231" i="1"/>
  <c r="AB225" i="1"/>
  <c r="AB228" i="1"/>
  <c r="AB231" i="1"/>
  <c r="AA225" i="1"/>
  <c r="AA228" i="1"/>
  <c r="AA231" i="1"/>
  <c r="Z225" i="1"/>
  <c r="Z228" i="1"/>
  <c r="Z231" i="1"/>
  <c r="Y225" i="1"/>
  <c r="Y228" i="1"/>
  <c r="Y231" i="1"/>
  <c r="X225" i="1"/>
  <c r="X228" i="1"/>
  <c r="X231" i="1"/>
  <c r="W225" i="1"/>
  <c r="W228" i="1"/>
  <c r="W231" i="1"/>
  <c r="V222" i="1"/>
  <c r="V225" i="1"/>
  <c r="V228" i="1"/>
  <c r="V231" i="1"/>
  <c r="U222" i="1"/>
  <c r="U225" i="1"/>
  <c r="U228" i="1"/>
  <c r="U231" i="1"/>
  <c r="T222" i="1"/>
  <c r="T225" i="1"/>
  <c r="T228" i="1"/>
  <c r="T231" i="1"/>
  <c r="S228" i="1"/>
  <c r="S231" i="1"/>
  <c r="R228" i="1"/>
  <c r="R231" i="1"/>
  <c r="Q228" i="1"/>
  <c r="Q231" i="1"/>
  <c r="P225" i="1"/>
  <c r="P228" i="1"/>
  <c r="P231" i="1"/>
  <c r="O225" i="1"/>
  <c r="O228" i="1"/>
  <c r="O231" i="1"/>
  <c r="N225" i="1"/>
  <c r="N228" i="1"/>
  <c r="N231" i="1"/>
  <c r="BU209" i="1"/>
  <c r="BU212" i="1"/>
  <c r="BU215" i="1"/>
  <c r="BU218" i="1"/>
  <c r="BU221" i="1"/>
  <c r="BU224" i="1"/>
  <c r="BU227" i="1"/>
  <c r="BU230" i="1"/>
  <c r="BT209" i="1"/>
  <c r="BT212" i="1"/>
  <c r="BT215" i="1"/>
  <c r="BT218" i="1"/>
  <c r="BT221" i="1"/>
  <c r="BT224" i="1"/>
  <c r="BT227" i="1"/>
  <c r="BT230" i="1"/>
  <c r="BS209" i="1"/>
  <c r="BS212" i="1"/>
  <c r="BS215" i="1"/>
  <c r="BS218" i="1"/>
  <c r="BS221" i="1"/>
  <c r="BS224" i="1"/>
  <c r="BS227" i="1"/>
  <c r="BS230" i="1"/>
  <c r="BR209" i="1"/>
  <c r="BR212" i="1"/>
  <c r="BR215" i="1"/>
  <c r="BR218" i="1"/>
  <c r="BR221" i="1"/>
  <c r="BR224" i="1"/>
  <c r="BR227" i="1"/>
  <c r="BR230" i="1"/>
  <c r="BQ209" i="1"/>
  <c r="BQ212" i="1"/>
  <c r="BQ215" i="1"/>
  <c r="BQ218" i="1"/>
  <c r="BQ221" i="1"/>
  <c r="BQ224" i="1"/>
  <c r="BQ227" i="1"/>
  <c r="BQ230" i="1"/>
  <c r="BP209" i="1"/>
  <c r="BP212" i="1"/>
  <c r="BP215" i="1"/>
  <c r="BP218" i="1"/>
  <c r="BP221" i="1"/>
  <c r="BP224" i="1"/>
  <c r="BP227" i="1"/>
  <c r="BP230" i="1"/>
  <c r="BO215" i="1"/>
  <c r="BO218" i="1"/>
  <c r="BO221" i="1"/>
  <c r="BO224" i="1"/>
  <c r="BO227" i="1"/>
  <c r="BO230" i="1"/>
  <c r="BN215" i="1"/>
  <c r="BN218" i="1"/>
  <c r="BN221" i="1"/>
  <c r="BN224" i="1"/>
  <c r="BN227" i="1"/>
  <c r="BN230" i="1"/>
  <c r="BM215" i="1"/>
  <c r="BM218" i="1"/>
  <c r="BM221" i="1"/>
  <c r="BM224" i="1"/>
  <c r="BM227" i="1"/>
  <c r="BM230" i="1"/>
  <c r="BL227" i="1"/>
  <c r="BL230" i="1"/>
  <c r="BK227" i="1"/>
  <c r="BK230" i="1"/>
  <c r="BJ227" i="1"/>
  <c r="BJ230" i="1"/>
  <c r="BI224" i="1"/>
  <c r="BI227" i="1"/>
  <c r="BI230" i="1"/>
  <c r="BH224" i="1"/>
  <c r="BH227" i="1"/>
  <c r="BH230" i="1"/>
  <c r="BG224" i="1"/>
  <c r="BG227" i="1"/>
  <c r="BG230" i="1"/>
  <c r="BF221" i="1"/>
  <c r="BF224" i="1"/>
  <c r="BF227" i="1"/>
  <c r="BF230" i="1"/>
  <c r="BE221" i="1"/>
  <c r="BE224" i="1"/>
  <c r="BE227" i="1"/>
  <c r="BE230" i="1"/>
  <c r="BD221" i="1"/>
  <c r="BD224" i="1"/>
  <c r="BD227" i="1"/>
  <c r="BD230" i="1"/>
  <c r="BC221" i="1"/>
  <c r="BC224" i="1"/>
  <c r="BC227" i="1"/>
  <c r="BC230" i="1"/>
  <c r="BB221" i="1"/>
  <c r="BB224" i="1"/>
  <c r="BB227" i="1"/>
  <c r="BB230" i="1"/>
  <c r="BA221" i="1"/>
  <c r="BA224" i="1"/>
  <c r="BA227" i="1"/>
  <c r="BA230" i="1"/>
  <c r="AZ224" i="1"/>
  <c r="AZ227" i="1"/>
  <c r="AZ230" i="1"/>
  <c r="AY224" i="1"/>
  <c r="AY227" i="1"/>
  <c r="AY230" i="1"/>
  <c r="AX224" i="1"/>
  <c r="AX227" i="1"/>
  <c r="AX230" i="1"/>
  <c r="AW221" i="1"/>
  <c r="AW224" i="1"/>
  <c r="AW227" i="1"/>
  <c r="AW230" i="1"/>
  <c r="AV221" i="1"/>
  <c r="AV224" i="1"/>
  <c r="AV227" i="1"/>
  <c r="AV230" i="1"/>
  <c r="AU221" i="1"/>
  <c r="AU224" i="1"/>
  <c r="AU227" i="1"/>
  <c r="AU230" i="1"/>
  <c r="AT218" i="1"/>
  <c r="AT221" i="1"/>
  <c r="AT224" i="1"/>
  <c r="AT227" i="1"/>
  <c r="AT230" i="1"/>
  <c r="AS218" i="1"/>
  <c r="AS221" i="1"/>
  <c r="AS224" i="1"/>
  <c r="AS227" i="1"/>
  <c r="AS230" i="1"/>
  <c r="AR218" i="1"/>
  <c r="AR221" i="1"/>
  <c r="AR224" i="1"/>
  <c r="AR227" i="1"/>
  <c r="AR230" i="1"/>
  <c r="AQ221" i="1"/>
  <c r="AQ224" i="1"/>
  <c r="AQ227" i="1"/>
  <c r="AQ230" i="1"/>
  <c r="AP221" i="1"/>
  <c r="AP224" i="1"/>
  <c r="AP227" i="1"/>
  <c r="AP230" i="1"/>
  <c r="AO221" i="1"/>
  <c r="AO224" i="1"/>
  <c r="AO227" i="1"/>
  <c r="AO230" i="1"/>
  <c r="AH206" i="1"/>
  <c r="AK206" i="1"/>
  <c r="AN206" i="1"/>
  <c r="AN209" i="1"/>
  <c r="AN212" i="1"/>
  <c r="AN215" i="1"/>
  <c r="AN218" i="1"/>
  <c r="AN221" i="1"/>
  <c r="AN224" i="1"/>
  <c r="AN227" i="1"/>
  <c r="AN230" i="1"/>
  <c r="AG206" i="1"/>
  <c r="AJ206" i="1"/>
  <c r="AM206" i="1"/>
  <c r="AM209" i="1"/>
  <c r="AM212" i="1"/>
  <c r="AM215" i="1"/>
  <c r="AM218" i="1"/>
  <c r="AM221" i="1"/>
  <c r="AM224" i="1"/>
  <c r="AM227" i="1"/>
  <c r="AM230" i="1"/>
  <c r="AF206" i="1"/>
  <c r="AI206" i="1"/>
  <c r="AL206" i="1"/>
  <c r="AL209" i="1"/>
  <c r="AL212" i="1"/>
  <c r="AL215" i="1"/>
  <c r="AL218" i="1"/>
  <c r="AL221" i="1"/>
  <c r="AL224" i="1"/>
  <c r="AL227" i="1"/>
  <c r="AL230" i="1"/>
  <c r="AK209" i="1"/>
  <c r="AK212" i="1"/>
  <c r="AK215" i="1"/>
  <c r="AK218" i="1"/>
  <c r="AK221" i="1"/>
  <c r="AK224" i="1"/>
  <c r="AK227" i="1"/>
  <c r="AK230" i="1"/>
  <c r="AJ209" i="1"/>
  <c r="AJ212" i="1"/>
  <c r="AJ215" i="1"/>
  <c r="AJ218" i="1"/>
  <c r="AJ221" i="1"/>
  <c r="AJ224" i="1"/>
  <c r="AJ227" i="1"/>
  <c r="AJ230" i="1"/>
  <c r="AI209" i="1"/>
  <c r="AI212" i="1"/>
  <c r="AI215" i="1"/>
  <c r="AI218" i="1"/>
  <c r="AI221" i="1"/>
  <c r="AI224" i="1"/>
  <c r="AI227" i="1"/>
  <c r="AI230" i="1"/>
  <c r="AH209" i="1"/>
  <c r="AH212" i="1"/>
  <c r="AH215" i="1"/>
  <c r="AH218" i="1"/>
  <c r="AH221" i="1"/>
  <c r="AH224" i="1"/>
  <c r="AH227" i="1"/>
  <c r="AH230" i="1"/>
  <c r="AG209" i="1"/>
  <c r="AG212" i="1"/>
  <c r="AG215" i="1"/>
  <c r="AG218" i="1"/>
  <c r="AG221" i="1"/>
  <c r="AG224" i="1"/>
  <c r="AG227" i="1"/>
  <c r="AG230" i="1"/>
  <c r="AF209" i="1"/>
  <c r="AF212" i="1"/>
  <c r="AF215" i="1"/>
  <c r="AF218" i="1"/>
  <c r="AF221" i="1"/>
  <c r="AF224" i="1"/>
  <c r="AF227" i="1"/>
  <c r="AF230" i="1"/>
  <c r="AE212" i="1"/>
  <c r="AE215" i="1"/>
  <c r="AE218" i="1"/>
  <c r="AE221" i="1"/>
  <c r="AE224" i="1"/>
  <c r="AE227" i="1"/>
  <c r="AE230" i="1"/>
  <c r="AD212" i="1"/>
  <c r="AD215" i="1"/>
  <c r="AD218" i="1"/>
  <c r="AD221" i="1"/>
  <c r="AD224" i="1"/>
  <c r="AD227" i="1"/>
  <c r="AD230" i="1"/>
  <c r="AC212" i="1"/>
  <c r="AC215" i="1"/>
  <c r="AC218" i="1"/>
  <c r="AC221" i="1"/>
  <c r="AC224" i="1"/>
  <c r="AC227" i="1"/>
  <c r="AC230" i="1"/>
  <c r="AB224" i="1"/>
  <c r="AB227" i="1"/>
  <c r="AB230" i="1"/>
  <c r="AA224" i="1"/>
  <c r="AA227" i="1"/>
  <c r="AA230" i="1"/>
  <c r="Z224" i="1"/>
  <c r="Z227" i="1"/>
  <c r="Z230" i="1"/>
  <c r="Y224" i="1"/>
  <c r="Y227" i="1"/>
  <c r="Y230" i="1"/>
  <c r="X224" i="1"/>
  <c r="X227" i="1"/>
  <c r="X230" i="1"/>
  <c r="W224" i="1"/>
  <c r="W227" i="1"/>
  <c r="W230" i="1"/>
  <c r="V221" i="1"/>
  <c r="V224" i="1"/>
  <c r="V227" i="1"/>
  <c r="V230" i="1"/>
  <c r="U221" i="1"/>
  <c r="U224" i="1"/>
  <c r="U227" i="1"/>
  <c r="U230" i="1"/>
  <c r="T221" i="1"/>
  <c r="T224" i="1"/>
  <c r="T227" i="1"/>
  <c r="T230" i="1"/>
  <c r="S227" i="1"/>
  <c r="S230" i="1"/>
  <c r="R227" i="1"/>
  <c r="R230" i="1"/>
  <c r="Q227" i="1"/>
  <c r="Q230" i="1"/>
  <c r="P224" i="1"/>
  <c r="P227" i="1"/>
  <c r="P230" i="1"/>
  <c r="O224" i="1"/>
  <c r="O227" i="1"/>
  <c r="O230" i="1"/>
  <c r="N224" i="1"/>
  <c r="N227" i="1"/>
  <c r="N230" i="1"/>
  <c r="BU208" i="1"/>
  <c r="BU211" i="1"/>
  <c r="BU214" i="1"/>
  <c r="BU217" i="1"/>
  <c r="BU220" i="1"/>
  <c r="BU223" i="1"/>
  <c r="BU226" i="1"/>
  <c r="BU229" i="1"/>
  <c r="BT208" i="1"/>
  <c r="BT211" i="1"/>
  <c r="BT214" i="1"/>
  <c r="BT217" i="1"/>
  <c r="BT220" i="1"/>
  <c r="BT223" i="1"/>
  <c r="BT226" i="1"/>
  <c r="BT229" i="1"/>
  <c r="BS208" i="1"/>
  <c r="BS211" i="1"/>
  <c r="BS214" i="1"/>
  <c r="BS217" i="1"/>
  <c r="BS220" i="1"/>
  <c r="BS223" i="1"/>
  <c r="BS226" i="1"/>
  <c r="BS229" i="1"/>
  <c r="BR208" i="1"/>
  <c r="BR211" i="1"/>
  <c r="BR214" i="1"/>
  <c r="BR217" i="1"/>
  <c r="BR220" i="1"/>
  <c r="BR223" i="1"/>
  <c r="BR226" i="1"/>
  <c r="BR229" i="1"/>
  <c r="BQ208" i="1"/>
  <c r="BQ211" i="1"/>
  <c r="BQ214" i="1"/>
  <c r="BQ217" i="1"/>
  <c r="BQ220" i="1"/>
  <c r="BQ223" i="1"/>
  <c r="BQ226" i="1"/>
  <c r="BQ229" i="1"/>
  <c r="BP208" i="1"/>
  <c r="BP211" i="1"/>
  <c r="BP214" i="1"/>
  <c r="BP217" i="1"/>
  <c r="BP220" i="1"/>
  <c r="BP223" i="1"/>
  <c r="BP226" i="1"/>
  <c r="BP229" i="1"/>
  <c r="BO214" i="1"/>
  <c r="BO217" i="1"/>
  <c r="BO220" i="1"/>
  <c r="BO223" i="1"/>
  <c r="BO226" i="1"/>
  <c r="BO229" i="1"/>
  <c r="BN214" i="1"/>
  <c r="BN217" i="1"/>
  <c r="BN220" i="1"/>
  <c r="BN223" i="1"/>
  <c r="BN226" i="1"/>
  <c r="BN229" i="1"/>
  <c r="BM214" i="1"/>
  <c r="BM217" i="1"/>
  <c r="BM220" i="1"/>
  <c r="BM223" i="1"/>
  <c r="BM226" i="1"/>
  <c r="BM229" i="1"/>
  <c r="BL226" i="1"/>
  <c r="BL229" i="1"/>
  <c r="BK226" i="1"/>
  <c r="BK229" i="1"/>
  <c r="BJ226" i="1"/>
  <c r="BJ229" i="1"/>
  <c r="BI223" i="1"/>
  <c r="BI226" i="1"/>
  <c r="BI229" i="1"/>
  <c r="BH223" i="1"/>
  <c r="BH226" i="1"/>
  <c r="BH229" i="1"/>
  <c r="BG223" i="1"/>
  <c r="BG226" i="1"/>
  <c r="BG229" i="1"/>
  <c r="BF220" i="1"/>
  <c r="BF223" i="1"/>
  <c r="BF226" i="1"/>
  <c r="BF229" i="1"/>
  <c r="BE220" i="1"/>
  <c r="BE223" i="1"/>
  <c r="BE226" i="1"/>
  <c r="BE229" i="1"/>
  <c r="BD220" i="1"/>
  <c r="BD223" i="1"/>
  <c r="BD226" i="1"/>
  <c r="BD229" i="1"/>
  <c r="BC220" i="1"/>
  <c r="BC223" i="1"/>
  <c r="BC226" i="1"/>
  <c r="BC229" i="1"/>
  <c r="BB220" i="1"/>
  <c r="BB223" i="1"/>
  <c r="BB226" i="1"/>
  <c r="BB229" i="1"/>
  <c r="BA220" i="1"/>
  <c r="BA223" i="1"/>
  <c r="BA226" i="1"/>
  <c r="BA229" i="1"/>
  <c r="AZ223" i="1"/>
  <c r="AZ226" i="1"/>
  <c r="AZ229" i="1"/>
  <c r="AY223" i="1"/>
  <c r="AY226" i="1"/>
  <c r="AY229" i="1"/>
  <c r="AX223" i="1"/>
  <c r="AX226" i="1"/>
  <c r="AX229" i="1"/>
  <c r="AW220" i="1"/>
  <c r="AW223" i="1"/>
  <c r="AW226" i="1"/>
  <c r="AW229" i="1"/>
  <c r="AV220" i="1"/>
  <c r="AV223" i="1"/>
  <c r="AV226" i="1"/>
  <c r="AV229" i="1"/>
  <c r="AU220" i="1"/>
  <c r="AU223" i="1"/>
  <c r="AU226" i="1"/>
  <c r="AU229" i="1"/>
  <c r="AT217" i="1"/>
  <c r="AT220" i="1"/>
  <c r="AT223" i="1"/>
  <c r="AT226" i="1"/>
  <c r="AT229" i="1"/>
  <c r="AS217" i="1"/>
  <c r="AS220" i="1"/>
  <c r="AS223" i="1"/>
  <c r="AS226" i="1"/>
  <c r="AS229" i="1"/>
  <c r="AR217" i="1"/>
  <c r="AR220" i="1"/>
  <c r="AR223" i="1"/>
  <c r="AR226" i="1"/>
  <c r="AR229" i="1"/>
  <c r="AQ220" i="1"/>
  <c r="AQ223" i="1"/>
  <c r="AQ226" i="1"/>
  <c r="AQ229" i="1"/>
  <c r="AP220" i="1"/>
  <c r="AP223" i="1"/>
  <c r="AP226" i="1"/>
  <c r="AP229" i="1"/>
  <c r="AO220" i="1"/>
  <c r="AO223" i="1"/>
  <c r="AO226" i="1"/>
  <c r="AO229" i="1"/>
  <c r="AH205" i="1"/>
  <c r="AK205" i="1"/>
  <c r="AN205" i="1"/>
  <c r="AN208" i="1"/>
  <c r="AN211" i="1"/>
  <c r="AN214" i="1"/>
  <c r="AN217" i="1"/>
  <c r="AN220" i="1"/>
  <c r="AN223" i="1"/>
  <c r="AN226" i="1"/>
  <c r="AN229" i="1"/>
  <c r="AG205" i="1"/>
  <c r="AJ205" i="1"/>
  <c r="AM205" i="1"/>
  <c r="AM208" i="1"/>
  <c r="AM211" i="1"/>
  <c r="AM214" i="1"/>
  <c r="AM217" i="1"/>
  <c r="AM220" i="1"/>
  <c r="AM223" i="1"/>
  <c r="AM226" i="1"/>
  <c r="AM229" i="1"/>
  <c r="AF205" i="1"/>
  <c r="AI205" i="1"/>
  <c r="AL205" i="1"/>
  <c r="AL208" i="1"/>
  <c r="AL211" i="1"/>
  <c r="AL214" i="1"/>
  <c r="AL217" i="1"/>
  <c r="AL220" i="1"/>
  <c r="AL223" i="1"/>
  <c r="AL226" i="1"/>
  <c r="AL229" i="1"/>
  <c r="AK208" i="1"/>
  <c r="AK211" i="1"/>
  <c r="AK214" i="1"/>
  <c r="AK217" i="1"/>
  <c r="AK220" i="1"/>
  <c r="AK223" i="1"/>
  <c r="AK226" i="1"/>
  <c r="AK229" i="1"/>
  <c r="AJ208" i="1"/>
  <c r="AJ211" i="1"/>
  <c r="AJ214" i="1"/>
  <c r="AJ217" i="1"/>
  <c r="AJ220" i="1"/>
  <c r="AJ223" i="1"/>
  <c r="AJ226" i="1"/>
  <c r="AJ229" i="1"/>
  <c r="AI208" i="1"/>
  <c r="AI211" i="1"/>
  <c r="AI214" i="1"/>
  <c r="AI217" i="1"/>
  <c r="AI220" i="1"/>
  <c r="AI223" i="1"/>
  <c r="AI226" i="1"/>
  <c r="AI229" i="1"/>
  <c r="AH208" i="1"/>
  <c r="AH211" i="1"/>
  <c r="AH214" i="1"/>
  <c r="AH217" i="1"/>
  <c r="AH220" i="1"/>
  <c r="AH223" i="1"/>
  <c r="AH226" i="1"/>
  <c r="AH229" i="1"/>
  <c r="AG208" i="1"/>
  <c r="AG211" i="1"/>
  <c r="AG214" i="1"/>
  <c r="AG217" i="1"/>
  <c r="AG220" i="1"/>
  <c r="AG223" i="1"/>
  <c r="AG226" i="1"/>
  <c r="AG229" i="1"/>
  <c r="AF208" i="1"/>
  <c r="AF211" i="1"/>
  <c r="AF214" i="1"/>
  <c r="AF217" i="1"/>
  <c r="AF220" i="1"/>
  <c r="AF223" i="1"/>
  <c r="AF226" i="1"/>
  <c r="AF229" i="1"/>
  <c r="AE211" i="1"/>
  <c r="AE214" i="1"/>
  <c r="AE217" i="1"/>
  <c r="AE220" i="1"/>
  <c r="AE223" i="1"/>
  <c r="AE226" i="1"/>
  <c r="AE229" i="1"/>
  <c r="AD211" i="1"/>
  <c r="AD214" i="1"/>
  <c r="AD217" i="1"/>
  <c r="AD220" i="1"/>
  <c r="AD223" i="1"/>
  <c r="AD226" i="1"/>
  <c r="AD229" i="1"/>
  <c r="AC211" i="1"/>
  <c r="AC214" i="1"/>
  <c r="AC217" i="1"/>
  <c r="AC220" i="1"/>
  <c r="AC223" i="1"/>
  <c r="AC226" i="1"/>
  <c r="AC229" i="1"/>
  <c r="AB223" i="1"/>
  <c r="AB226" i="1"/>
  <c r="AB229" i="1"/>
  <c r="AA223" i="1"/>
  <c r="AA226" i="1"/>
  <c r="AA229" i="1"/>
  <c r="Z223" i="1"/>
  <c r="Z226" i="1"/>
  <c r="Z229" i="1"/>
  <c r="Y223" i="1"/>
  <c r="Y226" i="1"/>
  <c r="Y229" i="1"/>
  <c r="X223" i="1"/>
  <c r="X226" i="1"/>
  <c r="X229" i="1"/>
  <c r="W223" i="1"/>
  <c r="W226" i="1"/>
  <c r="W229" i="1"/>
  <c r="V220" i="1"/>
  <c r="V223" i="1"/>
  <c r="V226" i="1"/>
  <c r="V229" i="1"/>
  <c r="U220" i="1"/>
  <c r="U223" i="1"/>
  <c r="U226" i="1"/>
  <c r="U229" i="1"/>
  <c r="T220" i="1"/>
  <c r="T223" i="1"/>
  <c r="T226" i="1"/>
  <c r="T229" i="1"/>
  <c r="S226" i="1"/>
  <c r="S229" i="1"/>
  <c r="R226" i="1"/>
  <c r="R229" i="1"/>
  <c r="Q226" i="1"/>
  <c r="Q229" i="1"/>
  <c r="P223" i="1"/>
  <c r="P226" i="1"/>
  <c r="P229" i="1"/>
  <c r="O223" i="1"/>
  <c r="O226" i="1"/>
  <c r="O229" i="1"/>
  <c r="N223" i="1"/>
  <c r="N226" i="1"/>
  <c r="N229" i="1"/>
  <c r="CM225" i="1"/>
  <c r="CL225" i="1"/>
  <c r="CK225" i="1"/>
  <c r="CJ222" i="1"/>
  <c r="CJ225" i="1"/>
  <c r="CI222" i="1"/>
  <c r="CI225" i="1"/>
  <c r="CH222" i="1"/>
  <c r="CH225" i="1"/>
  <c r="CG222" i="1"/>
  <c r="CG225" i="1"/>
  <c r="CF222" i="1"/>
  <c r="CF225" i="1"/>
  <c r="CE222" i="1"/>
  <c r="CE225" i="1"/>
  <c r="CD222" i="1"/>
  <c r="CD225" i="1"/>
  <c r="CC222" i="1"/>
  <c r="CC225" i="1"/>
  <c r="CB222" i="1"/>
  <c r="CB225" i="1"/>
  <c r="CA219" i="1"/>
  <c r="CA222" i="1"/>
  <c r="CA225" i="1"/>
  <c r="BZ219" i="1"/>
  <c r="BZ222" i="1"/>
  <c r="BZ225" i="1"/>
  <c r="BY219" i="1"/>
  <c r="BY222" i="1"/>
  <c r="BY225" i="1"/>
  <c r="BX210" i="1"/>
  <c r="BX213" i="1"/>
  <c r="BX216" i="1"/>
  <c r="BX219" i="1"/>
  <c r="BX222" i="1"/>
  <c r="BX225" i="1"/>
  <c r="BW210" i="1"/>
  <c r="BW213" i="1"/>
  <c r="BW216" i="1"/>
  <c r="BW219" i="1"/>
  <c r="BW222" i="1"/>
  <c r="BW225" i="1"/>
  <c r="BV210" i="1"/>
  <c r="BV213" i="1"/>
  <c r="BV216" i="1"/>
  <c r="BV219" i="1"/>
  <c r="BV222" i="1"/>
  <c r="BV225" i="1"/>
  <c r="CM224" i="1"/>
  <c r="CL224" i="1"/>
  <c r="CK224" i="1"/>
  <c r="CJ221" i="1"/>
  <c r="CJ224" i="1"/>
  <c r="CI221" i="1"/>
  <c r="CI224" i="1"/>
  <c r="CH221" i="1"/>
  <c r="CH224" i="1"/>
  <c r="CG221" i="1"/>
  <c r="CG224" i="1"/>
  <c r="CF221" i="1"/>
  <c r="CF224" i="1"/>
  <c r="CE221" i="1"/>
  <c r="CE224" i="1"/>
  <c r="CD221" i="1"/>
  <c r="CD224" i="1"/>
  <c r="CC221" i="1"/>
  <c r="CC224" i="1"/>
  <c r="CB221" i="1"/>
  <c r="CB224" i="1"/>
  <c r="CA218" i="1"/>
  <c r="CA221" i="1"/>
  <c r="CA224" i="1"/>
  <c r="BZ218" i="1"/>
  <c r="BZ221" i="1"/>
  <c r="BZ224" i="1"/>
  <c r="BY218" i="1"/>
  <c r="BY221" i="1"/>
  <c r="BY224" i="1"/>
  <c r="BX209" i="1"/>
  <c r="BX212" i="1"/>
  <c r="BX215" i="1"/>
  <c r="BX218" i="1"/>
  <c r="BX221" i="1"/>
  <c r="BX224" i="1"/>
  <c r="BW209" i="1"/>
  <c r="BW212" i="1"/>
  <c r="BW215" i="1"/>
  <c r="BW218" i="1"/>
  <c r="BW221" i="1"/>
  <c r="BW224" i="1"/>
  <c r="BV209" i="1"/>
  <c r="BV212" i="1"/>
  <c r="BV215" i="1"/>
  <c r="BV218" i="1"/>
  <c r="BV221" i="1"/>
  <c r="BV224" i="1"/>
  <c r="CM223" i="1"/>
  <c r="CL223" i="1"/>
  <c r="CK223" i="1"/>
  <c r="CJ220" i="1"/>
  <c r="CJ223" i="1"/>
  <c r="CI220" i="1"/>
  <c r="CI223" i="1"/>
  <c r="CH220" i="1"/>
  <c r="CH223" i="1"/>
  <c r="CG220" i="1"/>
  <c r="CG223" i="1"/>
  <c r="CF220" i="1"/>
  <c r="CF223" i="1"/>
  <c r="CE220" i="1"/>
  <c r="CE223" i="1"/>
  <c r="CD220" i="1"/>
  <c r="CD223" i="1"/>
  <c r="CC220" i="1"/>
  <c r="CC223" i="1"/>
  <c r="CB220" i="1"/>
  <c r="CB223" i="1"/>
  <c r="CA217" i="1"/>
  <c r="CA220" i="1"/>
  <c r="CA223" i="1"/>
  <c r="BZ217" i="1"/>
  <c r="BZ220" i="1"/>
  <c r="BZ223" i="1"/>
  <c r="BY217" i="1"/>
  <c r="BY220" i="1"/>
  <c r="BY223" i="1"/>
  <c r="BX208" i="1"/>
  <c r="BX211" i="1"/>
  <c r="BX214" i="1"/>
  <c r="BX217" i="1"/>
  <c r="BX220" i="1"/>
  <c r="BX223" i="1"/>
  <c r="BW208" i="1"/>
  <c r="BW211" i="1"/>
  <c r="BW214" i="1"/>
  <c r="BW217" i="1"/>
  <c r="BW220" i="1"/>
  <c r="BW223" i="1"/>
  <c r="BV208" i="1"/>
  <c r="BV211" i="1"/>
  <c r="BV214" i="1"/>
  <c r="BV217" i="1"/>
  <c r="BV220" i="1"/>
  <c r="BV223" i="1"/>
  <c r="CN256" i="1"/>
  <c r="CO256" i="1"/>
  <c r="CP256" i="1"/>
  <c r="CN257" i="1"/>
  <c r="CO257" i="1"/>
  <c r="CP257" i="1"/>
  <c r="CN258" i="1"/>
  <c r="CO258" i="1"/>
  <c r="CP258" i="1"/>
  <c r="CE253" i="1"/>
  <c r="CE256" i="1"/>
  <c r="CF253" i="1"/>
  <c r="CF256" i="1"/>
  <c r="CG253" i="1"/>
  <c r="CG256" i="1"/>
  <c r="CE254" i="1"/>
  <c r="CE257" i="1"/>
  <c r="CF254" i="1"/>
  <c r="CF257" i="1"/>
  <c r="CG254" i="1"/>
  <c r="CG257" i="1"/>
  <c r="CE255" i="1"/>
  <c r="CE258" i="1"/>
  <c r="CF255" i="1"/>
  <c r="CF258" i="1"/>
  <c r="CG255" i="1"/>
  <c r="CG258" i="1"/>
  <c r="CB253" i="1"/>
  <c r="CB256" i="1"/>
  <c r="CC253" i="1"/>
  <c r="CC256" i="1"/>
  <c r="CD253" i="1"/>
  <c r="CD256" i="1"/>
  <c r="CB254" i="1"/>
  <c r="CB257" i="1"/>
  <c r="CC254" i="1"/>
  <c r="CC257" i="1"/>
  <c r="CD254" i="1"/>
  <c r="CD257" i="1"/>
  <c r="CB255" i="1"/>
  <c r="CB258" i="1"/>
  <c r="CC255" i="1"/>
  <c r="CC258" i="1"/>
  <c r="CD255" i="1"/>
  <c r="CD258" i="1"/>
  <c r="CH253" i="1"/>
  <c r="CI253" i="1"/>
  <c r="CJ253" i="1"/>
  <c r="CH254" i="1"/>
  <c r="CI254" i="1"/>
  <c r="CJ254" i="1"/>
  <c r="CH255" i="1"/>
  <c r="CI255" i="1"/>
  <c r="CJ255" i="1"/>
  <c r="BY253" i="1"/>
  <c r="BZ253" i="1"/>
  <c r="CA253" i="1"/>
  <c r="BY254" i="1"/>
  <c r="BZ254" i="1"/>
  <c r="CA254" i="1"/>
  <c r="BY255" i="1"/>
  <c r="BZ255" i="1"/>
  <c r="CA255" i="1"/>
  <c r="CJ258" i="1"/>
  <c r="CI258" i="1"/>
  <c r="CH258" i="1"/>
  <c r="CA258" i="1"/>
  <c r="BZ258" i="1"/>
  <c r="BY258" i="1"/>
  <c r="BX255" i="1"/>
  <c r="BX258" i="1"/>
  <c r="BW255" i="1"/>
  <c r="BW258" i="1"/>
  <c r="BV255" i="1"/>
  <c r="BV258" i="1"/>
  <c r="BR255" i="1"/>
  <c r="BR258" i="1"/>
  <c r="BQ255" i="1"/>
  <c r="BQ258" i="1"/>
  <c r="BP255" i="1"/>
  <c r="BP258" i="1"/>
  <c r="BO255" i="1"/>
  <c r="BO258" i="1"/>
  <c r="BN255" i="1"/>
  <c r="BN258" i="1"/>
  <c r="BM255" i="1"/>
  <c r="BM258" i="1"/>
  <c r="BL258" i="1"/>
  <c r="BK258" i="1"/>
  <c r="BJ258" i="1"/>
  <c r="CJ257" i="1"/>
  <c r="CI257" i="1"/>
  <c r="CH257" i="1"/>
  <c r="CA257" i="1"/>
  <c r="BZ257" i="1"/>
  <c r="BY257" i="1"/>
  <c r="BX254" i="1"/>
  <c r="BX257" i="1"/>
  <c r="BW254" i="1"/>
  <c r="BW257" i="1"/>
  <c r="BV254" i="1"/>
  <c r="BV257" i="1"/>
  <c r="BR254" i="1"/>
  <c r="BR257" i="1"/>
  <c r="BQ254" i="1"/>
  <c r="BQ257" i="1"/>
  <c r="BP254" i="1"/>
  <c r="BP257" i="1"/>
  <c r="BO254" i="1"/>
  <c r="BO257" i="1"/>
  <c r="BN254" i="1"/>
  <c r="BN257" i="1"/>
  <c r="BM254" i="1"/>
  <c r="BM257" i="1"/>
  <c r="BL257" i="1"/>
  <c r="BK257" i="1"/>
  <c r="BJ257" i="1"/>
  <c r="CJ256" i="1"/>
  <c r="CI256" i="1"/>
  <c r="CH256" i="1"/>
  <c r="CA256" i="1"/>
  <c r="BZ256" i="1"/>
  <c r="BY256" i="1"/>
  <c r="BX253" i="1"/>
  <c r="BX256" i="1"/>
  <c r="BW253" i="1"/>
  <c r="BW256" i="1"/>
  <c r="BV253" i="1"/>
  <c r="BV256" i="1"/>
  <c r="BR253" i="1"/>
  <c r="BR256" i="1"/>
  <c r="BQ253" i="1"/>
  <c r="BQ256" i="1"/>
  <c r="BP253" i="1"/>
  <c r="BP256" i="1"/>
  <c r="BO253" i="1"/>
  <c r="BO256" i="1"/>
  <c r="BN253" i="1"/>
  <c r="BN256" i="1"/>
  <c r="BM253" i="1"/>
  <c r="BM256" i="1"/>
  <c r="BL256" i="1"/>
  <c r="BK256" i="1"/>
  <c r="BJ256" i="1"/>
  <c r="CM228" i="1"/>
  <c r="CM231" i="1"/>
  <c r="CL228" i="1"/>
  <c r="CL231" i="1"/>
  <c r="CK228" i="1"/>
  <c r="CK231" i="1"/>
  <c r="CJ228" i="1"/>
  <c r="CJ231" i="1"/>
  <c r="CI228" i="1"/>
  <c r="CI231" i="1"/>
  <c r="CH228" i="1"/>
  <c r="CH231" i="1"/>
  <c r="CG228" i="1"/>
  <c r="CG231" i="1"/>
  <c r="CF228" i="1"/>
  <c r="CF231" i="1"/>
  <c r="CE228" i="1"/>
  <c r="CE231" i="1"/>
  <c r="CD228" i="1"/>
  <c r="CD231" i="1"/>
  <c r="CC228" i="1"/>
  <c r="CC231" i="1"/>
  <c r="CB228" i="1"/>
  <c r="CB231" i="1"/>
  <c r="CA228" i="1"/>
  <c r="CA231" i="1"/>
  <c r="BZ228" i="1"/>
  <c r="BZ231" i="1"/>
  <c r="BY228" i="1"/>
  <c r="BY231" i="1"/>
  <c r="BX228" i="1"/>
  <c r="BX231" i="1"/>
  <c r="BW228" i="1"/>
  <c r="BW231" i="1"/>
  <c r="BV228" i="1"/>
  <c r="BV231" i="1"/>
  <c r="CM227" i="1"/>
  <c r="CM230" i="1"/>
  <c r="CL227" i="1"/>
  <c r="CL230" i="1"/>
  <c r="CK227" i="1"/>
  <c r="CK230" i="1"/>
  <c r="CJ227" i="1"/>
  <c r="CJ230" i="1"/>
  <c r="CI227" i="1"/>
  <c r="CI230" i="1"/>
  <c r="CH227" i="1"/>
  <c r="CH230" i="1"/>
  <c r="CG227" i="1"/>
  <c r="CG230" i="1"/>
  <c r="CF227" i="1"/>
  <c r="CF230" i="1"/>
  <c r="CE227" i="1"/>
  <c r="CE230" i="1"/>
  <c r="CD227" i="1"/>
  <c r="CD230" i="1"/>
  <c r="CC227" i="1"/>
  <c r="CC230" i="1"/>
  <c r="CB227" i="1"/>
  <c r="CB230" i="1"/>
  <c r="CA227" i="1"/>
  <c r="CA230" i="1"/>
  <c r="BZ227" i="1"/>
  <c r="BZ230" i="1"/>
  <c r="BY227" i="1"/>
  <c r="BY230" i="1"/>
  <c r="BX227" i="1"/>
  <c r="BX230" i="1"/>
  <c r="BW227" i="1"/>
  <c r="BW230" i="1"/>
  <c r="BV227" i="1"/>
  <c r="BV230" i="1"/>
  <c r="CM226" i="1"/>
  <c r="CM229" i="1"/>
  <c r="CL226" i="1"/>
  <c r="CL229" i="1"/>
  <c r="CK226" i="1"/>
  <c r="CK229" i="1"/>
  <c r="CJ226" i="1"/>
  <c r="CJ229" i="1"/>
  <c r="CI226" i="1"/>
  <c r="CI229" i="1"/>
  <c r="CH226" i="1"/>
  <c r="CH229" i="1"/>
  <c r="CG226" i="1"/>
  <c r="CG229" i="1"/>
  <c r="CF226" i="1"/>
  <c r="CF229" i="1"/>
  <c r="CE226" i="1"/>
  <c r="CE229" i="1"/>
  <c r="CD226" i="1"/>
  <c r="CD229" i="1"/>
  <c r="CC226" i="1"/>
  <c r="CC229" i="1"/>
  <c r="CB226" i="1"/>
  <c r="CB229" i="1"/>
  <c r="CA226" i="1"/>
  <c r="CA229" i="1"/>
  <c r="BZ226" i="1"/>
  <c r="BZ229" i="1"/>
  <c r="BY226" i="1"/>
  <c r="BY229" i="1"/>
  <c r="BX226" i="1"/>
  <c r="BX229" i="1"/>
  <c r="BW226" i="1"/>
  <c r="BW229" i="1"/>
  <c r="BV226" i="1"/>
  <c r="BV229" i="1"/>
</calcChain>
</file>

<file path=xl/sharedStrings.xml><?xml version="1.0" encoding="utf-8"?>
<sst xmlns="http://schemas.openxmlformats.org/spreadsheetml/2006/main" count="26768" uniqueCount="96">
  <si>
    <t>Feld7</t>
  </si>
  <si>
    <t>Feld8</t>
  </si>
  <si>
    <t>Feld9</t>
  </si>
  <si>
    <t>Kandidaten</t>
  </si>
  <si>
    <t>Eindeutige Zahlen</t>
  </si>
  <si>
    <t>Partial</t>
  </si>
  <si>
    <t>Global</t>
  </si>
  <si>
    <t>Spaltenzählungen</t>
  </si>
  <si>
    <t>Zeilenzählungen</t>
  </si>
  <si>
    <t>Einsame Zahlen</t>
  </si>
  <si>
    <t>Feldzählungen (9x9-Feld iteriert)</t>
  </si>
  <si>
    <t>(3-fach iteriert)</t>
  </si>
  <si>
    <t xml:space="preserve"> (3-fach iteriert)</t>
  </si>
  <si>
    <t>Kontrolle</t>
  </si>
  <si>
    <t>Anzahl gegebener Zahlen:</t>
  </si>
  <si>
    <t>Aufgabe 4, 1. Lösung</t>
  </si>
  <si>
    <t>Aufgabe 4, 2. Lösung</t>
  </si>
  <si>
    <t>Aufgabe 4, 3. Lösung</t>
  </si>
  <si>
    <t>Aufgabe 4 (sehr schwer, mehrere Lösungen)</t>
  </si>
  <si>
    <t>Aufgabe 4, 4. Lösung</t>
  </si>
  <si>
    <t>Anzahl gefüllter Felder (Soll: 81):</t>
  </si>
  <si>
    <t>Lösung 1</t>
  </si>
  <si>
    <t>Aufgabe 2</t>
  </si>
  <si>
    <t>Lösung 3</t>
  </si>
  <si>
    <t>Aufgabe 3 (schwer)</t>
  </si>
  <si>
    <t>Lösung 2</t>
  </si>
  <si>
    <t>(fortlaufend vorgeschlagene einsame und eindeutige Zahlen eingeben)</t>
  </si>
  <si>
    <t>Beispiel</t>
  </si>
  <si>
    <t>Aufgabe 1 (Beispielaufgabe)</t>
  </si>
  <si>
    <t>Leerbereich</t>
  </si>
  <si>
    <t>Gegebene Zahlen</t>
  </si>
  <si>
    <t>(Nicht gegebene als Null eingeben, nicht belegte Zellen als x)</t>
  </si>
  <si>
    <t>x</t>
  </si>
  <si>
    <t>Zeile1</t>
  </si>
  <si>
    <t>Zeile2</t>
  </si>
  <si>
    <t>Zeile3</t>
  </si>
  <si>
    <t>Kontrollen:</t>
  </si>
  <si>
    <t>Test</t>
  </si>
  <si>
    <t>Zeile4</t>
  </si>
  <si>
    <t>Zeile5</t>
  </si>
  <si>
    <t>Zeile6</t>
  </si>
  <si>
    <t>Zeile7</t>
  </si>
  <si>
    <t>Zeile8</t>
  </si>
  <si>
    <t>Zeile9</t>
  </si>
  <si>
    <t>Spalte1</t>
  </si>
  <si>
    <t>Spalte2</t>
  </si>
  <si>
    <t>Spalte3</t>
  </si>
  <si>
    <t>Spalte4</t>
  </si>
  <si>
    <t>Spalte5</t>
  </si>
  <si>
    <t>Spalte6</t>
  </si>
  <si>
    <t>Spalte7</t>
  </si>
  <si>
    <t>Spalte8</t>
  </si>
  <si>
    <t>Spalte9</t>
  </si>
  <si>
    <t>Feld1</t>
  </si>
  <si>
    <t>Feld2</t>
  </si>
  <si>
    <t>Feld3</t>
  </si>
  <si>
    <t>Feld4</t>
  </si>
  <si>
    <t>Feld5</t>
  </si>
  <si>
    <t>Feld6</t>
  </si>
  <si>
    <t>Provisorische Eingabe: Vorhandene Nullen umformatieren (durchstreichen oder kursiv), provisorische Zahlen einsetzen und bei Fehlschlag wieder rückgängig machen und normale Nullen setzen lassen.</t>
  </si>
  <si>
    <t>Nun muss als erstes das gesamte Rätsel in das 27x27-Feld "Gegebene Zahlen" zur Linken eingetragen werden. Jedes Teilfeld des Rätsels erhält einen quadratischen 9x9-Bereich in diesem 27x27-Feld. Dazu wird jedes Teilfeld so im 9x9-Bereich platziert, dass es genau seiner Lage im ursprünglichen 9x9-Spielfeld entspricht (siehe Beispiel). Dabei ist es gleichgültig, welches Teilfeld in welchen 9x9-Bereich eingefüllt wird. Die gegeben Zahlen werden als diese Zahlen eingetragen, die leeren Felder müssen als Zahl Null eingegeben werden. Damit der Start erleichtert wird, drückt man gleich zu Beginn die Taste "Neuanfang: Alle Zellen mit x belegen".</t>
  </si>
  <si>
    <t>Grösste eigegebene Zahl (Max: 9):</t>
  </si>
  <si>
    <t>Spielfeld: Nur hier etwas eingeben!</t>
  </si>
  <si>
    <t>Aufgabe 5</t>
  </si>
  <si>
    <t>Aufgabe 5, Lösung</t>
  </si>
  <si>
    <t>Aufgabe 6 (schwer)</t>
  </si>
  <si>
    <t>Sudoku-Büchlein, Nr. 87</t>
  </si>
  <si>
    <t>Lösung zu Sudoku-Büchlerin, Nr. 87</t>
  </si>
  <si>
    <t>Kompaktspielfeld</t>
  </si>
  <si>
    <t>Kandidaten kompakt (mit Herkunftsdecade = Farbe)</t>
  </si>
  <si>
    <t>Anzahl Eindeutige =</t>
  </si>
  <si>
    <t xml:space="preserve">Anzahl Einsame = </t>
  </si>
  <si>
    <t>Paare</t>
  </si>
  <si>
    <t>Kandidaten nach Bereinigung</t>
  </si>
  <si>
    <t>Eindeutige Zahlen nach Bereinigung</t>
  </si>
  <si>
    <t>Einsame Zahlen nach Bereinigung</t>
  </si>
  <si>
    <t>Zugehörige Lösung</t>
  </si>
  <si>
    <t>Bereinigen</t>
  </si>
  <si>
    <t>Tasten für provisorische Eingabe</t>
  </si>
  <si>
    <t>Sudoku-Büchlein Nr. 100</t>
  </si>
  <si>
    <t>Summe =</t>
  </si>
  <si>
    <t>Um das Rätsel zu lösen, drückt man nach der Eingabe aller Teilfelder, welche jetzt rosa gefärbt sind, die Taste "Gegebene Zahlen ins Spielfeld kopieren". Sodann wird die ganze Anordnung ins Spielfeld kopiert und rechts daneben erscheinen grün unterlegt die eindeutigen und die einsamen Zahlen, welche man von Hand oder mit der Taste darunter im Spielfeld einträgt, bis alle Zahlen gesetzt sind. Bei sehr schweren Rätsel kann es vorkommen, dass es keine eindeutigen oder einsamen Zahlen gibt und man mit Paaren usw. aufgrund der weiter unten angezeigten Kandidaten arbeiten muss. Es sind einsame und eindeutige Paare sowie absorbierende Reihen weiter unten programmiert. Man kann sie auch über eine Taste einsetzen lassen. Achtung: Nur im orangen Spielfeld sollte man Eingaben machen, ausser natürlich bei der Spieleingabe in "Gegebene Zahlen". Nun gibt es auch das Gesamtprogramm, welches alles automatisch durchführt.</t>
  </si>
  <si>
    <t>Sudoku-Büchlein Nr. 101</t>
  </si>
  <si>
    <t>Sudoku-Büchlein Nr. 102</t>
  </si>
  <si>
    <t>Sudoku Freiform und Perlen (Peter Gallin, 14. April 2014, aktualisiert am 21. August 2017)</t>
  </si>
  <si>
    <t>Sudoku-Büchlein, Nr. 99</t>
  </si>
  <si>
    <t>zugehörige Lösung</t>
  </si>
  <si>
    <t>Sudoku-Büchlein Nr. 104</t>
  </si>
  <si>
    <t>Sudoku-Büchlein Nr. 103</t>
  </si>
  <si>
    <t>Mit Makro übertragene Kandidaten, welche sukzessive reduziert werden</t>
  </si>
  <si>
    <t>Sudoku-Büchlein Nr. 105</t>
  </si>
  <si>
    <t>Normales Sudoku aus Migros-Magazin, 21.08.17</t>
  </si>
  <si>
    <r>
      <t>Anleitung</t>
    </r>
    <r>
      <rPr>
        <sz val="16"/>
        <color indexed="8"/>
        <rFont val="Helvetica"/>
      </rPr>
      <t xml:space="preserve">
Ein gegebenes </t>
    </r>
    <r>
      <rPr>
        <b/>
        <sz val="16"/>
        <color indexed="8"/>
        <rFont val="Helvetica"/>
      </rPr>
      <t>Sudoku-Rätsel</t>
    </r>
    <r>
      <rPr>
        <sz val="16"/>
        <color indexed="8"/>
        <rFont val="Helvetica"/>
      </rPr>
      <t xml:space="preserve"> in Freiform besteht aus einem </t>
    </r>
    <r>
      <rPr>
        <b/>
        <sz val="16"/>
        <color indexed="8"/>
        <rFont val="Helvetica"/>
      </rPr>
      <t>9x9-Spielfeld</t>
    </r>
    <r>
      <rPr>
        <sz val="16"/>
        <color indexed="8"/>
        <rFont val="Helvetica"/>
      </rPr>
      <t xml:space="preserve">, in welchem </t>
    </r>
    <r>
      <rPr>
        <b/>
        <sz val="16"/>
        <color indexed="8"/>
        <rFont val="Helvetica"/>
      </rPr>
      <t>9 Teilfelder</t>
    </r>
    <r>
      <rPr>
        <sz val="16"/>
        <color indexed="8"/>
        <rFont val="Helvetica"/>
      </rPr>
      <t xml:space="preserve"> mit je </t>
    </r>
    <r>
      <rPr>
        <b/>
        <sz val="16"/>
        <color indexed="8"/>
        <rFont val="Helvetica"/>
      </rPr>
      <t>9 Zellen</t>
    </r>
    <r>
      <rPr>
        <sz val="16"/>
        <color indexed="8"/>
        <rFont val="Helvetica"/>
      </rPr>
      <t xml:space="preserve"> zu erkennen sind. In jedem Teilfeld hat es gewisse Zellen, welche mit einer Zahl zwischen 1 und 9 belegt sind, und gewisse Zellen, welche leer sind. Dies Zellen müssen nicht zusammenhängen. Sie können auch als Ketten gegeben sein. Natürlich können auch gewöhnliche Sudokus gelöst werden.</t>
    </r>
  </si>
  <si>
    <t>Sudoku-Büchlein Nr. 106</t>
  </si>
  <si>
    <t>Sudoku-Büchlein Nr. 107</t>
  </si>
  <si>
    <t>Sudoku-Büchlein Nr. 108</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</si>
</sst>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2"/>
      <color indexed="8"/>
      <name val="Calibri"/>
      <family val="2"/>
    </font>
    <font>
      <sz val="12"/>
      <color indexed="8"/>
      <name val="Helvetica"/>
    </font>
    <font>
      <b/>
      <sz val="10"/>
      <name val="Verdana"/>
    </font>
    <font>
      <b/>
      <sz val="8"/>
      <name val="Verdana"/>
    </font>
    <font>
      <sz val="8"/>
      <color indexed="8"/>
      <name val="Helvetica"/>
    </font>
    <font>
      <sz val="24"/>
      <color indexed="8"/>
      <name val="Helvetica"/>
    </font>
    <font>
      <b/>
      <sz val="12"/>
      <color indexed="8"/>
      <name val="Helvetica"/>
    </font>
    <font>
      <sz val="12"/>
      <name val="Helvetica"/>
    </font>
    <font>
      <b/>
      <sz val="24"/>
      <color indexed="8"/>
      <name val="Helvetica"/>
    </font>
    <font>
      <sz val="8"/>
      <name val="Helvetica"/>
    </font>
    <font>
      <sz val="12"/>
      <color indexed="10"/>
      <name val="Helvetica"/>
    </font>
    <font>
      <sz val="12"/>
      <color indexed="10"/>
      <name val="Calibri"/>
      <family val="2"/>
    </font>
    <font>
      <sz val="8"/>
      <name val="Calibri"/>
      <family val="2"/>
    </font>
    <font>
      <sz val="16"/>
      <color rgb="FF000000"/>
      <name val="Helvetica"/>
    </font>
    <font>
      <sz val="14"/>
      <color rgb="FF000000"/>
      <name val="Helvetica"/>
    </font>
    <font>
      <sz val="12"/>
      <color rgb="FF000000"/>
      <name val="Lucida Grande"/>
    </font>
    <font>
      <sz val="12"/>
      <color rgb="FF000000"/>
      <name val="Calibri"/>
    </font>
    <font>
      <u/>
      <sz val="12"/>
      <color theme="10"/>
      <name val="Calibri"/>
      <family val="2"/>
    </font>
    <font>
      <u/>
      <sz val="12"/>
      <color theme="11"/>
      <name val="Calibri"/>
      <family val="2"/>
    </font>
    <font>
      <sz val="9"/>
      <color indexed="8"/>
      <name val="Helvetica"/>
    </font>
    <font>
      <sz val="10"/>
      <color rgb="FF000000"/>
      <name val="Arial"/>
    </font>
    <font>
      <sz val="16"/>
      <color indexed="8"/>
      <name val="Helvetica"/>
    </font>
    <font>
      <sz val="16"/>
      <color indexed="8"/>
      <name val="Calibri"/>
      <family val="2"/>
    </font>
    <font>
      <b/>
      <sz val="16"/>
      <color indexed="8"/>
      <name val="Helvetica"/>
    </font>
    <font>
      <b/>
      <sz val="12"/>
      <color indexed="8"/>
      <name val="Calibri"/>
      <family val="2"/>
    </font>
    <font>
      <b/>
      <sz val="12"/>
      <name val="Helvetica"/>
    </font>
  </fonts>
  <fills count="18">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17"/>
        <bgColor indexed="64"/>
      </patternFill>
    </fill>
    <fill>
      <patternFill patternType="solid">
        <fgColor indexed="45"/>
        <bgColor indexed="64"/>
      </patternFill>
    </fill>
    <fill>
      <patternFill patternType="solid">
        <fgColor indexed="53"/>
        <bgColor indexed="64"/>
      </patternFill>
    </fill>
    <fill>
      <patternFill patternType="solid">
        <fgColor rgb="FFFCF305"/>
        <bgColor rgb="FF000000"/>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indexed="49"/>
        <bgColor indexed="64"/>
      </patternFill>
    </fill>
    <fill>
      <patternFill patternType="solid">
        <fgColor indexed="50"/>
        <bgColor indexed="64"/>
      </patternFill>
    </fill>
    <fill>
      <patternFill patternType="solid">
        <fgColor theme="9"/>
        <bgColor indexed="64"/>
      </patternFill>
    </fill>
    <fill>
      <patternFill patternType="solid">
        <fgColor rgb="FFFFFF00"/>
        <bgColor indexed="64"/>
      </patternFill>
    </fill>
    <fill>
      <patternFill patternType="solid">
        <fgColor rgb="FF66FF66"/>
        <bgColor indexed="64"/>
      </patternFill>
    </fill>
  </fills>
  <borders count="96">
    <border>
      <left/>
      <right/>
      <top/>
      <bottom/>
      <diagonal/>
    </border>
    <border>
      <left/>
      <right style="medium">
        <color auto="1"/>
      </right>
      <top/>
      <bottom style="thin">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bottom/>
      <diagonal/>
    </border>
    <border>
      <left/>
      <right style="thin">
        <color auto="1"/>
      </right>
      <top/>
      <bottom/>
      <diagonal/>
    </border>
    <border>
      <left/>
      <right style="medium">
        <color auto="1"/>
      </right>
      <top/>
      <bottom/>
      <diagonal/>
    </border>
    <border>
      <left style="medium">
        <color auto="1"/>
      </left>
      <right/>
      <top/>
      <bottom/>
      <diagonal/>
    </border>
    <border>
      <left style="medium">
        <color auto="1"/>
      </left>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style="thin">
        <color auto="1"/>
      </left>
      <right/>
      <top style="thick">
        <color auto="1"/>
      </top>
      <bottom/>
      <diagonal/>
    </border>
    <border>
      <left/>
      <right style="thin">
        <color auto="1"/>
      </right>
      <top style="thick">
        <color auto="1"/>
      </top>
      <bottom/>
      <diagonal/>
    </border>
    <border>
      <left/>
      <right style="medium">
        <color auto="1"/>
      </right>
      <top style="thick">
        <color auto="1"/>
      </top>
      <bottom/>
      <diagonal/>
    </border>
    <border>
      <left style="medium">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top style="medium">
        <color auto="1"/>
      </top>
      <bottom/>
      <diagonal/>
    </border>
    <border>
      <left/>
      <right style="thick">
        <color auto="1"/>
      </right>
      <top style="medium">
        <color auto="1"/>
      </top>
      <bottom/>
      <diagonal/>
    </border>
    <border>
      <left style="thick">
        <color auto="1"/>
      </left>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medium">
        <color auto="1"/>
      </left>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diagonal/>
    </border>
    <border>
      <left style="hair">
        <color indexed="8"/>
      </left>
      <right style="thin">
        <color auto="1"/>
      </right>
      <top style="hair">
        <color indexed="8"/>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hair">
        <color indexed="8"/>
      </right>
      <top/>
      <bottom/>
      <diagonal/>
    </border>
    <border>
      <left/>
      <right/>
      <top style="hair">
        <color indexed="8"/>
      </top>
      <bottom/>
      <diagonal/>
    </border>
    <border>
      <left style="thin">
        <color auto="1"/>
      </left>
      <right/>
      <top style="hair">
        <color indexed="8"/>
      </top>
      <bottom style="thin">
        <color auto="1"/>
      </bottom>
      <diagonal/>
    </border>
    <border>
      <left style="hair">
        <color indexed="8"/>
      </left>
      <right/>
      <top/>
      <bottom/>
      <diagonal/>
    </border>
    <border>
      <left style="hair">
        <color indexed="8"/>
      </left>
      <right/>
      <top style="hair">
        <color indexed="8"/>
      </top>
      <bottom style="thin">
        <color auto="1"/>
      </bottom>
      <diagonal/>
    </border>
    <border>
      <left style="thin">
        <color auto="1"/>
      </left>
      <right/>
      <top style="hair">
        <color indexed="8"/>
      </top>
      <bottom/>
      <diagonal/>
    </border>
    <border>
      <left style="hair">
        <color indexed="8"/>
      </left>
      <right style="thin">
        <color auto="1"/>
      </right>
      <top style="thin">
        <color auto="1"/>
      </top>
      <bottom style="thin">
        <color auto="1"/>
      </bottom>
      <diagonal/>
    </border>
    <border>
      <left style="hair">
        <color indexed="8"/>
      </left>
      <right/>
      <top/>
      <bottom style="thin">
        <color auto="1"/>
      </bottom>
      <diagonal/>
    </border>
    <border>
      <left style="hair">
        <color indexed="8"/>
      </left>
      <right/>
      <top style="thin">
        <color auto="1"/>
      </top>
      <bottom/>
      <diagonal/>
    </border>
    <border>
      <left style="hair">
        <color indexed="8"/>
      </left>
      <right/>
      <top style="hair">
        <color indexed="8"/>
      </top>
      <bottom/>
      <diagonal/>
    </border>
    <border>
      <left/>
      <right style="hair">
        <color indexed="8"/>
      </right>
      <top/>
      <bottom style="thin">
        <color auto="1"/>
      </bottom>
      <diagonal/>
    </border>
    <border>
      <left style="thin">
        <color auto="1"/>
      </left>
      <right style="thin">
        <color auto="1"/>
      </right>
      <top style="hair">
        <color indexed="8"/>
      </top>
      <bottom/>
      <diagonal/>
    </border>
    <border>
      <left/>
      <right/>
      <top style="thin">
        <color auto="1"/>
      </top>
      <bottom style="thin">
        <color auto="1"/>
      </bottom>
      <diagonal/>
    </border>
    <border>
      <left style="hair">
        <color indexed="8"/>
      </left>
      <right style="thin">
        <color auto="1"/>
      </right>
      <top style="thin">
        <color auto="1"/>
      </top>
      <bottom/>
      <diagonal/>
    </border>
    <border>
      <left style="hair">
        <color indexed="8"/>
      </left>
      <right/>
      <top style="thin">
        <color auto="1"/>
      </top>
      <bottom style="thin">
        <color auto="1"/>
      </bottom>
      <diagonal/>
    </border>
    <border>
      <left style="hair">
        <color indexed="8"/>
      </left>
      <right style="thin">
        <color auto="1"/>
      </right>
      <top/>
      <bottom/>
      <diagonal/>
    </border>
    <border>
      <left/>
      <right style="hair">
        <color indexed="8"/>
      </right>
      <top/>
      <bottom style="hair">
        <color indexed="8"/>
      </bottom>
      <diagonal/>
    </border>
    <border>
      <left style="thin">
        <color auto="1"/>
      </left>
      <right style="thin">
        <color auto="1"/>
      </right>
      <top style="hair">
        <color indexed="8"/>
      </top>
      <bottom style="thin">
        <color auto="1"/>
      </bottom>
      <diagonal/>
    </border>
    <border>
      <left/>
      <right style="thin">
        <color auto="1"/>
      </right>
      <top/>
      <bottom style="hair">
        <color indexed="8"/>
      </bottom>
      <diagonal/>
    </border>
    <border>
      <left/>
      <right style="thin">
        <color auto="1"/>
      </right>
      <top style="hair">
        <color indexed="8"/>
      </top>
      <bottom style="thin">
        <color auto="1"/>
      </bottom>
      <diagonal/>
    </border>
    <border>
      <left style="thin">
        <color auto="1"/>
      </left>
      <right style="hair">
        <color indexed="8"/>
      </right>
      <top/>
      <bottom/>
      <diagonal/>
    </border>
    <border>
      <left style="hair">
        <color indexed="8"/>
      </left>
      <right style="hair">
        <color indexed="8"/>
      </right>
      <top/>
      <bottom/>
      <diagonal/>
    </border>
    <border>
      <left style="hair">
        <color indexed="8"/>
      </left>
      <right style="hair">
        <color indexed="8"/>
      </right>
      <top/>
      <bottom style="thin">
        <color auto="1"/>
      </bottom>
      <diagonal/>
    </border>
    <border>
      <left style="hair">
        <color indexed="8"/>
      </left>
      <right style="thin">
        <color auto="1"/>
      </right>
      <top/>
      <bottom style="thin">
        <color auto="1"/>
      </bottom>
      <diagonal/>
    </border>
    <border>
      <left style="hair">
        <color indexed="8"/>
      </left>
      <right style="thin">
        <color auto="1"/>
      </right>
      <top style="thin">
        <color auto="1"/>
      </top>
      <bottom style="hair">
        <color indexed="8"/>
      </bottom>
      <diagonal/>
    </border>
    <border>
      <left style="hair">
        <color indexed="8"/>
      </left>
      <right style="thin">
        <color auto="1"/>
      </right>
      <top style="hair">
        <color indexed="8"/>
      </top>
      <bottom style="hair">
        <color indexed="8"/>
      </bottom>
      <diagonal/>
    </border>
    <border>
      <left style="thin">
        <color auto="1"/>
      </left>
      <right style="hair">
        <color indexed="8"/>
      </right>
      <top style="hair">
        <color indexed="8"/>
      </top>
      <bottom style="thin">
        <color auto="1"/>
      </bottom>
      <diagonal/>
    </border>
    <border>
      <left style="hair">
        <color indexed="8"/>
      </left>
      <right style="hair">
        <color indexed="8"/>
      </right>
      <top style="hair">
        <color indexed="8"/>
      </top>
      <bottom style="thin">
        <color auto="1"/>
      </bottom>
      <diagonal/>
    </border>
    <border>
      <left style="hair">
        <color indexed="8"/>
      </left>
      <right style="hair">
        <color indexed="8"/>
      </right>
      <top/>
      <bottom style="hair">
        <color indexed="8"/>
      </bottom>
      <diagonal/>
    </border>
    <border>
      <left style="thin">
        <color auto="1"/>
      </left>
      <right/>
      <top/>
      <bottom style="hair">
        <color indexed="8"/>
      </bottom>
      <diagonal/>
    </border>
    <border>
      <left/>
      <right style="hair">
        <color indexed="8"/>
      </right>
      <top style="hair">
        <color indexed="8"/>
      </top>
      <bottom/>
      <diagonal/>
    </border>
    <border>
      <left/>
      <right style="hair">
        <color indexed="8"/>
      </right>
      <top style="thin">
        <color auto="1"/>
      </top>
      <bottom/>
      <diagonal/>
    </border>
    <border>
      <left/>
      <right style="thin">
        <color auto="1"/>
      </right>
      <top style="hair">
        <color indexed="8"/>
      </top>
      <bottom style="hair">
        <color indexed="8"/>
      </bottom>
      <diagonal/>
    </border>
    <border>
      <left style="hair">
        <color indexed="8"/>
      </left>
      <right style="thin">
        <color auto="1"/>
      </right>
      <top/>
      <bottom style="hair">
        <color indexed="8"/>
      </bottom>
      <diagonal/>
    </border>
    <border>
      <left style="thin">
        <color auto="1"/>
      </left>
      <right/>
      <top style="hair">
        <color indexed="8"/>
      </top>
      <bottom style="hair">
        <color indexed="8"/>
      </bottom>
      <diagonal/>
    </border>
    <border>
      <left/>
      <right style="thin">
        <color auto="1"/>
      </right>
      <top style="hair">
        <color indexed="8"/>
      </top>
      <bottom/>
      <diagonal/>
    </border>
  </borders>
  <cellStyleXfs count="259">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572">
    <xf numFmtId="0" fontId="0" fillId="0" borderId="0" xfId="0"/>
    <xf numFmtId="0" fontId="1" fillId="0" borderId="1" xfId="0" applyFont="1" applyBorder="1" applyAlignment="1" applyProtection="1">
      <alignment horizontal="center"/>
      <protection locked="0"/>
    </xf>
    <xf numFmtId="0" fontId="1" fillId="0" borderId="2"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 fillId="0" borderId="0"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17"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1" fillId="0" borderId="19" xfId="0" applyFont="1" applyBorder="1" applyAlignment="1" applyProtection="1">
      <alignment horizontal="center"/>
      <protection locked="0"/>
    </xf>
    <xf numFmtId="0" fontId="1" fillId="0" borderId="20" xfId="0" applyFont="1" applyBorder="1" applyAlignment="1" applyProtection="1">
      <alignment horizontal="center"/>
      <protection locked="0"/>
    </xf>
    <xf numFmtId="0" fontId="1" fillId="0" borderId="21"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0" borderId="23" xfId="0" applyFont="1" applyBorder="1" applyAlignment="1" applyProtection="1">
      <alignment horizontal="center"/>
      <protection locked="0"/>
    </xf>
    <xf numFmtId="0" fontId="1" fillId="0" borderId="24" xfId="0" applyFont="1" applyBorder="1" applyAlignment="1" applyProtection="1">
      <alignment horizontal="center"/>
      <protection locked="0"/>
    </xf>
    <xf numFmtId="0" fontId="1" fillId="0" borderId="0" xfId="0" applyFont="1" applyAlignment="1">
      <alignment horizontal="left" vertical="center"/>
    </xf>
    <xf numFmtId="0" fontId="8" fillId="0" borderId="0" xfId="0" applyFont="1" applyAlignment="1">
      <alignment horizontal="left" vertical="center"/>
    </xf>
    <xf numFmtId="0" fontId="1"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6" fillId="0" borderId="0" xfId="0" applyFont="1" applyAlignment="1">
      <alignment horizontal="left" vertical="center"/>
    </xf>
    <xf numFmtId="0" fontId="0" fillId="0" borderId="0" xfId="0" applyAlignment="1">
      <alignmen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1" fillId="2" borderId="2"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0" fillId="0" borderId="25" xfId="0" applyBorder="1" applyAlignment="1">
      <alignment horizontal="center" vertical="center"/>
    </xf>
    <xf numFmtId="0" fontId="1" fillId="2" borderId="10"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9"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9"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24"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24" xfId="0" applyFont="1" applyFill="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left"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4" borderId="2"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4" borderId="10"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9" xfId="0" applyFont="1" applyFill="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4" borderId="20"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24" xfId="0" applyFont="1" applyFill="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48" xfId="0" applyFont="1" applyBorder="1" applyAlignment="1">
      <alignment horizontal="center" vertical="center"/>
    </xf>
    <xf numFmtId="0" fontId="1" fillId="0" borderId="49" xfId="0" applyFont="1" applyBorder="1" applyAlignment="1">
      <alignment horizontal="center" vertical="center"/>
    </xf>
    <xf numFmtId="0" fontId="1" fillId="3" borderId="0" xfId="0" applyFont="1" applyFill="1" applyAlignment="1">
      <alignment horizontal="center" vertical="center"/>
    </xf>
    <xf numFmtId="0" fontId="4" fillId="3" borderId="0" xfId="0" applyFont="1" applyFill="1" applyAlignment="1">
      <alignment horizontal="center" vertical="center"/>
    </xf>
    <xf numFmtId="0" fontId="1" fillId="3" borderId="0" xfId="0" applyFont="1" applyFill="1" applyAlignment="1">
      <alignment horizontal="left" vertical="center"/>
    </xf>
    <xf numFmtId="0" fontId="1" fillId="4" borderId="18"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8" xfId="0" applyFont="1" applyFill="1" applyBorder="1" applyAlignment="1">
      <alignment horizontal="center" vertical="center"/>
    </xf>
    <xf numFmtId="0" fontId="1" fillId="4" borderId="13"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1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10" xfId="0" applyFont="1" applyFill="1" applyBorder="1" applyAlignment="1">
      <alignment horizontal="center" vertical="center"/>
    </xf>
    <xf numFmtId="0" fontId="7" fillId="5" borderId="0"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50" xfId="0" applyFont="1" applyFill="1" applyBorder="1" applyAlignment="1">
      <alignment horizontal="center" vertical="center"/>
    </xf>
    <xf numFmtId="0" fontId="7" fillId="5" borderId="20" xfId="0" applyFont="1" applyFill="1" applyBorder="1" applyAlignment="1">
      <alignment horizontal="center" vertical="center"/>
    </xf>
    <xf numFmtId="0" fontId="7" fillId="5" borderId="51" xfId="0" applyFont="1" applyFill="1" applyBorder="1" applyAlignment="1">
      <alignment horizontal="center" vertical="center"/>
    </xf>
    <xf numFmtId="0" fontId="7" fillId="5" borderId="21" xfId="0" applyFont="1" applyFill="1" applyBorder="1" applyAlignment="1">
      <alignment horizontal="center" vertical="center"/>
    </xf>
    <xf numFmtId="0" fontId="7" fillId="5" borderId="24" xfId="0" applyFont="1" applyFill="1" applyBorder="1" applyAlignment="1">
      <alignment horizontal="center" vertical="center"/>
    </xf>
    <xf numFmtId="0" fontId="7" fillId="5" borderId="52" xfId="0" applyFont="1" applyFill="1" applyBorder="1" applyAlignment="1">
      <alignment horizontal="center" vertical="center"/>
    </xf>
    <xf numFmtId="0" fontId="7" fillId="5" borderId="53" xfId="0" applyFont="1" applyFill="1" applyBorder="1" applyAlignment="1">
      <alignment horizontal="center" vertical="center"/>
    </xf>
    <xf numFmtId="0" fontId="7" fillId="5" borderId="54" xfId="0" applyFont="1" applyFill="1" applyBorder="1" applyAlignment="1">
      <alignment horizontal="center" vertical="center"/>
    </xf>
    <xf numFmtId="0" fontId="7" fillId="5" borderId="55" xfId="0" applyFont="1" applyFill="1" applyBorder="1" applyAlignment="1">
      <alignment horizontal="center" vertical="center"/>
    </xf>
    <xf numFmtId="0" fontId="1" fillId="6" borderId="0" xfId="0" applyFont="1" applyFill="1" applyAlignment="1">
      <alignment horizontal="center" vertical="center"/>
    </xf>
    <xf numFmtId="0" fontId="6" fillId="6" borderId="0" xfId="0" applyFont="1" applyFill="1" applyAlignment="1">
      <alignment horizontal="left" vertical="center"/>
    </xf>
    <xf numFmtId="0" fontId="7" fillId="6" borderId="0" xfId="0" applyFont="1" applyFill="1" applyAlignment="1">
      <alignment horizontal="center" vertical="center"/>
    </xf>
    <xf numFmtId="0" fontId="1" fillId="6" borderId="0" xfId="0" applyFont="1" applyFill="1" applyAlignment="1">
      <alignment horizontal="left"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0"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17"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1" fillId="0" borderId="0" xfId="0" applyFont="1" applyFill="1" applyBorder="1" applyAlignment="1">
      <alignment horizontal="left" vertical="center"/>
    </xf>
    <xf numFmtId="0" fontId="7" fillId="0" borderId="7" xfId="0" applyFont="1" applyFill="1" applyBorder="1" applyAlignment="1">
      <alignment horizontal="center" vertical="center"/>
    </xf>
    <xf numFmtId="0" fontId="7" fillId="3" borderId="7" xfId="0" applyFont="1" applyFill="1" applyBorder="1" applyAlignment="1">
      <alignment horizontal="center"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21"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23" xfId="0" applyFont="1" applyBorder="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0"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7" xfId="0" applyFont="1" applyBorder="1" applyAlignment="1" applyProtection="1">
      <alignment horizontal="center"/>
      <protection locked="0"/>
    </xf>
    <xf numFmtId="0" fontId="6" fillId="0" borderId="13"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0" borderId="17"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6" fillId="0" borderId="12" xfId="0" applyFont="1" applyBorder="1" applyAlignment="1" applyProtection="1">
      <alignment horizontal="center"/>
      <protection locked="0"/>
    </xf>
    <xf numFmtId="0" fontId="6" fillId="0" borderId="10" xfId="0" applyFont="1" applyBorder="1" applyAlignment="1" applyProtection="1">
      <alignment horizontal="center"/>
      <protection locked="0"/>
    </xf>
    <xf numFmtId="0" fontId="6" fillId="0" borderId="9" xfId="0" applyFont="1" applyBorder="1" applyAlignment="1" applyProtection="1">
      <alignment horizontal="center"/>
      <protection locked="0"/>
    </xf>
    <xf numFmtId="0" fontId="6" fillId="0" borderId="2"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4" fillId="0" borderId="0" xfId="0" applyFont="1" applyBorder="1" applyAlignment="1">
      <alignment horizontal="center" vertical="center"/>
    </xf>
    <xf numFmtId="0" fontId="6" fillId="0" borderId="4" xfId="0" applyFont="1" applyBorder="1" applyAlignment="1" applyProtection="1">
      <alignment horizontal="center"/>
      <protection locked="0"/>
    </xf>
    <xf numFmtId="0" fontId="6" fillId="0" borderId="22"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6" fillId="0" borderId="23" xfId="0" applyFont="1" applyBorder="1" applyAlignment="1" applyProtection="1">
      <alignment horizontal="center"/>
      <protection locked="0"/>
    </xf>
    <xf numFmtId="0" fontId="19" fillId="0" borderId="10" xfId="0" applyFont="1" applyBorder="1" applyAlignment="1">
      <alignment horizontal="center" vertical="center"/>
    </xf>
    <xf numFmtId="0" fontId="19" fillId="0" borderId="0" xfId="0" applyFont="1" applyBorder="1" applyAlignment="1">
      <alignment horizontal="center" vertical="center"/>
    </xf>
    <xf numFmtId="0" fontId="19" fillId="0" borderId="8" xfId="0" applyFont="1" applyBorder="1" applyAlignment="1">
      <alignment horizontal="center" vertical="center"/>
    </xf>
    <xf numFmtId="0" fontId="19" fillId="0" borderId="7" xfId="0" applyFont="1" applyBorder="1" applyAlignment="1">
      <alignment horizontal="center" vertical="center"/>
    </xf>
    <xf numFmtId="0" fontId="19" fillId="0" borderId="9"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 xfId="0" applyFont="1" applyBorder="1" applyAlignment="1">
      <alignment horizontal="center"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5"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 fillId="0" borderId="2" xfId="0" applyFont="1" applyBorder="1" applyAlignment="1">
      <alignment horizontal="center" vertical="center"/>
    </xf>
    <xf numFmtId="0" fontId="1" fillId="8" borderId="18" xfId="0" applyFont="1" applyFill="1" applyBorder="1" applyAlignment="1">
      <alignment horizontal="center" vertical="center"/>
    </xf>
    <xf numFmtId="0" fontId="1" fillId="8" borderId="16" xfId="0" applyFont="1" applyFill="1" applyBorder="1" applyAlignment="1">
      <alignment horizontal="center" vertical="center"/>
    </xf>
    <xf numFmtId="0" fontId="1" fillId="8" borderId="17"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1" fillId="8" borderId="8" xfId="0" applyFont="1" applyFill="1" applyBorder="1" applyAlignment="1">
      <alignment horizontal="center" vertical="center"/>
    </xf>
    <xf numFmtId="0" fontId="1" fillId="8" borderId="13" xfId="0" applyFont="1" applyFill="1" applyBorder="1" applyAlignment="1">
      <alignment horizontal="center" vertical="center"/>
    </xf>
    <xf numFmtId="0" fontId="1" fillId="8" borderId="12" xfId="0" applyFont="1" applyFill="1" applyBorder="1" applyAlignment="1">
      <alignment horizontal="center" vertical="center"/>
    </xf>
    <xf numFmtId="0" fontId="1" fillId="8" borderId="14"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4"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6" xfId="0" applyFont="1" applyFill="1" applyBorder="1" applyAlignment="1">
      <alignment horizontal="center" vertical="center"/>
    </xf>
    <xf numFmtId="0" fontId="1" fillId="5" borderId="17"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0" xfId="0" applyFont="1" applyFill="1" applyBorder="1" applyAlignment="1">
      <alignment horizontal="center" vertical="center"/>
    </xf>
    <xf numFmtId="0" fontId="1" fillId="5" borderId="8" xfId="0" applyFont="1" applyFill="1" applyBorder="1" applyAlignment="1">
      <alignment horizontal="center" vertical="center"/>
    </xf>
    <xf numFmtId="0" fontId="1" fillId="5" borderId="13"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4" xfId="0" applyFont="1" applyFill="1" applyBorder="1" applyAlignment="1">
      <alignment horizontal="center" vertical="center"/>
    </xf>
    <xf numFmtId="0" fontId="1" fillId="10" borderId="18"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7" xfId="0" applyFont="1" applyFill="1" applyBorder="1" applyAlignment="1">
      <alignment horizontal="center" vertical="center"/>
    </xf>
    <xf numFmtId="0" fontId="1" fillId="10" borderId="7"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8" xfId="0" applyFont="1" applyFill="1" applyBorder="1" applyAlignment="1">
      <alignment horizontal="center" vertical="center"/>
    </xf>
    <xf numFmtId="0" fontId="1" fillId="10" borderId="13" xfId="0" applyFont="1" applyFill="1" applyBorder="1" applyAlignment="1">
      <alignment horizontal="center" vertical="center"/>
    </xf>
    <xf numFmtId="0" fontId="1" fillId="10" borderId="12" xfId="0" applyFont="1" applyFill="1" applyBorder="1" applyAlignment="1">
      <alignment horizontal="center" vertical="center"/>
    </xf>
    <xf numFmtId="0" fontId="1" fillId="10" borderId="14"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2" borderId="4" xfId="0" applyFont="1" applyFill="1" applyBorder="1" applyAlignment="1">
      <alignment horizontal="center" vertical="center"/>
    </xf>
    <xf numFmtId="0" fontId="1" fillId="8" borderId="10" xfId="0" applyFont="1" applyFill="1" applyBorder="1" applyAlignment="1">
      <alignment horizontal="center" vertical="center"/>
    </xf>
    <xf numFmtId="0" fontId="1" fillId="8" borderId="11" xfId="0" applyFont="1" applyFill="1" applyBorder="1" applyAlignment="1">
      <alignment horizontal="center" vertical="center"/>
    </xf>
    <xf numFmtId="0" fontId="1" fillId="2" borderId="1" xfId="0" applyFont="1" applyFill="1" applyBorder="1" applyAlignment="1">
      <alignment horizontal="center" vertical="center"/>
    </xf>
    <xf numFmtId="0" fontId="1" fillId="8" borderId="15" xfId="0" applyFont="1" applyFill="1" applyBorder="1" applyAlignment="1">
      <alignment horizontal="center" vertical="center"/>
    </xf>
    <xf numFmtId="0" fontId="1" fillId="5" borderId="19" xfId="0" applyFont="1" applyFill="1" applyBorder="1" applyAlignment="1">
      <alignment horizontal="center" vertical="center"/>
    </xf>
    <xf numFmtId="0" fontId="1" fillId="5" borderId="9" xfId="0" applyFont="1" applyFill="1" applyBorder="1" applyAlignment="1">
      <alignment horizontal="center" vertical="center"/>
    </xf>
    <xf numFmtId="0" fontId="1" fillId="5" borderId="1"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0" xfId="0" applyFont="1" applyFill="1" applyBorder="1" applyAlignment="1">
      <alignment horizontal="center" vertical="center"/>
    </xf>
    <xf numFmtId="0" fontId="1" fillId="10" borderId="21" xfId="0" applyFont="1" applyFill="1" applyBorder="1" applyAlignment="1">
      <alignment horizontal="center" vertical="center"/>
    </xf>
    <xf numFmtId="0" fontId="1" fillId="10" borderId="22" xfId="0" applyFont="1" applyFill="1" applyBorder="1" applyAlignment="1">
      <alignment horizontal="center" vertical="center"/>
    </xf>
    <xf numFmtId="0" fontId="1" fillId="5" borderId="23" xfId="0" applyFont="1" applyFill="1" applyBorder="1" applyAlignment="1">
      <alignment horizontal="center" vertical="center"/>
    </xf>
    <xf numFmtId="0" fontId="1" fillId="5" borderId="21" xfId="0" applyFont="1" applyFill="1" applyBorder="1" applyAlignment="1">
      <alignment horizontal="center" vertical="center"/>
    </xf>
    <xf numFmtId="0" fontId="1" fillId="5" borderId="22" xfId="0" applyFont="1" applyFill="1" applyBorder="1" applyAlignment="1">
      <alignment horizontal="center" vertical="center"/>
    </xf>
    <xf numFmtId="0" fontId="1" fillId="8" borderId="21" xfId="0" applyFont="1" applyFill="1" applyBorder="1" applyAlignment="1">
      <alignment horizontal="center" vertical="center"/>
    </xf>
    <xf numFmtId="0" fontId="1" fillId="5" borderId="5" xfId="0" applyFont="1" applyFill="1" applyBorder="1" applyAlignment="1">
      <alignment horizontal="center" vertical="center"/>
    </xf>
    <xf numFmtId="0" fontId="1" fillId="2" borderId="3" xfId="0" applyFont="1" applyFill="1" applyBorder="1" applyAlignment="1">
      <alignment horizontal="center" vertical="center"/>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5" xfId="0" applyFont="1" applyFill="1" applyBorder="1" applyAlignment="1">
      <alignment horizontal="center" vertical="center"/>
    </xf>
    <xf numFmtId="0" fontId="1" fillId="9" borderId="16" xfId="0" applyFont="1" applyFill="1" applyBorder="1" applyAlignment="1">
      <alignment horizontal="center" vertical="center"/>
    </xf>
    <xf numFmtId="0" fontId="1" fillId="9" borderId="17" xfId="0" applyFont="1" applyFill="1" applyBorder="1" applyAlignment="1">
      <alignment horizontal="center" vertical="center"/>
    </xf>
    <xf numFmtId="0" fontId="1" fillId="9" borderId="18" xfId="0" applyFont="1" applyFill="1" applyBorder="1" applyAlignment="1">
      <alignment horizontal="center" vertical="center"/>
    </xf>
    <xf numFmtId="0" fontId="1" fillId="9" borderId="19" xfId="0" applyFont="1" applyFill="1" applyBorder="1" applyAlignment="1">
      <alignment horizontal="center" vertical="center"/>
    </xf>
    <xf numFmtId="0" fontId="1" fillId="9" borderId="0"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7" xfId="0" applyFont="1" applyFill="1" applyBorder="1" applyAlignment="1">
      <alignment horizontal="center" vertical="center"/>
    </xf>
    <xf numFmtId="0" fontId="1" fillId="9" borderId="9" xfId="0" applyFont="1" applyFill="1" applyBorder="1" applyAlignment="1">
      <alignment horizontal="center" vertical="center"/>
    </xf>
    <xf numFmtId="0" fontId="1" fillId="9" borderId="12" xfId="0" applyFont="1" applyFill="1" applyBorder="1" applyAlignment="1">
      <alignment horizontal="center" vertical="center"/>
    </xf>
    <xf numFmtId="0" fontId="1" fillId="9" borderId="14" xfId="0" applyFont="1" applyFill="1" applyBorder="1" applyAlignment="1">
      <alignment horizontal="center" vertical="center"/>
    </xf>
    <xf numFmtId="0" fontId="1" fillId="9" borderId="13" xfId="0" applyFont="1" applyFill="1" applyBorder="1" applyAlignment="1">
      <alignment horizontal="center" vertical="center"/>
    </xf>
    <xf numFmtId="0" fontId="1" fillId="9" borderId="1" xfId="0" applyFont="1" applyFill="1" applyBorder="1" applyAlignment="1">
      <alignment horizontal="center" vertical="center"/>
    </xf>
    <xf numFmtId="0" fontId="1" fillId="9" borderId="21" xfId="0" applyFont="1" applyFill="1" applyBorder="1" applyAlignment="1">
      <alignment horizontal="center" vertical="center"/>
    </xf>
    <xf numFmtId="0" fontId="1" fillId="9" borderId="22" xfId="0" applyFont="1" applyFill="1" applyBorder="1" applyAlignment="1">
      <alignment horizontal="center" vertical="center"/>
    </xf>
    <xf numFmtId="0" fontId="1" fillId="9" borderId="23" xfId="0" applyFont="1" applyFill="1" applyBorder="1" applyAlignment="1">
      <alignment horizontal="center" vertical="center"/>
    </xf>
    <xf numFmtId="0" fontId="1" fillId="10" borderId="5" xfId="0" applyFont="1" applyFill="1" applyBorder="1" applyAlignment="1">
      <alignment horizontal="center" vertical="center"/>
    </xf>
    <xf numFmtId="0" fontId="1" fillId="10" borderId="3" xfId="0" applyFont="1" applyFill="1" applyBorder="1" applyAlignment="1">
      <alignment horizontal="center" vertical="center"/>
    </xf>
    <xf numFmtId="0" fontId="1" fillId="9" borderId="5" xfId="0" applyFont="1" applyFill="1" applyBorder="1" applyAlignment="1">
      <alignment horizontal="center" vertical="center"/>
    </xf>
    <xf numFmtId="0" fontId="1" fillId="9" borderId="3" xfId="0" applyFont="1" applyFill="1" applyBorder="1" applyAlignment="1">
      <alignment horizontal="center" vertical="center"/>
    </xf>
    <xf numFmtId="0" fontId="1" fillId="5" borderId="4" xfId="0" applyFont="1" applyFill="1" applyBorder="1" applyAlignment="1">
      <alignment horizontal="center" vertical="center"/>
    </xf>
    <xf numFmtId="0" fontId="1" fillId="9" borderId="4" xfId="0" applyFont="1" applyFill="1" applyBorder="1" applyAlignment="1">
      <alignment horizontal="center" vertical="center"/>
    </xf>
    <xf numFmtId="0" fontId="1" fillId="9" borderId="6" xfId="0" applyFont="1" applyFill="1" applyBorder="1" applyAlignment="1">
      <alignment horizontal="center" vertical="center"/>
    </xf>
    <xf numFmtId="0" fontId="1" fillId="11" borderId="4"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3" xfId="0" applyFont="1" applyFill="1" applyBorder="1" applyAlignment="1">
      <alignment horizontal="center" vertical="center"/>
    </xf>
    <xf numFmtId="0" fontId="1" fillId="11" borderId="7" xfId="0" applyFont="1" applyFill="1" applyBorder="1" applyAlignment="1">
      <alignment horizontal="center" vertical="center"/>
    </xf>
    <xf numFmtId="0" fontId="1" fillId="11" borderId="0" xfId="0" applyFont="1" applyFill="1" applyBorder="1" applyAlignment="1">
      <alignment horizontal="center" vertical="center"/>
    </xf>
    <xf numFmtId="0" fontId="1" fillId="11" borderId="8" xfId="0" applyFont="1" applyFill="1" applyBorder="1" applyAlignment="1">
      <alignment horizontal="center" vertical="center"/>
    </xf>
    <xf numFmtId="0" fontId="1" fillId="11" borderId="9" xfId="0" applyFont="1" applyFill="1" applyBorder="1" applyAlignment="1">
      <alignment horizontal="center" vertical="center"/>
    </xf>
    <xf numFmtId="0" fontId="1" fillId="10" borderId="11" xfId="0" applyFont="1" applyFill="1" applyBorder="1" applyAlignment="1">
      <alignment horizontal="center" vertical="center"/>
    </xf>
    <xf numFmtId="0" fontId="1" fillId="11" borderId="13"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 xfId="0" applyFont="1" applyFill="1" applyBorder="1" applyAlignment="1">
      <alignment horizontal="center" vertical="center"/>
    </xf>
    <xf numFmtId="0" fontId="1" fillId="12" borderId="18" xfId="0" applyFont="1" applyFill="1" applyBorder="1" applyAlignment="1">
      <alignment horizontal="center" vertical="center"/>
    </xf>
    <xf numFmtId="0" fontId="1" fillId="12" borderId="16" xfId="0" applyFont="1" applyFill="1" applyBorder="1" applyAlignment="1">
      <alignment horizontal="center" vertical="center"/>
    </xf>
    <xf numFmtId="0" fontId="1" fillId="12" borderId="17" xfId="0" applyFont="1" applyFill="1" applyBorder="1" applyAlignment="1">
      <alignment horizontal="center" vertical="center"/>
    </xf>
    <xf numFmtId="0" fontId="1" fillId="10" borderId="19" xfId="0" applyFont="1" applyFill="1" applyBorder="1" applyAlignment="1">
      <alignment horizontal="center" vertical="center"/>
    </xf>
    <xf numFmtId="0" fontId="1" fillId="11" borderId="16" xfId="0" applyFont="1" applyFill="1" applyBorder="1" applyAlignment="1">
      <alignment horizontal="center" vertical="center"/>
    </xf>
    <xf numFmtId="0" fontId="1" fillId="11" borderId="17" xfId="0" applyFont="1" applyFill="1" applyBorder="1" applyAlignment="1">
      <alignment horizontal="center" vertical="center"/>
    </xf>
    <xf numFmtId="0" fontId="1" fillId="11" borderId="18" xfId="0" applyFont="1" applyFill="1" applyBorder="1" applyAlignment="1">
      <alignment horizontal="center" vertical="center"/>
    </xf>
    <xf numFmtId="0" fontId="1" fillId="12" borderId="7" xfId="0" applyFont="1" applyFill="1" applyBorder="1" applyAlignment="1">
      <alignment horizontal="center" vertical="center"/>
    </xf>
    <xf numFmtId="0" fontId="1" fillId="12" borderId="0" xfId="0" applyFont="1" applyFill="1" applyBorder="1" applyAlignment="1">
      <alignment horizontal="center" vertical="center"/>
    </xf>
    <xf numFmtId="0" fontId="1" fillId="12" borderId="8" xfId="0" applyFont="1" applyFill="1" applyBorder="1" applyAlignment="1">
      <alignment horizontal="center" vertical="center"/>
    </xf>
    <xf numFmtId="0" fontId="1" fillId="10" borderId="9"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12" xfId="0" applyFont="1" applyFill="1" applyBorder="1" applyAlignment="1">
      <alignment horizontal="center" vertical="center"/>
    </xf>
    <xf numFmtId="0" fontId="1" fillId="12" borderId="14" xfId="0" applyFont="1" applyFill="1" applyBorder="1" applyAlignment="1">
      <alignment horizontal="center" vertical="center"/>
    </xf>
    <xf numFmtId="0" fontId="1" fillId="12" borderId="15" xfId="0" applyFont="1" applyFill="1" applyBorder="1" applyAlignment="1">
      <alignment horizontal="center" vertical="center"/>
    </xf>
    <xf numFmtId="0" fontId="1" fillId="13" borderId="18" xfId="0" applyFont="1" applyFill="1" applyBorder="1" applyAlignment="1">
      <alignment horizontal="center" vertical="center"/>
    </xf>
    <xf numFmtId="0" fontId="1" fillId="13" borderId="16" xfId="0" applyFont="1" applyFill="1" applyBorder="1" applyAlignment="1">
      <alignment horizontal="center" vertical="center"/>
    </xf>
    <xf numFmtId="0" fontId="1" fillId="13" borderId="19" xfId="0" applyFont="1" applyFill="1" applyBorder="1" applyAlignment="1">
      <alignment horizontal="center" vertical="center"/>
    </xf>
    <xf numFmtId="0" fontId="1" fillId="13" borderId="15" xfId="0" applyFont="1" applyFill="1" applyBorder="1" applyAlignment="1">
      <alignment horizontal="center" vertical="center"/>
    </xf>
    <xf numFmtId="0" fontId="1" fillId="13" borderId="17" xfId="0" applyFont="1" applyFill="1" applyBorder="1" applyAlignment="1">
      <alignment horizontal="center" vertical="center"/>
    </xf>
    <xf numFmtId="0" fontId="1" fillId="12" borderId="10" xfId="0" applyFont="1" applyFill="1" applyBorder="1" applyAlignment="1">
      <alignment horizontal="center" vertical="center"/>
    </xf>
    <xf numFmtId="0" fontId="1" fillId="13" borderId="7" xfId="0" applyFont="1" applyFill="1" applyBorder="1" applyAlignment="1">
      <alignment horizontal="center" vertical="center"/>
    </xf>
    <xf numFmtId="0" fontId="1" fillId="13" borderId="0" xfId="0" applyFont="1" applyFill="1" applyBorder="1" applyAlignment="1">
      <alignment horizontal="center" vertical="center"/>
    </xf>
    <xf numFmtId="0" fontId="1" fillId="13" borderId="9" xfId="0" applyFont="1" applyFill="1" applyBorder="1" applyAlignment="1">
      <alignment horizontal="center" vertical="center"/>
    </xf>
    <xf numFmtId="0" fontId="1" fillId="13" borderId="10" xfId="0" applyFont="1" applyFill="1" applyBorder="1" applyAlignment="1">
      <alignment horizontal="center" vertical="center"/>
    </xf>
    <xf numFmtId="0" fontId="1" fillId="13" borderId="8" xfId="0" applyFont="1" applyFill="1" applyBorder="1" applyAlignment="1">
      <alignment horizontal="center" vertical="center"/>
    </xf>
    <xf numFmtId="0" fontId="1" fillId="12" borderId="20" xfId="0" applyFont="1" applyFill="1" applyBorder="1" applyAlignment="1">
      <alignment horizontal="center" vertical="center"/>
    </xf>
    <xf numFmtId="0" fontId="1" fillId="12" borderId="21" xfId="0" applyFont="1" applyFill="1" applyBorder="1" applyAlignment="1">
      <alignment horizontal="center" vertical="center"/>
    </xf>
    <xf numFmtId="0" fontId="1" fillId="12" borderId="22" xfId="0" applyFont="1" applyFill="1" applyBorder="1" applyAlignment="1">
      <alignment horizontal="center" vertical="center"/>
    </xf>
    <xf numFmtId="0" fontId="1" fillId="10" borderId="23" xfId="0" applyFont="1" applyFill="1" applyBorder="1" applyAlignment="1">
      <alignment horizontal="center" vertical="center"/>
    </xf>
    <xf numFmtId="0" fontId="1" fillId="8" borderId="20" xfId="0" applyFont="1" applyFill="1" applyBorder="1" applyAlignment="1">
      <alignment horizontal="center" vertical="center"/>
    </xf>
    <xf numFmtId="0" fontId="1" fillId="8" borderId="22" xfId="0" applyFont="1" applyFill="1" applyBorder="1" applyAlignment="1">
      <alignment horizontal="center" vertical="center"/>
    </xf>
    <xf numFmtId="0" fontId="1" fillId="13" borderId="23" xfId="0" applyFont="1" applyFill="1" applyBorder="1" applyAlignment="1">
      <alignment horizontal="center" vertical="center"/>
    </xf>
    <xf numFmtId="0" fontId="1" fillId="13" borderId="21" xfId="0" applyFont="1" applyFill="1" applyBorder="1" applyAlignment="1">
      <alignment horizontal="center" vertical="center"/>
    </xf>
    <xf numFmtId="0" fontId="1" fillId="13" borderId="24" xfId="0" applyFont="1" applyFill="1" applyBorder="1" applyAlignment="1">
      <alignment horizontal="center" vertical="center"/>
    </xf>
    <xf numFmtId="0" fontId="1" fillId="11" borderId="23" xfId="0" applyFont="1" applyFill="1" applyBorder="1" applyAlignment="1">
      <alignment horizontal="center" vertical="center"/>
    </xf>
    <xf numFmtId="0" fontId="1" fillId="11" borderId="21" xfId="0" applyFont="1" applyFill="1" applyBorder="1" applyAlignment="1">
      <alignment horizontal="center" vertical="center"/>
    </xf>
    <xf numFmtId="0" fontId="1" fillId="11" borderId="22" xfId="0" applyFont="1" applyFill="1" applyBorder="1" applyAlignment="1">
      <alignment horizontal="center" vertical="center"/>
    </xf>
    <xf numFmtId="0" fontId="1" fillId="13" borderId="4" xfId="0" applyFont="1" applyFill="1" applyBorder="1" applyAlignment="1">
      <alignment horizontal="center" vertical="center"/>
    </xf>
    <xf numFmtId="0" fontId="1" fillId="13" borderId="5" xfId="0" applyFont="1" applyFill="1" applyBorder="1" applyAlignment="1">
      <alignment horizontal="center" vertical="center"/>
    </xf>
    <xf numFmtId="0" fontId="1" fillId="13" borderId="3" xfId="0" applyFont="1" applyFill="1" applyBorder="1" applyAlignment="1">
      <alignment horizontal="center" vertical="center"/>
    </xf>
    <xf numFmtId="0" fontId="1" fillId="12" borderId="11" xfId="0" applyFont="1" applyFill="1" applyBorder="1" applyAlignment="1">
      <alignment horizontal="center" vertical="center"/>
    </xf>
    <xf numFmtId="0" fontId="1" fillId="13" borderId="13" xfId="0" applyFont="1" applyFill="1" applyBorder="1" applyAlignment="1">
      <alignment horizontal="center" vertical="center"/>
    </xf>
    <xf numFmtId="0" fontId="1" fillId="13" borderId="12" xfId="0" applyFont="1" applyFill="1" applyBorder="1" applyAlignment="1">
      <alignment horizontal="center" vertical="center"/>
    </xf>
    <xf numFmtId="0" fontId="1" fillId="13" borderId="14" xfId="0" applyFont="1" applyFill="1" applyBorder="1" applyAlignment="1">
      <alignment horizontal="center" vertical="center"/>
    </xf>
    <xf numFmtId="0" fontId="1" fillId="14" borderId="15" xfId="0" applyFont="1" applyFill="1" applyBorder="1" applyAlignment="1">
      <alignment horizontal="center" vertical="center"/>
    </xf>
    <xf numFmtId="0" fontId="1" fillId="14" borderId="16" xfId="0" applyFont="1" applyFill="1" applyBorder="1" applyAlignment="1">
      <alignment horizontal="center" vertical="center"/>
    </xf>
    <xf numFmtId="0" fontId="1" fillId="14" borderId="17" xfId="0" applyFont="1" applyFill="1" applyBorder="1" applyAlignment="1">
      <alignment horizontal="center" vertical="center"/>
    </xf>
    <xf numFmtId="0" fontId="1" fillId="14" borderId="18" xfId="0" applyFont="1" applyFill="1" applyBorder="1" applyAlignment="1">
      <alignment horizontal="center" vertical="center"/>
    </xf>
    <xf numFmtId="0" fontId="1" fillId="14" borderId="19" xfId="0" applyFont="1" applyFill="1" applyBorder="1" applyAlignment="1">
      <alignment horizontal="center" vertical="center"/>
    </xf>
    <xf numFmtId="0" fontId="1" fillId="14" borderId="10" xfId="0" applyFont="1" applyFill="1" applyBorder="1" applyAlignment="1">
      <alignment horizontal="center" vertical="center"/>
    </xf>
    <xf numFmtId="0" fontId="1" fillId="14" borderId="0" xfId="0" applyFont="1" applyFill="1" applyBorder="1" applyAlignment="1">
      <alignment horizontal="center" vertical="center"/>
    </xf>
    <xf numFmtId="0" fontId="1" fillId="14" borderId="8" xfId="0" applyFont="1" applyFill="1" applyBorder="1" applyAlignment="1">
      <alignment horizontal="center" vertical="center"/>
    </xf>
    <xf numFmtId="0" fontId="1" fillId="14" borderId="7" xfId="0" applyFont="1" applyFill="1" applyBorder="1" applyAlignment="1">
      <alignment horizontal="center" vertical="center"/>
    </xf>
    <xf numFmtId="0" fontId="1" fillId="14" borderId="9" xfId="0" applyFont="1" applyFill="1" applyBorder="1" applyAlignment="1">
      <alignment horizontal="center" vertical="center"/>
    </xf>
    <xf numFmtId="0" fontId="1" fillId="14" borderId="11" xfId="0" applyFont="1" applyFill="1" applyBorder="1" applyAlignment="1">
      <alignment horizontal="center" vertical="center"/>
    </xf>
    <xf numFmtId="0" fontId="1" fillId="14" borderId="12" xfId="0" applyFont="1" applyFill="1" applyBorder="1" applyAlignment="1">
      <alignment horizontal="center" vertical="center"/>
    </xf>
    <xf numFmtId="0" fontId="1" fillId="14" borderId="14" xfId="0" applyFont="1" applyFill="1" applyBorder="1" applyAlignment="1">
      <alignment horizontal="center" vertical="center"/>
    </xf>
    <xf numFmtId="0" fontId="1" fillId="14" borderId="13" xfId="0" applyFont="1" applyFill="1" applyBorder="1" applyAlignment="1">
      <alignment horizontal="center" vertical="center"/>
    </xf>
    <xf numFmtId="0" fontId="1" fillId="14" borderId="1" xfId="0" applyFont="1" applyFill="1" applyBorder="1" applyAlignment="1">
      <alignment horizontal="center" vertical="center"/>
    </xf>
    <xf numFmtId="0" fontId="1" fillId="14" borderId="23" xfId="0" applyFont="1" applyFill="1" applyBorder="1" applyAlignment="1">
      <alignment horizontal="center" vertical="center"/>
    </xf>
    <xf numFmtId="0" fontId="1" fillId="14" borderId="21" xfId="0" applyFont="1" applyFill="1" applyBorder="1" applyAlignment="1">
      <alignment horizontal="center" vertical="center"/>
    </xf>
    <xf numFmtId="0" fontId="1" fillId="14" borderId="24" xfId="0" applyFont="1" applyFill="1" applyBorder="1" applyAlignment="1">
      <alignment horizontal="center" vertical="center"/>
    </xf>
    <xf numFmtId="0" fontId="1" fillId="15" borderId="0" xfId="0" applyFont="1" applyFill="1" applyAlignment="1">
      <alignment horizontal="left" vertical="center"/>
    </xf>
    <xf numFmtId="0" fontId="1" fillId="15" borderId="0" xfId="0" applyFont="1" applyFill="1" applyAlignment="1">
      <alignment horizontal="center" vertical="center"/>
    </xf>
    <xf numFmtId="0" fontId="1" fillId="15" borderId="5" xfId="0" applyFont="1" applyFill="1" applyBorder="1" applyAlignment="1">
      <alignment horizontal="center" vertical="center"/>
    </xf>
    <xf numFmtId="0" fontId="0" fillId="15" borderId="5" xfId="0" applyFill="1" applyBorder="1" applyAlignment="1">
      <alignment horizontal="center" vertical="center"/>
    </xf>
    <xf numFmtId="0" fontId="1" fillId="15" borderId="5" xfId="0" applyFont="1" applyFill="1" applyBorder="1" applyAlignment="1">
      <alignment horizontal="center" vertical="center"/>
    </xf>
    <xf numFmtId="0" fontId="0" fillId="15" borderId="5" xfId="0" applyFill="1" applyBorder="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left" vertical="center"/>
    </xf>
    <xf numFmtId="0" fontId="0" fillId="0" borderId="0" xfId="0" applyAlignment="1">
      <alignment vertical="center"/>
    </xf>
    <xf numFmtId="0" fontId="0" fillId="2" borderId="61" xfId="0" applyFill="1" applyBorder="1" applyAlignment="1">
      <alignment horizontal="center"/>
    </xf>
    <xf numFmtId="0" fontId="0" fillId="13" borderId="58" xfId="0" applyFill="1" applyBorder="1" applyAlignment="1">
      <alignment horizontal="center"/>
    </xf>
    <xf numFmtId="0" fontId="1" fillId="2" borderId="19" xfId="0" applyFont="1" applyFill="1" applyBorder="1" applyAlignment="1">
      <alignment horizontal="center" vertical="center"/>
    </xf>
    <xf numFmtId="0" fontId="1" fillId="5" borderId="6" xfId="0" applyFont="1" applyFill="1" applyBorder="1" applyAlignment="1">
      <alignment horizontal="center" vertical="center"/>
    </xf>
    <xf numFmtId="0" fontId="1" fillId="5" borderId="15" xfId="0" applyFont="1" applyFill="1" applyBorder="1" applyAlignment="1">
      <alignment horizontal="center" vertical="center"/>
    </xf>
    <xf numFmtId="0" fontId="6" fillId="0" borderId="11"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1" fillId="9" borderId="24" xfId="0" applyFont="1" applyFill="1" applyBorder="1" applyAlignment="1">
      <alignment horizontal="center" vertical="center"/>
    </xf>
    <xf numFmtId="0" fontId="1" fillId="10" borderId="4" xfId="0" applyFont="1" applyFill="1" applyBorder="1" applyAlignment="1">
      <alignment horizontal="center" vertical="center"/>
    </xf>
    <xf numFmtId="0" fontId="13" fillId="7" borderId="0" xfId="0" applyFont="1" applyFill="1" applyBorder="1" applyAlignment="1">
      <alignment vertical="top" wrapText="1"/>
    </xf>
    <xf numFmtId="0" fontId="0" fillId="2" borderId="68" xfId="0" applyFill="1" applyBorder="1" applyAlignment="1">
      <alignment horizontal="center"/>
    </xf>
    <xf numFmtId="0" fontId="0" fillId="10" borderId="69" xfId="0" applyFill="1" applyBorder="1" applyAlignment="1">
      <alignment horizontal="center"/>
    </xf>
    <xf numFmtId="0" fontId="0" fillId="0" borderId="0" xfId="0" applyAlignment="1">
      <alignment vertical="center"/>
    </xf>
    <xf numFmtId="0" fontId="1" fillId="11" borderId="6" xfId="0" applyFont="1" applyFill="1" applyBorder="1" applyAlignment="1">
      <alignment horizontal="center" vertical="center"/>
    </xf>
    <xf numFmtId="0" fontId="1" fillId="10" borderId="1" xfId="0" applyFont="1" applyFill="1" applyBorder="1" applyAlignment="1">
      <alignment horizontal="center" vertical="center"/>
    </xf>
    <xf numFmtId="0" fontId="1" fillId="12" borderId="5" xfId="0" applyFont="1" applyFill="1" applyBorder="1" applyAlignment="1">
      <alignment horizontal="center" vertical="center"/>
    </xf>
    <xf numFmtId="0" fontId="1" fillId="10" borderId="6" xfId="0" applyFont="1" applyFill="1" applyBorder="1" applyAlignment="1">
      <alignment horizontal="center" vertical="center"/>
    </xf>
    <xf numFmtId="0" fontId="1" fillId="13" borderId="22" xfId="0" applyFont="1" applyFill="1" applyBorder="1" applyAlignment="1">
      <alignment horizontal="center" vertical="center"/>
    </xf>
    <xf numFmtId="0" fontId="6" fillId="0" borderId="0" xfId="0" applyFont="1"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0" fillId="2" borderId="0" xfId="0" applyFill="1" applyBorder="1" applyAlignment="1">
      <alignment horizontal="center"/>
    </xf>
    <xf numFmtId="0" fontId="0" fillId="5" borderId="0" xfId="0" applyFill="1" applyBorder="1" applyAlignment="1">
      <alignment horizontal="center"/>
    </xf>
    <xf numFmtId="0" fontId="0" fillId="12" borderId="56" xfId="0" applyFill="1" applyBorder="1" applyAlignment="1">
      <alignment horizontal="center"/>
    </xf>
    <xf numFmtId="0" fontId="1" fillId="11" borderId="2" xfId="0" applyFont="1" applyFill="1" applyBorder="1" applyAlignment="1">
      <alignment horizontal="center" vertical="center"/>
    </xf>
    <xf numFmtId="0" fontId="1" fillId="11" borderId="10" xfId="0" applyFont="1" applyFill="1" applyBorder="1" applyAlignment="1">
      <alignment horizontal="center" vertical="center"/>
    </xf>
    <xf numFmtId="0" fontId="1" fillId="11" borderId="11" xfId="0" applyFont="1" applyFill="1" applyBorder="1" applyAlignment="1">
      <alignment horizontal="center" vertical="center"/>
    </xf>
    <xf numFmtId="0" fontId="1" fillId="10" borderId="20" xfId="0" applyFont="1" applyFill="1" applyBorder="1" applyAlignment="1">
      <alignment horizontal="center" vertical="center"/>
    </xf>
    <xf numFmtId="0" fontId="1" fillId="12" borderId="4" xfId="0" applyFont="1" applyFill="1" applyBorder="1" applyAlignment="1">
      <alignment horizontal="center" vertical="center"/>
    </xf>
    <xf numFmtId="0" fontId="1" fillId="12" borderId="19"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23" xfId="0" applyFont="1" applyFill="1" applyBorder="1" applyAlignment="1">
      <alignment horizontal="center" vertical="center"/>
    </xf>
    <xf numFmtId="0" fontId="1" fillId="11" borderId="15" xfId="0" applyFont="1" applyFill="1" applyBorder="1" applyAlignment="1">
      <alignment horizontal="center" vertical="center"/>
    </xf>
    <xf numFmtId="0" fontId="0" fillId="0" borderId="0" xfId="0" applyFill="1"/>
    <xf numFmtId="0" fontId="1" fillId="12" borderId="24" xfId="0" applyFont="1" applyFill="1" applyBorder="1" applyAlignment="1">
      <alignment horizontal="center" vertical="center"/>
    </xf>
    <xf numFmtId="0" fontId="0" fillId="9" borderId="60" xfId="0" applyFill="1" applyBorder="1" applyAlignment="1">
      <alignment horizontal="center"/>
    </xf>
    <xf numFmtId="0" fontId="0" fillId="13" borderId="0" xfId="0" applyFill="1" applyBorder="1" applyAlignment="1">
      <alignment horizontal="center"/>
    </xf>
    <xf numFmtId="0" fontId="0" fillId="12" borderId="67" xfId="0" applyFill="1" applyBorder="1" applyAlignment="1">
      <alignment horizontal="center"/>
    </xf>
    <xf numFmtId="0" fontId="0" fillId="13" borderId="66" xfId="0" applyFill="1" applyBorder="1" applyAlignment="1">
      <alignment horizontal="center"/>
    </xf>
    <xf numFmtId="0" fontId="0" fillId="12" borderId="0" xfId="0" applyFill="1" applyBorder="1" applyAlignment="1">
      <alignment horizontal="center"/>
    </xf>
    <xf numFmtId="0" fontId="0" fillId="14" borderId="70" xfId="0" applyFill="1" applyBorder="1" applyAlignment="1">
      <alignment horizontal="center"/>
    </xf>
    <xf numFmtId="0" fontId="0" fillId="14" borderId="56" xfId="0" applyFill="1" applyBorder="1" applyAlignment="1">
      <alignment horizontal="center"/>
    </xf>
    <xf numFmtId="0" fontId="1" fillId="8" borderId="6" xfId="0" applyFont="1" applyFill="1" applyBorder="1" applyAlignment="1">
      <alignment horizontal="center" vertical="center"/>
    </xf>
    <xf numFmtId="0" fontId="1" fillId="8" borderId="9" xfId="0" applyFont="1" applyFill="1" applyBorder="1" applyAlignment="1">
      <alignment horizontal="center" vertical="center"/>
    </xf>
    <xf numFmtId="0" fontId="1" fillId="8" borderId="1" xfId="0" applyFont="1" applyFill="1" applyBorder="1" applyAlignment="1">
      <alignment horizontal="center" vertical="center"/>
    </xf>
    <xf numFmtId="0" fontId="1" fillId="2" borderId="23" xfId="0" applyFont="1" applyFill="1" applyBorder="1" applyAlignment="1">
      <alignment horizontal="center" vertical="center"/>
    </xf>
    <xf numFmtId="0" fontId="1" fillId="11" borderId="20" xfId="0" applyFont="1" applyFill="1" applyBorder="1" applyAlignment="1">
      <alignment horizontal="center" vertical="center"/>
    </xf>
    <xf numFmtId="0" fontId="1" fillId="13" borderId="2" xfId="0" applyFont="1" applyFill="1" applyBorder="1" applyAlignment="1">
      <alignment horizontal="center" vertical="center"/>
    </xf>
    <xf numFmtId="0" fontId="1" fillId="13" borderId="11" xfId="0" applyFont="1" applyFill="1" applyBorder="1" applyAlignment="1">
      <alignment horizontal="center" vertical="center"/>
    </xf>
    <xf numFmtId="0" fontId="1" fillId="14" borderId="20" xfId="0" applyFont="1" applyFill="1" applyBorder="1" applyAlignment="1">
      <alignment horizontal="center" vertical="center"/>
    </xf>
    <xf numFmtId="0" fontId="1" fillId="14" borderId="22" xfId="0" applyFont="1" applyFill="1" applyBorder="1" applyAlignment="1">
      <alignment horizontal="center" vertical="center"/>
    </xf>
    <xf numFmtId="0" fontId="1" fillId="5" borderId="20" xfId="0" applyFont="1" applyFill="1" applyBorder="1" applyAlignment="1">
      <alignment horizontal="center" vertical="center"/>
    </xf>
    <xf numFmtId="0" fontId="0" fillId="8" borderId="74" xfId="0" applyFill="1" applyBorder="1" applyAlignment="1">
      <alignment horizontal="center"/>
    </xf>
    <xf numFmtId="0" fontId="0" fillId="8" borderId="18" xfId="0" applyFill="1" applyBorder="1" applyAlignment="1">
      <alignment horizontal="center"/>
    </xf>
    <xf numFmtId="0" fontId="0" fillId="8" borderId="71" xfId="0" applyFill="1" applyBorder="1" applyAlignment="1">
      <alignment horizontal="center"/>
    </xf>
    <xf numFmtId="0" fontId="0" fillId="8" borderId="7" xfId="0" applyFill="1" applyBorder="1" applyAlignment="1">
      <alignment horizontal="center"/>
    </xf>
    <xf numFmtId="0" fontId="0" fillId="8" borderId="62" xfId="0" applyFill="1" applyBorder="1" applyAlignment="1">
      <alignment horizontal="center"/>
    </xf>
    <xf numFmtId="0" fontId="0" fillId="2" borderId="91" xfId="0" applyFill="1" applyBorder="1" applyAlignment="1">
      <alignment horizontal="center"/>
    </xf>
    <xf numFmtId="0" fontId="0" fillId="9" borderId="85" xfId="0" applyFill="1" applyBorder="1" applyAlignment="1">
      <alignment horizontal="center"/>
    </xf>
    <xf numFmtId="0" fontId="0" fillId="9" borderId="92" xfId="0" applyFill="1" applyBorder="1" applyAlignment="1">
      <alignment horizontal="center"/>
    </xf>
    <xf numFmtId="0" fontId="0" fillId="8" borderId="64" xfId="0" applyFill="1" applyBorder="1" applyAlignment="1">
      <alignment horizontal="center"/>
    </xf>
    <xf numFmtId="0" fontId="0" fillId="10" borderId="80" xfId="0" applyFill="1" applyBorder="1" applyAlignment="1">
      <alignment horizontal="center"/>
    </xf>
    <xf numFmtId="0" fontId="0" fillId="10" borderId="62" xfId="0" applyFill="1" applyBorder="1" applyAlignment="1">
      <alignment horizontal="center"/>
    </xf>
    <xf numFmtId="0" fontId="0" fillId="10" borderId="81" xfId="0" applyFill="1" applyBorder="1" applyAlignment="1">
      <alignment horizontal="center"/>
    </xf>
    <xf numFmtId="0" fontId="0" fillId="10" borderId="63" xfId="0" applyFill="1" applyBorder="1" applyAlignment="1">
      <alignment horizontal="center"/>
    </xf>
    <xf numFmtId="0" fontId="0" fillId="5" borderId="63" xfId="0" applyFill="1" applyBorder="1" applyAlignment="1">
      <alignment horizontal="center"/>
    </xf>
    <xf numFmtId="0" fontId="0" fillId="8" borderId="73" xfId="0" applyFill="1" applyBorder="1" applyAlignment="1">
      <alignment horizontal="center"/>
    </xf>
    <xf numFmtId="0" fontId="0" fillId="5" borderId="66" xfId="0" applyFill="1" applyBorder="1" applyAlignment="1">
      <alignment horizontal="center"/>
    </xf>
    <xf numFmtId="0" fontId="0" fillId="5" borderId="57" xfId="0" applyFill="1" applyBorder="1" applyAlignment="1">
      <alignment horizontal="center"/>
    </xf>
    <xf numFmtId="0" fontId="0" fillId="8" borderId="94" xfId="0" applyFill="1" applyBorder="1" applyAlignment="1">
      <alignment horizontal="center"/>
    </xf>
    <xf numFmtId="0" fontId="0" fillId="5" borderId="77" xfId="0" applyFill="1" applyBorder="1" applyAlignment="1">
      <alignment horizontal="center"/>
    </xf>
    <xf numFmtId="0" fontId="0" fillId="2" borderId="12" xfId="0" applyFill="1" applyBorder="1" applyAlignment="1">
      <alignment horizontal="center"/>
    </xf>
    <xf numFmtId="0" fontId="0" fillId="2" borderId="69" xfId="0" applyFill="1" applyBorder="1" applyAlignment="1">
      <alignment horizontal="center"/>
    </xf>
    <xf numFmtId="0" fontId="0" fillId="8" borderId="63" xfId="0" applyFill="1" applyBorder="1" applyAlignment="1">
      <alignment horizontal="center"/>
    </xf>
    <xf numFmtId="0" fontId="0" fillId="5" borderId="58" xfId="0" applyFill="1" applyBorder="1" applyAlignment="1">
      <alignment horizontal="center"/>
    </xf>
    <xf numFmtId="0" fontId="0" fillId="11" borderId="58" xfId="0" applyFill="1" applyBorder="1" applyAlignment="1">
      <alignment horizontal="center"/>
    </xf>
    <xf numFmtId="0" fontId="0" fillId="9" borderId="78" xfId="0" applyFill="1" applyBorder="1" applyAlignment="1">
      <alignment horizontal="center"/>
    </xf>
    <xf numFmtId="0" fontId="0" fillId="9" borderId="16" xfId="0" applyFill="1" applyBorder="1" applyAlignment="1">
      <alignment horizontal="center"/>
    </xf>
    <xf numFmtId="0" fontId="0" fillId="11" borderId="73" xfId="0" applyFill="1" applyBorder="1" applyAlignment="1">
      <alignment horizontal="center"/>
    </xf>
    <xf numFmtId="0" fontId="0" fillId="11" borderId="71" xfId="0" applyFill="1" applyBorder="1" applyAlignment="1">
      <alignment horizontal="center"/>
    </xf>
    <xf numFmtId="0" fontId="0" fillId="9" borderId="90" xfId="0" applyFill="1" applyBorder="1" applyAlignment="1">
      <alignment horizontal="center"/>
    </xf>
    <xf numFmtId="0" fontId="0" fillId="9" borderId="95" xfId="0" applyFill="1" applyBorder="1" applyAlignment="1">
      <alignment horizontal="center"/>
    </xf>
    <xf numFmtId="0" fontId="0" fillId="10" borderId="79" xfId="0" applyFill="1" applyBorder="1" applyAlignment="1">
      <alignment horizontal="center"/>
    </xf>
    <xf numFmtId="0" fontId="0" fillId="12" borderId="89" xfId="0" applyFill="1" applyBorder="1" applyAlignment="1">
      <alignment horizontal="center"/>
    </xf>
    <xf numFmtId="0" fontId="0" fillId="12" borderId="84" xfId="0" applyFill="1" applyBorder="1" applyAlignment="1">
      <alignment horizontal="center"/>
    </xf>
    <xf numFmtId="0" fontId="0" fillId="12" borderId="86" xfId="0" applyFill="1" applyBorder="1" applyAlignment="1">
      <alignment horizontal="center"/>
    </xf>
    <xf numFmtId="0" fontId="0" fillId="12" borderId="82" xfId="0" applyFill="1" applyBorder="1" applyAlignment="1">
      <alignment horizontal="center"/>
    </xf>
    <xf numFmtId="0" fontId="0" fillId="11" borderId="17" xfId="0" applyFill="1" applyBorder="1" applyAlignment="1">
      <alignment horizontal="center"/>
    </xf>
    <xf numFmtId="0" fontId="0" fillId="5" borderId="18" xfId="0" applyFill="1" applyBorder="1" applyAlignment="1">
      <alignment horizontal="center"/>
    </xf>
    <xf numFmtId="0" fontId="0" fillId="5" borderId="12" xfId="0" applyFill="1" applyBorder="1" applyAlignment="1">
      <alignment horizontal="center"/>
    </xf>
    <xf numFmtId="0" fontId="0" fillId="5" borderId="68" xfId="0" applyFill="1" applyBorder="1" applyAlignment="1">
      <alignment horizontal="center"/>
    </xf>
    <xf numFmtId="0" fontId="0" fillId="10" borderId="89" xfId="0" applyFill="1" applyBorder="1" applyAlignment="1">
      <alignment horizontal="center"/>
    </xf>
    <xf numFmtId="0" fontId="0" fillId="12" borderId="83" xfId="0" applyFill="1" applyBorder="1" applyAlignment="1">
      <alignment horizontal="center"/>
    </xf>
    <xf numFmtId="0" fontId="0" fillId="2" borderId="63" xfId="0" applyFill="1" applyBorder="1" applyAlignment="1">
      <alignment horizontal="center"/>
    </xf>
    <xf numFmtId="0" fontId="0" fillId="13" borderId="74" xfId="0" applyFill="1" applyBorder="1" applyAlignment="1">
      <alignment horizontal="center"/>
    </xf>
    <xf numFmtId="0" fontId="0" fillId="11" borderId="65" xfId="0" applyFill="1" applyBorder="1" applyAlignment="1">
      <alignment horizontal="center"/>
    </xf>
    <xf numFmtId="0" fontId="0" fillId="10" borderId="75" xfId="0" applyFill="1" applyBorder="1" applyAlignment="1">
      <alignment horizontal="center"/>
    </xf>
    <xf numFmtId="0" fontId="0" fillId="12" borderId="14" xfId="0" applyFill="1" applyBorder="1" applyAlignment="1">
      <alignment horizontal="center"/>
    </xf>
    <xf numFmtId="0" fontId="0" fillId="13" borderId="57" xfId="0" applyFill="1" applyBorder="1" applyAlignment="1">
      <alignment horizontal="center"/>
    </xf>
    <xf numFmtId="0" fontId="0" fillId="13" borderId="56" xfId="0" applyFill="1" applyBorder="1" applyAlignment="1">
      <alignment horizontal="center"/>
    </xf>
    <xf numFmtId="0" fontId="0" fillId="9" borderId="79" xfId="0" applyFill="1" applyBorder="1" applyAlignment="1">
      <alignment horizontal="center"/>
    </xf>
    <xf numFmtId="0" fontId="0" fillId="11" borderId="12" xfId="0" applyFill="1" applyBorder="1" applyAlignment="1">
      <alignment horizontal="center"/>
    </xf>
    <xf numFmtId="0" fontId="0" fillId="11" borderId="95" xfId="0" applyFill="1" applyBorder="1" applyAlignment="1">
      <alignment horizontal="center"/>
    </xf>
    <xf numFmtId="0" fontId="0" fillId="14" borderId="76" xfId="0" applyFill="1" applyBorder="1" applyAlignment="1">
      <alignment horizontal="center"/>
    </xf>
    <xf numFmtId="0" fontId="0" fillId="14" borderId="88" xfId="0" applyFill="1" applyBorder="1" applyAlignment="1">
      <alignment horizontal="center"/>
    </xf>
    <xf numFmtId="0" fontId="0" fillId="14" borderId="93" xfId="0" applyFill="1" applyBorder="1" applyAlignment="1">
      <alignment horizontal="center"/>
    </xf>
    <xf numFmtId="0" fontId="0" fillId="14" borderId="87" xfId="0" applyFill="1" applyBorder="1" applyAlignment="1">
      <alignment horizontal="center"/>
    </xf>
    <xf numFmtId="0" fontId="1" fillId="10" borderId="24" xfId="0" applyFont="1" applyFill="1" applyBorder="1" applyAlignment="1">
      <alignment horizontal="center" vertical="center"/>
    </xf>
    <xf numFmtId="0" fontId="1" fillId="13" borderId="20" xfId="0" applyFont="1" applyFill="1" applyBorder="1" applyAlignment="1">
      <alignment horizontal="center" vertical="center"/>
    </xf>
    <xf numFmtId="0" fontId="1" fillId="10" borderId="2" xfId="0" applyFont="1" applyFill="1" applyBorder="1" applyAlignment="1">
      <alignment horizontal="center" vertical="center"/>
    </xf>
    <xf numFmtId="0" fontId="1" fillId="12" borderId="6" xfId="0" applyFont="1" applyFill="1" applyBorder="1" applyAlignment="1">
      <alignment horizontal="center" vertical="center"/>
    </xf>
    <xf numFmtId="0" fontId="5" fillId="0" borderId="53" xfId="0" applyFont="1" applyFill="1" applyBorder="1" applyAlignment="1">
      <alignment horizontal="center" vertical="center"/>
    </xf>
    <xf numFmtId="0" fontId="0" fillId="0" borderId="52" xfId="0" applyBorder="1" applyAlignment="1">
      <alignment horizontal="center" vertical="center"/>
    </xf>
    <xf numFmtId="0" fontId="0" fillId="0" borderId="50" xfId="0" applyFill="1" applyBorder="1" applyAlignment="1"/>
    <xf numFmtId="0" fontId="0" fillId="0" borderId="51" xfId="0" applyBorder="1" applyAlignment="1"/>
    <xf numFmtId="0" fontId="0" fillId="0" borderId="54" xfId="0" applyBorder="1" applyAlignment="1"/>
    <xf numFmtId="0" fontId="1" fillId="0" borderId="50" xfId="0" applyFont="1" applyFill="1" applyBorder="1" applyAlignment="1">
      <alignment horizontal="center" vertical="center"/>
    </xf>
    <xf numFmtId="0" fontId="0" fillId="0" borderId="51" xfId="0" applyBorder="1" applyAlignment="1">
      <alignment horizontal="center" vertical="center"/>
    </xf>
    <xf numFmtId="0" fontId="0" fillId="0" borderId="54" xfId="0" applyBorder="1" applyAlignment="1">
      <alignment horizontal="center" vertical="center"/>
    </xf>
    <xf numFmtId="0" fontId="1" fillId="0" borderId="0" xfId="0" applyFont="1" applyAlignment="1">
      <alignment horizontal="left" vertical="center"/>
    </xf>
    <xf numFmtId="0" fontId="0" fillId="0" borderId="0" xfId="0" applyAlignment="1">
      <alignment vertical="center"/>
    </xf>
    <xf numFmtId="0" fontId="10" fillId="0" borderId="20" xfId="0" applyFont="1" applyBorder="1" applyAlignment="1">
      <alignment horizontal="center" vertical="center"/>
    </xf>
    <xf numFmtId="0" fontId="11" fillId="0" borderId="21" xfId="0" applyFont="1" applyBorder="1" applyAlignment="1">
      <alignment horizontal="center" vertical="center"/>
    </xf>
    <xf numFmtId="0" fontId="11" fillId="0" borderId="24" xfId="0" applyFont="1" applyBorder="1" applyAlignment="1">
      <alignment horizontal="center" vertical="center"/>
    </xf>
    <xf numFmtId="0" fontId="1" fillId="0" borderId="2"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6" borderId="5" xfId="0" applyFont="1" applyFill="1" applyBorder="1" applyAlignment="1">
      <alignment horizontal="center" vertical="center"/>
    </xf>
    <xf numFmtId="0" fontId="5" fillId="0" borderId="0" xfId="0" applyFont="1" applyAlignment="1">
      <alignment horizontal="center"/>
    </xf>
    <xf numFmtId="0" fontId="1" fillId="15" borderId="5" xfId="0" applyFont="1" applyFill="1" applyBorder="1" applyAlignment="1">
      <alignment horizontal="center" vertical="center"/>
    </xf>
    <xf numFmtId="0" fontId="0" fillId="15" borderId="5" xfId="0" applyFill="1" applyBorder="1" applyAlignment="1">
      <alignment horizontal="center" vertical="center"/>
    </xf>
    <xf numFmtId="0" fontId="1" fillId="0" borderId="57" xfId="0" applyFont="1" applyBorder="1" applyAlignment="1">
      <alignment horizontal="center" vertical="center"/>
    </xf>
    <xf numFmtId="0" fontId="1" fillId="0" borderId="59" xfId="0" applyFont="1" applyBorder="1" applyAlignment="1">
      <alignment horizontal="center" vertical="center"/>
    </xf>
    <xf numFmtId="0" fontId="21" fillId="3" borderId="0" xfId="0" applyFont="1" applyFill="1" applyBorder="1" applyAlignment="1">
      <alignment vertical="top" wrapText="1"/>
    </xf>
    <xf numFmtId="0" fontId="22" fillId="0" borderId="0" xfId="0" applyFont="1" applyBorder="1" applyAlignment="1">
      <alignment vertical="top" wrapText="1"/>
    </xf>
    <xf numFmtId="0" fontId="13" fillId="7" borderId="0" xfId="0" applyFont="1" applyFill="1" applyBorder="1" applyAlignment="1">
      <alignment vertical="top" wrapText="1"/>
    </xf>
    <xf numFmtId="0" fontId="6" fillId="16" borderId="0" xfId="0" applyFont="1" applyFill="1" applyAlignment="1">
      <alignment horizontal="center" vertical="center"/>
    </xf>
    <xf numFmtId="0" fontId="24" fillId="16" borderId="0" xfId="0" applyFont="1" applyFill="1" applyAlignment="1">
      <alignment horizontal="center" vertical="center"/>
    </xf>
    <xf numFmtId="0" fontId="1" fillId="0" borderId="58" xfId="0" applyFont="1" applyBorder="1" applyAlignment="1">
      <alignment horizontal="center" vertical="center"/>
    </xf>
    <xf numFmtId="0" fontId="25" fillId="17" borderId="59" xfId="0" applyFont="1" applyFill="1" applyBorder="1" applyAlignment="1">
      <alignment horizontal="center" vertical="center"/>
    </xf>
    <xf numFmtId="0" fontId="25" fillId="17" borderId="58" xfId="0" applyFont="1" applyFill="1" applyBorder="1" applyAlignment="1">
      <alignment horizontal="center" vertical="center"/>
    </xf>
    <xf numFmtId="0" fontId="23" fillId="3" borderId="0" xfId="0" applyFont="1" applyFill="1" applyBorder="1" applyAlignment="1">
      <alignment horizontal="left" vertical="center" wrapText="1"/>
    </xf>
    <xf numFmtId="0" fontId="22" fillId="0" borderId="0" xfId="0" applyFont="1" applyBorder="1" applyAlignment="1">
      <alignment vertical="center" wrapText="1"/>
    </xf>
    <xf numFmtId="0" fontId="0" fillId="0" borderId="72" xfId="0" applyBorder="1" applyAlignment="1">
      <alignment horizontal="center" vertical="center"/>
    </xf>
    <xf numFmtId="0" fontId="0" fillId="0" borderId="59" xfId="0" applyBorder="1" applyAlignment="1">
      <alignment horizontal="center" vertical="center"/>
    </xf>
    <xf numFmtId="0" fontId="0" fillId="0" borderId="0" xfId="0" applyAlignment="1">
      <alignment vertical="top" wrapText="1"/>
    </xf>
    <xf numFmtId="0" fontId="1" fillId="0" borderId="5" xfId="0" applyFont="1" applyBorder="1" applyAlignment="1">
      <alignment horizontal="center" vertical="center"/>
    </xf>
    <xf numFmtId="0" fontId="1" fillId="0" borderId="53" xfId="0" applyFont="1" applyFill="1" applyBorder="1" applyAlignment="1">
      <alignment horizontal="center" vertical="center"/>
    </xf>
    <xf numFmtId="0" fontId="0" fillId="0" borderId="55" xfId="0"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cellXfs>
  <cellStyles count="259">
    <cellStyle name="Besuchter Link" xfId="2" builtinId="9" hidden="1"/>
    <cellStyle name="Besuchter Link" xfId="4" builtinId="9" hidden="1"/>
    <cellStyle name="Besuchter Link" xfId="6" builtinId="9" hidden="1"/>
    <cellStyle name="Besuchter Link" xfId="8" builtinId="9" hidden="1"/>
    <cellStyle name="Besuchter Link" xfId="10" builtinId="9" hidden="1"/>
    <cellStyle name="Besuchter Link" xfId="12" builtinId="9" hidden="1"/>
    <cellStyle name="Besuchter Link" xfId="14" builtinId="9" hidden="1"/>
    <cellStyle name="Besuchter Link" xfId="16" builtinId="9" hidden="1"/>
    <cellStyle name="Besuchter Link" xfId="18" builtinId="9" hidden="1"/>
    <cellStyle name="Besuchter Link" xfId="20" builtinId="9" hidden="1"/>
    <cellStyle name="Besuchter Link" xfId="22" builtinId="9" hidden="1"/>
    <cellStyle name="Besuchter Link" xfId="24" builtinId="9" hidden="1"/>
    <cellStyle name="Besuchter Link" xfId="26" builtinId="9" hidden="1"/>
    <cellStyle name="Besuchter Link" xfId="28" builtinId="9" hidden="1"/>
    <cellStyle name="Besuchter Link" xfId="30" builtinId="9" hidden="1"/>
    <cellStyle name="Besuchter Link" xfId="32" builtinId="9" hidden="1"/>
    <cellStyle name="Besuchter Link" xfId="34" builtinId="9" hidden="1"/>
    <cellStyle name="Besuchter Link" xfId="36" builtinId="9" hidden="1"/>
    <cellStyle name="Besuchter Link" xfId="38" builtinId="9" hidden="1"/>
    <cellStyle name="Besuchter Link" xfId="40" builtinId="9" hidden="1"/>
    <cellStyle name="Besuchter Link" xfId="42" builtinId="9" hidden="1"/>
    <cellStyle name="Besuchter Link" xfId="44" builtinId="9" hidden="1"/>
    <cellStyle name="Besuchter Link" xfId="46" builtinId="9" hidden="1"/>
    <cellStyle name="Besuchter Link" xfId="48" builtinId="9" hidden="1"/>
    <cellStyle name="Besuchter Link" xfId="50" builtinId="9" hidden="1"/>
    <cellStyle name="Besuchter Link" xfId="52" builtinId="9" hidden="1"/>
    <cellStyle name="Besuchter Link" xfId="54" builtinId="9" hidden="1"/>
    <cellStyle name="Besuchter Link" xfId="56" builtinId="9" hidden="1"/>
    <cellStyle name="Besuchter Link" xfId="58" builtinId="9" hidden="1"/>
    <cellStyle name="Besuchter Link" xfId="60" builtinId="9" hidden="1"/>
    <cellStyle name="Besuchter Link" xfId="62" builtinId="9" hidden="1"/>
    <cellStyle name="Besuchter Link" xfId="64" builtinId="9" hidden="1"/>
    <cellStyle name="Besuchter Link" xfId="66" builtinId="9" hidden="1"/>
    <cellStyle name="Besuchter Link" xfId="68" builtinId="9" hidden="1"/>
    <cellStyle name="Besuchter Link" xfId="70" builtinId="9" hidden="1"/>
    <cellStyle name="Besuchter Link" xfId="72" builtinId="9" hidden="1"/>
    <cellStyle name="Besuchter Link" xfId="74" builtinId="9" hidden="1"/>
    <cellStyle name="Besuchter Link" xfId="76" builtinId="9" hidden="1"/>
    <cellStyle name="Besuchter Link" xfId="78" builtinId="9" hidden="1"/>
    <cellStyle name="Besuchter Link" xfId="80" builtinId="9" hidden="1"/>
    <cellStyle name="Besuchter Link" xfId="82" builtinId="9" hidden="1"/>
    <cellStyle name="Besuchter Link" xfId="84" builtinId="9" hidden="1"/>
    <cellStyle name="Besuchter Link" xfId="86" builtinId="9" hidden="1"/>
    <cellStyle name="Besuchter Link" xfId="88" builtinId="9" hidden="1"/>
    <cellStyle name="Besuchter Link" xfId="90" builtinId="9" hidden="1"/>
    <cellStyle name="Besuchter Link" xfId="92" builtinId="9" hidden="1"/>
    <cellStyle name="Besuchter Link" xfId="94" builtinId="9" hidden="1"/>
    <cellStyle name="Besuchter Link" xfId="96" builtinId="9" hidden="1"/>
    <cellStyle name="Besuchter Link" xfId="98" builtinId="9" hidden="1"/>
    <cellStyle name="Besuchter Link" xfId="100" builtinId="9" hidden="1"/>
    <cellStyle name="Besuchter Link" xfId="102" builtinId="9" hidden="1"/>
    <cellStyle name="Besuchter Link" xfId="104" builtinId="9" hidden="1"/>
    <cellStyle name="Besuchter Link" xfId="106" builtinId="9" hidden="1"/>
    <cellStyle name="Besuchter Link" xfId="108" builtinId="9" hidden="1"/>
    <cellStyle name="Besuchter Link" xfId="110" builtinId="9" hidden="1"/>
    <cellStyle name="Besuchter Link" xfId="112" builtinId="9" hidden="1"/>
    <cellStyle name="Besuchter Link" xfId="114" builtinId="9" hidden="1"/>
    <cellStyle name="Besuchter Link" xfId="116" builtinId="9" hidden="1"/>
    <cellStyle name="Besuchter Link" xfId="118" builtinId="9" hidden="1"/>
    <cellStyle name="Besuchter Link" xfId="120" builtinId="9" hidden="1"/>
    <cellStyle name="Besuchter Link" xfId="122" builtinId="9" hidden="1"/>
    <cellStyle name="Besuchter Link" xfId="124" builtinId="9" hidden="1"/>
    <cellStyle name="Besuchter Link" xfId="126" builtinId="9" hidden="1"/>
    <cellStyle name="Besuchter Link" xfId="128" builtinId="9" hidden="1"/>
    <cellStyle name="Besuchter Link" xfId="130" builtinId="9" hidden="1"/>
    <cellStyle name="Besuchter Link" xfId="132" builtinId="9" hidden="1"/>
    <cellStyle name="Besuchter Link" xfId="134" builtinId="9" hidden="1"/>
    <cellStyle name="Besuchter Link" xfId="136" builtinId="9" hidden="1"/>
    <cellStyle name="Besuchter Link" xfId="138" builtinId="9" hidden="1"/>
    <cellStyle name="Besuchter Link" xfId="140" builtinId="9" hidden="1"/>
    <cellStyle name="Besuchter Link" xfId="142" builtinId="9" hidden="1"/>
    <cellStyle name="Besuchter Link" xfId="144" builtinId="9" hidden="1"/>
    <cellStyle name="Besuchter Link" xfId="146" builtinId="9" hidden="1"/>
    <cellStyle name="Besuchter Link" xfId="148" builtinId="9" hidden="1"/>
    <cellStyle name="Besuchter Link" xfId="150" builtinId="9" hidden="1"/>
    <cellStyle name="Besuchter Link" xfId="152" builtinId="9" hidden="1"/>
    <cellStyle name="Besuchter Link" xfId="154" builtinId="9" hidden="1"/>
    <cellStyle name="Besuchter Link" xfId="156" builtinId="9" hidden="1"/>
    <cellStyle name="Besuchter Link" xfId="158" builtinId="9" hidden="1"/>
    <cellStyle name="Besuchter Link" xfId="160" builtinId="9" hidden="1"/>
    <cellStyle name="Besuchter Link" xfId="162" builtinId="9" hidden="1"/>
    <cellStyle name="Besuchter Link" xfId="164" builtinId="9" hidden="1"/>
    <cellStyle name="Besuchter Link" xfId="166" builtinId="9" hidden="1"/>
    <cellStyle name="Besuchter Link" xfId="168" builtinId="9" hidden="1"/>
    <cellStyle name="Besuchter Link" xfId="170" builtinId="9" hidden="1"/>
    <cellStyle name="Besuchter Link" xfId="172" builtinId="9" hidden="1"/>
    <cellStyle name="Besuchter Link" xfId="174" builtinId="9" hidden="1"/>
    <cellStyle name="Besuchter Link" xfId="176" builtinId="9" hidden="1"/>
    <cellStyle name="Besuchter Link" xfId="178" builtinId="9" hidden="1"/>
    <cellStyle name="Besuchter Link" xfId="180" builtinId="9" hidden="1"/>
    <cellStyle name="Besuchter Link" xfId="182" builtinId="9" hidden="1"/>
    <cellStyle name="Besuchter Link" xfId="184" builtinId="9" hidden="1"/>
    <cellStyle name="Besuchter Link" xfId="186" builtinId="9" hidden="1"/>
    <cellStyle name="Besuchter Link" xfId="188" builtinId="9" hidden="1"/>
    <cellStyle name="Besuchter Link" xfId="190" builtinId="9" hidden="1"/>
    <cellStyle name="Besuchter Link" xfId="192" builtinId="9" hidden="1"/>
    <cellStyle name="Besuchter Link" xfId="194" builtinId="9" hidden="1"/>
    <cellStyle name="Besuchter Link" xfId="196" builtinId="9" hidden="1"/>
    <cellStyle name="Besuchter Link" xfId="198" builtinId="9" hidden="1"/>
    <cellStyle name="Besuchter Link" xfId="200" builtinId="9" hidden="1"/>
    <cellStyle name="Besuchter Link" xfId="202" builtinId="9" hidden="1"/>
    <cellStyle name="Besuchter Link" xfId="204" builtinId="9" hidden="1"/>
    <cellStyle name="Besuchter Link" xfId="206" builtinId="9" hidden="1"/>
    <cellStyle name="Besuchter Link" xfId="208" builtinId="9" hidden="1"/>
    <cellStyle name="Besuchter Link" xfId="210" builtinId="9" hidden="1"/>
    <cellStyle name="Besuchter Link" xfId="212" builtinId="9" hidden="1"/>
    <cellStyle name="Besuchter Link" xfId="214" builtinId="9" hidden="1"/>
    <cellStyle name="Besuchter Link" xfId="216" builtinId="9" hidden="1"/>
    <cellStyle name="Besuchter Link" xfId="218" builtinId="9" hidden="1"/>
    <cellStyle name="Besuchter Link" xfId="220" builtinId="9" hidden="1"/>
    <cellStyle name="Besuchter Link" xfId="222" builtinId="9" hidden="1"/>
    <cellStyle name="Besuchter Link" xfId="224" builtinId="9" hidden="1"/>
    <cellStyle name="Besuchter Link" xfId="226" builtinId="9" hidden="1"/>
    <cellStyle name="Besuchter Link" xfId="228" builtinId="9" hidden="1"/>
    <cellStyle name="Besuchter Link" xfId="230" builtinId="9" hidden="1"/>
    <cellStyle name="Besuchter Link" xfId="232" builtinId="9" hidden="1"/>
    <cellStyle name="Besuchter Link" xfId="234" builtinId="9" hidden="1"/>
    <cellStyle name="Besuchter Link" xfId="236" builtinId="9" hidden="1"/>
    <cellStyle name="Besuchter Link" xfId="238" builtinId="9" hidden="1"/>
    <cellStyle name="Besuchter Link" xfId="240" builtinId="9" hidden="1"/>
    <cellStyle name="Besuchter Link" xfId="242" builtinId="9" hidden="1"/>
    <cellStyle name="Besuchter Link" xfId="244" builtinId="9" hidden="1"/>
    <cellStyle name="Besuchter Link" xfId="246" builtinId="9" hidden="1"/>
    <cellStyle name="Besuchter Link" xfId="248" builtinId="9" hidden="1"/>
    <cellStyle name="Besuchter Link" xfId="250" builtinId="9" hidden="1"/>
    <cellStyle name="Besuchter Link" xfId="252" builtinId="9" hidden="1"/>
    <cellStyle name="Besuchter Link" xfId="254" builtinId="9" hidden="1"/>
    <cellStyle name="Besuchter Link" xfId="256" builtinId="9" hidden="1"/>
    <cellStyle name="Besuchter Link" xfId="258" builtinId="9" hidde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Standard" xfId="0" builtinId="0"/>
  </cellStyles>
  <dxfs count="72">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ont>
        <condense val="0"/>
        <extend val="0"/>
        <color auto="1"/>
      </font>
      <fill>
        <patternFill>
          <bgColor indexed="45"/>
        </patternFill>
      </fill>
    </dxf>
    <dxf>
      <fill>
        <patternFill patternType="solid">
          <fgColor indexed="64"/>
          <bgColor rgb="FF66FF66"/>
        </patternFill>
      </fill>
      <border>
        <left style="thin">
          <color auto="1"/>
        </left>
        <right style="thin">
          <color auto="1"/>
        </right>
        <top style="thin">
          <color auto="1"/>
        </top>
        <bottom style="thin">
          <color auto="1"/>
        </bottom>
      </border>
    </dxf>
    <dxf>
      <font>
        <condense val="0"/>
        <extend val="0"/>
        <color indexed="45"/>
      </font>
      <fill>
        <patternFill>
          <bgColor indexed="45"/>
        </patternFill>
      </fill>
    </dxf>
    <dxf>
      <font>
        <color auto="1"/>
      </font>
      <fill>
        <patternFill patternType="solid">
          <fgColor indexed="64"/>
          <bgColor indexed="11"/>
        </patternFill>
      </fill>
    </dxf>
    <dxf>
      <font>
        <condense val="0"/>
        <extend val="0"/>
        <color indexed="45"/>
      </font>
      <fill>
        <patternFill>
          <bgColor indexed="45"/>
        </patternFill>
      </fill>
    </dxf>
    <dxf>
      <font>
        <color auto="1"/>
      </font>
      <fill>
        <patternFill patternType="solid">
          <fgColor indexed="64"/>
          <bgColor indexed="11"/>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ont>
        <color auto="1"/>
      </font>
      <fill>
        <patternFill patternType="solid">
          <fgColor indexed="64"/>
          <bgColor indexed="53"/>
        </patternFill>
      </fill>
    </dxf>
    <dxf>
      <fill>
        <patternFill>
          <bgColor indexed="45"/>
        </patternFill>
      </fill>
    </dxf>
    <dxf>
      <font>
        <color auto="1"/>
      </font>
      <fill>
        <patternFill patternType="solid">
          <fgColor indexed="64"/>
          <bgColor indexed="53"/>
        </patternFill>
      </fill>
    </dxf>
    <dxf>
      <font>
        <condense val="0"/>
        <extend val="0"/>
        <color indexed="45"/>
      </font>
      <fill>
        <patternFill>
          <bgColor indexed="45"/>
        </patternFill>
      </fill>
    </dxf>
    <dxf>
      <font>
        <color auto="1"/>
      </font>
      <fill>
        <patternFill patternType="solid">
          <fgColor indexed="64"/>
          <bgColor indexed="11"/>
        </patternFill>
      </fill>
    </dxf>
    <dxf>
      <font>
        <condense val="0"/>
        <extend val="0"/>
        <color indexed="45"/>
      </font>
      <fill>
        <patternFill>
          <bgColor indexed="45"/>
        </patternFill>
      </fill>
    </dxf>
    <dxf>
      <font>
        <color auto="1"/>
      </font>
      <fill>
        <patternFill patternType="solid">
          <fgColor indexed="64"/>
          <bgColor indexed="11"/>
        </patternFill>
      </fill>
    </dxf>
    <dxf>
      <font>
        <color auto="1"/>
      </font>
      <fill>
        <patternFill patternType="solid">
          <fgColor indexed="64"/>
          <bgColor rgb="FFFFFF99"/>
        </patternFill>
      </fill>
    </dxf>
    <dxf>
      <font>
        <color auto="1"/>
      </font>
      <fill>
        <patternFill patternType="solid">
          <fgColor indexed="64"/>
          <bgColor rgb="FFFFFF99"/>
        </patternFill>
      </fill>
    </dxf>
    <dxf>
      <font>
        <color auto="1"/>
      </font>
      <fill>
        <patternFill patternType="solid">
          <fgColor indexed="64"/>
          <bgColor rgb="FFCCFFFF"/>
        </patternFill>
      </fill>
    </dxf>
    <dxf>
      <fill>
        <patternFill patternType="solid">
          <fgColor indexed="64"/>
          <bgColor rgb="FFCCFFCC"/>
        </patternFill>
      </fill>
    </dxf>
    <dxf>
      <font>
        <color auto="1"/>
      </font>
      <fill>
        <patternFill patternType="solid">
          <fgColor indexed="64"/>
          <bgColor rgb="FFFFFF99"/>
        </patternFill>
      </fill>
    </dxf>
    <dxf>
      <font>
        <color auto="1"/>
      </font>
      <fill>
        <patternFill patternType="solid">
          <fgColor indexed="64"/>
          <bgColor rgb="FF99CCFF"/>
        </patternFill>
      </fill>
    </dxf>
    <dxf>
      <font>
        <color auto="1"/>
      </font>
      <fill>
        <patternFill patternType="solid">
          <fgColor indexed="64"/>
          <bgColor rgb="FFFF99CC"/>
        </patternFill>
      </fill>
    </dxf>
    <dxf>
      <font>
        <color auto="1"/>
      </font>
      <fill>
        <patternFill patternType="solid">
          <fgColor indexed="64"/>
          <bgColor rgb="FFCC99FF"/>
        </patternFill>
      </fill>
    </dxf>
    <dxf>
      <font>
        <color auto="1"/>
      </font>
      <fill>
        <patternFill patternType="solid">
          <fgColor indexed="64"/>
          <bgColor rgb="FFFFCC99"/>
        </patternFill>
      </fill>
    </dxf>
    <dxf>
      <font>
        <color auto="1"/>
      </font>
      <fill>
        <patternFill patternType="solid">
          <fgColor indexed="64"/>
          <bgColor rgb="FF33CCCC"/>
        </patternFill>
      </fill>
    </dxf>
    <dxf>
      <font>
        <color auto="1"/>
      </font>
      <fill>
        <patternFill patternType="solid">
          <fgColor indexed="64"/>
          <bgColor rgb="FF99CC00"/>
        </patternFill>
      </fill>
    </dxf>
    <dxf>
      <fill>
        <patternFill>
          <bgColor indexed="53"/>
        </patternFill>
      </fill>
    </dxf>
    <dxf>
      <font>
        <color auto="1"/>
      </font>
      <fill>
        <patternFill patternType="solid">
          <fgColor indexed="64"/>
          <bgColor indexed="10"/>
        </patternFill>
      </fill>
    </dxf>
    <dxf>
      <font>
        <color auto="1"/>
      </font>
      <fill>
        <patternFill patternType="solid">
          <fgColor indexed="64"/>
          <bgColor indexed="11"/>
        </patternFill>
      </fill>
    </dxf>
    <dxf>
      <fill>
        <patternFill>
          <bgColor indexed="10"/>
        </patternFill>
      </fill>
    </dxf>
    <dxf>
      <fill>
        <patternFill patternType="solid">
          <fgColor indexed="64"/>
          <bgColor rgb="FFFF6666"/>
        </patternFill>
      </fill>
      <border>
        <left style="thin">
          <color auto="1"/>
        </left>
        <right style="thin">
          <color auto="1"/>
        </right>
        <top style="thin">
          <color auto="1"/>
        </top>
        <bottom style="thin">
          <color auto="1"/>
        </bottom>
      </border>
    </dxf>
    <dxf>
      <fill>
        <patternFill>
          <bgColor indexed="13"/>
        </patternFill>
      </fill>
    </dxf>
    <dxf>
      <fill>
        <patternFill>
          <bgColor indexed="45"/>
        </patternFill>
      </fill>
    </dxf>
    <dxf>
      <font>
        <condense val="0"/>
        <extend val="0"/>
        <color auto="1"/>
      </font>
      <fill>
        <patternFill>
          <bgColor indexed="45"/>
        </patternFill>
      </fill>
    </dxf>
    <dxf>
      <font>
        <color auto="1"/>
      </font>
      <fill>
        <patternFill patternType="solid">
          <fgColor indexed="64"/>
          <bgColor indexed="53"/>
        </patternFill>
      </fill>
    </dxf>
    <dxf>
      <fill>
        <patternFill>
          <bgColor indexed="45"/>
        </patternFill>
      </fill>
    </dxf>
    <dxf>
      <font>
        <color auto="1"/>
      </font>
      <fill>
        <patternFill patternType="solid">
          <fgColor indexed="64"/>
          <bgColor indexed="53"/>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8" Type="http://schemas.microsoft.com/office/2006/relationships/vbaProject" Target="vbaProject.bin"/><Relationship Id="rId1" Type="http://schemas.openxmlformats.org/officeDocument/2006/relationships/worksheet" Target="worksheets/sheet1.xml"/><Relationship Id="rId2" Type="http://schemas.openxmlformats.org/officeDocument/2006/relationships/worksheet" Target="worksheets/sheet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135</xdr:col>
          <xdr:colOff>12700</xdr:colOff>
          <xdr:row>106</xdr:row>
          <xdr:rowOff>25400</xdr:rowOff>
        </xdr:from>
        <xdr:to>
          <xdr:col>137</xdr:col>
          <xdr:colOff>190500</xdr:colOff>
          <xdr:row>112</xdr:row>
          <xdr:rowOff>0</xdr:rowOff>
        </xdr:to>
        <xdr:sp macro="" textlink="">
          <xdr:nvSpPr>
            <xdr:cNvPr id="1593" name="Button 569" hidden="1">
              <a:extLst>
                <a:ext uri="{63B3BB69-23CF-44E3-9099-C40C66FF867C}">
                  <a14:compatExt spid="_x0000_s15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de-DE" sz="1000" b="0" i="0" u="none" strike="noStrike" baseline="0">
                  <a:solidFill>
                    <a:srgbClr val="000000"/>
                  </a:solidFill>
                  <a:latin typeface="Arial"/>
                  <a:ea typeface="Arial"/>
                  <a:cs typeface="Arial"/>
                </a:rPr>
                <a:t>Kandi-daten-uebertrag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28</xdr:col>
          <xdr:colOff>0</xdr:colOff>
          <xdr:row>4</xdr:row>
          <xdr:rowOff>0</xdr:rowOff>
        </xdr:to>
        <xdr:sp macro="" textlink="">
          <xdr:nvSpPr>
            <xdr:cNvPr id="1027" name="Button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600" b="0" i="0" u="none" strike="noStrike" baseline="0">
                  <a:solidFill>
                    <a:srgbClr val="000000"/>
                  </a:solidFill>
                  <a:latin typeface="Helvetica"/>
                  <a:ea typeface="Helvetica"/>
                  <a:cs typeface="Helvetica"/>
                </a:rPr>
                <a:t>Neuanfang: Alle Zellen mit x belegen</a:t>
              </a:r>
            </a:p>
          </xdr:txBody>
        </xdr:sp>
        <xdr:clientData fPrintsWithSheet="0"/>
      </xdr:twoCellAnchor>
    </mc:Choice>
    <mc:Fallback/>
  </mc:AlternateContent>
  <xdr:twoCellAnchor>
    <xdr:from>
      <xdr:col>48</xdr:col>
      <xdr:colOff>0</xdr:colOff>
      <xdr:row>1</xdr:row>
      <xdr:rowOff>355600</xdr:rowOff>
    </xdr:from>
    <xdr:to>
      <xdr:col>88</xdr:col>
      <xdr:colOff>25400</xdr:colOff>
      <xdr:row>39</xdr:row>
      <xdr:rowOff>182880</xdr:rowOff>
    </xdr:to>
    <xdr:sp macro="" textlink="">
      <xdr:nvSpPr>
        <xdr:cNvPr id="1536" name="Rectangle 4"/>
        <xdr:cNvSpPr>
          <a:spLocks noChangeArrowheads="1"/>
        </xdr:cNvSpPr>
      </xdr:nvSpPr>
      <xdr:spPr bwMode="auto">
        <a:xfrm>
          <a:off x="9753600" y="541867"/>
          <a:ext cx="8153400" cy="7108613"/>
        </a:xfrm>
        <a:prstGeom prst="rect">
          <a:avLst/>
        </a:prstGeom>
        <a:noFill/>
        <a:ln w="285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lang="de-DE"/>
        </a:p>
      </xdr:txBody>
    </xdr:sp>
    <xdr:clientData/>
  </xdr:twoCellAnchor>
  <xdr:twoCellAnchor>
    <xdr:from>
      <xdr:col>28</xdr:col>
      <xdr:colOff>139700</xdr:colOff>
      <xdr:row>14</xdr:row>
      <xdr:rowOff>114300</xdr:rowOff>
    </xdr:from>
    <xdr:to>
      <xdr:col>32</xdr:col>
      <xdr:colOff>12700</xdr:colOff>
      <xdr:row>19</xdr:row>
      <xdr:rowOff>152400</xdr:rowOff>
    </xdr:to>
    <xdr:sp macro="" textlink="">
      <xdr:nvSpPr>
        <xdr:cNvPr id="1537" name="Line 5"/>
        <xdr:cNvSpPr>
          <a:spLocks noChangeShapeType="1"/>
        </xdr:cNvSpPr>
      </xdr:nvSpPr>
      <xdr:spPr bwMode="auto">
        <a:xfrm flipH="1" flipV="1">
          <a:off x="5613400" y="2971800"/>
          <a:ext cx="635000" cy="990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28</xdr:col>
      <xdr:colOff>139700</xdr:colOff>
      <xdr:row>22</xdr:row>
      <xdr:rowOff>50800</xdr:rowOff>
    </xdr:from>
    <xdr:to>
      <xdr:col>32</xdr:col>
      <xdr:colOff>12700</xdr:colOff>
      <xdr:row>26</xdr:row>
      <xdr:rowOff>88900</xdr:rowOff>
    </xdr:to>
    <xdr:sp macro="" textlink="">
      <xdr:nvSpPr>
        <xdr:cNvPr id="1538" name="Line 9"/>
        <xdr:cNvSpPr>
          <a:spLocks noChangeShapeType="1"/>
        </xdr:cNvSpPr>
      </xdr:nvSpPr>
      <xdr:spPr bwMode="auto">
        <a:xfrm flipH="1">
          <a:off x="5613400" y="4432300"/>
          <a:ext cx="635000" cy="800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32</xdr:col>
          <xdr:colOff>0</xdr:colOff>
          <xdr:row>26</xdr:row>
          <xdr:rowOff>165100</xdr:rowOff>
        </xdr:from>
        <xdr:to>
          <xdr:col>42</xdr:col>
          <xdr:colOff>177800</xdr:colOff>
          <xdr:row>29</xdr:row>
          <xdr:rowOff>114300</xdr:rowOff>
        </xdr:to>
        <xdr:sp macro="" textlink="">
          <xdr:nvSpPr>
            <xdr:cNvPr id="1034" name="Button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Helvetica"/>
                  <a:ea typeface="Helvetica"/>
                  <a:cs typeface="Helvetica"/>
                </a:rPr>
                <a:t> Dieses Beispiel einfüllen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177800</xdr:rowOff>
        </xdr:from>
        <xdr:to>
          <xdr:col>14</xdr:col>
          <xdr:colOff>0</xdr:colOff>
          <xdr:row>40</xdr:row>
          <xdr:rowOff>0</xdr:rowOff>
        </xdr:to>
        <xdr:sp macro="" textlink="">
          <xdr:nvSpPr>
            <xdr:cNvPr id="1035" name="Button 11" hidden="1">
              <a:extLst>
                <a:ext uri="{63B3BB69-23CF-44E3-9099-C40C66FF867C}">
                  <a14:compatExt spid="_x0000_s10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600" b="0" i="0" u="none" strike="noStrike" baseline="0">
                  <a:solidFill>
                    <a:srgbClr val="000000"/>
                  </a:solidFill>
                  <a:latin typeface="Helvetica"/>
                  <a:ea typeface="Helvetica"/>
                  <a:cs typeface="Helvetica"/>
                </a:rPr>
                <a:t>Gegebene Zahlen ins Spielfeld kopieren</a:t>
              </a:r>
            </a:p>
            <a:p>
              <a:pPr algn="ctr" rtl="0">
                <a:defRPr sz="1000"/>
              </a:pPr>
              <a:r>
                <a:rPr lang="de-DE" sz="1600" b="0" i="0" u="none" strike="noStrike" baseline="0">
                  <a:solidFill>
                    <a:srgbClr val="000000"/>
                  </a:solidFill>
                  <a:latin typeface="Helvetica"/>
                  <a:ea typeface="Helvetica"/>
                  <a:cs typeface="Helvetica"/>
                </a:rPr>
                <a:t>(etwas Geduld bitte)</a:t>
              </a:r>
            </a:p>
          </xdr:txBody>
        </xdr:sp>
        <xdr:clientData fPrintsWithSheet="0"/>
      </xdr:twoCellAnchor>
    </mc:Choice>
    <mc:Fallback/>
  </mc:AlternateContent>
  <xdr:twoCellAnchor>
    <xdr:from>
      <xdr:col>31</xdr:col>
      <xdr:colOff>0</xdr:colOff>
      <xdr:row>15</xdr:row>
      <xdr:rowOff>0</xdr:rowOff>
    </xdr:from>
    <xdr:to>
      <xdr:col>44</xdr:col>
      <xdr:colOff>12700</xdr:colOff>
      <xdr:row>31</xdr:row>
      <xdr:rowOff>0</xdr:rowOff>
    </xdr:to>
    <xdr:sp macro="" textlink="">
      <xdr:nvSpPr>
        <xdr:cNvPr id="1539" name="Rectangle 12"/>
        <xdr:cNvSpPr>
          <a:spLocks noChangeArrowheads="1"/>
        </xdr:cNvSpPr>
      </xdr:nvSpPr>
      <xdr:spPr bwMode="auto">
        <a:xfrm>
          <a:off x="6045200" y="3048000"/>
          <a:ext cx="2501900" cy="3048000"/>
        </a:xfrm>
        <a:prstGeom prst="rect">
          <a:avLst/>
        </a:prstGeom>
        <a:noFill/>
        <a:ln w="285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15</xdr:col>
          <xdr:colOff>0</xdr:colOff>
          <xdr:row>35</xdr:row>
          <xdr:rowOff>165100</xdr:rowOff>
        </xdr:from>
        <xdr:to>
          <xdr:col>30</xdr:col>
          <xdr:colOff>0</xdr:colOff>
          <xdr:row>38</xdr:row>
          <xdr:rowOff>0</xdr:rowOff>
        </xdr:to>
        <xdr:sp macro="" textlink="">
          <xdr:nvSpPr>
            <xdr:cNvPr id="1053" name="Button 29" hidden="1">
              <a:extLst>
                <a:ext uri="{63B3BB69-23CF-44E3-9099-C40C66FF867C}">
                  <a14:compatExt spid="_x0000_s10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Vorhandene Durchstreichung tilgen und Nullen schreiben (Geduld)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34</xdr:row>
          <xdr:rowOff>0</xdr:rowOff>
        </xdr:from>
        <xdr:to>
          <xdr:col>30</xdr:col>
          <xdr:colOff>0</xdr:colOff>
          <xdr:row>36</xdr:row>
          <xdr:rowOff>0</xdr:rowOff>
        </xdr:to>
        <xdr:sp macro="" textlink="">
          <xdr:nvSpPr>
            <xdr:cNvPr id="1054" name="Button 30" hidden="1">
              <a:extLst>
                <a:ext uri="{63B3BB69-23CF-44E3-9099-C40C66FF867C}">
                  <a14:compatExt spid="_x0000_s10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Vorhandene Nullen durchstreichen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0</xdr:colOff>
          <xdr:row>34</xdr:row>
          <xdr:rowOff>0</xdr:rowOff>
        </xdr:from>
        <xdr:to>
          <xdr:col>46</xdr:col>
          <xdr:colOff>0</xdr:colOff>
          <xdr:row>36</xdr:row>
          <xdr:rowOff>0</xdr:rowOff>
        </xdr:to>
        <xdr:sp macro="" textlink="">
          <xdr:nvSpPr>
            <xdr:cNvPr id="1056" name="Button 32" hidden="1">
              <a:extLst>
                <a:ext uri="{63B3BB69-23CF-44E3-9099-C40C66FF867C}">
                  <a14:compatExt spid="_x0000_s10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Vorhandene Nullen kursiv schreiben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0</xdr:colOff>
          <xdr:row>36</xdr:row>
          <xdr:rowOff>0</xdr:rowOff>
        </xdr:from>
        <xdr:to>
          <xdr:col>46</xdr:col>
          <xdr:colOff>0</xdr:colOff>
          <xdr:row>38</xdr:row>
          <xdr:rowOff>0</xdr:rowOff>
        </xdr:to>
        <xdr:sp macro="" textlink="">
          <xdr:nvSpPr>
            <xdr:cNvPr id="1057" name="Button 33" hidden="1">
              <a:extLst>
                <a:ext uri="{63B3BB69-23CF-44E3-9099-C40C66FF867C}">
                  <a14:compatExt spid="_x0000_s10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Kursiv entfernen und wieder Nullen schreiben (Geduld)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38</xdr:row>
          <xdr:rowOff>0</xdr:rowOff>
        </xdr:from>
        <xdr:to>
          <xdr:col>30</xdr:col>
          <xdr:colOff>0</xdr:colOff>
          <xdr:row>40</xdr:row>
          <xdr:rowOff>0</xdr:rowOff>
        </xdr:to>
        <xdr:sp macro="" textlink="">
          <xdr:nvSpPr>
            <xdr:cNvPr id="1058" name="Button 34" hidden="1">
              <a:extLst>
                <a:ext uri="{63B3BB69-23CF-44E3-9099-C40C66FF867C}">
                  <a14:compatExt spid="_x0000_s10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Vorhandene Durchstreichung tilgen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0</xdr:colOff>
          <xdr:row>38</xdr:row>
          <xdr:rowOff>0</xdr:rowOff>
        </xdr:from>
        <xdr:to>
          <xdr:col>46</xdr:col>
          <xdr:colOff>0</xdr:colOff>
          <xdr:row>40</xdr:row>
          <xdr:rowOff>0</xdr:rowOff>
        </xdr:to>
        <xdr:sp macro="" textlink="">
          <xdr:nvSpPr>
            <xdr:cNvPr id="1059" name="Button 35" hidden="1">
              <a:extLst>
                <a:ext uri="{63B3BB69-23CF-44E3-9099-C40C66FF867C}">
                  <a14:compatExt spid="_x0000_s10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Kursiv entfernen</a:t>
              </a:r>
            </a:p>
          </xdr:txBody>
        </xdr:sp>
        <xdr:clientData fPrintsWithSheet="0"/>
      </xdr:twoCellAnchor>
    </mc:Choice>
    <mc:Fallback/>
  </mc:AlternateContent>
  <xdr:twoCellAnchor>
    <xdr:from>
      <xdr:col>28</xdr:col>
      <xdr:colOff>114300</xdr:colOff>
      <xdr:row>13</xdr:row>
      <xdr:rowOff>105834</xdr:rowOff>
    </xdr:from>
    <xdr:to>
      <xdr:col>32</xdr:col>
      <xdr:colOff>76200</xdr:colOff>
      <xdr:row>13</xdr:row>
      <xdr:rowOff>118534</xdr:rowOff>
    </xdr:to>
    <xdr:sp macro="" textlink="">
      <xdr:nvSpPr>
        <xdr:cNvPr id="1540" name="Line 5"/>
        <xdr:cNvSpPr>
          <a:spLocks noChangeShapeType="1"/>
        </xdr:cNvSpPr>
      </xdr:nvSpPr>
      <xdr:spPr bwMode="auto">
        <a:xfrm>
          <a:off x="5837767" y="2730501"/>
          <a:ext cx="774700" cy="12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28</xdr:col>
          <xdr:colOff>63500</xdr:colOff>
          <xdr:row>5</xdr:row>
          <xdr:rowOff>50800</xdr:rowOff>
        </xdr:from>
        <xdr:to>
          <xdr:col>32</xdr:col>
          <xdr:colOff>152400</xdr:colOff>
          <xdr:row>12</xdr:row>
          <xdr:rowOff>177800</xdr:rowOff>
        </xdr:to>
        <xdr:sp macro="" textlink="">
          <xdr:nvSpPr>
            <xdr:cNvPr id="1137" name="Button 113" hidden="1">
              <a:extLst>
                <a:ext uri="{63B3BB69-23CF-44E3-9099-C40C66FF867C}">
                  <a14:compatExt spid="_x0000_s11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Calibri"/>
                  <a:ea typeface="Calibri"/>
                  <a:cs typeface="Calibri"/>
                </a:rPr>
                <a:t>Zusammen-stellung für Druck (Aufgaben-kontrolle: Alle Felder müssen gefärbt sein)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76200</xdr:colOff>
          <xdr:row>43</xdr:row>
          <xdr:rowOff>0</xdr:rowOff>
        </xdr:from>
        <xdr:to>
          <xdr:col>92</xdr:col>
          <xdr:colOff>127000</xdr:colOff>
          <xdr:row>50</xdr:row>
          <xdr:rowOff>127000</xdr:rowOff>
        </xdr:to>
        <xdr:sp macro="" textlink="">
          <xdr:nvSpPr>
            <xdr:cNvPr id="1591" name="Button 567" hidden="1">
              <a:extLst>
                <a:ext uri="{63B3BB69-23CF-44E3-9099-C40C66FF867C}">
                  <a14:compatExt spid="_x0000_s159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Zusam-men-stellung des aktuellen Spielfelds</a:t>
              </a:r>
            </a:p>
          </xdr:txBody>
        </xdr:sp>
        <xdr:clientData fPrintsWithSheet="0"/>
      </xdr:twoCellAnchor>
    </mc:Choice>
    <mc:Fallback/>
  </mc:AlternateContent>
  <xdr:twoCellAnchor>
    <xdr:from>
      <xdr:col>88</xdr:col>
      <xdr:colOff>152400</xdr:colOff>
      <xdr:row>51</xdr:row>
      <xdr:rowOff>81280</xdr:rowOff>
    </xdr:from>
    <xdr:to>
      <xdr:col>92</xdr:col>
      <xdr:colOff>114300</xdr:colOff>
      <xdr:row>51</xdr:row>
      <xdr:rowOff>93980</xdr:rowOff>
    </xdr:to>
    <xdr:sp macro="" textlink="">
      <xdr:nvSpPr>
        <xdr:cNvPr id="18" name="Line 5"/>
        <xdr:cNvSpPr>
          <a:spLocks noChangeShapeType="1"/>
        </xdr:cNvSpPr>
      </xdr:nvSpPr>
      <xdr:spPr bwMode="auto">
        <a:xfrm>
          <a:off x="18013680" y="10119360"/>
          <a:ext cx="774700" cy="12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45</xdr:col>
          <xdr:colOff>0</xdr:colOff>
          <xdr:row>71</xdr:row>
          <xdr:rowOff>0</xdr:rowOff>
        </xdr:from>
        <xdr:to>
          <xdr:col>58</xdr:col>
          <xdr:colOff>0</xdr:colOff>
          <xdr:row>74</xdr:row>
          <xdr:rowOff>0</xdr:rowOff>
        </xdr:to>
        <xdr:sp macro="" textlink="">
          <xdr:nvSpPr>
            <xdr:cNvPr id="1596" name="Button 572" hidden="1">
              <a:extLst>
                <a:ext uri="{63B3BB69-23CF-44E3-9099-C40C66FF867C}">
                  <a14:compatExt spid="_x0000_s15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Eindeutige und Einsame ins Spielfeld übertragen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165</xdr:col>
          <xdr:colOff>12700</xdr:colOff>
          <xdr:row>106</xdr:row>
          <xdr:rowOff>12700</xdr:rowOff>
        </xdr:from>
        <xdr:to>
          <xdr:col>167</xdr:col>
          <xdr:colOff>190500</xdr:colOff>
          <xdr:row>112</xdr:row>
          <xdr:rowOff>0</xdr:rowOff>
        </xdr:to>
        <xdr:sp macro="" textlink="">
          <xdr:nvSpPr>
            <xdr:cNvPr id="1598" name="Button 574" hidden="1">
              <a:extLst>
                <a:ext uri="{63B3BB69-23CF-44E3-9099-C40C66FF867C}">
                  <a14:compatExt spid="_x0000_s15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Paare über-tragen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196</xdr:col>
          <xdr:colOff>0</xdr:colOff>
          <xdr:row>107</xdr:row>
          <xdr:rowOff>0</xdr:rowOff>
        </xdr:from>
        <xdr:to>
          <xdr:col>205</xdr:col>
          <xdr:colOff>0</xdr:colOff>
          <xdr:row>111</xdr:row>
          <xdr:rowOff>0</xdr:rowOff>
        </xdr:to>
        <xdr:sp macro="" textlink="">
          <xdr:nvSpPr>
            <xdr:cNvPr id="1599" name="Button 575" hidden="1">
              <a:extLst>
                <a:ext uri="{63B3BB69-23CF-44E3-9099-C40C66FF867C}">
                  <a14:compatExt spid="_x0000_s159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Kandidaten reduzieren mittels</a:t>
              </a:r>
            </a:p>
            <a:p>
              <a:pPr algn="ctr" rtl="0">
                <a:defRPr sz="1000"/>
              </a:pPr>
              <a:r>
                <a:rPr lang="de-DE" sz="1200" b="0" i="0" u="none" strike="noStrike" baseline="0">
                  <a:solidFill>
                    <a:srgbClr val="000000"/>
                  </a:solidFill>
                  <a:latin typeface="Lucida Grande"/>
                  <a:ea typeface="Lucida Grande"/>
                  <a:cs typeface="Lucida Grande"/>
                </a:rPr>
                <a:t>eindeutigen Paaren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196</xdr:col>
          <xdr:colOff>0</xdr:colOff>
          <xdr:row>113</xdr:row>
          <xdr:rowOff>0</xdr:rowOff>
        </xdr:from>
        <xdr:to>
          <xdr:col>205</xdr:col>
          <xdr:colOff>0</xdr:colOff>
          <xdr:row>117</xdr:row>
          <xdr:rowOff>0</xdr:rowOff>
        </xdr:to>
        <xdr:sp macro="" textlink="">
          <xdr:nvSpPr>
            <xdr:cNvPr id="1601" name="Button 577" hidden="1">
              <a:extLst>
                <a:ext uri="{63B3BB69-23CF-44E3-9099-C40C66FF867C}">
                  <a14:compatExt spid="_x0000_s16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Kandidaten reduzieren mittels einsamen Paaren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196</xdr:col>
          <xdr:colOff>0</xdr:colOff>
          <xdr:row>119</xdr:row>
          <xdr:rowOff>0</xdr:rowOff>
        </xdr:from>
        <xdr:to>
          <xdr:col>205</xdr:col>
          <xdr:colOff>0</xdr:colOff>
          <xdr:row>123</xdr:row>
          <xdr:rowOff>0</xdr:rowOff>
        </xdr:to>
        <xdr:sp macro="" textlink="">
          <xdr:nvSpPr>
            <xdr:cNvPr id="1602" name="Button 578" hidden="1">
              <a:extLst>
                <a:ext uri="{63B3BB69-23CF-44E3-9099-C40C66FF867C}">
                  <a14:compatExt spid="_x0000_s16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Kandidaten reduzieren mittels absorbierenden Reihen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0</xdr:colOff>
          <xdr:row>96</xdr:row>
          <xdr:rowOff>0</xdr:rowOff>
        </xdr:from>
        <xdr:to>
          <xdr:col>195</xdr:col>
          <xdr:colOff>0</xdr:colOff>
          <xdr:row>103</xdr:row>
          <xdr:rowOff>0</xdr:rowOff>
        </xdr:to>
        <xdr:sp macro="" textlink="">
          <xdr:nvSpPr>
            <xdr:cNvPr id="1604" name="Button 580" hidden="1">
              <a:extLst>
                <a:ext uri="{63B3BB69-23CF-44E3-9099-C40C66FF867C}">
                  <a14:compatExt spid="_x0000_s16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Diese eindeutigen und einsamen Kandidaten ins Spielfeld übertragen</a:t>
              </a:r>
            </a:p>
          </xdr:txBody>
        </xdr:sp>
        <xdr:clientData fPrintsWithSheet="0"/>
      </xdr:twoCellAnchor>
    </mc:Choice>
    <mc:Fallback/>
  </mc:AlternateContent>
  <xdr:twoCellAnchor>
    <xdr:from>
      <xdr:col>104</xdr:col>
      <xdr:colOff>139700</xdr:colOff>
      <xdr:row>111</xdr:row>
      <xdr:rowOff>0</xdr:rowOff>
    </xdr:from>
    <xdr:to>
      <xdr:col>107</xdr:col>
      <xdr:colOff>63500</xdr:colOff>
      <xdr:row>111</xdr:row>
      <xdr:rowOff>12700</xdr:rowOff>
    </xdr:to>
    <xdr:sp macro="" textlink="">
      <xdr:nvSpPr>
        <xdr:cNvPr id="26" name="Line 5"/>
        <xdr:cNvSpPr>
          <a:spLocks noChangeShapeType="1"/>
        </xdr:cNvSpPr>
      </xdr:nvSpPr>
      <xdr:spPr bwMode="auto">
        <a:xfrm>
          <a:off x="21120100" y="21336000"/>
          <a:ext cx="495300" cy="12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135</xdr:col>
      <xdr:colOff>63500</xdr:colOff>
      <xdr:row>113</xdr:row>
      <xdr:rowOff>185420</xdr:rowOff>
    </xdr:from>
    <xdr:to>
      <xdr:col>137</xdr:col>
      <xdr:colOff>114300</xdr:colOff>
      <xdr:row>114</xdr:row>
      <xdr:rowOff>5080</xdr:rowOff>
    </xdr:to>
    <xdr:sp macro="" textlink="">
      <xdr:nvSpPr>
        <xdr:cNvPr id="27" name="Line 5"/>
        <xdr:cNvSpPr>
          <a:spLocks noChangeShapeType="1"/>
        </xdr:cNvSpPr>
      </xdr:nvSpPr>
      <xdr:spPr bwMode="auto">
        <a:xfrm>
          <a:off x="27607260" y="22191980"/>
          <a:ext cx="477520" cy="12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165</xdr:col>
      <xdr:colOff>88900</xdr:colOff>
      <xdr:row>113</xdr:row>
      <xdr:rowOff>182880</xdr:rowOff>
    </xdr:from>
    <xdr:to>
      <xdr:col>167</xdr:col>
      <xdr:colOff>139700</xdr:colOff>
      <xdr:row>114</xdr:row>
      <xdr:rowOff>2540</xdr:rowOff>
    </xdr:to>
    <xdr:sp macro="" textlink="">
      <xdr:nvSpPr>
        <xdr:cNvPr id="28" name="Line 5"/>
        <xdr:cNvSpPr>
          <a:spLocks noChangeShapeType="1"/>
        </xdr:cNvSpPr>
      </xdr:nvSpPr>
      <xdr:spPr bwMode="auto">
        <a:xfrm>
          <a:off x="34033460" y="22189440"/>
          <a:ext cx="477520" cy="12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48</xdr:col>
          <xdr:colOff>0</xdr:colOff>
          <xdr:row>40</xdr:row>
          <xdr:rowOff>12700</xdr:rowOff>
        </xdr:from>
        <xdr:to>
          <xdr:col>57</xdr:col>
          <xdr:colOff>177800</xdr:colOff>
          <xdr:row>42</xdr:row>
          <xdr:rowOff>165100</xdr:rowOff>
        </xdr:to>
        <xdr:sp macro="" textlink="">
          <xdr:nvSpPr>
            <xdr:cNvPr id="1606" name="Button 582" hidden="1">
              <a:extLst>
                <a:ext uri="{63B3BB69-23CF-44E3-9099-C40C66FF867C}">
                  <a14:compatExt spid="_x0000_s16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Gesamtprogramm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90</xdr:col>
          <xdr:colOff>0</xdr:colOff>
          <xdr:row>29</xdr:row>
          <xdr:rowOff>0</xdr:rowOff>
        </xdr:from>
        <xdr:to>
          <xdr:col>100</xdr:col>
          <xdr:colOff>0</xdr:colOff>
          <xdr:row>34</xdr:row>
          <xdr:rowOff>0</xdr:rowOff>
        </xdr:to>
        <xdr:sp macro="" textlink="">
          <xdr:nvSpPr>
            <xdr:cNvPr id="1608" name="Button 584" hidden="1">
              <a:extLst>
                <a:ext uri="{63B3BB69-23CF-44E3-9099-C40C66FF867C}">
                  <a14:compatExt spid="_x0000_s16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Aufgabe im Archiv speichern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90</xdr:col>
          <xdr:colOff>0</xdr:colOff>
          <xdr:row>35</xdr:row>
          <xdr:rowOff>38100</xdr:rowOff>
        </xdr:from>
        <xdr:to>
          <xdr:col>100</xdr:col>
          <xdr:colOff>0</xdr:colOff>
          <xdr:row>40</xdr:row>
          <xdr:rowOff>0</xdr:rowOff>
        </xdr:to>
        <xdr:sp macro="" textlink="">
          <xdr:nvSpPr>
            <xdr:cNvPr id="1609" name="Button 585" hidden="1">
              <a:extLst>
                <a:ext uri="{63B3BB69-23CF-44E3-9099-C40C66FF867C}">
                  <a14:compatExt spid="_x0000_s16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200" b="0" i="0" u="none" strike="noStrike" baseline="0">
                  <a:solidFill>
                    <a:srgbClr val="000000"/>
                  </a:solidFill>
                  <a:latin typeface="Lucida Grande"/>
                  <a:ea typeface="Lucida Grande"/>
                  <a:cs typeface="Lucida Grande"/>
                </a:rPr>
                <a:t>Zugehörige Lösung im Archiv speichern</a:t>
              </a:r>
            </a:p>
          </xdr:txBody>
        </xdr:sp>
        <xdr:clientData fPrintsWithSheet="0"/>
      </xdr:twoCellAnchor>
    </mc:Choice>
    <mc:Fallback/>
  </mc:AlternateContent>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ctrlProp" Target="../ctrlProps/ctrlProp7.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enableFormatConditionsCalculation="0"/>
  <dimension ref="A2:IA404"/>
  <sheetViews>
    <sheetView tabSelected="1" zoomScale="75" zoomScaleNormal="75" zoomScalePageLayoutView="75" workbookViewId="0"/>
  </sheetViews>
  <sheetFormatPr baseColWidth="10" defaultColWidth="2.5" defaultRowHeight="15" customHeight="1" x14ac:dyDescent="0"/>
  <cols>
    <col min="1" max="1" width="2.83203125" style="28" bestFit="1" customWidth="1"/>
    <col min="2" max="3" width="2.5" style="28" customWidth="1"/>
    <col min="4" max="4" width="2.83203125" style="28" bestFit="1" customWidth="1"/>
    <col min="5" max="5" width="2.5" style="28" customWidth="1"/>
    <col min="6" max="6" width="2.83203125" style="28" bestFit="1" customWidth="1"/>
    <col min="7" max="7" width="2.5" style="28" customWidth="1"/>
    <col min="8" max="8" width="2.83203125" style="28" bestFit="1" customWidth="1"/>
    <col min="9" max="10" width="2.6640625" style="28" bestFit="1" customWidth="1"/>
    <col min="11" max="13" width="2.83203125" style="28" bestFit="1" customWidth="1"/>
    <col min="14" max="85" width="2.6640625" style="28" customWidth="1"/>
    <col min="86" max="86" width="2.6640625" style="29" customWidth="1"/>
    <col min="87" max="94" width="2.6640625" style="28" customWidth="1"/>
    <col min="95" max="98" width="2.5" style="28" customWidth="1"/>
    <col min="99" max="101" width="2.5" style="28"/>
    <col min="102" max="103" width="2.5" style="28" customWidth="1"/>
    <col min="104" max="108" width="2.5" style="28"/>
    <col min="109" max="148" width="2.83203125" style="28" customWidth="1"/>
    <col min="149" max="151" width="2.83203125" style="28" bestFit="1" customWidth="1"/>
    <col min="152" max="195" width="2.83203125" style="28" customWidth="1"/>
    <col min="196" max="16384" width="2.5" style="28"/>
  </cols>
  <sheetData>
    <row r="2" spans="2:101" ht="30" customHeight="1" thickBot="1">
      <c r="B2" s="27" t="s">
        <v>84</v>
      </c>
    </row>
    <row r="3" spans="2:101" s="31" customFormat="1" ht="15" customHeight="1">
      <c r="B3" s="30"/>
      <c r="J3" s="532"/>
      <c r="AC3" s="26" t="s">
        <v>61</v>
      </c>
      <c r="AQ3" s="552">
        <f>MAX(Gegeben)</f>
        <v>9</v>
      </c>
      <c r="AR3" s="553"/>
      <c r="AW3" s="562" t="s">
        <v>92</v>
      </c>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row>
    <row r="4" spans="2:101" ht="15" customHeight="1" thickBot="1">
      <c r="B4" s="32" t="s">
        <v>30</v>
      </c>
      <c r="J4" s="533"/>
      <c r="AC4" s="26" t="s">
        <v>14</v>
      </c>
      <c r="AQ4" s="559">
        <f>27^2-COUNTIF(Gegeben,"x")-COUNTIF(Gegeben,0)</f>
        <v>20</v>
      </c>
      <c r="AR4" s="559"/>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row>
    <row r="5" spans="2:101" ht="15" customHeight="1" thickBot="1">
      <c r="B5" s="26" t="s">
        <v>31</v>
      </c>
      <c r="AC5" s="26" t="s">
        <v>20</v>
      </c>
      <c r="AH5" s="39"/>
      <c r="AI5" s="39"/>
      <c r="AJ5" s="39"/>
      <c r="AK5" s="39"/>
      <c r="AL5" s="39"/>
      <c r="AM5" s="39"/>
      <c r="AN5" s="39"/>
      <c r="AO5" s="39"/>
      <c r="AP5" s="41"/>
      <c r="AQ5" s="560">
        <f>27^2-COUNTIF(Gegeben,"x")</f>
        <v>81</v>
      </c>
      <c r="AR5" s="561"/>
      <c r="AS5" s="552" t="str">
        <f>IF(AND(INT(AQ5/9)=AQ5/9,AQ5&lt;&gt;81),"Teil OK","")</f>
        <v/>
      </c>
      <c r="AT5" s="564"/>
      <c r="AU5" s="565"/>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M5"/>
      <c r="CN5"/>
      <c r="CO5"/>
      <c r="CP5"/>
      <c r="CQ5"/>
      <c r="CR5"/>
      <c r="CS5"/>
      <c r="CT5"/>
      <c r="CU5"/>
      <c r="CV5"/>
      <c r="CW5"/>
    </row>
    <row r="6" spans="2:101" ht="15" customHeight="1">
      <c r="B6" s="2">
        <v>0</v>
      </c>
      <c r="C6" s="5">
        <v>0</v>
      </c>
      <c r="D6" s="3">
        <v>0</v>
      </c>
      <c r="E6" s="4" t="s">
        <v>32</v>
      </c>
      <c r="F6" s="5" t="s">
        <v>32</v>
      </c>
      <c r="G6" s="3" t="s">
        <v>32</v>
      </c>
      <c r="H6" s="4" t="s">
        <v>32</v>
      </c>
      <c r="I6" s="5" t="s">
        <v>32</v>
      </c>
      <c r="J6" s="6" t="s">
        <v>32</v>
      </c>
      <c r="K6" s="2" t="s">
        <v>32</v>
      </c>
      <c r="L6" s="5" t="s">
        <v>32</v>
      </c>
      <c r="M6" s="3" t="s">
        <v>32</v>
      </c>
      <c r="N6" s="4">
        <v>0</v>
      </c>
      <c r="O6" s="216">
        <v>6</v>
      </c>
      <c r="P6" s="3">
        <v>0</v>
      </c>
      <c r="Q6" s="4" t="s">
        <v>32</v>
      </c>
      <c r="R6" s="5" t="s">
        <v>32</v>
      </c>
      <c r="S6" s="6" t="s">
        <v>32</v>
      </c>
      <c r="T6" s="2" t="s">
        <v>32</v>
      </c>
      <c r="U6" s="5" t="s">
        <v>32</v>
      </c>
      <c r="V6" s="3" t="s">
        <v>32</v>
      </c>
      <c r="W6" s="4" t="s">
        <v>32</v>
      </c>
      <c r="X6" s="5" t="s">
        <v>32</v>
      </c>
      <c r="Y6" s="3" t="s">
        <v>32</v>
      </c>
      <c r="Z6" s="4" t="s">
        <v>32</v>
      </c>
      <c r="AA6" s="5">
        <v>0</v>
      </c>
      <c r="AB6" s="6" t="s">
        <v>32</v>
      </c>
      <c r="AG6" s="39"/>
      <c r="AH6" s="474"/>
      <c r="AI6" s="473"/>
      <c r="AJ6" s="487"/>
      <c r="AK6" s="478"/>
      <c r="AL6" s="431">
        <v>6</v>
      </c>
      <c r="AM6" s="431"/>
      <c r="AN6" s="496">
        <v>9</v>
      </c>
      <c r="AO6" s="498"/>
      <c r="AP6" s="496"/>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c r="CF6" s="563"/>
      <c r="CG6" s="563"/>
      <c r="CH6" s="563"/>
      <c r="CI6" s="563"/>
      <c r="CJ6" s="563"/>
      <c r="CM6"/>
    </row>
    <row r="7" spans="2:101" ht="15" customHeight="1">
      <c r="B7" s="11">
        <v>0</v>
      </c>
      <c r="C7" s="7" t="s">
        <v>32</v>
      </c>
      <c r="D7" s="9" t="s">
        <v>32</v>
      </c>
      <c r="E7" s="8" t="s">
        <v>32</v>
      </c>
      <c r="F7" s="7" t="s">
        <v>32</v>
      </c>
      <c r="G7" s="9" t="s">
        <v>32</v>
      </c>
      <c r="H7" s="8" t="s">
        <v>32</v>
      </c>
      <c r="I7" s="7" t="s">
        <v>32</v>
      </c>
      <c r="J7" s="10" t="s">
        <v>32</v>
      </c>
      <c r="K7" s="11" t="s">
        <v>32</v>
      </c>
      <c r="L7" s="7" t="s">
        <v>32</v>
      </c>
      <c r="M7" s="9" t="s">
        <v>32</v>
      </c>
      <c r="N7" s="8">
        <v>0</v>
      </c>
      <c r="O7" s="204">
        <v>9</v>
      </c>
      <c r="P7" s="9" t="s">
        <v>32</v>
      </c>
      <c r="Q7" s="8" t="s">
        <v>32</v>
      </c>
      <c r="R7" s="7" t="s">
        <v>32</v>
      </c>
      <c r="S7" s="10" t="s">
        <v>32</v>
      </c>
      <c r="T7" s="11" t="s">
        <v>32</v>
      </c>
      <c r="U7" s="7" t="s">
        <v>32</v>
      </c>
      <c r="V7" s="9" t="s">
        <v>32</v>
      </c>
      <c r="W7" s="8" t="s">
        <v>32</v>
      </c>
      <c r="X7" s="7" t="s">
        <v>32</v>
      </c>
      <c r="Y7" s="9" t="s">
        <v>32</v>
      </c>
      <c r="Z7" s="8" t="s">
        <v>32</v>
      </c>
      <c r="AA7" s="7" t="s">
        <v>32</v>
      </c>
      <c r="AB7" s="10">
        <v>0</v>
      </c>
      <c r="AG7" s="39"/>
      <c r="AH7" s="475"/>
      <c r="AI7" s="442"/>
      <c r="AJ7" s="488"/>
      <c r="AK7" s="419"/>
      <c r="AL7" s="493">
        <v>9</v>
      </c>
      <c r="AM7" s="509"/>
      <c r="AN7" s="486">
        <v>5</v>
      </c>
      <c r="AO7" s="496"/>
      <c r="AP7" s="497"/>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c r="CF7" s="563"/>
      <c r="CG7" s="563"/>
      <c r="CH7" s="563"/>
      <c r="CI7" s="563"/>
      <c r="CJ7" s="563"/>
      <c r="CM7"/>
    </row>
    <row r="8" spans="2:101" ht="15" customHeight="1">
      <c r="B8" s="424">
        <v>8</v>
      </c>
      <c r="C8" s="13" t="s">
        <v>32</v>
      </c>
      <c r="D8" s="15" t="s">
        <v>32</v>
      </c>
      <c r="E8" s="14" t="s">
        <v>32</v>
      </c>
      <c r="F8" s="13" t="s">
        <v>32</v>
      </c>
      <c r="G8" s="15" t="s">
        <v>32</v>
      </c>
      <c r="H8" s="14" t="s">
        <v>32</v>
      </c>
      <c r="I8" s="13" t="s">
        <v>32</v>
      </c>
      <c r="J8" s="1" t="s">
        <v>32</v>
      </c>
      <c r="K8" s="12" t="s">
        <v>32</v>
      </c>
      <c r="L8" s="13" t="s">
        <v>32</v>
      </c>
      <c r="M8" s="15">
        <v>0</v>
      </c>
      <c r="N8" s="14" t="s">
        <v>32</v>
      </c>
      <c r="O8" s="13" t="s">
        <v>32</v>
      </c>
      <c r="P8" s="15" t="s">
        <v>32</v>
      </c>
      <c r="Q8" s="14" t="s">
        <v>32</v>
      </c>
      <c r="R8" s="13" t="s">
        <v>32</v>
      </c>
      <c r="S8" s="1" t="s">
        <v>32</v>
      </c>
      <c r="T8" s="12" t="s">
        <v>32</v>
      </c>
      <c r="U8" s="13" t="s">
        <v>32</v>
      </c>
      <c r="V8" s="15" t="s">
        <v>32</v>
      </c>
      <c r="W8" s="14" t="s">
        <v>32</v>
      </c>
      <c r="X8" s="13" t="s">
        <v>32</v>
      </c>
      <c r="Y8" s="15" t="s">
        <v>32</v>
      </c>
      <c r="Z8" s="14" t="s">
        <v>32</v>
      </c>
      <c r="AA8" s="13">
        <v>0</v>
      </c>
      <c r="AB8" s="1">
        <v>0</v>
      </c>
      <c r="AG8" s="39"/>
      <c r="AH8" s="490">
        <v>8</v>
      </c>
      <c r="AI8" s="491">
        <v>9</v>
      </c>
      <c r="AJ8" s="441"/>
      <c r="AK8" s="489"/>
      <c r="AL8" s="511">
        <v>3</v>
      </c>
      <c r="AM8" s="420"/>
      <c r="AN8" s="508"/>
      <c r="AO8" s="456"/>
      <c r="AP8" s="479"/>
      <c r="AW8" s="563"/>
      <c r="AX8" s="563"/>
      <c r="AY8" s="563"/>
      <c r="AZ8" s="563"/>
      <c r="BA8" s="563"/>
      <c r="BB8" s="563"/>
      <c r="BC8" s="563"/>
      <c r="BD8" s="563"/>
      <c r="BE8" s="563"/>
      <c r="BF8" s="563"/>
      <c r="BG8" s="563"/>
      <c r="BH8" s="563"/>
      <c r="BI8" s="563"/>
      <c r="BJ8" s="563"/>
      <c r="BK8" s="563"/>
      <c r="BL8" s="563"/>
      <c r="BM8" s="563"/>
      <c r="BN8" s="563"/>
      <c r="BO8" s="563"/>
      <c r="BP8" s="563"/>
      <c r="BQ8" s="563"/>
      <c r="BR8" s="563"/>
      <c r="BS8" s="563"/>
      <c r="BT8" s="563"/>
      <c r="BU8" s="563"/>
      <c r="BV8" s="563"/>
      <c r="BW8" s="563"/>
      <c r="BX8" s="563"/>
      <c r="BY8" s="563"/>
      <c r="BZ8" s="563"/>
      <c r="CA8" s="563"/>
      <c r="CB8" s="563"/>
      <c r="CC8" s="563"/>
      <c r="CD8" s="563"/>
      <c r="CE8" s="563"/>
      <c r="CF8" s="563"/>
      <c r="CG8" s="563"/>
      <c r="CH8" s="563"/>
      <c r="CI8" s="563"/>
      <c r="CJ8" s="563"/>
      <c r="CM8"/>
    </row>
    <row r="9" spans="2:101" ht="15" customHeight="1">
      <c r="B9" s="16">
        <v>0</v>
      </c>
      <c r="C9" s="17">
        <v>0</v>
      </c>
      <c r="D9" s="18" t="s">
        <v>32</v>
      </c>
      <c r="E9" s="19" t="s">
        <v>32</v>
      </c>
      <c r="F9" s="17" t="s">
        <v>32</v>
      </c>
      <c r="G9" s="18" t="s">
        <v>32</v>
      </c>
      <c r="H9" s="19" t="s">
        <v>32</v>
      </c>
      <c r="I9" s="17" t="s">
        <v>32</v>
      </c>
      <c r="J9" s="20" t="s">
        <v>32</v>
      </c>
      <c r="K9" s="16" t="s">
        <v>32</v>
      </c>
      <c r="L9" s="17" t="s">
        <v>32</v>
      </c>
      <c r="M9" s="18" t="s">
        <v>32</v>
      </c>
      <c r="N9" s="19">
        <v>0</v>
      </c>
      <c r="O9" s="17" t="s">
        <v>32</v>
      </c>
      <c r="P9" s="18" t="s">
        <v>32</v>
      </c>
      <c r="Q9" s="19" t="s">
        <v>32</v>
      </c>
      <c r="R9" s="17" t="s">
        <v>32</v>
      </c>
      <c r="S9" s="20" t="s">
        <v>32</v>
      </c>
      <c r="T9" s="16" t="s">
        <v>32</v>
      </c>
      <c r="U9" s="17" t="s">
        <v>32</v>
      </c>
      <c r="V9" s="18" t="s">
        <v>32</v>
      </c>
      <c r="W9" s="19" t="s">
        <v>32</v>
      </c>
      <c r="X9" s="17" t="s">
        <v>32</v>
      </c>
      <c r="Y9" s="18" t="s">
        <v>32</v>
      </c>
      <c r="Z9" s="19" t="s">
        <v>32</v>
      </c>
      <c r="AA9" s="17">
        <v>0</v>
      </c>
      <c r="AB9" s="20">
        <v>0</v>
      </c>
      <c r="AG9" s="39"/>
      <c r="AH9" s="476"/>
      <c r="AI9" s="494"/>
      <c r="AJ9" s="495"/>
      <c r="AK9" s="441"/>
      <c r="AL9" s="420"/>
      <c r="AM9" s="510"/>
      <c r="AN9" s="500"/>
      <c r="AO9" s="501"/>
      <c r="AP9" s="480"/>
      <c r="AR9"/>
      <c r="AS9"/>
      <c r="AT9"/>
      <c r="AU9"/>
      <c r="AV9" s="39"/>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M9"/>
    </row>
    <row r="10" spans="2:101" ht="15" customHeight="1">
      <c r="B10" s="213">
        <v>6</v>
      </c>
      <c r="C10" s="204">
        <v>3</v>
      </c>
      <c r="D10" s="9" t="s">
        <v>32</v>
      </c>
      <c r="E10" s="8" t="s">
        <v>32</v>
      </c>
      <c r="F10" s="7" t="s">
        <v>32</v>
      </c>
      <c r="G10" s="9" t="s">
        <v>32</v>
      </c>
      <c r="H10" s="8" t="s">
        <v>32</v>
      </c>
      <c r="I10" s="7" t="s">
        <v>32</v>
      </c>
      <c r="J10" s="10" t="s">
        <v>32</v>
      </c>
      <c r="K10" s="11" t="s">
        <v>32</v>
      </c>
      <c r="L10" s="7" t="s">
        <v>32</v>
      </c>
      <c r="M10" s="9" t="s">
        <v>32</v>
      </c>
      <c r="N10" s="8" t="s">
        <v>32</v>
      </c>
      <c r="O10" s="7">
        <v>0</v>
      </c>
      <c r="P10" s="9">
        <v>0</v>
      </c>
      <c r="Q10" s="8" t="s">
        <v>32</v>
      </c>
      <c r="R10" s="7" t="s">
        <v>32</v>
      </c>
      <c r="S10" s="10" t="s">
        <v>32</v>
      </c>
      <c r="T10" s="11" t="s">
        <v>32</v>
      </c>
      <c r="U10" s="7" t="s">
        <v>32</v>
      </c>
      <c r="V10" s="9" t="s">
        <v>32</v>
      </c>
      <c r="W10" s="8" t="s">
        <v>32</v>
      </c>
      <c r="X10" s="7" t="s">
        <v>32</v>
      </c>
      <c r="Y10" s="9" t="s">
        <v>32</v>
      </c>
      <c r="Z10" s="8" t="s">
        <v>32</v>
      </c>
      <c r="AA10" s="7" t="s">
        <v>32</v>
      </c>
      <c r="AB10" s="214">
        <v>1</v>
      </c>
      <c r="AG10" s="39"/>
      <c r="AH10" s="477">
        <v>6</v>
      </c>
      <c r="AI10" s="481">
        <v>3</v>
      </c>
      <c r="AJ10" s="512">
        <v>7</v>
      </c>
      <c r="AK10" s="420"/>
      <c r="AL10" s="492"/>
      <c r="AM10" s="514"/>
      <c r="AN10" s="516">
        <v>2</v>
      </c>
      <c r="AO10" s="499">
        <v>4</v>
      </c>
      <c r="AP10" s="480">
        <v>1</v>
      </c>
      <c r="AR10"/>
      <c r="AS10"/>
      <c r="AT10"/>
      <c r="AU10"/>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563"/>
      <c r="BW10" s="563"/>
      <c r="BX10" s="563"/>
      <c r="BY10" s="563"/>
      <c r="BZ10" s="563"/>
      <c r="CA10" s="563"/>
      <c r="CB10" s="563"/>
      <c r="CC10" s="563"/>
      <c r="CD10" s="563"/>
      <c r="CE10" s="563"/>
      <c r="CF10" s="563"/>
      <c r="CG10" s="563"/>
      <c r="CH10" s="563"/>
      <c r="CI10" s="563"/>
      <c r="CJ10" s="563"/>
      <c r="CM10"/>
    </row>
    <row r="11" spans="2:101" ht="15" customHeight="1">
      <c r="B11" s="12" t="s">
        <v>32</v>
      </c>
      <c r="C11" s="13" t="s">
        <v>32</v>
      </c>
      <c r="D11" s="15" t="s">
        <v>32</v>
      </c>
      <c r="E11" s="14" t="s">
        <v>32</v>
      </c>
      <c r="F11" s="13" t="s">
        <v>32</v>
      </c>
      <c r="G11" s="15" t="s">
        <v>32</v>
      </c>
      <c r="H11" s="14" t="s">
        <v>32</v>
      </c>
      <c r="I11" s="13" t="s">
        <v>32</v>
      </c>
      <c r="J11" s="1" t="s">
        <v>32</v>
      </c>
      <c r="K11" s="12" t="s">
        <v>32</v>
      </c>
      <c r="L11" s="13" t="s">
        <v>32</v>
      </c>
      <c r="M11" s="15" t="s">
        <v>32</v>
      </c>
      <c r="N11" s="14" t="s">
        <v>32</v>
      </c>
      <c r="O11" s="13" t="s">
        <v>32</v>
      </c>
      <c r="P11" s="15" t="s">
        <v>32</v>
      </c>
      <c r="Q11" s="14" t="s">
        <v>32</v>
      </c>
      <c r="R11" s="13" t="s">
        <v>32</v>
      </c>
      <c r="S11" s="1" t="s">
        <v>32</v>
      </c>
      <c r="T11" s="12" t="s">
        <v>32</v>
      </c>
      <c r="U11" s="13" t="s">
        <v>32</v>
      </c>
      <c r="V11" s="15" t="s">
        <v>32</v>
      </c>
      <c r="W11" s="14" t="s">
        <v>32</v>
      </c>
      <c r="X11" s="13" t="s">
        <v>32</v>
      </c>
      <c r="Y11" s="15" t="s">
        <v>32</v>
      </c>
      <c r="Z11" s="14" t="s">
        <v>32</v>
      </c>
      <c r="AA11" s="13" t="s">
        <v>32</v>
      </c>
      <c r="AB11" s="1">
        <v>0</v>
      </c>
      <c r="AG11" s="39"/>
      <c r="AH11" s="482"/>
      <c r="AI11" s="484"/>
      <c r="AJ11" s="485"/>
      <c r="AK11" s="517"/>
      <c r="AL11" s="457"/>
      <c r="AM11" s="515"/>
      <c r="AN11" s="459"/>
      <c r="AO11" s="523"/>
      <c r="AP11" s="502"/>
      <c r="AR11"/>
      <c r="AS11"/>
      <c r="AT11"/>
      <c r="AU11"/>
      <c r="AW11" s="554" t="s">
        <v>60</v>
      </c>
      <c r="AX11" s="555"/>
      <c r="AY11" s="555"/>
      <c r="AZ11" s="555"/>
      <c r="BA11" s="555"/>
      <c r="BB11" s="555"/>
      <c r="BC11" s="555"/>
      <c r="BD11" s="555"/>
      <c r="BE11" s="555"/>
      <c r="BF11" s="555"/>
      <c r="BG11" s="555"/>
      <c r="BH11" s="555"/>
      <c r="BI11" s="555"/>
      <c r="BJ11" s="555"/>
      <c r="BK11" s="555"/>
      <c r="BL11" s="555"/>
      <c r="BM11" s="555"/>
      <c r="BN11" s="555"/>
      <c r="BO11" s="555"/>
      <c r="BP11" s="555"/>
      <c r="BQ11" s="555"/>
      <c r="BR11" s="555"/>
      <c r="BS11" s="555"/>
      <c r="BT11" s="555"/>
      <c r="BU11" s="555"/>
      <c r="BV11" s="555"/>
      <c r="BW11" s="555"/>
      <c r="BX11" s="555"/>
      <c r="BY11" s="555"/>
      <c r="BZ11" s="555"/>
      <c r="CA11" s="555"/>
      <c r="CB11" s="555"/>
      <c r="CC11" s="555"/>
      <c r="CD11" s="555"/>
      <c r="CE11" s="555"/>
      <c r="CF11" s="555"/>
      <c r="CG11" s="555"/>
      <c r="CH11" s="555"/>
      <c r="CI11" s="555"/>
      <c r="CJ11" s="555"/>
      <c r="CM11"/>
    </row>
    <row r="12" spans="2:101" ht="15" customHeight="1">
      <c r="B12" s="16" t="s">
        <v>32</v>
      </c>
      <c r="C12" s="17" t="s">
        <v>32</v>
      </c>
      <c r="D12" s="18" t="s">
        <v>32</v>
      </c>
      <c r="E12" s="19" t="s">
        <v>32</v>
      </c>
      <c r="F12" s="17" t="s">
        <v>32</v>
      </c>
      <c r="G12" s="18" t="s">
        <v>32</v>
      </c>
      <c r="H12" s="19" t="s">
        <v>32</v>
      </c>
      <c r="I12" s="17" t="s">
        <v>32</v>
      </c>
      <c r="J12" s="20" t="s">
        <v>32</v>
      </c>
      <c r="K12" s="16" t="s">
        <v>32</v>
      </c>
      <c r="L12" s="17" t="s">
        <v>32</v>
      </c>
      <c r="M12" s="18" t="s">
        <v>32</v>
      </c>
      <c r="N12" s="19" t="s">
        <v>32</v>
      </c>
      <c r="O12" s="17" t="s">
        <v>32</v>
      </c>
      <c r="P12" s="18" t="s">
        <v>32</v>
      </c>
      <c r="Q12" s="19" t="s">
        <v>32</v>
      </c>
      <c r="R12" s="17" t="s">
        <v>32</v>
      </c>
      <c r="S12" s="20" t="s">
        <v>32</v>
      </c>
      <c r="T12" s="16" t="s">
        <v>32</v>
      </c>
      <c r="U12" s="17" t="s">
        <v>32</v>
      </c>
      <c r="V12" s="18" t="s">
        <v>32</v>
      </c>
      <c r="W12" s="19" t="s">
        <v>32</v>
      </c>
      <c r="X12" s="17" t="s">
        <v>32</v>
      </c>
      <c r="Y12" s="18" t="s">
        <v>32</v>
      </c>
      <c r="Z12" s="19" t="s">
        <v>32</v>
      </c>
      <c r="AA12" s="17" t="s">
        <v>32</v>
      </c>
      <c r="AB12" s="427">
        <v>7</v>
      </c>
      <c r="AG12" s="39"/>
      <c r="AH12" s="483"/>
      <c r="AI12" s="432"/>
      <c r="AJ12" s="432"/>
      <c r="AK12" s="519"/>
      <c r="AL12" s="520">
        <v>2</v>
      </c>
      <c r="AM12" s="518"/>
      <c r="AN12" s="522"/>
      <c r="AO12" s="420">
        <v>6</v>
      </c>
      <c r="AP12" s="521">
        <v>7</v>
      </c>
      <c r="AR12" s="454"/>
      <c r="AS12" t="str">
        <f>IF(AQ3&gt;9,"Fehler","")</f>
        <v/>
      </c>
      <c r="AT12"/>
      <c r="AU12"/>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M12"/>
    </row>
    <row r="13" spans="2:101" ht="15" customHeight="1">
      <c r="B13" s="11" t="s">
        <v>32</v>
      </c>
      <c r="C13" s="7" t="s">
        <v>32</v>
      </c>
      <c r="D13" s="9" t="s">
        <v>32</v>
      </c>
      <c r="E13" s="8" t="s">
        <v>32</v>
      </c>
      <c r="F13" s="7" t="s">
        <v>32</v>
      </c>
      <c r="G13" s="9" t="s">
        <v>32</v>
      </c>
      <c r="H13" s="8" t="s">
        <v>32</v>
      </c>
      <c r="I13" s="7" t="s">
        <v>32</v>
      </c>
      <c r="J13" s="10" t="s">
        <v>32</v>
      </c>
      <c r="K13" s="11" t="s">
        <v>32</v>
      </c>
      <c r="L13" s="7" t="s">
        <v>32</v>
      </c>
      <c r="M13" s="9" t="s">
        <v>32</v>
      </c>
      <c r="N13" s="8" t="s">
        <v>32</v>
      </c>
      <c r="O13" s="7" t="s">
        <v>32</v>
      </c>
      <c r="P13" s="9" t="s">
        <v>32</v>
      </c>
      <c r="Q13" s="8" t="s">
        <v>32</v>
      </c>
      <c r="R13" s="7" t="s">
        <v>32</v>
      </c>
      <c r="S13" s="10" t="s">
        <v>32</v>
      </c>
      <c r="T13" s="11" t="s">
        <v>32</v>
      </c>
      <c r="U13" s="7" t="s">
        <v>32</v>
      </c>
      <c r="V13" s="9" t="s">
        <v>32</v>
      </c>
      <c r="W13" s="8" t="s">
        <v>32</v>
      </c>
      <c r="X13" s="7" t="s">
        <v>32</v>
      </c>
      <c r="Y13" s="9" t="s">
        <v>32</v>
      </c>
      <c r="Z13" s="8" t="s">
        <v>32</v>
      </c>
      <c r="AA13" s="7" t="s">
        <v>32</v>
      </c>
      <c r="AB13" s="10" t="s">
        <v>32</v>
      </c>
      <c r="AD13" s="39"/>
      <c r="AG13" s="39"/>
      <c r="AH13" s="504"/>
      <c r="AI13" s="505"/>
      <c r="AJ13" s="503">
        <v>9</v>
      </c>
      <c r="AK13" s="460"/>
      <c r="AL13" s="513">
        <v>7</v>
      </c>
      <c r="AM13" s="524"/>
      <c r="AN13" s="525"/>
      <c r="AO13" s="525"/>
      <c r="AP13" s="526"/>
      <c r="AS13"/>
      <c r="AT13"/>
      <c r="AU13"/>
      <c r="AW13" s="555"/>
      <c r="AX13" s="555"/>
      <c r="AY13" s="555"/>
      <c r="AZ13" s="555"/>
      <c r="BA13" s="555"/>
      <c r="BB13" s="555"/>
      <c r="BC13" s="555"/>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c r="CB13" s="555"/>
      <c r="CC13" s="555"/>
      <c r="CD13" s="555"/>
      <c r="CE13" s="555"/>
      <c r="CF13" s="555"/>
      <c r="CG13" s="555"/>
      <c r="CH13" s="555"/>
      <c r="CI13" s="555"/>
      <c r="CJ13" s="555"/>
      <c r="CM13"/>
    </row>
    <row r="14" spans="2:101" ht="15" customHeight="1" thickBot="1">
      <c r="B14" s="21" t="s">
        <v>32</v>
      </c>
      <c r="C14" s="22" t="s">
        <v>32</v>
      </c>
      <c r="D14" s="23" t="s">
        <v>32</v>
      </c>
      <c r="E14" s="24" t="s">
        <v>32</v>
      </c>
      <c r="F14" s="22" t="s">
        <v>32</v>
      </c>
      <c r="G14" s="23" t="s">
        <v>32</v>
      </c>
      <c r="H14" s="24" t="s">
        <v>32</v>
      </c>
      <c r="I14" s="22" t="s">
        <v>32</v>
      </c>
      <c r="J14" s="25" t="s">
        <v>32</v>
      </c>
      <c r="K14" s="21" t="s">
        <v>32</v>
      </c>
      <c r="L14" s="22" t="s">
        <v>32</v>
      </c>
      <c r="M14" s="23" t="s">
        <v>32</v>
      </c>
      <c r="N14" s="24" t="s">
        <v>32</v>
      </c>
      <c r="O14" s="22" t="s">
        <v>32</v>
      </c>
      <c r="P14" s="23" t="s">
        <v>32</v>
      </c>
      <c r="Q14" s="24" t="s">
        <v>32</v>
      </c>
      <c r="R14" s="22" t="s">
        <v>32</v>
      </c>
      <c r="S14" s="25" t="s">
        <v>32</v>
      </c>
      <c r="T14" s="21" t="s">
        <v>32</v>
      </c>
      <c r="U14" s="22" t="s">
        <v>32</v>
      </c>
      <c r="V14" s="23" t="s">
        <v>32</v>
      </c>
      <c r="W14" s="24" t="s">
        <v>32</v>
      </c>
      <c r="X14" s="22" t="s">
        <v>32</v>
      </c>
      <c r="Y14" s="23" t="s">
        <v>32</v>
      </c>
      <c r="Z14" s="24" t="s">
        <v>32</v>
      </c>
      <c r="AA14" s="22" t="s">
        <v>32</v>
      </c>
      <c r="AB14" s="25" t="s">
        <v>32</v>
      </c>
      <c r="AG14" s="39"/>
      <c r="AH14" s="506"/>
      <c r="AI14" s="507"/>
      <c r="AJ14" s="458">
        <v>2</v>
      </c>
      <c r="AK14" s="443"/>
      <c r="AL14" s="461">
        <v>5</v>
      </c>
      <c r="AM14" s="527"/>
      <c r="AN14" s="527"/>
      <c r="AO14" s="527"/>
      <c r="AP14" s="462"/>
      <c r="AS14" t="str">
        <f>IF(AQ5&lt;&gt;81,"unvollständig","")</f>
        <v/>
      </c>
      <c r="AT14"/>
      <c r="AU14"/>
      <c r="AW14" s="555"/>
      <c r="AX14" s="555"/>
      <c r="AY14" s="555"/>
      <c r="AZ14" s="555"/>
      <c r="BA14" s="555"/>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c r="CB14" s="555"/>
      <c r="CC14" s="555"/>
      <c r="CD14" s="555"/>
      <c r="CE14" s="555"/>
      <c r="CF14" s="555"/>
      <c r="CG14" s="555"/>
      <c r="CH14" s="555"/>
      <c r="CI14" s="555"/>
      <c r="CJ14" s="555"/>
      <c r="CM14"/>
    </row>
    <row r="15" spans="2:101" ht="15" customHeight="1">
      <c r="B15" s="2" t="s">
        <v>32</v>
      </c>
      <c r="C15" s="5" t="s">
        <v>32</v>
      </c>
      <c r="D15" s="3" t="s">
        <v>32</v>
      </c>
      <c r="E15" s="4" t="s">
        <v>32</v>
      </c>
      <c r="F15" s="5" t="s">
        <v>32</v>
      </c>
      <c r="G15" s="3" t="s">
        <v>32</v>
      </c>
      <c r="H15" s="4" t="s">
        <v>32</v>
      </c>
      <c r="I15" s="5" t="s">
        <v>32</v>
      </c>
      <c r="J15" s="6" t="s">
        <v>32</v>
      </c>
      <c r="K15" s="2" t="s">
        <v>32</v>
      </c>
      <c r="L15" s="5" t="s">
        <v>32</v>
      </c>
      <c r="M15" s="3" t="s">
        <v>32</v>
      </c>
      <c r="N15" s="4" t="s">
        <v>32</v>
      </c>
      <c r="O15" s="5" t="s">
        <v>32</v>
      </c>
      <c r="P15" s="3" t="s">
        <v>32</v>
      </c>
      <c r="Q15" s="4" t="s">
        <v>32</v>
      </c>
      <c r="R15" s="5" t="s">
        <v>32</v>
      </c>
      <c r="S15" s="6" t="s">
        <v>32</v>
      </c>
      <c r="T15" s="2" t="s">
        <v>32</v>
      </c>
      <c r="U15" s="5" t="s">
        <v>32</v>
      </c>
      <c r="V15" s="3" t="s">
        <v>32</v>
      </c>
      <c r="W15" s="4" t="s">
        <v>32</v>
      </c>
      <c r="X15" s="5" t="s">
        <v>32</v>
      </c>
      <c r="Y15" s="3" t="s">
        <v>32</v>
      </c>
      <c r="Z15" s="222">
        <v>9</v>
      </c>
      <c r="AA15" s="5" t="s">
        <v>32</v>
      </c>
      <c r="AB15" s="6">
        <v>0</v>
      </c>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c r="CM15"/>
    </row>
    <row r="16" spans="2:101" ht="15" customHeight="1">
      <c r="B16" s="11" t="s">
        <v>32</v>
      </c>
      <c r="C16" s="7" t="s">
        <v>32</v>
      </c>
      <c r="D16" s="9" t="s">
        <v>32</v>
      </c>
      <c r="E16" s="8" t="s">
        <v>32</v>
      </c>
      <c r="F16" s="7" t="s">
        <v>32</v>
      </c>
      <c r="G16" s="9" t="s">
        <v>32</v>
      </c>
      <c r="H16" s="8" t="s">
        <v>32</v>
      </c>
      <c r="I16" s="7" t="s">
        <v>32</v>
      </c>
      <c r="J16" s="10" t="s">
        <v>32</v>
      </c>
      <c r="K16" s="11" t="s">
        <v>32</v>
      </c>
      <c r="L16" s="7">
        <v>0</v>
      </c>
      <c r="M16" s="9">
        <v>0</v>
      </c>
      <c r="N16" s="8" t="s">
        <v>32</v>
      </c>
      <c r="O16" s="7" t="s">
        <v>32</v>
      </c>
      <c r="P16" s="9">
        <v>0</v>
      </c>
      <c r="Q16" s="206">
        <v>5</v>
      </c>
      <c r="R16" s="7" t="s">
        <v>32</v>
      </c>
      <c r="S16" s="10" t="s">
        <v>32</v>
      </c>
      <c r="T16" s="11" t="s">
        <v>32</v>
      </c>
      <c r="U16" s="7" t="s">
        <v>32</v>
      </c>
      <c r="V16" s="9" t="s">
        <v>32</v>
      </c>
      <c r="W16" s="8" t="s">
        <v>32</v>
      </c>
      <c r="X16" s="7" t="s">
        <v>32</v>
      </c>
      <c r="Y16" s="9" t="s">
        <v>32</v>
      </c>
      <c r="Z16" s="8" t="s">
        <v>32</v>
      </c>
      <c r="AA16" s="7">
        <v>0</v>
      </c>
      <c r="AB16" s="10" t="s">
        <v>32</v>
      </c>
      <c r="AF16" s="116"/>
      <c r="AG16" s="116"/>
      <c r="AH16" s="116"/>
      <c r="AI16" s="116"/>
      <c r="AJ16" s="116"/>
      <c r="AK16" s="116"/>
      <c r="AL16" s="116"/>
      <c r="AM16" s="116"/>
      <c r="AN16" s="116"/>
      <c r="AO16" s="116"/>
      <c r="AP16" s="116"/>
      <c r="AQ16" s="116"/>
      <c r="AR16" s="116"/>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c r="CB16" s="555"/>
      <c r="CC16" s="555"/>
      <c r="CD16" s="555"/>
      <c r="CE16" s="555"/>
      <c r="CF16" s="555"/>
      <c r="CG16" s="555"/>
      <c r="CH16" s="555"/>
      <c r="CI16" s="555"/>
      <c r="CJ16" s="555"/>
      <c r="CM16" s="33"/>
    </row>
    <row r="17" spans="2:91" ht="15" customHeight="1" thickBot="1">
      <c r="B17" s="12" t="s">
        <v>32</v>
      </c>
      <c r="C17" s="13" t="s">
        <v>32</v>
      </c>
      <c r="D17" s="15" t="s">
        <v>32</v>
      </c>
      <c r="E17" s="14" t="s">
        <v>32</v>
      </c>
      <c r="F17" s="13" t="s">
        <v>32</v>
      </c>
      <c r="G17" s="15" t="s">
        <v>32</v>
      </c>
      <c r="H17" s="14" t="s">
        <v>32</v>
      </c>
      <c r="I17" s="13" t="s">
        <v>32</v>
      </c>
      <c r="J17" s="1" t="s">
        <v>32</v>
      </c>
      <c r="K17" s="12" t="s">
        <v>32</v>
      </c>
      <c r="L17" s="212">
        <v>9</v>
      </c>
      <c r="M17" s="15" t="s">
        <v>32</v>
      </c>
      <c r="N17" s="14">
        <v>0</v>
      </c>
      <c r="O17" s="212">
        <v>3</v>
      </c>
      <c r="P17" s="15" t="s">
        <v>32</v>
      </c>
      <c r="Q17" s="14" t="s">
        <v>32</v>
      </c>
      <c r="R17" s="13" t="s">
        <v>32</v>
      </c>
      <c r="S17" s="1" t="s">
        <v>32</v>
      </c>
      <c r="T17" s="12" t="s">
        <v>32</v>
      </c>
      <c r="U17" s="13" t="s">
        <v>32</v>
      </c>
      <c r="V17" s="15" t="s">
        <v>32</v>
      </c>
      <c r="W17" s="14" t="s">
        <v>32</v>
      </c>
      <c r="X17" s="13" t="s">
        <v>32</v>
      </c>
      <c r="Y17" s="15" t="s">
        <v>32</v>
      </c>
      <c r="Z17" s="14">
        <v>0</v>
      </c>
      <c r="AA17" s="13" t="s">
        <v>32</v>
      </c>
      <c r="AB17" s="1" t="s">
        <v>32</v>
      </c>
      <c r="AF17" s="116"/>
      <c r="AG17" s="116"/>
      <c r="AH17" s="118" t="s">
        <v>27</v>
      </c>
      <c r="AI17" s="116"/>
      <c r="AJ17" s="116"/>
      <c r="AK17" s="116"/>
      <c r="AL17" s="116"/>
      <c r="AM17" s="116"/>
      <c r="AN17" s="116"/>
      <c r="AO17" s="116"/>
      <c r="AP17" s="116"/>
      <c r="AQ17" s="116"/>
      <c r="AR17" s="116"/>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c r="CB17" s="555"/>
      <c r="CC17" s="555"/>
      <c r="CD17" s="555"/>
      <c r="CE17" s="555"/>
      <c r="CF17" s="555"/>
      <c r="CG17" s="555"/>
      <c r="CH17" s="555"/>
      <c r="CI17" s="555"/>
      <c r="CJ17" s="555"/>
      <c r="CM17" s="33"/>
    </row>
    <row r="18" spans="2:91" ht="15" customHeight="1" thickBot="1">
      <c r="B18" s="16" t="s">
        <v>32</v>
      </c>
      <c r="C18" s="17" t="s">
        <v>32</v>
      </c>
      <c r="D18" s="18" t="s">
        <v>32</v>
      </c>
      <c r="E18" s="19" t="s">
        <v>32</v>
      </c>
      <c r="F18" s="17" t="s">
        <v>32</v>
      </c>
      <c r="G18" s="18" t="s">
        <v>32</v>
      </c>
      <c r="H18" s="19" t="s">
        <v>32</v>
      </c>
      <c r="I18" s="17" t="s">
        <v>32</v>
      </c>
      <c r="J18" s="20" t="s">
        <v>32</v>
      </c>
      <c r="K18" s="16" t="s">
        <v>32</v>
      </c>
      <c r="L18" s="17" t="s">
        <v>32</v>
      </c>
      <c r="M18" s="18">
        <v>0</v>
      </c>
      <c r="N18" s="19" t="s">
        <v>32</v>
      </c>
      <c r="O18" s="17" t="s">
        <v>32</v>
      </c>
      <c r="P18" s="18">
        <v>0</v>
      </c>
      <c r="Q18" s="19" t="s">
        <v>32</v>
      </c>
      <c r="R18" s="17" t="s">
        <v>32</v>
      </c>
      <c r="S18" s="20" t="s">
        <v>32</v>
      </c>
      <c r="T18" s="16" t="s">
        <v>32</v>
      </c>
      <c r="U18" s="17" t="s">
        <v>32</v>
      </c>
      <c r="V18" s="18" t="s">
        <v>32</v>
      </c>
      <c r="W18" s="19" t="s">
        <v>32</v>
      </c>
      <c r="X18" s="17" t="s">
        <v>32</v>
      </c>
      <c r="Y18" s="18" t="s">
        <v>32</v>
      </c>
      <c r="Z18" s="19">
        <v>0</v>
      </c>
      <c r="AA18" s="17" t="s">
        <v>32</v>
      </c>
      <c r="AB18" s="20" t="s">
        <v>32</v>
      </c>
      <c r="AF18" s="116"/>
      <c r="AG18" s="116"/>
      <c r="AH18" s="127"/>
      <c r="AI18" s="128">
        <v>2</v>
      </c>
      <c r="AJ18" s="128"/>
      <c r="AK18" s="129"/>
      <c r="AL18" s="128">
        <v>8</v>
      </c>
      <c r="AM18" s="128"/>
      <c r="AN18" s="128"/>
      <c r="AO18" s="127">
        <v>9</v>
      </c>
      <c r="AP18" s="129"/>
      <c r="AQ18" s="116"/>
      <c r="AR18" s="116"/>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c r="BU18" s="555"/>
      <c r="BV18" s="555"/>
      <c r="BW18" s="555"/>
      <c r="BX18" s="555"/>
      <c r="BY18" s="555"/>
      <c r="BZ18" s="555"/>
      <c r="CA18" s="555"/>
      <c r="CB18" s="555"/>
      <c r="CC18" s="555"/>
      <c r="CD18" s="555"/>
      <c r="CE18" s="555"/>
      <c r="CF18" s="555"/>
      <c r="CG18" s="555"/>
      <c r="CH18" s="555"/>
      <c r="CI18" s="555"/>
      <c r="CJ18" s="555"/>
      <c r="CM18" s="33"/>
    </row>
    <row r="19" spans="2:91" ht="15" customHeight="1" thickBot="1">
      <c r="B19" s="11" t="s">
        <v>32</v>
      </c>
      <c r="C19" s="7" t="s">
        <v>32</v>
      </c>
      <c r="D19" s="205">
        <v>7</v>
      </c>
      <c r="E19" s="8" t="s">
        <v>32</v>
      </c>
      <c r="F19" s="7" t="s">
        <v>32</v>
      </c>
      <c r="G19" s="9" t="s">
        <v>32</v>
      </c>
      <c r="H19" s="8" t="s">
        <v>32</v>
      </c>
      <c r="I19" s="7" t="s">
        <v>32</v>
      </c>
      <c r="J19" s="10" t="s">
        <v>32</v>
      </c>
      <c r="K19" s="11" t="s">
        <v>32</v>
      </c>
      <c r="L19" s="7" t="s">
        <v>32</v>
      </c>
      <c r="M19" s="9" t="s">
        <v>32</v>
      </c>
      <c r="N19" s="8" t="s">
        <v>32</v>
      </c>
      <c r="O19" s="7" t="s">
        <v>32</v>
      </c>
      <c r="P19" s="9" t="s">
        <v>32</v>
      </c>
      <c r="Q19" s="8" t="s">
        <v>32</v>
      </c>
      <c r="R19" s="7" t="s">
        <v>32</v>
      </c>
      <c r="S19" s="10" t="s">
        <v>32</v>
      </c>
      <c r="T19" s="11" t="s">
        <v>32</v>
      </c>
      <c r="U19" s="7" t="s">
        <v>32</v>
      </c>
      <c r="V19" s="9" t="s">
        <v>32</v>
      </c>
      <c r="W19" s="8" t="s">
        <v>32</v>
      </c>
      <c r="X19" s="7" t="s">
        <v>32</v>
      </c>
      <c r="Y19" s="9" t="s">
        <v>32</v>
      </c>
      <c r="Z19" s="206">
        <v>2</v>
      </c>
      <c r="AA19" s="204">
        <v>4</v>
      </c>
      <c r="AB19" s="10" t="s">
        <v>32</v>
      </c>
      <c r="AF19" s="116"/>
      <c r="AG19" s="116"/>
      <c r="AH19" s="130">
        <v>3</v>
      </c>
      <c r="AI19" s="131"/>
      <c r="AJ19" s="132">
        <v>7</v>
      </c>
      <c r="AK19" s="133"/>
      <c r="AL19" s="131"/>
      <c r="AM19" s="131"/>
      <c r="AN19" s="131"/>
      <c r="AO19" s="130"/>
      <c r="AP19" s="132">
        <v>1</v>
      </c>
      <c r="AQ19" s="116"/>
      <c r="AR19" s="116"/>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c r="BU19" s="555"/>
      <c r="BV19" s="555"/>
      <c r="BW19" s="555"/>
      <c r="BX19" s="555"/>
      <c r="BY19" s="555"/>
      <c r="BZ19" s="555"/>
      <c r="CA19" s="555"/>
      <c r="CB19" s="555"/>
      <c r="CC19" s="555"/>
      <c r="CD19" s="555"/>
      <c r="CE19" s="555"/>
      <c r="CF19" s="555"/>
      <c r="CG19" s="555"/>
      <c r="CH19" s="555"/>
      <c r="CI19" s="555"/>
      <c r="CJ19" s="555"/>
      <c r="CM19" s="33"/>
    </row>
    <row r="20" spans="2:91" ht="15" customHeight="1" thickBot="1">
      <c r="B20" s="12">
        <v>0</v>
      </c>
      <c r="C20" s="13">
        <v>0</v>
      </c>
      <c r="D20" s="15">
        <v>0</v>
      </c>
      <c r="E20" s="14">
        <v>0</v>
      </c>
      <c r="F20" s="13" t="s">
        <v>32</v>
      </c>
      <c r="G20" s="15" t="s">
        <v>32</v>
      </c>
      <c r="H20" s="14" t="s">
        <v>32</v>
      </c>
      <c r="I20" s="13" t="s">
        <v>32</v>
      </c>
      <c r="J20" s="1" t="s">
        <v>32</v>
      </c>
      <c r="K20" s="12" t="s">
        <v>32</v>
      </c>
      <c r="L20" s="13" t="s">
        <v>32</v>
      </c>
      <c r="M20" s="15" t="s">
        <v>32</v>
      </c>
      <c r="N20" s="14" t="s">
        <v>32</v>
      </c>
      <c r="O20" s="13" t="s">
        <v>32</v>
      </c>
      <c r="P20" s="15" t="s">
        <v>32</v>
      </c>
      <c r="Q20" s="14" t="s">
        <v>32</v>
      </c>
      <c r="R20" s="13" t="s">
        <v>32</v>
      </c>
      <c r="S20" s="1" t="s">
        <v>32</v>
      </c>
      <c r="T20" s="12" t="s">
        <v>32</v>
      </c>
      <c r="U20" s="13" t="s">
        <v>32</v>
      </c>
      <c r="V20" s="15" t="s">
        <v>32</v>
      </c>
      <c r="W20" s="14" t="s">
        <v>32</v>
      </c>
      <c r="X20" s="13" t="s">
        <v>32</v>
      </c>
      <c r="Y20" s="15" t="s">
        <v>32</v>
      </c>
      <c r="Z20" s="14" t="s">
        <v>32</v>
      </c>
      <c r="AA20" s="13">
        <v>0</v>
      </c>
      <c r="AB20" s="1" t="s">
        <v>32</v>
      </c>
      <c r="AF20" s="116"/>
      <c r="AG20" s="116"/>
      <c r="AH20" s="127"/>
      <c r="AI20" s="129"/>
      <c r="AJ20" s="134">
        <v>8</v>
      </c>
      <c r="AK20" s="131"/>
      <c r="AL20" s="130">
        <v>1</v>
      </c>
      <c r="AM20" s="127"/>
      <c r="AN20" s="135">
        <v>6</v>
      </c>
      <c r="AO20" s="136">
        <v>4</v>
      </c>
      <c r="AP20" s="137"/>
      <c r="AQ20" s="116"/>
      <c r="AR20" s="116"/>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c r="BU20" s="555"/>
      <c r="BV20" s="555"/>
      <c r="BW20" s="555"/>
      <c r="BX20" s="555"/>
      <c r="BY20" s="555"/>
      <c r="BZ20" s="555"/>
      <c r="CA20" s="555"/>
      <c r="CB20" s="555"/>
      <c r="CC20" s="555"/>
      <c r="CD20" s="555"/>
      <c r="CE20" s="555"/>
      <c r="CF20" s="555"/>
      <c r="CG20" s="555"/>
      <c r="CH20" s="555"/>
      <c r="CI20" s="555"/>
      <c r="CJ20" s="555"/>
      <c r="CM20" s="33"/>
    </row>
    <row r="21" spans="2:91" ht="15" customHeight="1" thickBot="1">
      <c r="B21" s="16">
        <v>0</v>
      </c>
      <c r="C21" s="17">
        <v>0</v>
      </c>
      <c r="D21" s="18">
        <v>0</v>
      </c>
      <c r="E21" s="19" t="s">
        <v>32</v>
      </c>
      <c r="F21" s="17" t="s">
        <v>32</v>
      </c>
      <c r="G21" s="18" t="s">
        <v>32</v>
      </c>
      <c r="H21" s="19" t="s">
        <v>32</v>
      </c>
      <c r="I21" s="17" t="s">
        <v>32</v>
      </c>
      <c r="J21" s="20" t="s">
        <v>32</v>
      </c>
      <c r="K21" s="16" t="s">
        <v>32</v>
      </c>
      <c r="L21" s="17" t="s">
        <v>32</v>
      </c>
      <c r="M21" s="18" t="s">
        <v>32</v>
      </c>
      <c r="N21" s="19" t="s">
        <v>32</v>
      </c>
      <c r="O21" s="17" t="s">
        <v>32</v>
      </c>
      <c r="P21" s="18" t="s">
        <v>32</v>
      </c>
      <c r="Q21" s="19" t="s">
        <v>32</v>
      </c>
      <c r="R21" s="17" t="s">
        <v>32</v>
      </c>
      <c r="S21" s="20" t="s">
        <v>32</v>
      </c>
      <c r="T21" s="16" t="s">
        <v>32</v>
      </c>
      <c r="U21" s="17" t="s">
        <v>32</v>
      </c>
      <c r="V21" s="18" t="s">
        <v>32</v>
      </c>
      <c r="W21" s="19" t="s">
        <v>32</v>
      </c>
      <c r="X21" s="17" t="s">
        <v>32</v>
      </c>
      <c r="Y21" s="18" t="s">
        <v>32</v>
      </c>
      <c r="Z21" s="19">
        <v>0</v>
      </c>
      <c r="AA21" s="17" t="s">
        <v>32</v>
      </c>
      <c r="AB21" s="20" t="s">
        <v>32</v>
      </c>
      <c r="AF21" s="116"/>
      <c r="AG21" s="116"/>
      <c r="AH21" s="130"/>
      <c r="AI21" s="133"/>
      <c r="AJ21" s="128"/>
      <c r="AK21" s="128"/>
      <c r="AL21" s="138"/>
      <c r="AM21" s="138"/>
      <c r="AN21" s="130"/>
      <c r="AO21" s="131"/>
      <c r="AP21" s="132"/>
      <c r="AQ21" s="116"/>
      <c r="AR21" s="116"/>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c r="CB21" s="555"/>
      <c r="CC21" s="555"/>
      <c r="CD21" s="555"/>
      <c r="CE21" s="555"/>
      <c r="CF21" s="555"/>
      <c r="CG21" s="555"/>
      <c r="CH21" s="555"/>
      <c r="CI21" s="555"/>
      <c r="CJ21" s="555"/>
      <c r="CM21" s="33"/>
    </row>
    <row r="22" spans="2:91" ht="15" customHeight="1" thickBot="1">
      <c r="B22" s="11" t="s">
        <v>32</v>
      </c>
      <c r="C22" s="7" t="s">
        <v>32</v>
      </c>
      <c r="D22" s="205">
        <v>9</v>
      </c>
      <c r="E22" s="8" t="s">
        <v>32</v>
      </c>
      <c r="F22" s="7" t="s">
        <v>32</v>
      </c>
      <c r="G22" s="9" t="s">
        <v>32</v>
      </c>
      <c r="H22" s="8" t="s">
        <v>32</v>
      </c>
      <c r="I22" s="7" t="s">
        <v>32</v>
      </c>
      <c r="J22" s="10" t="s">
        <v>32</v>
      </c>
      <c r="K22" s="11" t="s">
        <v>32</v>
      </c>
      <c r="L22" s="7" t="s">
        <v>32</v>
      </c>
      <c r="M22" s="9" t="s">
        <v>32</v>
      </c>
      <c r="N22" s="8" t="s">
        <v>32</v>
      </c>
      <c r="O22" s="7" t="s">
        <v>32</v>
      </c>
      <c r="P22" s="9" t="s">
        <v>32</v>
      </c>
      <c r="Q22" s="8" t="s">
        <v>32</v>
      </c>
      <c r="R22" s="7" t="s">
        <v>32</v>
      </c>
      <c r="S22" s="10" t="s">
        <v>32</v>
      </c>
      <c r="T22" s="11" t="s">
        <v>32</v>
      </c>
      <c r="U22" s="7" t="s">
        <v>32</v>
      </c>
      <c r="V22" s="9" t="s">
        <v>32</v>
      </c>
      <c r="W22" s="8" t="s">
        <v>32</v>
      </c>
      <c r="X22" s="7" t="s">
        <v>32</v>
      </c>
      <c r="Y22" s="9" t="s">
        <v>32</v>
      </c>
      <c r="Z22" s="8" t="s">
        <v>32</v>
      </c>
      <c r="AA22" s="7" t="s">
        <v>32</v>
      </c>
      <c r="AB22" s="10" t="s">
        <v>32</v>
      </c>
      <c r="AF22" s="116"/>
      <c r="AG22" s="116"/>
      <c r="AH22" s="130">
        <v>7</v>
      </c>
      <c r="AI22" s="131"/>
      <c r="AJ22" s="128">
        <v>9</v>
      </c>
      <c r="AK22" s="130"/>
      <c r="AL22" s="128"/>
      <c r="AM22" s="131"/>
      <c r="AN22" s="134">
        <v>3</v>
      </c>
      <c r="AO22" s="131"/>
      <c r="AP22" s="132">
        <v>5</v>
      </c>
      <c r="AQ22" s="116"/>
      <c r="AR22" s="116"/>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c r="CB22" s="555"/>
      <c r="CC22" s="555"/>
      <c r="CD22" s="555"/>
      <c r="CE22" s="555"/>
      <c r="CF22" s="555"/>
      <c r="CG22" s="555"/>
      <c r="CH22" s="555"/>
      <c r="CI22" s="555"/>
      <c r="CJ22" s="555"/>
      <c r="CM22" s="33"/>
    </row>
    <row r="23" spans="2:91" ht="15" customHeight="1" thickBot="1">
      <c r="B23" s="21" t="s">
        <v>32</v>
      </c>
      <c r="C23" s="22" t="s">
        <v>32</v>
      </c>
      <c r="D23" s="23" t="s">
        <v>32</v>
      </c>
      <c r="E23" s="24" t="s">
        <v>32</v>
      </c>
      <c r="F23" s="22" t="s">
        <v>32</v>
      </c>
      <c r="G23" s="23" t="s">
        <v>32</v>
      </c>
      <c r="H23" s="24" t="s">
        <v>32</v>
      </c>
      <c r="I23" s="22" t="s">
        <v>32</v>
      </c>
      <c r="J23" s="25" t="s">
        <v>32</v>
      </c>
      <c r="K23" s="21" t="s">
        <v>32</v>
      </c>
      <c r="L23" s="22" t="s">
        <v>32</v>
      </c>
      <c r="M23" s="23" t="s">
        <v>32</v>
      </c>
      <c r="N23" s="24" t="s">
        <v>32</v>
      </c>
      <c r="O23" s="22" t="s">
        <v>32</v>
      </c>
      <c r="P23" s="23" t="s">
        <v>32</v>
      </c>
      <c r="Q23" s="24" t="s">
        <v>32</v>
      </c>
      <c r="R23" s="22" t="s">
        <v>32</v>
      </c>
      <c r="S23" s="25" t="s">
        <v>32</v>
      </c>
      <c r="T23" s="21" t="s">
        <v>32</v>
      </c>
      <c r="U23" s="22" t="s">
        <v>32</v>
      </c>
      <c r="V23" s="23" t="s">
        <v>32</v>
      </c>
      <c r="W23" s="24" t="s">
        <v>32</v>
      </c>
      <c r="X23" s="22" t="s">
        <v>32</v>
      </c>
      <c r="Y23" s="23" t="s">
        <v>32</v>
      </c>
      <c r="Z23" s="24" t="s">
        <v>32</v>
      </c>
      <c r="AA23" s="22" t="s">
        <v>32</v>
      </c>
      <c r="AB23" s="25" t="s">
        <v>32</v>
      </c>
      <c r="AF23" s="116"/>
      <c r="AG23" s="116"/>
      <c r="AH23" s="134"/>
      <c r="AI23" s="131"/>
      <c r="AJ23" s="131"/>
      <c r="AK23" s="127"/>
      <c r="AL23" s="139"/>
      <c r="AM23" s="134"/>
      <c r="AN23" s="135"/>
      <c r="AO23" s="140"/>
      <c r="AP23" s="141"/>
      <c r="AQ23" s="116"/>
      <c r="AR23" s="116"/>
      <c r="AW23" s="556" t="s">
        <v>81</v>
      </c>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6"/>
      <c r="BU23" s="556"/>
      <c r="BV23" s="556"/>
      <c r="BW23" s="556"/>
      <c r="BX23" s="556"/>
      <c r="BY23" s="556"/>
      <c r="BZ23" s="556"/>
      <c r="CA23" s="556"/>
      <c r="CB23" s="556"/>
      <c r="CC23" s="556"/>
      <c r="CD23" s="556"/>
      <c r="CE23" s="556"/>
      <c r="CF23" s="556"/>
      <c r="CG23" s="556"/>
      <c r="CH23" s="556"/>
      <c r="CI23" s="556"/>
      <c r="CJ23" s="556"/>
      <c r="CM23" s="33"/>
    </row>
    <row r="24" spans="2:91" ht="15" customHeight="1" thickBot="1">
      <c r="B24" s="2" t="s">
        <v>32</v>
      </c>
      <c r="C24" s="5" t="s">
        <v>32</v>
      </c>
      <c r="D24" s="3" t="s">
        <v>32</v>
      </c>
      <c r="E24" s="4" t="s">
        <v>32</v>
      </c>
      <c r="F24" s="5" t="s">
        <v>32</v>
      </c>
      <c r="G24" s="3" t="s">
        <v>32</v>
      </c>
      <c r="H24" s="4" t="s">
        <v>32</v>
      </c>
      <c r="I24" s="5" t="s">
        <v>32</v>
      </c>
      <c r="J24" s="6" t="s">
        <v>32</v>
      </c>
      <c r="K24" s="2" t="s">
        <v>32</v>
      </c>
      <c r="L24" s="5" t="s">
        <v>32</v>
      </c>
      <c r="M24" s="3" t="s">
        <v>32</v>
      </c>
      <c r="N24" s="4" t="s">
        <v>32</v>
      </c>
      <c r="O24" s="5" t="s">
        <v>32</v>
      </c>
      <c r="P24" s="3" t="s">
        <v>32</v>
      </c>
      <c r="Q24" s="4" t="s">
        <v>32</v>
      </c>
      <c r="R24" s="5" t="s">
        <v>32</v>
      </c>
      <c r="S24" s="6" t="s">
        <v>32</v>
      </c>
      <c r="T24" s="2" t="s">
        <v>32</v>
      </c>
      <c r="U24" s="5" t="s">
        <v>32</v>
      </c>
      <c r="V24" s="3" t="s">
        <v>32</v>
      </c>
      <c r="W24" s="4" t="s">
        <v>32</v>
      </c>
      <c r="X24" s="5" t="s">
        <v>32</v>
      </c>
      <c r="Y24" s="3" t="s">
        <v>32</v>
      </c>
      <c r="Z24" s="4" t="s">
        <v>32</v>
      </c>
      <c r="AA24" s="5" t="s">
        <v>32</v>
      </c>
      <c r="AB24" s="6" t="s">
        <v>32</v>
      </c>
      <c r="AF24" s="116"/>
      <c r="AG24" s="116"/>
      <c r="AH24" s="130"/>
      <c r="AI24" s="128">
        <v>5</v>
      </c>
      <c r="AJ24" s="128">
        <v>3</v>
      </c>
      <c r="AK24" s="131"/>
      <c r="AL24" s="141">
        <v>4</v>
      </c>
      <c r="AM24" s="127">
        <v>2</v>
      </c>
      <c r="AN24" s="128">
        <v>9</v>
      </c>
      <c r="AO24" s="127"/>
      <c r="AP24" s="132"/>
      <c r="AQ24" s="116"/>
      <c r="AR24" s="11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M24" s="33"/>
    </row>
    <row r="25" spans="2:91" ht="15" customHeight="1" thickBot="1">
      <c r="B25" s="11" t="s">
        <v>32</v>
      </c>
      <c r="C25" s="7" t="s">
        <v>32</v>
      </c>
      <c r="D25" s="9" t="s">
        <v>32</v>
      </c>
      <c r="E25" s="8" t="s">
        <v>32</v>
      </c>
      <c r="F25" s="7" t="s">
        <v>32</v>
      </c>
      <c r="G25" s="9" t="s">
        <v>32</v>
      </c>
      <c r="H25" s="8" t="s">
        <v>32</v>
      </c>
      <c r="I25" s="7" t="s">
        <v>32</v>
      </c>
      <c r="J25" s="10" t="s">
        <v>32</v>
      </c>
      <c r="K25" s="11" t="s">
        <v>32</v>
      </c>
      <c r="L25" s="7" t="s">
        <v>32</v>
      </c>
      <c r="M25" s="9" t="s">
        <v>32</v>
      </c>
      <c r="N25" s="8" t="s">
        <v>32</v>
      </c>
      <c r="O25" s="7" t="s">
        <v>32</v>
      </c>
      <c r="P25" s="9" t="s">
        <v>32</v>
      </c>
      <c r="Q25" s="8" t="s">
        <v>32</v>
      </c>
      <c r="R25" s="7" t="s">
        <v>32</v>
      </c>
      <c r="S25" s="10" t="s">
        <v>32</v>
      </c>
      <c r="T25" s="11" t="s">
        <v>32</v>
      </c>
      <c r="U25" s="7" t="s">
        <v>32</v>
      </c>
      <c r="V25" s="9" t="s">
        <v>32</v>
      </c>
      <c r="W25" s="8" t="s">
        <v>32</v>
      </c>
      <c r="X25" s="7" t="s">
        <v>32</v>
      </c>
      <c r="Y25" s="9" t="s">
        <v>32</v>
      </c>
      <c r="Z25" s="8" t="s">
        <v>32</v>
      </c>
      <c r="AA25" s="7" t="s">
        <v>32</v>
      </c>
      <c r="AB25" s="10" t="s">
        <v>32</v>
      </c>
      <c r="AF25" s="116"/>
      <c r="AG25" s="116"/>
      <c r="AH25" s="130">
        <v>2</v>
      </c>
      <c r="AI25" s="131"/>
      <c r="AJ25" s="127"/>
      <c r="AK25" s="128"/>
      <c r="AL25" s="131"/>
      <c r="AM25" s="128"/>
      <c r="AN25" s="130">
        <v>4</v>
      </c>
      <c r="AO25" s="128"/>
      <c r="AP25" s="129">
        <v>8</v>
      </c>
      <c r="AQ25" s="116"/>
      <c r="AR25" s="11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M25" s="33"/>
    </row>
    <row r="26" spans="2:91" ht="15" customHeight="1" thickBot="1">
      <c r="B26" s="12" t="s">
        <v>32</v>
      </c>
      <c r="C26" s="13" t="s">
        <v>32</v>
      </c>
      <c r="D26" s="15" t="s">
        <v>32</v>
      </c>
      <c r="E26" s="14" t="s">
        <v>32</v>
      </c>
      <c r="F26" s="13" t="s">
        <v>32</v>
      </c>
      <c r="G26" s="15" t="s">
        <v>32</v>
      </c>
      <c r="H26" s="14" t="s">
        <v>32</v>
      </c>
      <c r="I26" s="13" t="s">
        <v>32</v>
      </c>
      <c r="J26" s="1" t="s">
        <v>32</v>
      </c>
      <c r="K26" s="12" t="s">
        <v>32</v>
      </c>
      <c r="L26" s="13" t="s">
        <v>32</v>
      </c>
      <c r="M26" s="15" t="s">
        <v>32</v>
      </c>
      <c r="N26" s="14" t="s">
        <v>32</v>
      </c>
      <c r="O26" s="13" t="s">
        <v>32</v>
      </c>
      <c r="P26" s="15">
        <v>0</v>
      </c>
      <c r="Q26" s="14" t="s">
        <v>32</v>
      </c>
      <c r="R26" s="13" t="s">
        <v>32</v>
      </c>
      <c r="S26" s="1" t="s">
        <v>32</v>
      </c>
      <c r="T26" s="12" t="s">
        <v>32</v>
      </c>
      <c r="U26" s="13" t="s">
        <v>32</v>
      </c>
      <c r="V26" s="15" t="s">
        <v>32</v>
      </c>
      <c r="W26" s="14" t="s">
        <v>32</v>
      </c>
      <c r="X26" s="13" t="s">
        <v>32</v>
      </c>
      <c r="Y26" s="15" t="s">
        <v>32</v>
      </c>
      <c r="Z26" s="14" t="s">
        <v>32</v>
      </c>
      <c r="AA26" s="13" t="s">
        <v>32</v>
      </c>
      <c r="AB26" s="1" t="s">
        <v>32</v>
      </c>
      <c r="AF26" s="116"/>
      <c r="AG26" s="116"/>
      <c r="AH26" s="134"/>
      <c r="AI26" s="136">
        <v>4</v>
      </c>
      <c r="AJ26" s="134"/>
      <c r="AK26" s="136"/>
      <c r="AL26" s="137">
        <v>2</v>
      </c>
      <c r="AM26" s="135"/>
      <c r="AN26" s="136"/>
      <c r="AO26" s="136">
        <v>5</v>
      </c>
      <c r="AP26" s="137"/>
      <c r="AQ26" s="116"/>
      <c r="AR26" s="11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M26" s="33"/>
    </row>
    <row r="27" spans="2:91" ht="15" customHeight="1">
      <c r="B27" s="16" t="s">
        <v>32</v>
      </c>
      <c r="C27" s="17" t="s">
        <v>32</v>
      </c>
      <c r="D27" s="18" t="s">
        <v>32</v>
      </c>
      <c r="E27" s="19" t="s">
        <v>32</v>
      </c>
      <c r="F27" s="17" t="s">
        <v>32</v>
      </c>
      <c r="G27" s="18" t="s">
        <v>32</v>
      </c>
      <c r="H27" s="19" t="s">
        <v>32</v>
      </c>
      <c r="I27" s="17" t="s">
        <v>32</v>
      </c>
      <c r="J27" s="20" t="s">
        <v>32</v>
      </c>
      <c r="K27" s="16" t="s">
        <v>32</v>
      </c>
      <c r="L27" s="17" t="s">
        <v>32</v>
      </c>
      <c r="M27" s="18" t="s">
        <v>32</v>
      </c>
      <c r="N27" s="19" t="s">
        <v>32</v>
      </c>
      <c r="O27" s="17">
        <v>0</v>
      </c>
      <c r="P27" s="18" t="s">
        <v>32</v>
      </c>
      <c r="Q27" s="19" t="s">
        <v>32</v>
      </c>
      <c r="R27" s="17" t="s">
        <v>32</v>
      </c>
      <c r="S27" s="20" t="s">
        <v>32</v>
      </c>
      <c r="T27" s="16" t="s">
        <v>32</v>
      </c>
      <c r="U27" s="17" t="s">
        <v>32</v>
      </c>
      <c r="V27" s="18" t="s">
        <v>32</v>
      </c>
      <c r="W27" s="19" t="s">
        <v>32</v>
      </c>
      <c r="X27" s="17" t="s">
        <v>32</v>
      </c>
      <c r="Y27" s="18" t="s">
        <v>32</v>
      </c>
      <c r="Z27" s="19" t="s">
        <v>32</v>
      </c>
      <c r="AA27" s="17" t="s">
        <v>32</v>
      </c>
      <c r="AB27" s="20" t="s">
        <v>32</v>
      </c>
      <c r="AF27" s="116"/>
      <c r="AG27" s="116"/>
      <c r="AH27" s="116"/>
      <c r="AI27" s="116"/>
      <c r="AJ27" s="116"/>
      <c r="AK27" s="116"/>
      <c r="AL27" s="116"/>
      <c r="AM27" s="116"/>
      <c r="AN27" s="116"/>
      <c r="AO27" s="116"/>
      <c r="AP27" s="116"/>
      <c r="AQ27" s="116"/>
      <c r="AR27" s="11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M27" s="33"/>
    </row>
    <row r="28" spans="2:91" ht="15" customHeight="1">
      <c r="B28" s="11" t="s">
        <v>32</v>
      </c>
      <c r="C28" s="7" t="s">
        <v>32</v>
      </c>
      <c r="D28" s="9" t="s">
        <v>32</v>
      </c>
      <c r="E28" s="8" t="s">
        <v>32</v>
      </c>
      <c r="F28" s="7" t="s">
        <v>32</v>
      </c>
      <c r="G28" s="9" t="s">
        <v>32</v>
      </c>
      <c r="H28" s="8" t="s">
        <v>32</v>
      </c>
      <c r="I28" s="7" t="s">
        <v>32</v>
      </c>
      <c r="J28" s="10" t="s">
        <v>32</v>
      </c>
      <c r="K28" s="11" t="s">
        <v>32</v>
      </c>
      <c r="L28" s="7" t="s">
        <v>32</v>
      </c>
      <c r="M28" s="9" t="s">
        <v>32</v>
      </c>
      <c r="N28" s="8">
        <v>0</v>
      </c>
      <c r="O28" s="7" t="s">
        <v>32</v>
      </c>
      <c r="P28" s="9" t="s">
        <v>32</v>
      </c>
      <c r="Q28" s="8" t="s">
        <v>32</v>
      </c>
      <c r="R28" s="7" t="s">
        <v>32</v>
      </c>
      <c r="S28" s="10" t="s">
        <v>32</v>
      </c>
      <c r="T28" s="11" t="s">
        <v>32</v>
      </c>
      <c r="U28" s="7" t="s">
        <v>32</v>
      </c>
      <c r="V28" s="9" t="s">
        <v>32</v>
      </c>
      <c r="W28" s="8" t="s">
        <v>32</v>
      </c>
      <c r="X28" s="7" t="s">
        <v>32</v>
      </c>
      <c r="Y28" s="9" t="s">
        <v>32</v>
      </c>
      <c r="Z28" s="8" t="s">
        <v>32</v>
      </c>
      <c r="AA28" s="7" t="s">
        <v>32</v>
      </c>
      <c r="AB28" s="10" t="s">
        <v>32</v>
      </c>
      <c r="AF28" s="116"/>
      <c r="AG28" s="116"/>
      <c r="AH28" s="116"/>
      <c r="AI28" s="116"/>
      <c r="AJ28" s="116"/>
      <c r="AK28" s="116"/>
      <c r="AL28" s="116"/>
      <c r="AM28" s="116"/>
      <c r="AN28" s="116"/>
      <c r="AO28" s="116"/>
      <c r="AP28" s="116"/>
      <c r="AQ28" s="116"/>
      <c r="AR28" s="11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M28" s="33"/>
    </row>
    <row r="29" spans="2:91" ht="15" customHeight="1">
      <c r="B29" s="12" t="s">
        <v>32</v>
      </c>
      <c r="C29" s="13" t="s">
        <v>32</v>
      </c>
      <c r="D29" s="15" t="s">
        <v>32</v>
      </c>
      <c r="E29" s="14" t="s">
        <v>32</v>
      </c>
      <c r="F29" s="13" t="s">
        <v>32</v>
      </c>
      <c r="G29" s="15" t="s">
        <v>32</v>
      </c>
      <c r="H29" s="14" t="s">
        <v>32</v>
      </c>
      <c r="I29" s="13" t="s">
        <v>32</v>
      </c>
      <c r="J29" s="1" t="s">
        <v>32</v>
      </c>
      <c r="K29" s="12" t="s">
        <v>32</v>
      </c>
      <c r="L29" s="13" t="s">
        <v>32</v>
      </c>
      <c r="M29" s="15" t="s">
        <v>32</v>
      </c>
      <c r="N29" s="14" t="s">
        <v>32</v>
      </c>
      <c r="O29" s="13">
        <v>0</v>
      </c>
      <c r="P29" s="15">
        <v>0</v>
      </c>
      <c r="Q29" s="14">
        <v>0</v>
      </c>
      <c r="R29" s="13" t="s">
        <v>32</v>
      </c>
      <c r="S29" s="1" t="s">
        <v>32</v>
      </c>
      <c r="T29" s="12" t="s">
        <v>32</v>
      </c>
      <c r="U29" s="13" t="s">
        <v>32</v>
      </c>
      <c r="V29" s="15" t="s">
        <v>32</v>
      </c>
      <c r="W29" s="14" t="s">
        <v>32</v>
      </c>
      <c r="X29" s="13" t="s">
        <v>32</v>
      </c>
      <c r="Y29" s="15" t="s">
        <v>32</v>
      </c>
      <c r="Z29" s="14" t="s">
        <v>32</v>
      </c>
      <c r="AA29" s="13" t="s">
        <v>32</v>
      </c>
      <c r="AB29" s="1" t="s">
        <v>32</v>
      </c>
      <c r="AF29" s="116"/>
      <c r="AG29" s="116"/>
      <c r="AH29" s="116"/>
      <c r="AI29" s="116"/>
      <c r="AJ29" s="116"/>
      <c r="AK29" s="116"/>
      <c r="AL29" s="116"/>
      <c r="AM29" s="116"/>
      <c r="AN29" s="116"/>
      <c r="AO29" s="116"/>
      <c r="AP29" s="116"/>
      <c r="AQ29" s="116"/>
      <c r="AR29" s="11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M29" s="33"/>
    </row>
    <row r="30" spans="2:91" ht="15" customHeight="1">
      <c r="B30" s="16" t="s">
        <v>32</v>
      </c>
      <c r="C30" s="17" t="s">
        <v>32</v>
      </c>
      <c r="D30" s="18" t="s">
        <v>32</v>
      </c>
      <c r="E30" s="19" t="s">
        <v>32</v>
      </c>
      <c r="F30" s="17" t="s">
        <v>32</v>
      </c>
      <c r="G30" s="18">
        <v>0</v>
      </c>
      <c r="H30" s="19" t="s">
        <v>32</v>
      </c>
      <c r="I30" s="17" t="s">
        <v>32</v>
      </c>
      <c r="J30" s="20" t="s">
        <v>32</v>
      </c>
      <c r="K30" s="16" t="s">
        <v>32</v>
      </c>
      <c r="L30" s="17" t="s">
        <v>32</v>
      </c>
      <c r="M30" s="18" t="s">
        <v>32</v>
      </c>
      <c r="N30" s="19">
        <v>0</v>
      </c>
      <c r="O30" s="211">
        <v>2</v>
      </c>
      <c r="P30" s="18" t="s">
        <v>32</v>
      </c>
      <c r="Q30" s="19" t="s">
        <v>32</v>
      </c>
      <c r="R30" s="211">
        <v>6</v>
      </c>
      <c r="S30" s="20" t="s">
        <v>32</v>
      </c>
      <c r="T30" s="16" t="s">
        <v>32</v>
      </c>
      <c r="U30" s="17" t="s">
        <v>32</v>
      </c>
      <c r="V30" s="18" t="s">
        <v>32</v>
      </c>
      <c r="W30" s="19" t="s">
        <v>32</v>
      </c>
      <c r="X30" s="17" t="s">
        <v>32</v>
      </c>
      <c r="Y30" s="18" t="s">
        <v>32</v>
      </c>
      <c r="Z30" s="19" t="s">
        <v>32</v>
      </c>
      <c r="AA30" s="17" t="s">
        <v>32</v>
      </c>
      <c r="AB30" s="20" t="s">
        <v>32</v>
      </c>
      <c r="AF30" s="116"/>
      <c r="AG30" s="116"/>
      <c r="AH30" s="116"/>
      <c r="AI30" s="116"/>
      <c r="AJ30" s="116"/>
      <c r="AK30" s="116"/>
      <c r="AL30" s="116"/>
      <c r="AM30" s="116"/>
      <c r="AN30" s="116"/>
      <c r="AO30" s="116"/>
      <c r="AP30" s="116"/>
      <c r="AQ30" s="116"/>
      <c r="AR30" s="11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6"/>
      <c r="BU30" s="556"/>
      <c r="BV30" s="556"/>
      <c r="BW30" s="556"/>
      <c r="BX30" s="556"/>
      <c r="BY30" s="556"/>
      <c r="BZ30" s="556"/>
      <c r="CA30" s="556"/>
      <c r="CB30" s="556"/>
      <c r="CC30" s="556"/>
      <c r="CD30" s="556"/>
      <c r="CE30" s="556"/>
      <c r="CF30" s="556"/>
      <c r="CG30" s="556"/>
      <c r="CH30" s="556"/>
      <c r="CI30" s="556"/>
      <c r="CJ30" s="556"/>
      <c r="CM30" s="33"/>
    </row>
    <row r="31" spans="2:91" ht="15" customHeight="1">
      <c r="B31" s="11">
        <v>0</v>
      </c>
      <c r="C31" s="7">
        <v>0</v>
      </c>
      <c r="D31" s="9" t="s">
        <v>32</v>
      </c>
      <c r="E31" s="8">
        <v>0</v>
      </c>
      <c r="F31" s="204">
        <v>7</v>
      </c>
      <c r="G31" s="9" t="s">
        <v>32</v>
      </c>
      <c r="H31" s="8" t="s">
        <v>32</v>
      </c>
      <c r="I31" s="7" t="s">
        <v>32</v>
      </c>
      <c r="J31" s="10" t="s">
        <v>32</v>
      </c>
      <c r="K31" s="11" t="s">
        <v>32</v>
      </c>
      <c r="L31" s="7" t="s">
        <v>32</v>
      </c>
      <c r="M31" s="9" t="s">
        <v>32</v>
      </c>
      <c r="N31" s="8" t="s">
        <v>32</v>
      </c>
      <c r="O31" s="7" t="s">
        <v>32</v>
      </c>
      <c r="P31" s="9" t="s">
        <v>32</v>
      </c>
      <c r="Q31" s="8" t="s">
        <v>32</v>
      </c>
      <c r="R31" s="7" t="s">
        <v>32</v>
      </c>
      <c r="S31" s="10" t="s">
        <v>32</v>
      </c>
      <c r="T31" s="11" t="s">
        <v>32</v>
      </c>
      <c r="U31" s="7" t="s">
        <v>32</v>
      </c>
      <c r="V31" s="9" t="s">
        <v>32</v>
      </c>
      <c r="W31" s="8" t="s">
        <v>32</v>
      </c>
      <c r="X31" s="7" t="s">
        <v>32</v>
      </c>
      <c r="Y31" s="9">
        <v>0</v>
      </c>
      <c r="Z31" s="8">
        <v>0</v>
      </c>
      <c r="AA31" s="7">
        <v>0</v>
      </c>
      <c r="AB31" s="10">
        <v>0</v>
      </c>
      <c r="AF31" s="116"/>
      <c r="AG31" s="116"/>
      <c r="AH31" s="116"/>
      <c r="AI31" s="116"/>
      <c r="AJ31" s="116"/>
      <c r="AK31" s="116"/>
      <c r="AL31" s="116"/>
      <c r="AM31" s="116"/>
      <c r="AN31" s="116"/>
      <c r="AO31" s="116"/>
      <c r="AP31" s="116"/>
      <c r="AQ31" s="116"/>
      <c r="AR31" s="11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6"/>
      <c r="BU31" s="556"/>
      <c r="BV31" s="556"/>
      <c r="BW31" s="556"/>
      <c r="BX31" s="556"/>
      <c r="BY31" s="556"/>
      <c r="BZ31" s="556"/>
      <c r="CA31" s="556"/>
      <c r="CB31" s="556"/>
      <c r="CC31" s="556"/>
      <c r="CD31" s="556"/>
      <c r="CE31" s="556"/>
      <c r="CF31" s="556"/>
      <c r="CG31" s="556"/>
      <c r="CH31" s="556"/>
      <c r="CI31" s="556"/>
      <c r="CJ31" s="556"/>
      <c r="CM31" s="33"/>
    </row>
    <row r="32" spans="2:91" ht="15" customHeight="1" thickBot="1">
      <c r="B32" s="21">
        <v>0</v>
      </c>
      <c r="C32" s="22">
        <v>0</v>
      </c>
      <c r="D32" s="223">
        <v>2</v>
      </c>
      <c r="E32" s="24">
        <v>0</v>
      </c>
      <c r="F32" s="22" t="s">
        <v>32</v>
      </c>
      <c r="G32" s="23" t="s">
        <v>32</v>
      </c>
      <c r="H32" s="24" t="s">
        <v>32</v>
      </c>
      <c r="I32" s="22" t="s">
        <v>32</v>
      </c>
      <c r="J32" s="25" t="s">
        <v>32</v>
      </c>
      <c r="K32" s="21" t="s">
        <v>32</v>
      </c>
      <c r="L32" s="22" t="s">
        <v>32</v>
      </c>
      <c r="M32" s="23" t="s">
        <v>32</v>
      </c>
      <c r="N32" s="24" t="s">
        <v>32</v>
      </c>
      <c r="O32" s="22" t="s">
        <v>32</v>
      </c>
      <c r="P32" s="23" t="s">
        <v>32</v>
      </c>
      <c r="Q32" s="24" t="s">
        <v>32</v>
      </c>
      <c r="R32" s="22" t="s">
        <v>32</v>
      </c>
      <c r="S32" s="25" t="s">
        <v>32</v>
      </c>
      <c r="T32" s="21" t="s">
        <v>32</v>
      </c>
      <c r="U32" s="22" t="s">
        <v>32</v>
      </c>
      <c r="V32" s="23" t="s">
        <v>32</v>
      </c>
      <c r="W32" s="24" t="s">
        <v>32</v>
      </c>
      <c r="X32" s="219">
        <v>5</v>
      </c>
      <c r="Y32" s="23">
        <v>0</v>
      </c>
      <c r="Z32" s="24">
        <v>0</v>
      </c>
      <c r="AA32" s="22">
        <v>0</v>
      </c>
      <c r="AB32" s="25">
        <v>0</v>
      </c>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M32" s="33"/>
    </row>
    <row r="33" spans="1:179" ht="15" customHeight="1">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row>
    <row r="34" spans="1:179" ht="15" customHeight="1">
      <c r="P34" s="557" t="s">
        <v>78</v>
      </c>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row>
    <row r="35" spans="1:179" ht="15" customHeight="1">
      <c r="AW35" s="556"/>
      <c r="AX35" s="556"/>
      <c r="AY35" s="556"/>
      <c r="AZ35" s="556"/>
      <c r="BA35" s="556"/>
      <c r="BB35" s="556"/>
      <c r="BC35" s="556"/>
      <c r="BD35" s="556"/>
      <c r="BE35" s="556"/>
      <c r="BF35" s="556"/>
      <c r="BG35" s="556"/>
      <c r="BH35" s="556"/>
      <c r="BI35" s="556"/>
      <c r="BJ35" s="556"/>
      <c r="BK35" s="556"/>
      <c r="BL35" s="556"/>
      <c r="BM35" s="556"/>
      <c r="BN35" s="556"/>
      <c r="BO35" s="556"/>
      <c r="BP35" s="556"/>
      <c r="BQ35" s="556"/>
      <c r="BR35" s="556"/>
      <c r="BS35" s="556"/>
      <c r="BT35" s="556"/>
      <c r="BU35" s="556"/>
      <c r="BV35" s="556"/>
      <c r="BW35" s="556"/>
      <c r="BX35" s="556"/>
      <c r="BY35" s="556"/>
      <c r="BZ35" s="556"/>
      <c r="CA35" s="556"/>
      <c r="CB35" s="556"/>
      <c r="CC35" s="556"/>
      <c r="CD35" s="556"/>
      <c r="CE35" s="556"/>
      <c r="CF35" s="556"/>
      <c r="CG35" s="556"/>
      <c r="CH35" s="556"/>
      <c r="CI35" s="556"/>
      <c r="CJ35" s="556"/>
    </row>
    <row r="36" spans="1:179" ht="15" customHeight="1">
      <c r="AW36" s="430"/>
      <c r="AX36" s="430"/>
      <c r="AY36" s="430"/>
      <c r="AZ36" s="430"/>
      <c r="BA36" s="430"/>
      <c r="BB36" s="430"/>
      <c r="BC36" s="430"/>
      <c r="BD36" s="430"/>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row>
    <row r="37" spans="1:179" ht="15" customHeight="1">
      <c r="AW37" s="556" t="s">
        <v>59</v>
      </c>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row>
    <row r="38" spans="1:179" ht="15" customHeight="1">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row>
    <row r="39" spans="1:179" customFormat="1" ht="15" customHeight="1">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row>
    <row r="40" spans="1:179" customFormat="1" ht="15" customHeight="1" thickBot="1">
      <c r="AF40" s="28"/>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row>
    <row r="41" spans="1:179" customFormat="1" ht="15" customHeight="1" thickBot="1">
      <c r="B41" s="534"/>
      <c r="C41" s="535"/>
      <c r="D41" s="535"/>
      <c r="E41" s="535"/>
      <c r="F41" s="535"/>
      <c r="G41" s="535"/>
      <c r="H41" s="535"/>
      <c r="I41" s="535"/>
      <c r="J41" s="535"/>
      <c r="K41" s="535"/>
      <c r="L41" s="535"/>
      <c r="M41" s="535"/>
      <c r="N41" s="536"/>
      <c r="AD41" s="549"/>
      <c r="AE41" s="549"/>
      <c r="AF41" s="549"/>
      <c r="AG41" s="549"/>
      <c r="AH41" s="549"/>
      <c r="AI41" s="549"/>
      <c r="AJ41" s="549"/>
      <c r="AK41" s="549"/>
      <c r="AL41" s="549"/>
      <c r="AM41" s="549"/>
      <c r="AN41" s="549"/>
      <c r="AO41" s="549"/>
      <c r="AP41" s="549"/>
      <c r="AQ41" s="549"/>
      <c r="AR41" s="549"/>
      <c r="AS41" s="549"/>
      <c r="AT41" s="549"/>
      <c r="AU41" s="549"/>
      <c r="AW41" s="39"/>
      <c r="AX41" s="39"/>
      <c r="AY41" s="39"/>
      <c r="AZ41" s="39"/>
      <c r="BA41" s="39"/>
      <c r="BB41" s="39"/>
      <c r="BC41" s="39"/>
      <c r="BD41" s="39"/>
      <c r="BE41" s="39"/>
      <c r="BF41" s="39"/>
      <c r="BG41" s="568"/>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221"/>
      <c r="CI41" s="39"/>
      <c r="CJ41" s="39"/>
    </row>
    <row r="42" spans="1:179" ht="15" customHeight="1">
      <c r="A42" s="142"/>
      <c r="B42" s="143" t="s">
        <v>62</v>
      </c>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4"/>
      <c r="AC42" s="142"/>
      <c r="AD42" s="549"/>
      <c r="AE42" s="549"/>
      <c r="AF42" s="549"/>
      <c r="AG42" s="549"/>
      <c r="AH42" s="549"/>
      <c r="AI42" s="549"/>
      <c r="AJ42" s="549"/>
      <c r="AK42" s="549"/>
      <c r="AL42" s="549"/>
      <c r="AM42" s="549"/>
      <c r="AN42" s="549"/>
      <c r="AO42" s="549"/>
      <c r="AP42" s="549"/>
      <c r="AQ42" s="549"/>
      <c r="AR42" s="549"/>
      <c r="AS42" s="549"/>
      <c r="AT42" s="549"/>
      <c r="AU42" s="549"/>
      <c r="AW42" s="39"/>
      <c r="AX42" s="39"/>
      <c r="AY42" s="39"/>
      <c r="AZ42" s="39"/>
      <c r="BA42" s="39"/>
      <c r="BB42" s="39"/>
      <c r="BC42" s="39"/>
      <c r="BD42" s="39"/>
      <c r="BE42" s="39"/>
      <c r="BF42" s="39"/>
      <c r="BG42" s="56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221"/>
      <c r="CI42" s="39"/>
      <c r="CJ42" s="39"/>
    </row>
    <row r="43" spans="1:179" ht="15" customHeight="1" thickBot="1">
      <c r="A43" s="142"/>
      <c r="B43" s="145" t="s">
        <v>26</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F43" s="32" t="s">
        <v>4</v>
      </c>
      <c r="BG43" s="533"/>
      <c r="BJ43" s="32" t="s">
        <v>9</v>
      </c>
      <c r="CH43" s="28"/>
      <c r="CP43" s="26" t="s">
        <v>68</v>
      </c>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row>
    <row r="44" spans="1:179" ht="15" customHeight="1">
      <c r="A44" s="142"/>
      <c r="B44" s="2">
        <v>7</v>
      </c>
      <c r="C44" s="5">
        <v>1</v>
      </c>
      <c r="D44" s="3">
        <v>4</v>
      </c>
      <c r="E44" s="4" t="s">
        <v>32</v>
      </c>
      <c r="F44" s="5" t="s">
        <v>32</v>
      </c>
      <c r="G44" s="3" t="s">
        <v>32</v>
      </c>
      <c r="H44" s="4" t="s">
        <v>32</v>
      </c>
      <c r="I44" s="5" t="s">
        <v>32</v>
      </c>
      <c r="J44" s="6" t="s">
        <v>32</v>
      </c>
      <c r="K44" s="2" t="s">
        <v>32</v>
      </c>
      <c r="L44" s="5" t="s">
        <v>32</v>
      </c>
      <c r="M44" s="3" t="s">
        <v>32</v>
      </c>
      <c r="N44" s="4">
        <v>3</v>
      </c>
      <c r="O44" s="216">
        <v>6</v>
      </c>
      <c r="P44" s="3">
        <v>2</v>
      </c>
      <c r="Q44" s="4" t="s">
        <v>32</v>
      </c>
      <c r="R44" s="5" t="s">
        <v>32</v>
      </c>
      <c r="S44" s="6" t="s">
        <v>32</v>
      </c>
      <c r="T44" s="2" t="s">
        <v>32</v>
      </c>
      <c r="U44" s="5" t="s">
        <v>32</v>
      </c>
      <c r="V44" s="3" t="s">
        <v>32</v>
      </c>
      <c r="W44" s="4" t="s">
        <v>32</v>
      </c>
      <c r="X44" s="5" t="s">
        <v>32</v>
      </c>
      <c r="Y44" s="3" t="s">
        <v>32</v>
      </c>
      <c r="Z44" s="4" t="s">
        <v>32</v>
      </c>
      <c r="AA44" s="5">
        <v>8</v>
      </c>
      <c r="AB44" s="6" t="s">
        <v>32</v>
      </c>
      <c r="AC44" s="142"/>
      <c r="AF44" s="251">
        <f>IF(COUNTIF(N107:P109,0)=8,SUM(N107:P109),IF(B77="x",-1,0))</f>
        <v>0</v>
      </c>
      <c r="AG44" s="37">
        <f>IF(COUNTIF(Q107:S109,0)=8,SUM(Q107:S109),IF(C77="x",-1,0))</f>
        <v>0</v>
      </c>
      <c r="AH44" s="35">
        <f>IF(COUNTIF(T107:V109,0)=8,SUM(T107:V109),IF(D77="x",-1,0))</f>
        <v>0</v>
      </c>
      <c r="AI44" s="36">
        <f>IF(COUNTIF(W107:Y109,0)=8,SUM(W107:Y109),IF(E77="x",-1,0))</f>
        <v>-1</v>
      </c>
      <c r="AJ44" s="37">
        <f>IF(COUNTIF(Z107:AB109,0)=8,SUM(Z107:AB109),IF(F77="x",-1,0))</f>
        <v>-1</v>
      </c>
      <c r="AK44" s="35">
        <f>IF(COUNTIF(AC107:AE109,0)=8,SUM(AC107:AE109),IF(G77="x",-1,0))</f>
        <v>-1</v>
      </c>
      <c r="AL44" s="36">
        <f>IF(COUNTIF(AF107:AH109,0)=8,SUM(AF107:AH109),IF(H77="x",-1,0))</f>
        <v>-1</v>
      </c>
      <c r="AM44" s="37">
        <f>IF(COUNTIF(AI107:AK109,0)=8,SUM(AI107:AK109),IF(I77="x",-1,0))</f>
        <v>-1</v>
      </c>
      <c r="AN44" s="38">
        <f>IF(COUNTIF(AL107:AN109,0)=8,SUM(AL107:AN109),IF(J77="x",-1,0))</f>
        <v>-1</v>
      </c>
      <c r="AO44" s="251">
        <f>IF(COUNTIF(AO107:AQ109,0)=8,SUM(AO107:AQ109),IF(K77="x",-1,0))</f>
        <v>-1</v>
      </c>
      <c r="AP44" s="37">
        <f>IF(COUNTIF(AR107:AT109,0)=8,SUM(AR107:AT109),IF(L77="x",-1,0))</f>
        <v>-1</v>
      </c>
      <c r="AQ44" s="35">
        <f>IF(COUNTIF(AU107:AW109,0)=8,SUM(AU107:AW109),IF(M77="x",-1,0))</f>
        <v>-1</v>
      </c>
      <c r="AR44" s="36">
        <f>IF(COUNTIF(AX107:AZ109,0)=8,SUM(AX107:AZ109),IF(N77="x",-1,0))</f>
        <v>0</v>
      </c>
      <c r="AS44" s="37">
        <f>IF(COUNTIF(BA107:BC109,0)=8,SUM(BA107:BC109),IF(O77="x",-1,0))</f>
        <v>0</v>
      </c>
      <c r="AT44" s="35">
        <f>IF(COUNTIF(BD107:BF109,0)=8,SUM(BD107:BF109),IF(P77="x",-1,0))</f>
        <v>0</v>
      </c>
      <c r="AU44" s="36">
        <f>IF(COUNTIF(BG107:BI109,0)=8,SUM(BG107:BI109),IF(Q77="x",-1,0))</f>
        <v>-1</v>
      </c>
      <c r="AV44" s="37">
        <f>IF(COUNTIF(BJ107:BL109,0)=8,SUM(BJ107:BL109),IF(R77="x",-1,0))</f>
        <v>-1</v>
      </c>
      <c r="AW44" s="38">
        <f>IF(COUNTIF(BM107:BO109,0)=8,SUM(BM107:BO109),IF(S77="x",-1,0))</f>
        <v>-1</v>
      </c>
      <c r="AX44" s="251">
        <f>IF(COUNTIF(BP107:BR109,0)=8,SUM(BP107:BR109),IF(T77="x",-1,0))</f>
        <v>-1</v>
      </c>
      <c r="AY44" s="37">
        <f>IF(COUNTIF(BS107:BU109,0)=8,SUM(BS107:BU109),IF(U77="x",-1,0))</f>
        <v>-1</v>
      </c>
      <c r="AZ44" s="35">
        <f>IF(COUNTIF(BV107:BX109,0)=8,SUM(BV107:BX109),IF(V77="x",-1,0))</f>
        <v>-1</v>
      </c>
      <c r="BA44" s="36">
        <f>IF(COUNTIF(BY107:CA109,0)=8,SUM(BY107:CA109),IF(W77="x",-1,0))</f>
        <v>-1</v>
      </c>
      <c r="BB44" s="37">
        <f>IF(COUNTIF(CB107:CD109,0)=8,SUM(CB107:CD109),IF(X77="x",-1,0))</f>
        <v>-1</v>
      </c>
      <c r="BC44" s="35">
        <f>IF(COUNTIF(CE107:CG109,0)=8,SUM(CE107:CG109),IF(Y77="x",-1,0))</f>
        <v>-1</v>
      </c>
      <c r="BD44" s="36">
        <f>IF(COUNTIF(CH107:CJ109,0)=8,SUM(CH107:CJ109),IF(Z77="x",-1,0))</f>
        <v>-1</v>
      </c>
      <c r="BE44" s="37">
        <f>IF(COUNTIF(CK107:CM109,0)=8,SUM(CK107:CM109),IF(AA77="x",-1,0))</f>
        <v>0</v>
      </c>
      <c r="BF44" s="38">
        <f>IF(COUNTIF(CN107:CP109,0)=8,SUM(CN107:CP109),IF(AB77="x",-1,0))</f>
        <v>-1</v>
      </c>
      <c r="BJ44" s="251">
        <f>IF(AF44=-1,-1,MAX(N290:P292))</f>
        <v>0</v>
      </c>
      <c r="BK44" s="37">
        <f>IF(AG44=-1,-1,MAX(Q290:S292))</f>
        <v>0</v>
      </c>
      <c r="BL44" s="35">
        <f>IF(AH44=-1,-1,MAX(T290:V292))</f>
        <v>0</v>
      </c>
      <c r="BM44" s="36">
        <f>IF(AI44=-1,-1,MAX(W290:Y292))</f>
        <v>-1</v>
      </c>
      <c r="BN44" s="37">
        <f>IF(AJ44=-1,-1,MAX(Z290:AB292))</f>
        <v>-1</v>
      </c>
      <c r="BO44" s="35">
        <f>IF(AK44=-1,-1,MAX(AC290:AE292))</f>
        <v>-1</v>
      </c>
      <c r="BP44" s="36">
        <f>IF(AL44=-1,-1,MAX(AF290:AH292))</f>
        <v>-1</v>
      </c>
      <c r="BQ44" s="37">
        <f>IF(AM44=-1,-1,MAX(AI290:AK292))</f>
        <v>-1</v>
      </c>
      <c r="BR44" s="38">
        <f>IF(AN44=-1,-1,MAX(AL290:AN292))</f>
        <v>-1</v>
      </c>
      <c r="BS44" s="251">
        <f>IF(AO44=-1,-1,MAX(AO290:AQ292))</f>
        <v>-1</v>
      </c>
      <c r="BT44" s="37">
        <f>IF(AP44=-1,-1,MAX(AR290:AT292))</f>
        <v>-1</v>
      </c>
      <c r="BU44" s="35">
        <f>IF(AQ44=-1,-1,MAX(AU290:AW292))</f>
        <v>-1</v>
      </c>
      <c r="BV44" s="36">
        <f>IF(AR44=-1,-1,MAX(AX290:AZ292))</f>
        <v>0</v>
      </c>
      <c r="BW44" s="37">
        <f>IF(AS44=-1,-1,MAX(BA290:BC292))</f>
        <v>0</v>
      </c>
      <c r="BX44" s="35">
        <f>IF(AT44=-1,-1,MAX(BD290:BF292))</f>
        <v>0</v>
      </c>
      <c r="BY44" s="36">
        <f>IF(AU44=-1,-1,MAX(BG290:BI292))</f>
        <v>-1</v>
      </c>
      <c r="BZ44" s="37">
        <f>IF(AV44=-1,-1,MAX(BJ290:BL292))</f>
        <v>-1</v>
      </c>
      <c r="CA44" s="38">
        <f>IF(AW44=-1,-1,MAX(BM290:BO292))</f>
        <v>-1</v>
      </c>
      <c r="CB44" s="251">
        <f>IF(AX44=-1,-1,MAX(BP290:BR292))</f>
        <v>-1</v>
      </c>
      <c r="CC44" s="37">
        <f>IF(AY44=-1,-1,MAX(BS290:BU292))</f>
        <v>-1</v>
      </c>
      <c r="CD44" s="35">
        <f>IF(AZ44=-1,-1,MAX(BV290:BX292))</f>
        <v>-1</v>
      </c>
      <c r="CE44" s="36">
        <f>IF(BA44=-1,-1,MAX(BY290:CA292))</f>
        <v>-1</v>
      </c>
      <c r="CF44" s="37">
        <f>IF(BB44=-1,-1,MAX(CB290:CD292))</f>
        <v>-1</v>
      </c>
      <c r="CG44" s="35">
        <f>IF(BC44=-1,-1,MAX(CE290:CG292))</f>
        <v>-1</v>
      </c>
      <c r="CH44" s="36">
        <f>IF(BD44=-1,-1,MAX(CH290:CJ292))</f>
        <v>-1</v>
      </c>
      <c r="CI44" s="37">
        <f>IF(BE44=-1,-1,MAX(CK290:CM292))</f>
        <v>0</v>
      </c>
      <c r="CJ44" s="38">
        <f>IF(BF44=-1,-1,MAX(CN290:CP292))</f>
        <v>-1</v>
      </c>
      <c r="CP44" s="474">
        <v>7</v>
      </c>
      <c r="CQ44" s="473">
        <v>1</v>
      </c>
      <c r="CR44" s="487">
        <v>4</v>
      </c>
      <c r="CS44" s="478">
        <v>3</v>
      </c>
      <c r="CT44" s="431">
        <v>6</v>
      </c>
      <c r="CU44" s="431">
        <v>2</v>
      </c>
      <c r="CV44" s="496">
        <v>9</v>
      </c>
      <c r="CW44" s="498">
        <v>8</v>
      </c>
      <c r="CX44" s="496">
        <v>5</v>
      </c>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row>
    <row r="45" spans="1:179" ht="15" customHeight="1">
      <c r="A45" s="142"/>
      <c r="B45" s="11">
        <v>2</v>
      </c>
      <c r="C45" s="7" t="s">
        <v>32</v>
      </c>
      <c r="D45" s="9" t="s">
        <v>32</v>
      </c>
      <c r="E45" s="8" t="s">
        <v>32</v>
      </c>
      <c r="F45" s="7" t="s">
        <v>32</v>
      </c>
      <c r="G45" s="9" t="s">
        <v>32</v>
      </c>
      <c r="H45" s="8" t="s">
        <v>32</v>
      </c>
      <c r="I45" s="7" t="s">
        <v>32</v>
      </c>
      <c r="J45" s="10" t="s">
        <v>32</v>
      </c>
      <c r="K45" s="11" t="s">
        <v>32</v>
      </c>
      <c r="L45" s="7" t="s">
        <v>32</v>
      </c>
      <c r="M45" s="9" t="s">
        <v>32</v>
      </c>
      <c r="N45" s="8">
        <v>4</v>
      </c>
      <c r="O45" s="204">
        <v>9</v>
      </c>
      <c r="P45" s="9" t="s">
        <v>32</v>
      </c>
      <c r="Q45" s="8" t="s">
        <v>32</v>
      </c>
      <c r="R45" s="7" t="s">
        <v>32</v>
      </c>
      <c r="S45" s="10" t="s">
        <v>32</v>
      </c>
      <c r="T45" s="11" t="s">
        <v>32</v>
      </c>
      <c r="U45" s="7" t="s">
        <v>32</v>
      </c>
      <c r="V45" s="9" t="s">
        <v>32</v>
      </c>
      <c r="W45" s="8" t="s">
        <v>32</v>
      </c>
      <c r="X45" s="7" t="s">
        <v>32</v>
      </c>
      <c r="Y45" s="9" t="s">
        <v>32</v>
      </c>
      <c r="Z45" s="8" t="s">
        <v>32</v>
      </c>
      <c r="AA45" s="7" t="s">
        <v>32</v>
      </c>
      <c r="AB45" s="10">
        <v>6</v>
      </c>
      <c r="AC45" s="142"/>
      <c r="AF45" s="43">
        <f>IF(COUNTIF(N110:P112,0)=8,SUM(N110:P112),IF(B78="x",-1,0))</f>
        <v>0</v>
      </c>
      <c r="AG45" s="39">
        <f>IF(COUNTIF(Q110:S112,0)=8,SUM(Q110:S112),IF(C78="x",-1,0))</f>
        <v>-1</v>
      </c>
      <c r="AH45" s="41">
        <f>IF(COUNTIF(T110:V112,0)=8,SUM(T110:V112),IF(D78="x",-1,0))</f>
        <v>-1</v>
      </c>
      <c r="AI45" s="40">
        <f>IF(COUNTIF(W110:Y112,0)=8,SUM(W110:Y112),IF(E78="x",-1,0))</f>
        <v>-1</v>
      </c>
      <c r="AJ45" s="39">
        <f>IF(COUNTIF(Z110:AB112,0)=8,SUM(Z110:AB112),IF(F78="x",-1,0))</f>
        <v>-1</v>
      </c>
      <c r="AK45" s="41">
        <f>IF(COUNTIF(AC110:AE112,0)=8,SUM(AC110:AE112),IF(G78="x",-1,0))</f>
        <v>-1</v>
      </c>
      <c r="AL45" s="40">
        <f>IF(COUNTIF(AF110:AH112,0)=8,SUM(AF110:AH112),IF(H78="x",-1,0))</f>
        <v>-1</v>
      </c>
      <c r="AM45" s="39">
        <f>IF(COUNTIF(AI110:AK112,0)=8,SUM(AI110:AK112),IF(I78="x",-1,0))</f>
        <v>-1</v>
      </c>
      <c r="AN45" s="42">
        <f>IF(COUNTIF(AL110:AN112,0)=8,SUM(AL110:AN112),IF(J78="x",-1,0))</f>
        <v>-1</v>
      </c>
      <c r="AO45" s="43">
        <f>IF(COUNTIF(AO110:AQ112,0)=8,SUM(AO110:AQ112),IF(K78="x",-1,0))</f>
        <v>-1</v>
      </c>
      <c r="AP45" s="39">
        <f>IF(COUNTIF(AR110:AT112,0)=8,SUM(AR110:AT112),IF(L78="x",-1,0))</f>
        <v>-1</v>
      </c>
      <c r="AQ45" s="41">
        <f>IF(COUNTIF(AU110:AW112,0)=8,SUM(AU110:AW112),IF(M78="x",-1,0))</f>
        <v>-1</v>
      </c>
      <c r="AR45" s="40">
        <f>IF(COUNTIF(AX110:AZ112,0)=8,SUM(AX110:AZ112),IF(N78="x",-1,0))</f>
        <v>0</v>
      </c>
      <c r="AS45" s="39">
        <f>IF(COUNTIF(BA110:BC112,0)=8,SUM(BA110:BC112),IF(O78="x",-1,0))</f>
        <v>0</v>
      </c>
      <c r="AT45" s="41">
        <f>IF(COUNTIF(BD110:BF112,0)=8,SUM(BD110:BF112),IF(P78="x",-1,0))</f>
        <v>-1</v>
      </c>
      <c r="AU45" s="40">
        <f>IF(COUNTIF(BG110:BI112,0)=8,SUM(BG110:BI112),IF(Q78="x",-1,0))</f>
        <v>-1</v>
      </c>
      <c r="AV45" s="39">
        <f>IF(COUNTIF(BJ110:BL112,0)=8,SUM(BJ110:BL112),IF(R78="x",-1,0))</f>
        <v>-1</v>
      </c>
      <c r="AW45" s="42">
        <f>IF(COUNTIF(BM110:BO112,0)=8,SUM(BM110:BO112),IF(S78="x",-1,0))</f>
        <v>-1</v>
      </c>
      <c r="AX45" s="43">
        <f>IF(COUNTIF(BP110:BR112,0)=8,SUM(BP110:BR112),IF(T78="x",-1,0))</f>
        <v>-1</v>
      </c>
      <c r="AY45" s="39">
        <f>IF(COUNTIF(BS110:BU112,0)=8,SUM(BS110:BU112),IF(U78="x",-1,0))</f>
        <v>-1</v>
      </c>
      <c r="AZ45" s="41">
        <f>IF(COUNTIF(BV110:BX112,0)=8,SUM(BV110:BX112),IF(V78="x",-1,0))</f>
        <v>-1</v>
      </c>
      <c r="BA45" s="40">
        <f>IF(COUNTIF(BY110:CA112,0)=8,SUM(BY110:CA112),IF(W78="x",-1,0))</f>
        <v>-1</v>
      </c>
      <c r="BB45" s="39">
        <f>IF(COUNTIF(CB110:CD112,0)=8,SUM(CB110:CD112),IF(X78="x",-1,0))</f>
        <v>-1</v>
      </c>
      <c r="BC45" s="41">
        <f>IF(COUNTIF(CE110:CG112,0)=8,SUM(CE110:CG112),IF(Y78="x",-1,0))</f>
        <v>-1</v>
      </c>
      <c r="BD45" s="40">
        <f>IF(COUNTIF(CH110:CJ112,0)=8,SUM(CH110:CJ112),IF(Z78="x",-1,0))</f>
        <v>-1</v>
      </c>
      <c r="BE45" s="39">
        <f>IF(COUNTIF(CK110:CM112,0)=8,SUM(CK110:CM112),IF(AA78="x",-1,0))</f>
        <v>-1</v>
      </c>
      <c r="BF45" s="42">
        <f>IF(COUNTIF(CN110:CP112,0)=8,SUM(CN110:CP112),IF(AB78="x",-1,0))</f>
        <v>0</v>
      </c>
      <c r="BJ45" s="43">
        <f>IF(AF45=-1,-1,MAX(N293:P295))</f>
        <v>0</v>
      </c>
      <c r="BK45" s="39">
        <f>IF(AG45=-1,-1,MAX(Q293:S295))</f>
        <v>-1</v>
      </c>
      <c r="BL45" s="41">
        <f>IF(AH45=-1,-1,MAX(T293:V295))</f>
        <v>-1</v>
      </c>
      <c r="BM45" s="40">
        <f>IF(AI45=-1,-1,MAX(W293:Y295))</f>
        <v>-1</v>
      </c>
      <c r="BN45" s="39">
        <f>IF(AJ45=-1,-1,MAX(Z293:AB295))</f>
        <v>-1</v>
      </c>
      <c r="BO45" s="41">
        <f>IF(AK45=-1,-1,MAX(AC293:AE295))</f>
        <v>-1</v>
      </c>
      <c r="BP45" s="40">
        <f>IF(AL45=-1,-1,MAX(AF293:AH295))</f>
        <v>-1</v>
      </c>
      <c r="BQ45" s="39">
        <f>IF(AM45=-1,-1,MAX(AI293:AK295))</f>
        <v>-1</v>
      </c>
      <c r="BR45" s="42">
        <f>IF(AN45=-1,-1,MAX(AL293:AN295))</f>
        <v>-1</v>
      </c>
      <c r="BS45" s="43">
        <f>IF(AO45=-1,-1,MAX(AO293:AQ295))</f>
        <v>-1</v>
      </c>
      <c r="BT45" s="39">
        <f>IF(AP45=-1,-1,MAX(AR293:AT295))</f>
        <v>-1</v>
      </c>
      <c r="BU45" s="41">
        <f>IF(AQ45=-1,-1,MAX(AU293:AW295))</f>
        <v>-1</v>
      </c>
      <c r="BV45" s="40">
        <f>IF(AR45=-1,-1,MAX(AX293:AZ295))</f>
        <v>0</v>
      </c>
      <c r="BW45" s="39">
        <f>IF(AS45=-1,-1,MAX(BA293:BC295))</f>
        <v>0</v>
      </c>
      <c r="BX45" s="41">
        <f>IF(AT45=-1,-1,MAX(BD293:BF295))</f>
        <v>-1</v>
      </c>
      <c r="BY45" s="40">
        <f>IF(AU45=-1,-1,MAX(BG293:BI295))</f>
        <v>-1</v>
      </c>
      <c r="BZ45" s="39">
        <f>IF(AV45=-1,-1,MAX(BJ293:BL295))</f>
        <v>-1</v>
      </c>
      <c r="CA45" s="42">
        <f>IF(AW45=-1,-1,MAX(BM293:BO295))</f>
        <v>-1</v>
      </c>
      <c r="CB45" s="43">
        <f>IF(AX45=-1,-1,MAX(BP293:BR295))</f>
        <v>-1</v>
      </c>
      <c r="CC45" s="39">
        <f>IF(AY45=-1,-1,MAX(BS293:BU295))</f>
        <v>-1</v>
      </c>
      <c r="CD45" s="41">
        <f>IF(AZ45=-1,-1,MAX(BV293:BX295))</f>
        <v>-1</v>
      </c>
      <c r="CE45" s="40">
        <f>IF(BA45=-1,-1,MAX(BY293:CA295))</f>
        <v>-1</v>
      </c>
      <c r="CF45" s="39">
        <f>IF(BB45=-1,-1,MAX(CB293:CD295))</f>
        <v>-1</v>
      </c>
      <c r="CG45" s="41">
        <f>IF(BC45=-1,-1,MAX(CE293:CG295))</f>
        <v>-1</v>
      </c>
      <c r="CH45" s="40">
        <f>IF(BD45=-1,-1,MAX(CH293:CJ295))</f>
        <v>-1</v>
      </c>
      <c r="CI45" s="39">
        <f>IF(BE45=-1,-1,MAX(CK293:CM295))</f>
        <v>-1</v>
      </c>
      <c r="CJ45" s="42">
        <f>IF(BF45=-1,-1,MAX(CN293:CP295))</f>
        <v>0</v>
      </c>
      <c r="CP45" s="475">
        <v>2</v>
      </c>
      <c r="CQ45" s="442">
        <v>7</v>
      </c>
      <c r="CR45" s="488">
        <v>8</v>
      </c>
      <c r="CS45" s="419">
        <v>4</v>
      </c>
      <c r="CT45" s="493">
        <v>9</v>
      </c>
      <c r="CU45" s="509">
        <v>1</v>
      </c>
      <c r="CV45" s="486">
        <v>5</v>
      </c>
      <c r="CW45" s="496">
        <v>3</v>
      </c>
      <c r="CX45" s="497">
        <v>6</v>
      </c>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row>
    <row r="46" spans="1:179" ht="15" customHeight="1">
      <c r="A46" s="142"/>
      <c r="B46" s="424">
        <v>8</v>
      </c>
      <c r="C46" s="13" t="s">
        <v>32</v>
      </c>
      <c r="D46" s="15" t="s">
        <v>32</v>
      </c>
      <c r="E46" s="14" t="s">
        <v>32</v>
      </c>
      <c r="F46" s="13" t="s">
        <v>32</v>
      </c>
      <c r="G46" s="15" t="s">
        <v>32</v>
      </c>
      <c r="H46" s="14" t="s">
        <v>32</v>
      </c>
      <c r="I46" s="13" t="s">
        <v>32</v>
      </c>
      <c r="J46" s="1" t="s">
        <v>32</v>
      </c>
      <c r="K46" s="12" t="s">
        <v>32</v>
      </c>
      <c r="L46" s="13" t="s">
        <v>32</v>
      </c>
      <c r="M46" s="15">
        <v>1</v>
      </c>
      <c r="N46" s="14" t="s">
        <v>32</v>
      </c>
      <c r="O46" s="13" t="s">
        <v>32</v>
      </c>
      <c r="P46" s="15" t="s">
        <v>32</v>
      </c>
      <c r="Q46" s="14" t="s">
        <v>32</v>
      </c>
      <c r="R46" s="13" t="s">
        <v>32</v>
      </c>
      <c r="S46" s="1" t="s">
        <v>32</v>
      </c>
      <c r="T46" s="12" t="s">
        <v>32</v>
      </c>
      <c r="U46" s="13" t="s">
        <v>32</v>
      </c>
      <c r="V46" s="15" t="s">
        <v>32</v>
      </c>
      <c r="W46" s="14" t="s">
        <v>32</v>
      </c>
      <c r="X46" s="13" t="s">
        <v>32</v>
      </c>
      <c r="Y46" s="15" t="s">
        <v>32</v>
      </c>
      <c r="Z46" s="14" t="s">
        <v>32</v>
      </c>
      <c r="AA46" s="13">
        <v>5</v>
      </c>
      <c r="AB46" s="1">
        <v>4</v>
      </c>
      <c r="AC46" s="142"/>
      <c r="AF46" s="44">
        <f>IF(COUNTIF(N113:P115,0)=8,SUM(N113:P115),IF(B79="x",-1,0))</f>
        <v>0</v>
      </c>
      <c r="AG46" s="45">
        <f>IF(COUNTIF(Q113:S115,0)=8,SUM(Q113:S115),IF(C79="x",-1,0))</f>
        <v>-1</v>
      </c>
      <c r="AH46" s="47">
        <f>IF(COUNTIF(T113:V115,0)=8,SUM(T113:V115),IF(D79="x",-1,0))</f>
        <v>-1</v>
      </c>
      <c r="AI46" s="46">
        <f>IF(COUNTIF(W113:Y115,0)=8,SUM(W113:Y115),IF(E79="x",-1,0))</f>
        <v>-1</v>
      </c>
      <c r="AJ46" s="45">
        <f>IF(COUNTIF(Z113:AB115,0)=8,SUM(Z113:AB115),IF(F79="x",-1,0))</f>
        <v>-1</v>
      </c>
      <c r="AK46" s="47">
        <f>IF(COUNTIF(AC113:AE115,0)=8,SUM(AC113:AE115),IF(G79="x",-1,0))</f>
        <v>-1</v>
      </c>
      <c r="AL46" s="46">
        <f>IF(COUNTIF(AF113:AH115,0)=8,SUM(AF113:AH115),IF(H79="x",-1,0))</f>
        <v>-1</v>
      </c>
      <c r="AM46" s="45">
        <f>IF(COUNTIF(AI113:AK115,0)=8,SUM(AI113:AK115),IF(I79="x",-1,0))</f>
        <v>-1</v>
      </c>
      <c r="AN46" s="48">
        <f>IF(COUNTIF(AL113:AN115,0)=8,SUM(AL113:AN115),IF(J79="x",-1,0))</f>
        <v>-1</v>
      </c>
      <c r="AO46" s="44">
        <f>IF(COUNTIF(AO113:AQ115,0)=8,SUM(AO113:AQ115),IF(K79="x",-1,0))</f>
        <v>-1</v>
      </c>
      <c r="AP46" s="45">
        <f>IF(COUNTIF(AR113:AT115,0)=8,SUM(AR113:AT115),IF(L79="x",-1,0))</f>
        <v>-1</v>
      </c>
      <c r="AQ46" s="47">
        <f>IF(COUNTIF(AU113:AW115,0)=8,SUM(AU113:AW115),IF(M79="x",-1,0))</f>
        <v>0</v>
      </c>
      <c r="AR46" s="46">
        <f>IF(COUNTIF(AX113:AZ115,0)=8,SUM(AX113:AZ115),IF(N79="x",-1,0))</f>
        <v>-1</v>
      </c>
      <c r="AS46" s="45">
        <f>IF(COUNTIF(BA113:BC115,0)=8,SUM(BA113:BC115),IF(O79="x",-1,0))</f>
        <v>-1</v>
      </c>
      <c r="AT46" s="47">
        <f>IF(COUNTIF(BD113:BF115,0)=8,SUM(BD113:BF115),IF(P79="x",-1,0))</f>
        <v>-1</v>
      </c>
      <c r="AU46" s="46">
        <f>IF(COUNTIF(BG113:BI115,0)=8,SUM(BG113:BI115),IF(Q79="x",-1,0))</f>
        <v>-1</v>
      </c>
      <c r="AV46" s="45">
        <f>IF(COUNTIF(BJ113:BL115,0)=8,SUM(BJ113:BL115),IF(R79="x",-1,0))</f>
        <v>-1</v>
      </c>
      <c r="AW46" s="48">
        <f>IF(COUNTIF(BM113:BO115,0)=8,SUM(BM113:BO115),IF(S79="x",-1,0))</f>
        <v>-1</v>
      </c>
      <c r="AX46" s="44">
        <f>IF(COUNTIF(BP113:BR115,0)=8,SUM(BP113:BR115),IF(T79="x",-1,0))</f>
        <v>-1</v>
      </c>
      <c r="AY46" s="45">
        <f>IF(COUNTIF(BS113:BU115,0)=8,SUM(BS113:BU115),IF(U79="x",-1,0))</f>
        <v>-1</v>
      </c>
      <c r="AZ46" s="47">
        <f>IF(COUNTIF(BV113:BX115,0)=8,SUM(BV113:BX115),IF(V79="x",-1,0))</f>
        <v>-1</v>
      </c>
      <c r="BA46" s="46">
        <f>IF(COUNTIF(BY113:CA115,0)=8,SUM(BY113:CA115),IF(W79="x",-1,0))</f>
        <v>-1</v>
      </c>
      <c r="BB46" s="45">
        <f>IF(COUNTIF(CB113:CD115,0)=8,SUM(CB113:CD115),IF(X79="x",-1,0))</f>
        <v>-1</v>
      </c>
      <c r="BC46" s="47">
        <f>IF(COUNTIF(CE113:CG115,0)=8,SUM(CE113:CG115),IF(Y79="x",-1,0))</f>
        <v>-1</v>
      </c>
      <c r="BD46" s="46">
        <f>IF(COUNTIF(CH113:CJ115,0)=8,SUM(CH113:CJ115),IF(Z79="x",-1,0))</f>
        <v>-1</v>
      </c>
      <c r="BE46" s="45">
        <f>IF(COUNTIF(CK113:CM115,0)=8,SUM(CK113:CM115),IF(AA79="x",-1,0))</f>
        <v>0</v>
      </c>
      <c r="BF46" s="48">
        <f>IF(COUNTIF(CN113:CP115,0)=8,SUM(CN113:CP115),IF(AB79="x",-1,0))</f>
        <v>0</v>
      </c>
      <c r="BJ46" s="44">
        <f>IF(AF46=-1,-1,MAX(N296:P298))</f>
        <v>0</v>
      </c>
      <c r="BK46" s="45">
        <f>IF(AG46=-1,-1,MAX(Q296:S298))</f>
        <v>-1</v>
      </c>
      <c r="BL46" s="47">
        <f>IF(AH46=-1,-1,MAX(T296:V298))</f>
        <v>-1</v>
      </c>
      <c r="BM46" s="46">
        <f>IF(AI46=-1,-1,MAX(W296:Y298))</f>
        <v>-1</v>
      </c>
      <c r="BN46" s="45">
        <f>IF(AJ46=-1,-1,MAX(Z296:AB298))</f>
        <v>-1</v>
      </c>
      <c r="BO46" s="47">
        <f>IF(AK46=-1,-1,MAX(AC296:AE298))</f>
        <v>-1</v>
      </c>
      <c r="BP46" s="46">
        <f>IF(AL46=-1,-1,MAX(AF296:AH298))</f>
        <v>-1</v>
      </c>
      <c r="BQ46" s="45">
        <f>IF(AM46=-1,-1,MAX(AI296:AK298))</f>
        <v>-1</v>
      </c>
      <c r="BR46" s="48">
        <f>IF(AN46=-1,-1,MAX(AL296:AN298))</f>
        <v>-1</v>
      </c>
      <c r="BS46" s="44">
        <f>IF(AO46=-1,-1,MAX(AO296:AQ298))</f>
        <v>-1</v>
      </c>
      <c r="BT46" s="45">
        <f>IF(AP46=-1,-1,MAX(AR296:AT298))</f>
        <v>-1</v>
      </c>
      <c r="BU46" s="47">
        <f>IF(AQ46=-1,-1,MAX(AU296:AW298))</f>
        <v>0</v>
      </c>
      <c r="BV46" s="46">
        <f>IF(AR46=-1,-1,MAX(AX296:AZ298))</f>
        <v>-1</v>
      </c>
      <c r="BW46" s="45">
        <f>IF(AS46=-1,-1,MAX(BA296:BC298))</f>
        <v>-1</v>
      </c>
      <c r="BX46" s="47">
        <f>IF(AT46=-1,-1,MAX(BD296:BF298))</f>
        <v>-1</v>
      </c>
      <c r="BY46" s="46">
        <f>IF(AU46=-1,-1,MAX(BG296:BI298))</f>
        <v>-1</v>
      </c>
      <c r="BZ46" s="45">
        <f>IF(AV46=-1,-1,MAX(BJ296:BL298))</f>
        <v>-1</v>
      </c>
      <c r="CA46" s="48">
        <f>IF(AW46=-1,-1,MAX(BM296:BO298))</f>
        <v>-1</v>
      </c>
      <c r="CB46" s="44">
        <f>IF(AX46=-1,-1,MAX(BP296:BR298))</f>
        <v>-1</v>
      </c>
      <c r="CC46" s="45">
        <f>IF(AY46=-1,-1,MAX(BS296:BU298))</f>
        <v>-1</v>
      </c>
      <c r="CD46" s="47">
        <f>IF(AZ46=-1,-1,MAX(BV296:BX298))</f>
        <v>-1</v>
      </c>
      <c r="CE46" s="46">
        <f>IF(BA46=-1,-1,MAX(BY296:CA298))</f>
        <v>-1</v>
      </c>
      <c r="CF46" s="45">
        <f>IF(BB46=-1,-1,MAX(CB296:CD298))</f>
        <v>-1</v>
      </c>
      <c r="CG46" s="47">
        <f>IF(BC46=-1,-1,MAX(CE296:CG298))</f>
        <v>-1</v>
      </c>
      <c r="CH46" s="46">
        <f>IF(BD46=-1,-1,MAX(CH296:CJ298))</f>
        <v>-1</v>
      </c>
      <c r="CI46" s="45">
        <f>IF(BE46=-1,-1,MAX(CK296:CM298))</f>
        <v>0</v>
      </c>
      <c r="CJ46" s="48">
        <f>IF(BF46=-1,-1,MAX(CN296:CP298))</f>
        <v>0</v>
      </c>
      <c r="CP46" s="490">
        <v>8</v>
      </c>
      <c r="CQ46" s="491">
        <v>9</v>
      </c>
      <c r="CR46" s="441">
        <v>1</v>
      </c>
      <c r="CS46" s="489">
        <v>2</v>
      </c>
      <c r="CT46" s="511">
        <v>3</v>
      </c>
      <c r="CU46" s="420">
        <v>7</v>
      </c>
      <c r="CV46" s="508">
        <v>6</v>
      </c>
      <c r="CW46" s="456">
        <v>5</v>
      </c>
      <c r="CX46" s="479">
        <v>4</v>
      </c>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row>
    <row r="47" spans="1:179" ht="15" customHeight="1">
      <c r="A47" s="142"/>
      <c r="B47" s="16">
        <v>9</v>
      </c>
      <c r="C47" s="17">
        <v>5</v>
      </c>
      <c r="D47" s="18" t="s">
        <v>32</v>
      </c>
      <c r="E47" s="19" t="s">
        <v>32</v>
      </c>
      <c r="F47" s="17" t="s">
        <v>32</v>
      </c>
      <c r="G47" s="18" t="s">
        <v>32</v>
      </c>
      <c r="H47" s="19" t="s">
        <v>32</v>
      </c>
      <c r="I47" s="17" t="s">
        <v>32</v>
      </c>
      <c r="J47" s="20" t="s">
        <v>32</v>
      </c>
      <c r="K47" s="16" t="s">
        <v>32</v>
      </c>
      <c r="L47" s="17" t="s">
        <v>32</v>
      </c>
      <c r="M47" s="18" t="s">
        <v>32</v>
      </c>
      <c r="N47" s="19">
        <v>7</v>
      </c>
      <c r="O47" s="17" t="s">
        <v>32</v>
      </c>
      <c r="P47" s="18" t="s">
        <v>32</v>
      </c>
      <c r="Q47" s="19" t="s">
        <v>32</v>
      </c>
      <c r="R47" s="17" t="s">
        <v>32</v>
      </c>
      <c r="S47" s="20" t="s">
        <v>32</v>
      </c>
      <c r="T47" s="16" t="s">
        <v>32</v>
      </c>
      <c r="U47" s="17" t="s">
        <v>32</v>
      </c>
      <c r="V47" s="18" t="s">
        <v>32</v>
      </c>
      <c r="W47" s="19" t="s">
        <v>32</v>
      </c>
      <c r="X47" s="17" t="s">
        <v>32</v>
      </c>
      <c r="Y47" s="18" t="s">
        <v>32</v>
      </c>
      <c r="Z47" s="19" t="s">
        <v>32</v>
      </c>
      <c r="AA47" s="17">
        <v>2</v>
      </c>
      <c r="AB47" s="20">
        <v>3</v>
      </c>
      <c r="AC47" s="142"/>
      <c r="AF47" s="49">
        <f>IF(COUNTIF(N116:P118,0)=8,SUM(N116:P118),IF(B80="x",-1,0))</f>
        <v>0</v>
      </c>
      <c r="AG47" s="50">
        <f>IF(COUNTIF(Q116:S118,0)=8,SUM(Q116:S118),IF(C80="x",-1,0))</f>
        <v>0</v>
      </c>
      <c r="AH47" s="51">
        <f>IF(COUNTIF(T116:V118,0)=8,SUM(T116:V118),IF(D80="x",-1,0))</f>
        <v>-1</v>
      </c>
      <c r="AI47" s="52">
        <f>IF(COUNTIF(W116:Y118,0)=8,SUM(W116:Y118),IF(E80="x",-1,0))</f>
        <v>-1</v>
      </c>
      <c r="AJ47" s="50">
        <f>IF(COUNTIF(Z116:AB118,0)=8,SUM(Z116:AB118),IF(F80="x",-1,0))</f>
        <v>-1</v>
      </c>
      <c r="AK47" s="51">
        <f>IF(COUNTIF(AC116:AE118,0)=8,SUM(AC116:AE118),IF(G80="x",-1,0))</f>
        <v>-1</v>
      </c>
      <c r="AL47" s="52">
        <f>IF(COUNTIF(AF116:AH118,0)=8,SUM(AF116:AH118),IF(H80="x",-1,0))</f>
        <v>-1</v>
      </c>
      <c r="AM47" s="50">
        <f>IF(COUNTIF(AI116:AK118,0)=8,SUM(AI116:AK118),IF(I80="x",-1,0))</f>
        <v>-1</v>
      </c>
      <c r="AN47" s="53">
        <f>IF(COUNTIF(AL116:AN118,0)=8,SUM(AL116:AN118),IF(J80="x",-1,0))</f>
        <v>-1</v>
      </c>
      <c r="AO47" s="49">
        <f>IF(COUNTIF(AO116:AQ118,0)=8,SUM(AO116:AQ118),IF(K80="x",-1,0))</f>
        <v>-1</v>
      </c>
      <c r="AP47" s="50">
        <f>IF(COUNTIF(AR116:AT118,0)=8,SUM(AR116:AT118),IF(L80="x",-1,0))</f>
        <v>-1</v>
      </c>
      <c r="AQ47" s="51">
        <f>IF(COUNTIF(AU116:AW118,0)=8,SUM(AU116:AW118),IF(M80="x",-1,0))</f>
        <v>-1</v>
      </c>
      <c r="AR47" s="52">
        <f>IF(COUNTIF(AX116:AZ118,0)=8,SUM(AX116:AZ118),IF(N80="x",-1,0))</f>
        <v>0</v>
      </c>
      <c r="AS47" s="50">
        <f>IF(COUNTIF(BA116:BC118,0)=8,SUM(BA116:BC118),IF(O80="x",-1,0))</f>
        <v>-1</v>
      </c>
      <c r="AT47" s="51">
        <f>IF(COUNTIF(BD116:BF118,0)=8,SUM(BD116:BF118),IF(P80="x",-1,0))</f>
        <v>-1</v>
      </c>
      <c r="AU47" s="52">
        <f>IF(COUNTIF(BG116:BI118,0)=8,SUM(BG116:BI118),IF(Q80="x",-1,0))</f>
        <v>-1</v>
      </c>
      <c r="AV47" s="50">
        <f>IF(COUNTIF(BJ116:BL118,0)=8,SUM(BJ116:BL118),IF(R80="x",-1,0))</f>
        <v>-1</v>
      </c>
      <c r="AW47" s="53">
        <f>IF(COUNTIF(BM116:BO118,0)=8,SUM(BM116:BO118),IF(S80="x",-1,0))</f>
        <v>-1</v>
      </c>
      <c r="AX47" s="49">
        <f>IF(COUNTIF(BP116:BR118,0)=8,SUM(BP116:BR118),IF(T80="x",-1,0))</f>
        <v>-1</v>
      </c>
      <c r="AY47" s="50">
        <f>IF(COUNTIF(BS116:BU118,0)=8,SUM(BS116:BU118),IF(U80="x",-1,0))</f>
        <v>-1</v>
      </c>
      <c r="AZ47" s="51">
        <f>IF(COUNTIF(BV116:BX118,0)=8,SUM(BV116:BX118),IF(V80="x",-1,0))</f>
        <v>-1</v>
      </c>
      <c r="BA47" s="52">
        <f>IF(COUNTIF(BY116:CA118,0)=8,SUM(BY116:CA118),IF(W80="x",-1,0))</f>
        <v>-1</v>
      </c>
      <c r="BB47" s="50">
        <f>IF(COUNTIF(CB116:CD118,0)=8,SUM(CB116:CD118),IF(X80="x",-1,0))</f>
        <v>-1</v>
      </c>
      <c r="BC47" s="51">
        <f>IF(COUNTIF(CE116:CG118,0)=8,SUM(CE116:CG118),IF(Y80="x",-1,0))</f>
        <v>-1</v>
      </c>
      <c r="BD47" s="52">
        <f>IF(COUNTIF(CH116:CJ118,0)=8,SUM(CH116:CJ118),IF(Z80="x",-1,0))</f>
        <v>-1</v>
      </c>
      <c r="BE47" s="50">
        <f>IF(COUNTIF(CK116:CM118,0)=8,SUM(CK116:CM118),IF(AA80="x",-1,0))</f>
        <v>0</v>
      </c>
      <c r="BF47" s="53">
        <f>IF(COUNTIF(CN116:CP118,0)=8,SUM(CN116:CP118),IF(AB80="x",-1,0))</f>
        <v>0</v>
      </c>
      <c r="BJ47" s="49">
        <f>IF(AF47=-1,-1,MAX(N299:P301))</f>
        <v>0</v>
      </c>
      <c r="BK47" s="50">
        <f>IF(AG47=-1,-1,MAX(Q299:S301))</f>
        <v>0</v>
      </c>
      <c r="BL47" s="51">
        <f>IF(AH47=-1,-1,MAX(T299:V301))</f>
        <v>-1</v>
      </c>
      <c r="BM47" s="52">
        <f>IF(AI47=-1,-1,MAX(W299:Y301))</f>
        <v>-1</v>
      </c>
      <c r="BN47" s="50">
        <f>IF(AJ47=-1,-1,MAX(Z299:AB301))</f>
        <v>-1</v>
      </c>
      <c r="BO47" s="51">
        <f>IF(AK47=-1,-1,MAX(AC299:AE301))</f>
        <v>-1</v>
      </c>
      <c r="BP47" s="52">
        <f>IF(AL47=-1,-1,MAX(AF299:AH301))</f>
        <v>-1</v>
      </c>
      <c r="BQ47" s="50">
        <f>IF(AM47=-1,-1,MAX(AI299:AK301))</f>
        <v>-1</v>
      </c>
      <c r="BR47" s="53">
        <f>IF(AN47=-1,-1,MAX(AL299:AN301))</f>
        <v>-1</v>
      </c>
      <c r="BS47" s="49">
        <f>IF(AO47=-1,-1,MAX(AO299:AQ301))</f>
        <v>-1</v>
      </c>
      <c r="BT47" s="50">
        <f>IF(AP47=-1,-1,MAX(AR299:AT301))</f>
        <v>-1</v>
      </c>
      <c r="BU47" s="51">
        <f>IF(AQ47=-1,-1,MAX(AU299:AW301))</f>
        <v>-1</v>
      </c>
      <c r="BV47" s="52">
        <f>IF(AR47=-1,-1,MAX(AX299:AZ301))</f>
        <v>0</v>
      </c>
      <c r="BW47" s="50">
        <f>IF(AS47=-1,-1,MAX(BA299:BC301))</f>
        <v>-1</v>
      </c>
      <c r="BX47" s="51">
        <f>IF(AT47=-1,-1,MAX(BD299:BF301))</f>
        <v>-1</v>
      </c>
      <c r="BY47" s="52">
        <f>IF(AU47=-1,-1,MAX(BG299:BI301))</f>
        <v>-1</v>
      </c>
      <c r="BZ47" s="50">
        <f>IF(AV47=-1,-1,MAX(BJ299:BL301))</f>
        <v>-1</v>
      </c>
      <c r="CA47" s="53">
        <f>IF(AW47=-1,-1,MAX(BM299:BO301))</f>
        <v>-1</v>
      </c>
      <c r="CB47" s="49">
        <f>IF(AX47=-1,-1,MAX(BP299:BR301))</f>
        <v>-1</v>
      </c>
      <c r="CC47" s="50">
        <f>IF(AY47=-1,-1,MAX(BS299:BU301))</f>
        <v>-1</v>
      </c>
      <c r="CD47" s="51">
        <f>IF(AZ47=-1,-1,MAX(BV299:BX301))</f>
        <v>-1</v>
      </c>
      <c r="CE47" s="52">
        <f>IF(BA47=-1,-1,MAX(BY299:CA301))</f>
        <v>-1</v>
      </c>
      <c r="CF47" s="50">
        <f>IF(BB47=-1,-1,MAX(CB299:CD301))</f>
        <v>-1</v>
      </c>
      <c r="CG47" s="51">
        <f>IF(BC47=-1,-1,MAX(CE299:CG301))</f>
        <v>-1</v>
      </c>
      <c r="CH47" s="52">
        <f>IF(BD47=-1,-1,MAX(CH299:CJ301))</f>
        <v>-1</v>
      </c>
      <c r="CI47" s="50">
        <f>IF(BE47=-1,-1,MAX(CK299:CM301))</f>
        <v>0</v>
      </c>
      <c r="CJ47" s="53">
        <f>IF(BF47=-1,-1,MAX(CN299:CP301))</f>
        <v>0</v>
      </c>
      <c r="CP47" s="476">
        <v>9</v>
      </c>
      <c r="CQ47" s="494">
        <v>5</v>
      </c>
      <c r="CR47" s="495">
        <v>6</v>
      </c>
      <c r="CS47" s="441">
        <v>7</v>
      </c>
      <c r="CT47" s="420">
        <v>1</v>
      </c>
      <c r="CU47" s="510">
        <v>4</v>
      </c>
      <c r="CV47" s="500">
        <v>8</v>
      </c>
      <c r="CW47" s="501">
        <v>2</v>
      </c>
      <c r="CX47" s="480">
        <v>3</v>
      </c>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row>
    <row r="48" spans="1:179" ht="15" customHeight="1">
      <c r="A48" s="142"/>
      <c r="B48" s="213">
        <v>6</v>
      </c>
      <c r="C48" s="204">
        <v>3</v>
      </c>
      <c r="D48" s="9" t="s">
        <v>32</v>
      </c>
      <c r="E48" s="8" t="s">
        <v>32</v>
      </c>
      <c r="F48" s="7" t="s">
        <v>32</v>
      </c>
      <c r="G48" s="9" t="s">
        <v>32</v>
      </c>
      <c r="H48" s="8" t="s">
        <v>32</v>
      </c>
      <c r="I48" s="7" t="s">
        <v>32</v>
      </c>
      <c r="J48" s="10" t="s">
        <v>32</v>
      </c>
      <c r="K48" s="11" t="s">
        <v>32</v>
      </c>
      <c r="L48" s="7" t="s">
        <v>32</v>
      </c>
      <c r="M48" s="9" t="s">
        <v>32</v>
      </c>
      <c r="N48" s="8" t="s">
        <v>32</v>
      </c>
      <c r="O48" s="7">
        <v>8</v>
      </c>
      <c r="P48" s="9">
        <v>5</v>
      </c>
      <c r="Q48" s="8" t="s">
        <v>32</v>
      </c>
      <c r="R48" s="7" t="s">
        <v>32</v>
      </c>
      <c r="S48" s="10" t="s">
        <v>32</v>
      </c>
      <c r="T48" s="11" t="s">
        <v>32</v>
      </c>
      <c r="U48" s="7" t="s">
        <v>32</v>
      </c>
      <c r="V48" s="9" t="s">
        <v>32</v>
      </c>
      <c r="W48" s="8" t="s">
        <v>32</v>
      </c>
      <c r="X48" s="7" t="s">
        <v>32</v>
      </c>
      <c r="Y48" s="9" t="s">
        <v>32</v>
      </c>
      <c r="Z48" s="8" t="s">
        <v>32</v>
      </c>
      <c r="AA48" s="7" t="s">
        <v>32</v>
      </c>
      <c r="AB48" s="214">
        <v>1</v>
      </c>
      <c r="AC48" s="142"/>
      <c r="AF48" s="43">
        <f>IF(COUNTIF(N119:P121,0)=8,SUM(N119:P121),IF(B81="x",-1,0))</f>
        <v>0</v>
      </c>
      <c r="AG48" s="39">
        <f>IF(COUNTIF(Q119:S121,0)=8,SUM(Q119:S121),IF(C81="x",-1,0))</f>
        <v>0</v>
      </c>
      <c r="AH48" s="41">
        <f>IF(COUNTIF(T119:V121,0)=8,SUM(T119:V121),IF(D81="x",-1,0))</f>
        <v>-1</v>
      </c>
      <c r="AI48" s="40">
        <f>IF(COUNTIF(W119:Y121,0)=8,SUM(W119:Y121),IF(E81="x",-1,0))</f>
        <v>-1</v>
      </c>
      <c r="AJ48" s="39">
        <f>IF(COUNTIF(Z119:AB121,0)=8,SUM(Z119:AB121),IF(F81="x",-1,0))</f>
        <v>-1</v>
      </c>
      <c r="AK48" s="41">
        <f>IF(COUNTIF(AC119:AE121,0)=8,SUM(AC119:AE121),IF(G81="x",-1,0))</f>
        <v>-1</v>
      </c>
      <c r="AL48" s="40">
        <f>IF(COUNTIF(AF119:AH121,0)=8,SUM(AF119:AH121),IF(H81="x",-1,0))</f>
        <v>-1</v>
      </c>
      <c r="AM48" s="39">
        <f>IF(COUNTIF(AI119:AK121,0)=8,SUM(AI119:AK121),IF(I81="x",-1,0))</f>
        <v>-1</v>
      </c>
      <c r="AN48" s="42">
        <f>IF(COUNTIF(AL119:AN121,0)=8,SUM(AL119:AN121),IF(J81="x",-1,0))</f>
        <v>-1</v>
      </c>
      <c r="AO48" s="43">
        <f>IF(COUNTIF(AO119:AQ121,0)=8,SUM(AO119:AQ121),IF(K81="x",-1,0))</f>
        <v>-1</v>
      </c>
      <c r="AP48" s="39">
        <f>IF(COUNTIF(AR119:AT121,0)=8,SUM(AR119:AT121),IF(L81="x",-1,0))</f>
        <v>-1</v>
      </c>
      <c r="AQ48" s="41">
        <f>IF(COUNTIF(AU119:AW121,0)=8,SUM(AU119:AW121),IF(M81="x",-1,0))</f>
        <v>-1</v>
      </c>
      <c r="AR48" s="40">
        <f>IF(COUNTIF(AX119:AZ121,0)=8,SUM(AX119:AZ121),IF(N81="x",-1,0))</f>
        <v>-1</v>
      </c>
      <c r="AS48" s="39">
        <f>IF(COUNTIF(BA119:BC121,0)=8,SUM(BA119:BC121),IF(O81="x",-1,0))</f>
        <v>0</v>
      </c>
      <c r="AT48" s="41">
        <f>IF(COUNTIF(BD119:BF121,0)=8,SUM(BD119:BF121),IF(P81="x",-1,0))</f>
        <v>0</v>
      </c>
      <c r="AU48" s="40">
        <f>IF(COUNTIF(BG119:BI121,0)=8,SUM(BG119:BI121),IF(Q81="x",-1,0))</f>
        <v>-1</v>
      </c>
      <c r="AV48" s="39">
        <f>IF(COUNTIF(BJ119:BL121,0)=8,SUM(BJ119:BL121),IF(R81="x",-1,0))</f>
        <v>-1</v>
      </c>
      <c r="AW48" s="42">
        <f>IF(COUNTIF(BM119:BO121,0)=8,SUM(BM119:BO121),IF(S81="x",-1,0))</f>
        <v>-1</v>
      </c>
      <c r="AX48" s="43">
        <f>IF(COUNTIF(BP119:BR121,0)=8,SUM(BP119:BR121),IF(T81="x",-1,0))</f>
        <v>-1</v>
      </c>
      <c r="AY48" s="39">
        <f>IF(COUNTIF(BS119:BU121,0)=8,SUM(BS119:BU121),IF(U81="x",-1,0))</f>
        <v>-1</v>
      </c>
      <c r="AZ48" s="41">
        <f>IF(COUNTIF(BV119:BX121,0)=8,SUM(BV119:BX121),IF(V81="x",-1,0))</f>
        <v>-1</v>
      </c>
      <c r="BA48" s="40">
        <f>IF(COUNTIF(BY119:CA121,0)=8,SUM(BY119:CA121),IF(W81="x",-1,0))</f>
        <v>-1</v>
      </c>
      <c r="BB48" s="39">
        <f>IF(COUNTIF(CB119:CD121,0)=8,SUM(CB119:CD121),IF(X81="x",-1,0))</f>
        <v>-1</v>
      </c>
      <c r="BC48" s="41">
        <f>IF(COUNTIF(CE119:CG121,0)=8,SUM(CE119:CG121),IF(Y81="x",-1,0))</f>
        <v>-1</v>
      </c>
      <c r="BD48" s="40">
        <f>IF(COUNTIF(CH119:CJ121,0)=8,SUM(CH119:CJ121),IF(Z81="x",-1,0))</f>
        <v>-1</v>
      </c>
      <c r="BE48" s="39">
        <f>IF(COUNTIF(CK119:CM121,0)=8,SUM(CK119:CM121),IF(AA81="x",-1,0))</f>
        <v>-1</v>
      </c>
      <c r="BF48" s="42">
        <f>IF(COUNTIF(CN119:CP121,0)=8,SUM(CN119:CP121),IF(AB81="x",-1,0))</f>
        <v>0</v>
      </c>
      <c r="BJ48" s="43">
        <f>IF(AF48=-1,-1,MAX(N302:P304))</f>
        <v>0</v>
      </c>
      <c r="BK48" s="39">
        <f>IF(AG48=-1,-1,MAX(Q302:S304))</f>
        <v>0</v>
      </c>
      <c r="BL48" s="41">
        <f>IF(AH48=-1,-1,MAX(T302:V304))</f>
        <v>-1</v>
      </c>
      <c r="BM48" s="40">
        <f>IF(AI48=-1,-1,MAX(W302:Y304))</f>
        <v>-1</v>
      </c>
      <c r="BN48" s="39">
        <f>IF(AJ48=-1,-1,MAX(Z302:AB304))</f>
        <v>-1</v>
      </c>
      <c r="BO48" s="41">
        <f>IF(AK48=-1,-1,MAX(AC302:AE304))</f>
        <v>-1</v>
      </c>
      <c r="BP48" s="40">
        <f>IF(AL48=-1,-1,MAX(AF302:AH304))</f>
        <v>-1</v>
      </c>
      <c r="BQ48" s="39">
        <f>IF(AM48=-1,-1,MAX(AI302:AK304))</f>
        <v>-1</v>
      </c>
      <c r="BR48" s="42">
        <f>IF(AN48=-1,-1,MAX(AL302:AN304))</f>
        <v>-1</v>
      </c>
      <c r="BS48" s="43">
        <f>IF(AO48=-1,-1,MAX(AO302:AQ304))</f>
        <v>-1</v>
      </c>
      <c r="BT48" s="39">
        <f>IF(AP48=-1,-1,MAX(AR302:AT304))</f>
        <v>-1</v>
      </c>
      <c r="BU48" s="41">
        <f>IF(AQ48=-1,-1,MAX(AU302:AW304))</f>
        <v>-1</v>
      </c>
      <c r="BV48" s="40">
        <f>IF(AR48=-1,-1,MAX(AX302:AZ304))</f>
        <v>-1</v>
      </c>
      <c r="BW48" s="39">
        <f>IF(AS48=-1,-1,MAX(BA302:BC304))</f>
        <v>0</v>
      </c>
      <c r="BX48" s="41">
        <f>IF(AT48=-1,-1,MAX(BD302:BF304))</f>
        <v>0</v>
      </c>
      <c r="BY48" s="40">
        <f>IF(AU48=-1,-1,MAX(BG302:BI304))</f>
        <v>-1</v>
      </c>
      <c r="BZ48" s="39">
        <f>IF(AV48=-1,-1,MAX(BJ302:BL304))</f>
        <v>-1</v>
      </c>
      <c r="CA48" s="42">
        <f>IF(AW48=-1,-1,MAX(BM302:BO304))</f>
        <v>-1</v>
      </c>
      <c r="CB48" s="43">
        <f>IF(AX48=-1,-1,MAX(BP302:BR304))</f>
        <v>-1</v>
      </c>
      <c r="CC48" s="39">
        <f>IF(AY48=-1,-1,MAX(BS302:BU304))</f>
        <v>-1</v>
      </c>
      <c r="CD48" s="41">
        <f>IF(AZ48=-1,-1,MAX(BV302:BX304))</f>
        <v>-1</v>
      </c>
      <c r="CE48" s="40">
        <f>IF(BA48=-1,-1,MAX(BY302:CA304))</f>
        <v>-1</v>
      </c>
      <c r="CF48" s="39">
        <f>IF(BB48=-1,-1,MAX(CB302:CD304))</f>
        <v>-1</v>
      </c>
      <c r="CG48" s="41">
        <f>IF(BC48=-1,-1,MAX(CE302:CG304))</f>
        <v>-1</v>
      </c>
      <c r="CH48" s="40">
        <f>IF(BD48=-1,-1,MAX(CH302:CJ304))</f>
        <v>-1</v>
      </c>
      <c r="CI48" s="39">
        <f>IF(BE48=-1,-1,MAX(CK302:CM304))</f>
        <v>-1</v>
      </c>
      <c r="CJ48" s="42">
        <f>IF(BF48=-1,-1,MAX(CN302:CP304))</f>
        <v>0</v>
      </c>
      <c r="CP48" s="477">
        <v>6</v>
      </c>
      <c r="CQ48" s="481">
        <v>3</v>
      </c>
      <c r="CR48" s="512">
        <v>7</v>
      </c>
      <c r="CS48" s="420">
        <v>9</v>
      </c>
      <c r="CT48" s="492">
        <v>8</v>
      </c>
      <c r="CU48" s="514">
        <v>5</v>
      </c>
      <c r="CV48" s="516">
        <v>2</v>
      </c>
      <c r="CW48" s="499">
        <v>4</v>
      </c>
      <c r="CX48" s="480">
        <v>1</v>
      </c>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row>
    <row r="49" spans="1:179" ht="15" customHeight="1">
      <c r="A49" s="142"/>
      <c r="B49" s="12" t="s">
        <v>32</v>
      </c>
      <c r="C49" s="13" t="s">
        <v>32</v>
      </c>
      <c r="D49" s="15" t="s">
        <v>32</v>
      </c>
      <c r="E49" s="14" t="s">
        <v>32</v>
      </c>
      <c r="F49" s="13" t="s">
        <v>32</v>
      </c>
      <c r="G49" s="15" t="s">
        <v>32</v>
      </c>
      <c r="H49" s="14" t="s">
        <v>32</v>
      </c>
      <c r="I49" s="13" t="s">
        <v>32</v>
      </c>
      <c r="J49" s="1" t="s">
        <v>32</v>
      </c>
      <c r="K49" s="12" t="s">
        <v>32</v>
      </c>
      <c r="L49" s="13" t="s">
        <v>32</v>
      </c>
      <c r="M49" s="15" t="s">
        <v>32</v>
      </c>
      <c r="N49" s="14" t="s">
        <v>32</v>
      </c>
      <c r="O49" s="13" t="s">
        <v>32</v>
      </c>
      <c r="P49" s="15" t="s">
        <v>32</v>
      </c>
      <c r="Q49" s="14" t="s">
        <v>32</v>
      </c>
      <c r="R49" s="13" t="s">
        <v>32</v>
      </c>
      <c r="S49" s="1" t="s">
        <v>32</v>
      </c>
      <c r="T49" s="12" t="s">
        <v>32</v>
      </c>
      <c r="U49" s="13" t="s">
        <v>32</v>
      </c>
      <c r="V49" s="15" t="s">
        <v>32</v>
      </c>
      <c r="W49" s="14" t="s">
        <v>32</v>
      </c>
      <c r="X49" s="13" t="s">
        <v>32</v>
      </c>
      <c r="Y49" s="15" t="s">
        <v>32</v>
      </c>
      <c r="Z49" s="14" t="s">
        <v>32</v>
      </c>
      <c r="AA49" s="13" t="s">
        <v>32</v>
      </c>
      <c r="AB49" s="1">
        <v>9</v>
      </c>
      <c r="AC49" s="142"/>
      <c r="AF49" s="44">
        <f>IF(COUNTIF(N122:P124,0)=8,SUM(N122:P124),IF(B82="x",-1,0))</f>
        <v>-1</v>
      </c>
      <c r="AG49" s="45">
        <f>IF(COUNTIF(Q122:S124,0)=8,SUM(Q122:S124),IF(C82="x",-1,0))</f>
        <v>-1</v>
      </c>
      <c r="AH49" s="47">
        <f>IF(COUNTIF(T122:V124,0)=8,SUM(T122:V124),IF(D82="x",-1,0))</f>
        <v>-1</v>
      </c>
      <c r="AI49" s="46">
        <f>IF(COUNTIF(W122:Y124,0)=8,SUM(W122:Y124),IF(E82="x",-1,0))</f>
        <v>-1</v>
      </c>
      <c r="AJ49" s="45">
        <f>IF(COUNTIF(Z122:AB124,0)=8,SUM(Z122:AB124),IF(F82="x",-1,0))</f>
        <v>-1</v>
      </c>
      <c r="AK49" s="47">
        <f>IF(COUNTIF(AC122:AE124,0)=8,SUM(AC122:AE124),IF(G82="x",-1,0))</f>
        <v>-1</v>
      </c>
      <c r="AL49" s="46">
        <f>IF(COUNTIF(AF122:AH124,0)=8,SUM(AF122:AH124),IF(H82="x",-1,0))</f>
        <v>-1</v>
      </c>
      <c r="AM49" s="45">
        <f>IF(COUNTIF(AI122:AK124,0)=8,SUM(AI122:AK124),IF(I82="x",-1,0))</f>
        <v>-1</v>
      </c>
      <c r="AN49" s="48">
        <f>IF(COUNTIF(AL122:AN124,0)=8,SUM(AL122:AN124),IF(J82="x",-1,0))</f>
        <v>-1</v>
      </c>
      <c r="AO49" s="44">
        <f>IF(COUNTIF(AO122:AQ124,0)=8,SUM(AO122:AQ124),IF(K82="x",-1,0))</f>
        <v>-1</v>
      </c>
      <c r="AP49" s="45">
        <f>IF(COUNTIF(AR122:AT124,0)=8,SUM(AR122:AT124),IF(L82="x",-1,0))</f>
        <v>-1</v>
      </c>
      <c r="AQ49" s="47">
        <f>IF(COUNTIF(AU122:AW124,0)=8,SUM(AU122:AW124),IF(M82="x",-1,0))</f>
        <v>-1</v>
      </c>
      <c r="AR49" s="46">
        <f>IF(COUNTIF(AX122:AZ124,0)=8,SUM(AX122:AZ124),IF(N82="x",-1,0))</f>
        <v>-1</v>
      </c>
      <c r="AS49" s="45">
        <f>IF(COUNTIF(BA122:BC124,0)=8,SUM(BA122:BC124),IF(O82="x",-1,0))</f>
        <v>-1</v>
      </c>
      <c r="AT49" s="47">
        <f>IF(COUNTIF(BD122:BF124,0)=8,SUM(BD122:BF124),IF(P82="x",-1,0))</f>
        <v>-1</v>
      </c>
      <c r="AU49" s="46">
        <f>IF(COUNTIF(BG122:BI124,0)=8,SUM(BG122:BI124),IF(Q82="x",-1,0))</f>
        <v>-1</v>
      </c>
      <c r="AV49" s="45">
        <f>IF(COUNTIF(BJ122:BL124,0)=8,SUM(BJ122:BL124),IF(R82="x",-1,0))</f>
        <v>-1</v>
      </c>
      <c r="AW49" s="48">
        <f>IF(COUNTIF(BM122:BO124,0)=8,SUM(BM122:BO124),IF(S82="x",-1,0))</f>
        <v>-1</v>
      </c>
      <c r="AX49" s="44">
        <f>IF(COUNTIF(BP122:BR124,0)=8,SUM(BP122:BR124),IF(T82="x",-1,0))</f>
        <v>-1</v>
      </c>
      <c r="AY49" s="45">
        <f>IF(COUNTIF(BS122:BU124,0)=8,SUM(BS122:BU124),IF(U82="x",-1,0))</f>
        <v>-1</v>
      </c>
      <c r="AZ49" s="47">
        <f>IF(COUNTIF(BV122:BX124,0)=8,SUM(BV122:BX124),IF(V82="x",-1,0))</f>
        <v>-1</v>
      </c>
      <c r="BA49" s="46">
        <f>IF(COUNTIF(BY122:CA124,0)=8,SUM(BY122:CA124),IF(W82="x",-1,0))</f>
        <v>-1</v>
      </c>
      <c r="BB49" s="45">
        <f>IF(COUNTIF(CB122:CD124,0)=8,SUM(CB122:CD124),IF(X82="x",-1,0))</f>
        <v>-1</v>
      </c>
      <c r="BC49" s="47">
        <f>IF(COUNTIF(CE122:CG124,0)=8,SUM(CE122:CG124),IF(Y82="x",-1,0))</f>
        <v>-1</v>
      </c>
      <c r="BD49" s="46">
        <f>IF(COUNTIF(CH122:CJ124,0)=8,SUM(CH122:CJ124),IF(Z82="x",-1,0))</f>
        <v>-1</v>
      </c>
      <c r="BE49" s="45">
        <f>IF(COUNTIF(CK122:CM124,0)=8,SUM(CK122:CM124),IF(AA82="x",-1,0))</f>
        <v>-1</v>
      </c>
      <c r="BF49" s="48">
        <f>IF(COUNTIF(CN122:CP124,0)=8,SUM(CN122:CP124),IF(AB82="x",-1,0))</f>
        <v>0</v>
      </c>
      <c r="BJ49" s="44">
        <f>IF(AF49=-1,-1,MAX(N305:P307))</f>
        <v>-1</v>
      </c>
      <c r="BK49" s="45">
        <f>IF(AG49=-1,-1,MAX(Q305:S307))</f>
        <v>-1</v>
      </c>
      <c r="BL49" s="47">
        <f>IF(AH49=-1,-1,MAX(T305:V307))</f>
        <v>-1</v>
      </c>
      <c r="BM49" s="46">
        <f>IF(AI49=-1,-1,MAX(W305:Y307))</f>
        <v>-1</v>
      </c>
      <c r="BN49" s="45">
        <f>IF(AJ49=-1,-1,MAX(Z305:AB307))</f>
        <v>-1</v>
      </c>
      <c r="BO49" s="47">
        <f>IF(AK49=-1,-1,MAX(AC305:AE307))</f>
        <v>-1</v>
      </c>
      <c r="BP49" s="46">
        <f>IF(AL49=-1,-1,MAX(AF305:AH307))</f>
        <v>-1</v>
      </c>
      <c r="BQ49" s="45">
        <f>IF(AM49=-1,-1,MAX(AI305:AK307))</f>
        <v>-1</v>
      </c>
      <c r="BR49" s="48">
        <f>IF(AN49=-1,-1,MAX(AL305:AN307))</f>
        <v>-1</v>
      </c>
      <c r="BS49" s="44">
        <f>IF(AO49=-1,-1,MAX(AO305:AQ307))</f>
        <v>-1</v>
      </c>
      <c r="BT49" s="45">
        <f>IF(AP49=-1,-1,MAX(AR305:AT307))</f>
        <v>-1</v>
      </c>
      <c r="BU49" s="47">
        <f>IF(AQ49=-1,-1,MAX(AU305:AW307))</f>
        <v>-1</v>
      </c>
      <c r="BV49" s="46">
        <f>IF(AR49=-1,-1,MAX(AX305:AZ307))</f>
        <v>-1</v>
      </c>
      <c r="BW49" s="45">
        <f>IF(AS49=-1,-1,MAX(BA305:BC307))</f>
        <v>-1</v>
      </c>
      <c r="BX49" s="47">
        <f>IF(AT49=-1,-1,MAX(BD305:BF307))</f>
        <v>-1</v>
      </c>
      <c r="BY49" s="46">
        <f>IF(AU49=-1,-1,MAX(BG305:BI307))</f>
        <v>-1</v>
      </c>
      <c r="BZ49" s="45">
        <f>IF(AV49=-1,-1,MAX(BJ305:BL307))</f>
        <v>-1</v>
      </c>
      <c r="CA49" s="48">
        <f>IF(AW49=-1,-1,MAX(BM305:BO307))</f>
        <v>-1</v>
      </c>
      <c r="CB49" s="44">
        <f>IF(AX49=-1,-1,MAX(BP305:BR307))</f>
        <v>-1</v>
      </c>
      <c r="CC49" s="45">
        <f>IF(AY49=-1,-1,MAX(BS305:BU307))</f>
        <v>-1</v>
      </c>
      <c r="CD49" s="47">
        <f>IF(AZ49=-1,-1,MAX(BV305:BX307))</f>
        <v>-1</v>
      </c>
      <c r="CE49" s="46">
        <f>IF(BA49=-1,-1,MAX(BY305:CA307))</f>
        <v>-1</v>
      </c>
      <c r="CF49" s="45">
        <f>IF(BB49=-1,-1,MAX(CB305:CD307))</f>
        <v>-1</v>
      </c>
      <c r="CG49" s="47">
        <f>IF(BC49=-1,-1,MAX(CE305:CG307))</f>
        <v>-1</v>
      </c>
      <c r="CH49" s="46">
        <f>IF(BD49=-1,-1,MAX(CH305:CJ307))</f>
        <v>-1</v>
      </c>
      <c r="CI49" s="45">
        <f>IF(BE49=-1,-1,MAX(CK305:CM307))</f>
        <v>-1</v>
      </c>
      <c r="CJ49" s="48">
        <f>IF(BF49=-1,-1,MAX(CN305:CP307))</f>
        <v>0</v>
      </c>
      <c r="CP49" s="482">
        <v>1</v>
      </c>
      <c r="CQ49" s="484">
        <v>2</v>
      </c>
      <c r="CR49" s="485">
        <v>5</v>
      </c>
      <c r="CS49" s="517">
        <v>6</v>
      </c>
      <c r="CT49" s="457">
        <v>4</v>
      </c>
      <c r="CU49" s="515">
        <v>8</v>
      </c>
      <c r="CV49" s="459">
        <v>3</v>
      </c>
      <c r="CW49" s="523">
        <v>7</v>
      </c>
      <c r="CX49" s="502">
        <v>9</v>
      </c>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row>
    <row r="50" spans="1:179" ht="15" customHeight="1">
      <c r="A50" s="142"/>
      <c r="B50" s="16" t="s">
        <v>32</v>
      </c>
      <c r="C50" s="17" t="s">
        <v>32</v>
      </c>
      <c r="D50" s="18" t="s">
        <v>32</v>
      </c>
      <c r="E50" s="19" t="s">
        <v>32</v>
      </c>
      <c r="F50" s="17" t="s">
        <v>32</v>
      </c>
      <c r="G50" s="18" t="s">
        <v>32</v>
      </c>
      <c r="H50" s="19" t="s">
        <v>32</v>
      </c>
      <c r="I50" s="17" t="s">
        <v>32</v>
      </c>
      <c r="J50" s="20" t="s">
        <v>32</v>
      </c>
      <c r="K50" s="16" t="s">
        <v>32</v>
      </c>
      <c r="L50" s="17" t="s">
        <v>32</v>
      </c>
      <c r="M50" s="18" t="s">
        <v>32</v>
      </c>
      <c r="N50" s="19" t="s">
        <v>32</v>
      </c>
      <c r="O50" s="17" t="s">
        <v>32</v>
      </c>
      <c r="P50" s="18" t="s">
        <v>32</v>
      </c>
      <c r="Q50" s="19" t="s">
        <v>32</v>
      </c>
      <c r="R50" s="17" t="s">
        <v>32</v>
      </c>
      <c r="S50" s="20" t="s">
        <v>32</v>
      </c>
      <c r="T50" s="16" t="s">
        <v>32</v>
      </c>
      <c r="U50" s="17" t="s">
        <v>32</v>
      </c>
      <c r="V50" s="18" t="s">
        <v>32</v>
      </c>
      <c r="W50" s="19" t="s">
        <v>32</v>
      </c>
      <c r="X50" s="17" t="s">
        <v>32</v>
      </c>
      <c r="Y50" s="18" t="s">
        <v>32</v>
      </c>
      <c r="Z50" s="19" t="s">
        <v>32</v>
      </c>
      <c r="AA50" s="17" t="s">
        <v>32</v>
      </c>
      <c r="AB50" s="427">
        <v>7</v>
      </c>
      <c r="AC50" s="142"/>
      <c r="AF50" s="49">
        <f>IF(COUNTIF(N125:P127,0)=8,SUM(N125:P127),IF(B83="x",-1,0))</f>
        <v>-1</v>
      </c>
      <c r="AG50" s="50">
        <f>IF(COUNTIF(Q125:S127,0)=8,SUM(Q125:S127),IF(C83="x",-1,0))</f>
        <v>-1</v>
      </c>
      <c r="AH50" s="51">
        <f>IF(COUNTIF(T125:V127,0)=8,SUM(T125:V127),IF(D83="x",-1,0))</f>
        <v>-1</v>
      </c>
      <c r="AI50" s="52">
        <f>IF(COUNTIF(W125:Y127,0)=8,SUM(W125:Y127),IF(E83="x",-1,0))</f>
        <v>-1</v>
      </c>
      <c r="AJ50" s="50">
        <f>IF(COUNTIF(Z125:AB127,0)=8,SUM(Z125:AB127),IF(F83="x",-1,0))</f>
        <v>-1</v>
      </c>
      <c r="AK50" s="51">
        <f>IF(COUNTIF(AC125:AE127,0)=8,SUM(AC125:AE127),IF(G83="x",-1,0))</f>
        <v>-1</v>
      </c>
      <c r="AL50" s="52">
        <f>IF(COUNTIF(AF125:AH127,0)=8,SUM(AF125:AH127),IF(H83="x",-1,0))</f>
        <v>-1</v>
      </c>
      <c r="AM50" s="50">
        <f>IF(COUNTIF(AI125:AK127,0)=8,SUM(AI125:AK127),IF(I83="x",-1,0))</f>
        <v>-1</v>
      </c>
      <c r="AN50" s="53">
        <f>IF(COUNTIF(AL125:AN127,0)=8,SUM(AL125:AN127),IF(J83="x",-1,0))</f>
        <v>-1</v>
      </c>
      <c r="AO50" s="49">
        <f>IF(COUNTIF(AO125:AQ127,0)=8,SUM(AO125:AQ127),IF(K83="x",-1,0))</f>
        <v>-1</v>
      </c>
      <c r="AP50" s="50">
        <f>IF(COUNTIF(AR125:AT127,0)=8,SUM(AR125:AT127),IF(L83="x",-1,0))</f>
        <v>-1</v>
      </c>
      <c r="AQ50" s="51">
        <f>IF(COUNTIF(AU125:AW127,0)=8,SUM(AU125:AW127),IF(M83="x",-1,0))</f>
        <v>-1</v>
      </c>
      <c r="AR50" s="52">
        <f>IF(COUNTIF(AX125:AZ127,0)=8,SUM(AX125:AZ127),IF(N83="x",-1,0))</f>
        <v>-1</v>
      </c>
      <c r="AS50" s="50">
        <f>IF(COUNTIF(BA125:BC127,0)=8,SUM(BA125:BC127),IF(O83="x",-1,0))</f>
        <v>-1</v>
      </c>
      <c r="AT50" s="51">
        <f>IF(COUNTIF(BD125:BF127,0)=8,SUM(BD125:BF127),IF(P83="x",-1,0))</f>
        <v>-1</v>
      </c>
      <c r="AU50" s="52">
        <f>IF(COUNTIF(BG125:BI127,0)=8,SUM(BG125:BI127),IF(Q83="x",-1,0))</f>
        <v>-1</v>
      </c>
      <c r="AV50" s="50">
        <f>IF(COUNTIF(BJ125:BL127,0)=8,SUM(BJ125:BL127),IF(R83="x",-1,0))</f>
        <v>-1</v>
      </c>
      <c r="AW50" s="53">
        <f>IF(COUNTIF(BM125:BO127,0)=8,SUM(BM125:BO127),IF(S83="x",-1,0))</f>
        <v>-1</v>
      </c>
      <c r="AX50" s="49">
        <f>IF(COUNTIF(BP125:BR127,0)=8,SUM(BP125:BR127),IF(T83="x",-1,0))</f>
        <v>-1</v>
      </c>
      <c r="AY50" s="50">
        <f>IF(COUNTIF(BS125:BU127,0)=8,SUM(BS125:BU127),IF(U83="x",-1,0))</f>
        <v>-1</v>
      </c>
      <c r="AZ50" s="51">
        <f>IF(COUNTIF(BV125:BX127,0)=8,SUM(BV125:BX127),IF(V83="x",-1,0))</f>
        <v>-1</v>
      </c>
      <c r="BA50" s="52">
        <f>IF(COUNTIF(BY125:CA127,0)=8,SUM(BY125:CA127),IF(W83="x",-1,0))</f>
        <v>-1</v>
      </c>
      <c r="BB50" s="50">
        <f>IF(COUNTIF(CB125:CD127,0)=8,SUM(CB125:CD127),IF(X83="x",-1,0))</f>
        <v>-1</v>
      </c>
      <c r="BC50" s="51">
        <f>IF(COUNTIF(CE125:CG127,0)=8,SUM(CE125:CG127),IF(Y83="x",-1,0))</f>
        <v>-1</v>
      </c>
      <c r="BD50" s="52">
        <f>IF(COUNTIF(CH125:CJ127,0)=8,SUM(CH125:CJ127),IF(Z83="x",-1,0))</f>
        <v>-1</v>
      </c>
      <c r="BE50" s="50">
        <f>IF(COUNTIF(CK125:CM127,0)=8,SUM(CK125:CM127),IF(AA83="x",-1,0))</f>
        <v>-1</v>
      </c>
      <c r="BF50" s="53">
        <f>IF(COUNTIF(CN125:CP127,0)=8,SUM(CN125:CP127),IF(AB83="x",-1,0))</f>
        <v>0</v>
      </c>
      <c r="BJ50" s="49">
        <f>IF(AF50=-1,-1,MAX(N308:P310))</f>
        <v>-1</v>
      </c>
      <c r="BK50" s="50">
        <f>IF(AG50=-1,-1,MAX(Q308:S310))</f>
        <v>-1</v>
      </c>
      <c r="BL50" s="51">
        <f>IF(AH50=-1,-1,MAX(T308:V310))</f>
        <v>-1</v>
      </c>
      <c r="BM50" s="52">
        <f>IF(AI50=-1,-1,MAX(W308:Y310))</f>
        <v>-1</v>
      </c>
      <c r="BN50" s="50">
        <f>IF(AJ50=-1,-1,MAX(Z308:AB310))</f>
        <v>-1</v>
      </c>
      <c r="BO50" s="51">
        <f>IF(AK50=-1,-1,MAX(AC308:AE310))</f>
        <v>-1</v>
      </c>
      <c r="BP50" s="52">
        <f>IF(AL50=-1,-1,MAX(AF308:AH310))</f>
        <v>-1</v>
      </c>
      <c r="BQ50" s="50">
        <f>IF(AM50=-1,-1,MAX(AI308:AK310))</f>
        <v>-1</v>
      </c>
      <c r="BR50" s="53">
        <f>IF(AN50=-1,-1,MAX(AL308:AN310))</f>
        <v>-1</v>
      </c>
      <c r="BS50" s="49">
        <f>IF(AO50=-1,-1,MAX(AO308:AQ310))</f>
        <v>-1</v>
      </c>
      <c r="BT50" s="50">
        <f>IF(AP50=-1,-1,MAX(AR308:AT310))</f>
        <v>-1</v>
      </c>
      <c r="BU50" s="51">
        <f>IF(AQ50=-1,-1,MAX(AU308:AW310))</f>
        <v>-1</v>
      </c>
      <c r="BV50" s="52">
        <f>IF(AR50=-1,-1,MAX(AX308:AZ310))</f>
        <v>-1</v>
      </c>
      <c r="BW50" s="50">
        <f>IF(AS50=-1,-1,MAX(BA308:BC310))</f>
        <v>-1</v>
      </c>
      <c r="BX50" s="51">
        <f>IF(AT50=-1,-1,MAX(BD308:BF310))</f>
        <v>-1</v>
      </c>
      <c r="BY50" s="52">
        <f>IF(AU50=-1,-1,MAX(BG308:BI310))</f>
        <v>-1</v>
      </c>
      <c r="BZ50" s="50">
        <f>IF(AV50=-1,-1,MAX(BJ308:BL310))</f>
        <v>-1</v>
      </c>
      <c r="CA50" s="53">
        <f>IF(AW50=-1,-1,MAX(BM308:BO310))</f>
        <v>-1</v>
      </c>
      <c r="CB50" s="49">
        <f>IF(AX50=-1,-1,MAX(BP308:BR310))</f>
        <v>-1</v>
      </c>
      <c r="CC50" s="50">
        <f>IF(AY50=-1,-1,MAX(BS308:BU310))</f>
        <v>-1</v>
      </c>
      <c r="CD50" s="51">
        <f>IF(AZ50=-1,-1,MAX(BV308:BX310))</f>
        <v>-1</v>
      </c>
      <c r="CE50" s="52">
        <f>IF(BA50=-1,-1,MAX(BY308:CA310))</f>
        <v>-1</v>
      </c>
      <c r="CF50" s="50">
        <f>IF(BB50=-1,-1,MAX(CB308:CD310))</f>
        <v>-1</v>
      </c>
      <c r="CG50" s="51">
        <f>IF(BC50=-1,-1,MAX(CE308:CG310))</f>
        <v>-1</v>
      </c>
      <c r="CH50" s="52">
        <f>IF(BD50=-1,-1,MAX(CH308:CJ310))</f>
        <v>-1</v>
      </c>
      <c r="CI50" s="50">
        <f>IF(BE50=-1,-1,MAX(CK308:CM310))</f>
        <v>-1</v>
      </c>
      <c r="CJ50" s="53">
        <f>IF(BF50=-1,-1,MAX(CN308:CP310))</f>
        <v>0</v>
      </c>
      <c r="CP50" s="483">
        <v>4</v>
      </c>
      <c r="CQ50" s="432">
        <v>8</v>
      </c>
      <c r="CR50" s="432">
        <v>3</v>
      </c>
      <c r="CS50" s="519">
        <v>5</v>
      </c>
      <c r="CT50" s="520">
        <v>2</v>
      </c>
      <c r="CU50" s="518">
        <v>9</v>
      </c>
      <c r="CV50" s="522">
        <v>1</v>
      </c>
      <c r="CW50" s="420">
        <v>6</v>
      </c>
      <c r="CX50" s="521">
        <v>7</v>
      </c>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row>
    <row r="51" spans="1:179" ht="15" customHeight="1">
      <c r="A51" s="142"/>
      <c r="B51" s="11" t="s">
        <v>32</v>
      </c>
      <c r="C51" s="7" t="s">
        <v>32</v>
      </c>
      <c r="D51" s="9" t="s">
        <v>32</v>
      </c>
      <c r="E51" s="8" t="s">
        <v>32</v>
      </c>
      <c r="F51" s="7" t="s">
        <v>32</v>
      </c>
      <c r="G51" s="9" t="s">
        <v>32</v>
      </c>
      <c r="H51" s="8" t="s">
        <v>32</v>
      </c>
      <c r="I51" s="7" t="s">
        <v>32</v>
      </c>
      <c r="J51" s="10" t="s">
        <v>32</v>
      </c>
      <c r="K51" s="11" t="s">
        <v>32</v>
      </c>
      <c r="L51" s="7" t="s">
        <v>32</v>
      </c>
      <c r="M51" s="9" t="s">
        <v>32</v>
      </c>
      <c r="N51" s="8" t="s">
        <v>32</v>
      </c>
      <c r="O51" s="7" t="s">
        <v>32</v>
      </c>
      <c r="P51" s="9" t="s">
        <v>32</v>
      </c>
      <c r="Q51" s="8" t="s">
        <v>32</v>
      </c>
      <c r="R51" s="7" t="s">
        <v>32</v>
      </c>
      <c r="S51" s="10" t="s">
        <v>32</v>
      </c>
      <c r="T51" s="11" t="s">
        <v>32</v>
      </c>
      <c r="U51" s="7" t="s">
        <v>32</v>
      </c>
      <c r="V51" s="9" t="s">
        <v>32</v>
      </c>
      <c r="W51" s="8" t="s">
        <v>32</v>
      </c>
      <c r="X51" s="7" t="s">
        <v>32</v>
      </c>
      <c r="Y51" s="9" t="s">
        <v>32</v>
      </c>
      <c r="Z51" s="8" t="s">
        <v>32</v>
      </c>
      <c r="AA51" s="7" t="s">
        <v>32</v>
      </c>
      <c r="AB51" s="10" t="s">
        <v>32</v>
      </c>
      <c r="AC51" s="142"/>
      <c r="AF51" s="43">
        <f>IF(COUNTIF(N128:P130,0)=8,SUM(N128:P130),IF(B84="x",-1,0))</f>
        <v>-1</v>
      </c>
      <c r="AG51" s="39">
        <f>IF(COUNTIF(Q128:S130,0)=8,SUM(Q128:S130),IF(C84="x",-1,0))</f>
        <v>-1</v>
      </c>
      <c r="AH51" s="41">
        <f>IF(COUNTIF(T128:V130,0)=8,SUM(T128:V130),IF(D84="x",-1,0))</f>
        <v>-1</v>
      </c>
      <c r="AI51" s="40">
        <f>IF(COUNTIF(W128:Y130,0)=8,SUM(W128:Y130),IF(E84="x",-1,0))</f>
        <v>-1</v>
      </c>
      <c r="AJ51" s="39">
        <f>IF(COUNTIF(Z128:AB130,0)=8,SUM(Z128:AB130),IF(F84="x",-1,0))</f>
        <v>-1</v>
      </c>
      <c r="AK51" s="41">
        <f>IF(COUNTIF(AC128:AE130,0)=8,SUM(AC128:AE130),IF(G84="x",-1,0))</f>
        <v>-1</v>
      </c>
      <c r="AL51" s="40">
        <f>IF(COUNTIF(AF128:AH130,0)=8,SUM(AF128:AH130),IF(H84="x",-1,0))</f>
        <v>-1</v>
      </c>
      <c r="AM51" s="39">
        <f>IF(COUNTIF(AI128:AK130,0)=8,SUM(AI128:AK130),IF(I84="x",-1,0))</f>
        <v>-1</v>
      </c>
      <c r="AN51" s="42">
        <f>IF(COUNTIF(AL128:AN130,0)=8,SUM(AL128:AN130),IF(J84="x",-1,0))</f>
        <v>-1</v>
      </c>
      <c r="AO51" s="43">
        <f>IF(COUNTIF(AO128:AQ130,0)=8,SUM(AO128:AQ130),IF(K84="x",-1,0))</f>
        <v>-1</v>
      </c>
      <c r="AP51" s="39">
        <f>IF(COUNTIF(AR128:AT130,0)=8,SUM(AR128:AT130),IF(L84="x",-1,0))</f>
        <v>-1</v>
      </c>
      <c r="AQ51" s="41">
        <f>IF(COUNTIF(AU128:AW130,0)=8,SUM(AU128:AW130),IF(M84="x",-1,0))</f>
        <v>-1</v>
      </c>
      <c r="AR51" s="40">
        <f>IF(COUNTIF(AX128:AZ130,0)=8,SUM(AX128:AZ130),IF(N84="x",-1,0))</f>
        <v>-1</v>
      </c>
      <c r="AS51" s="39">
        <f>IF(COUNTIF(BA128:BC130,0)=8,SUM(BA128:BC130),IF(O84="x",-1,0))</f>
        <v>-1</v>
      </c>
      <c r="AT51" s="41">
        <f>IF(COUNTIF(BD128:BF130,0)=8,SUM(BD128:BF130),IF(P84="x",-1,0))</f>
        <v>-1</v>
      </c>
      <c r="AU51" s="40">
        <f>IF(COUNTIF(BG128:BI130,0)=8,SUM(BG128:BI130),IF(Q84="x",-1,0))</f>
        <v>-1</v>
      </c>
      <c r="AV51" s="39">
        <f>IF(COUNTIF(BJ128:BL130,0)=8,SUM(BJ128:BL130),IF(R84="x",-1,0))</f>
        <v>-1</v>
      </c>
      <c r="AW51" s="42">
        <f>IF(COUNTIF(BM128:BO130,0)=8,SUM(BM128:BO130),IF(S84="x",-1,0))</f>
        <v>-1</v>
      </c>
      <c r="AX51" s="43">
        <f>IF(COUNTIF(BP128:BR130,0)=8,SUM(BP128:BR130),IF(T84="x",-1,0))</f>
        <v>-1</v>
      </c>
      <c r="AY51" s="39">
        <f>IF(COUNTIF(BS128:BU130,0)=8,SUM(BS128:BU130),IF(U84="x",-1,0))</f>
        <v>-1</v>
      </c>
      <c r="AZ51" s="41">
        <f>IF(COUNTIF(BV128:BX130,0)=8,SUM(BV128:BX130),IF(V84="x",-1,0))</f>
        <v>-1</v>
      </c>
      <c r="BA51" s="40">
        <f>IF(COUNTIF(BY128:CA130,0)=8,SUM(BY128:CA130),IF(W84="x",-1,0))</f>
        <v>-1</v>
      </c>
      <c r="BB51" s="39">
        <f>IF(COUNTIF(CB128:CD130,0)=8,SUM(CB128:CD130),IF(X84="x",-1,0))</f>
        <v>-1</v>
      </c>
      <c r="BC51" s="41">
        <f>IF(COUNTIF(CE128:CG130,0)=8,SUM(CE128:CG130),IF(Y84="x",-1,0))</f>
        <v>-1</v>
      </c>
      <c r="BD51" s="40">
        <f>IF(COUNTIF(CH128:CJ130,0)=8,SUM(CH128:CJ130),IF(Z84="x",-1,0))</f>
        <v>-1</v>
      </c>
      <c r="BE51" s="39">
        <f>IF(COUNTIF(CK128:CM130,0)=8,SUM(CK128:CM130),IF(AA84="x",-1,0))</f>
        <v>-1</v>
      </c>
      <c r="BF51" s="42">
        <f>IF(COUNTIF(CN128:CP130,0)=8,SUM(CN128:CP130),IF(AB84="x",-1,0))</f>
        <v>-1</v>
      </c>
      <c r="BJ51" s="43">
        <f>IF(AF51=-1,-1,MAX(N311:P313))</f>
        <v>-1</v>
      </c>
      <c r="BK51" s="39">
        <f>IF(AG51=-1,-1,MAX(Q311:S313))</f>
        <v>-1</v>
      </c>
      <c r="BL51" s="41">
        <f>IF(AH51=-1,-1,MAX(T311:V313))</f>
        <v>-1</v>
      </c>
      <c r="BM51" s="40">
        <f>IF(AI51=-1,-1,MAX(W311:Y313))</f>
        <v>-1</v>
      </c>
      <c r="BN51" s="39">
        <f>IF(AJ51=-1,-1,MAX(Z311:AB313))</f>
        <v>-1</v>
      </c>
      <c r="BO51" s="41">
        <f>IF(AK51=-1,-1,MAX(AC311:AE313))</f>
        <v>-1</v>
      </c>
      <c r="BP51" s="40">
        <f>IF(AL51=-1,-1,MAX(AF311:AH313))</f>
        <v>-1</v>
      </c>
      <c r="BQ51" s="39">
        <f>IF(AM51=-1,-1,MAX(AI311:AK313))</f>
        <v>-1</v>
      </c>
      <c r="BR51" s="42">
        <f>IF(AN51=-1,-1,MAX(AL311:AN313))</f>
        <v>-1</v>
      </c>
      <c r="BS51" s="43">
        <f>IF(AO51=-1,-1,MAX(AO311:AQ313))</f>
        <v>-1</v>
      </c>
      <c r="BT51" s="39">
        <f>IF(AP51=-1,-1,MAX(AR311:AT313))</f>
        <v>-1</v>
      </c>
      <c r="BU51" s="41">
        <f>IF(AQ51=-1,-1,MAX(AU311:AW313))</f>
        <v>-1</v>
      </c>
      <c r="BV51" s="40">
        <f>IF(AR51=-1,-1,MAX(AX311:AZ313))</f>
        <v>-1</v>
      </c>
      <c r="BW51" s="39">
        <f>IF(AS51=-1,-1,MAX(BA311:BC313))</f>
        <v>-1</v>
      </c>
      <c r="BX51" s="41">
        <f>IF(AT51=-1,-1,MAX(BD311:BF313))</f>
        <v>-1</v>
      </c>
      <c r="BY51" s="40">
        <f>IF(AU51=-1,-1,MAX(BG311:BI313))</f>
        <v>-1</v>
      </c>
      <c r="BZ51" s="39">
        <f>IF(AV51=-1,-1,MAX(BJ311:BL313))</f>
        <v>-1</v>
      </c>
      <c r="CA51" s="42">
        <f>IF(AW51=-1,-1,MAX(BM311:BO313))</f>
        <v>-1</v>
      </c>
      <c r="CB51" s="43">
        <f>IF(AX51=-1,-1,MAX(BP311:BR313))</f>
        <v>-1</v>
      </c>
      <c r="CC51" s="39">
        <f>IF(AY51=-1,-1,MAX(BS311:BU313))</f>
        <v>-1</v>
      </c>
      <c r="CD51" s="41">
        <f>IF(AZ51=-1,-1,MAX(BV311:BX313))</f>
        <v>-1</v>
      </c>
      <c r="CE51" s="40">
        <f>IF(BA51=-1,-1,MAX(BY311:CA313))</f>
        <v>-1</v>
      </c>
      <c r="CF51" s="39">
        <f>IF(BB51=-1,-1,MAX(CB311:CD313))</f>
        <v>-1</v>
      </c>
      <c r="CG51" s="41">
        <f>IF(BC51=-1,-1,MAX(CE311:CG313))</f>
        <v>-1</v>
      </c>
      <c r="CH51" s="40">
        <f>IF(BD51=-1,-1,MAX(CH311:CJ313))</f>
        <v>-1</v>
      </c>
      <c r="CI51" s="39">
        <f>IF(BE51=-1,-1,MAX(CK311:CM313))</f>
        <v>-1</v>
      </c>
      <c r="CJ51" s="42">
        <f>IF(BF51=-1,-1,MAX(CN311:CP313))</f>
        <v>-1</v>
      </c>
      <c r="CP51" s="504">
        <v>5</v>
      </c>
      <c r="CQ51" s="505">
        <v>6</v>
      </c>
      <c r="CR51" s="503">
        <v>9</v>
      </c>
      <c r="CS51" s="460">
        <v>8</v>
      </c>
      <c r="CT51" s="513">
        <v>7</v>
      </c>
      <c r="CU51" s="524">
        <v>3</v>
      </c>
      <c r="CV51" s="525">
        <v>4</v>
      </c>
      <c r="CW51" s="525">
        <v>1</v>
      </c>
      <c r="CX51" s="526">
        <v>2</v>
      </c>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row>
    <row r="52" spans="1:179" ht="15" customHeight="1" thickBot="1">
      <c r="A52" s="142"/>
      <c r="B52" s="21" t="s">
        <v>32</v>
      </c>
      <c r="C52" s="22" t="s">
        <v>32</v>
      </c>
      <c r="D52" s="23" t="s">
        <v>32</v>
      </c>
      <c r="E52" s="24" t="s">
        <v>32</v>
      </c>
      <c r="F52" s="22" t="s">
        <v>32</v>
      </c>
      <c r="G52" s="23" t="s">
        <v>32</v>
      </c>
      <c r="H52" s="24" t="s">
        <v>32</v>
      </c>
      <c r="I52" s="22" t="s">
        <v>32</v>
      </c>
      <c r="J52" s="25" t="s">
        <v>32</v>
      </c>
      <c r="K52" s="21" t="s">
        <v>32</v>
      </c>
      <c r="L52" s="22" t="s">
        <v>32</v>
      </c>
      <c r="M52" s="23" t="s">
        <v>32</v>
      </c>
      <c r="N52" s="24" t="s">
        <v>32</v>
      </c>
      <c r="O52" s="22" t="s">
        <v>32</v>
      </c>
      <c r="P52" s="23" t="s">
        <v>32</v>
      </c>
      <c r="Q52" s="24" t="s">
        <v>32</v>
      </c>
      <c r="R52" s="22" t="s">
        <v>32</v>
      </c>
      <c r="S52" s="25" t="s">
        <v>32</v>
      </c>
      <c r="T52" s="21" t="s">
        <v>32</v>
      </c>
      <c r="U52" s="22" t="s">
        <v>32</v>
      </c>
      <c r="V52" s="23" t="s">
        <v>32</v>
      </c>
      <c r="W52" s="24" t="s">
        <v>32</v>
      </c>
      <c r="X52" s="22" t="s">
        <v>32</v>
      </c>
      <c r="Y52" s="23" t="s">
        <v>32</v>
      </c>
      <c r="Z52" s="24" t="s">
        <v>32</v>
      </c>
      <c r="AA52" s="22" t="s">
        <v>32</v>
      </c>
      <c r="AB52" s="25" t="s">
        <v>32</v>
      </c>
      <c r="AC52" s="142"/>
      <c r="AF52" s="54">
        <f>IF(COUNTIF(N131:P133,0)=8,SUM(N131:P133),IF(B85="x",-1,0))</f>
        <v>-1</v>
      </c>
      <c r="AG52" s="55">
        <f>IF(COUNTIF(Q131:S133,0)=8,SUM(Q131:S133),IF(C85="x",-1,0))</f>
        <v>-1</v>
      </c>
      <c r="AH52" s="56">
        <f>IF(COUNTIF(T131:V133,0)=8,SUM(T131:V133),IF(D85="x",-1,0))</f>
        <v>-1</v>
      </c>
      <c r="AI52" s="57">
        <f>IF(COUNTIF(W131:Y133,0)=8,SUM(W131:Y133),IF(E85="x",-1,0))</f>
        <v>-1</v>
      </c>
      <c r="AJ52" s="55">
        <f>IF(COUNTIF(Z131:AB133,0)=8,SUM(Z131:AB133),IF(F85="x",-1,0))</f>
        <v>-1</v>
      </c>
      <c r="AK52" s="56">
        <f>IF(COUNTIF(AC131:AE133,0)=8,SUM(AC131:AE133),IF(G85="x",-1,0))</f>
        <v>-1</v>
      </c>
      <c r="AL52" s="57">
        <f>IF(COUNTIF(AF131:AH133,0)=8,SUM(AF131:AH133),IF(H85="x",-1,0))</f>
        <v>-1</v>
      </c>
      <c r="AM52" s="55">
        <f>IF(COUNTIF(AI131:AK133,0)=8,SUM(AI131:AK133),IF(I85="x",-1,0))</f>
        <v>-1</v>
      </c>
      <c r="AN52" s="58">
        <f>IF(COUNTIF(AL131:AN133,0)=8,SUM(AL131:AN133),IF(J85="x",-1,0))</f>
        <v>-1</v>
      </c>
      <c r="AO52" s="54">
        <f>IF(COUNTIF(AO131:AQ133,0)=8,SUM(AO131:AQ133),IF(K85="x",-1,0))</f>
        <v>-1</v>
      </c>
      <c r="AP52" s="55">
        <f>IF(COUNTIF(AR131:AT133,0)=8,SUM(AR131:AT133),IF(L85="x",-1,0))</f>
        <v>-1</v>
      </c>
      <c r="AQ52" s="56">
        <f>IF(COUNTIF(AU131:AW133,0)=8,SUM(AU131:AW133),IF(M85="x",-1,0))</f>
        <v>-1</v>
      </c>
      <c r="AR52" s="57">
        <f>IF(COUNTIF(AX131:AZ133,0)=8,SUM(AX131:AZ133),IF(N85="x",-1,0))</f>
        <v>-1</v>
      </c>
      <c r="AS52" s="55">
        <f>IF(COUNTIF(BA131:BC133,0)=8,SUM(BA131:BC133),IF(O85="x",-1,0))</f>
        <v>-1</v>
      </c>
      <c r="AT52" s="56">
        <f>IF(COUNTIF(BD131:BF133,0)=8,SUM(BD131:BF133),IF(P85="x",-1,0))</f>
        <v>-1</v>
      </c>
      <c r="AU52" s="57">
        <f>IF(COUNTIF(BG131:BI133,0)=8,SUM(BG131:BI133),IF(Q85="x",-1,0))</f>
        <v>-1</v>
      </c>
      <c r="AV52" s="55">
        <f>IF(COUNTIF(BJ131:BL133,0)=8,SUM(BJ131:BL133),IF(R85="x",-1,0))</f>
        <v>-1</v>
      </c>
      <c r="AW52" s="58">
        <f>IF(COUNTIF(BM131:BO133,0)=8,SUM(BM131:BO133),IF(S85="x",-1,0))</f>
        <v>-1</v>
      </c>
      <c r="AX52" s="54">
        <f>IF(COUNTIF(BP131:BR133,0)=8,SUM(BP131:BR133),IF(T85="x",-1,0))</f>
        <v>-1</v>
      </c>
      <c r="AY52" s="55">
        <f>IF(COUNTIF(BS131:BU133,0)=8,SUM(BS131:BU133),IF(U85="x",-1,0))</f>
        <v>-1</v>
      </c>
      <c r="AZ52" s="56">
        <f>IF(COUNTIF(BV131:BX133,0)=8,SUM(BV131:BX133),IF(V85="x",-1,0))</f>
        <v>-1</v>
      </c>
      <c r="BA52" s="57">
        <f>IF(COUNTIF(BY131:CA133,0)=8,SUM(BY131:CA133),IF(W85="x",-1,0))</f>
        <v>-1</v>
      </c>
      <c r="BB52" s="55">
        <f>IF(COUNTIF(CB131:CD133,0)=8,SUM(CB131:CD133),IF(X85="x",-1,0))</f>
        <v>-1</v>
      </c>
      <c r="BC52" s="56">
        <f>IF(COUNTIF(CE131:CG133,0)=8,SUM(CE131:CG133),IF(Y85="x",-1,0))</f>
        <v>-1</v>
      </c>
      <c r="BD52" s="57">
        <f>IF(COUNTIF(CH131:CJ133,0)=8,SUM(CH131:CJ133),IF(Z85="x",-1,0))</f>
        <v>-1</v>
      </c>
      <c r="BE52" s="55">
        <f>IF(COUNTIF(CK131:CM133,0)=8,SUM(CK131:CM133),IF(AA85="x",-1,0))</f>
        <v>-1</v>
      </c>
      <c r="BF52" s="58">
        <f>IF(COUNTIF(CN131:CP133,0)=8,SUM(CN131:CP133),IF(AB85="x",-1,0))</f>
        <v>-1</v>
      </c>
      <c r="BJ52" s="54">
        <f>IF(AF52=-1,-1,MAX(N314:P316))</f>
        <v>-1</v>
      </c>
      <c r="BK52" s="55">
        <f>IF(AG52=-1,-1,MAX(Q314:S316))</f>
        <v>-1</v>
      </c>
      <c r="BL52" s="56">
        <f>IF(AH52=-1,-1,MAX(T314:V316))</f>
        <v>-1</v>
      </c>
      <c r="BM52" s="57">
        <f>IF(AI52=-1,-1,MAX(W314:Y316))</f>
        <v>-1</v>
      </c>
      <c r="BN52" s="55">
        <f>IF(AJ52=-1,-1,MAX(Z314:AB316))</f>
        <v>-1</v>
      </c>
      <c r="BO52" s="56">
        <f>IF(AK52=-1,-1,MAX(AC314:AE316))</f>
        <v>-1</v>
      </c>
      <c r="BP52" s="57">
        <f>IF(AL52=-1,-1,MAX(AF314:AH316))</f>
        <v>-1</v>
      </c>
      <c r="BQ52" s="55">
        <f>IF(AM52=-1,-1,MAX(AI314:AK316))</f>
        <v>-1</v>
      </c>
      <c r="BR52" s="58">
        <f>IF(AN52=-1,-1,MAX(AL314:AN316))</f>
        <v>-1</v>
      </c>
      <c r="BS52" s="54">
        <f>IF(AO52=-1,-1,MAX(AO314:AQ316))</f>
        <v>-1</v>
      </c>
      <c r="BT52" s="55">
        <f>IF(AP52=-1,-1,MAX(AR314:AT316))</f>
        <v>-1</v>
      </c>
      <c r="BU52" s="56">
        <f>IF(AQ52=-1,-1,MAX(AU314:AW316))</f>
        <v>-1</v>
      </c>
      <c r="BV52" s="57">
        <f>IF(AR52=-1,-1,MAX(AX314:AZ316))</f>
        <v>-1</v>
      </c>
      <c r="BW52" s="55">
        <f>IF(AS52=-1,-1,MAX(BA314:BC316))</f>
        <v>-1</v>
      </c>
      <c r="BX52" s="56">
        <f>IF(AT52=-1,-1,MAX(BD314:BF316))</f>
        <v>-1</v>
      </c>
      <c r="BY52" s="57">
        <f>IF(AU52=-1,-1,MAX(BG314:BI316))</f>
        <v>-1</v>
      </c>
      <c r="BZ52" s="55">
        <f>IF(AV52=-1,-1,MAX(BJ314:BL316))</f>
        <v>-1</v>
      </c>
      <c r="CA52" s="58">
        <f>IF(AW52=-1,-1,MAX(BM314:BO316))</f>
        <v>-1</v>
      </c>
      <c r="CB52" s="54">
        <f>IF(AX52=-1,-1,MAX(BP314:BR316))</f>
        <v>-1</v>
      </c>
      <c r="CC52" s="55">
        <f>IF(AY52=-1,-1,MAX(BS314:BU316))</f>
        <v>-1</v>
      </c>
      <c r="CD52" s="56">
        <f>IF(AZ52=-1,-1,MAX(BV314:BX316))</f>
        <v>-1</v>
      </c>
      <c r="CE52" s="57">
        <f>IF(BA52=-1,-1,MAX(BY314:CA316))</f>
        <v>-1</v>
      </c>
      <c r="CF52" s="55">
        <f>IF(BB52=-1,-1,MAX(CB314:CD316))</f>
        <v>-1</v>
      </c>
      <c r="CG52" s="56">
        <f>IF(BC52=-1,-1,MAX(CE314:CG316))</f>
        <v>-1</v>
      </c>
      <c r="CH52" s="57">
        <f>IF(BD52=-1,-1,MAX(CH314:CJ316))</f>
        <v>-1</v>
      </c>
      <c r="CI52" s="55">
        <f>IF(BE52=-1,-1,MAX(CK314:CM316))</f>
        <v>-1</v>
      </c>
      <c r="CJ52" s="58">
        <f>IF(BF52=-1,-1,MAX(CN314:CP316))</f>
        <v>-1</v>
      </c>
      <c r="CP52" s="506">
        <v>3</v>
      </c>
      <c r="CQ52" s="507">
        <v>4</v>
      </c>
      <c r="CR52" s="458">
        <v>2</v>
      </c>
      <c r="CS52" s="443">
        <v>1</v>
      </c>
      <c r="CT52" s="461">
        <v>5</v>
      </c>
      <c r="CU52" s="527">
        <v>6</v>
      </c>
      <c r="CV52" s="527">
        <v>7</v>
      </c>
      <c r="CW52" s="527">
        <v>9</v>
      </c>
      <c r="CX52" s="462">
        <v>8</v>
      </c>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row>
    <row r="53" spans="1:179" ht="15" customHeight="1">
      <c r="A53" s="142"/>
      <c r="B53" s="2" t="s">
        <v>32</v>
      </c>
      <c r="C53" s="5" t="s">
        <v>32</v>
      </c>
      <c r="D53" s="3" t="s">
        <v>32</v>
      </c>
      <c r="E53" s="4" t="s">
        <v>32</v>
      </c>
      <c r="F53" s="5" t="s">
        <v>32</v>
      </c>
      <c r="G53" s="3" t="s">
        <v>32</v>
      </c>
      <c r="H53" s="4" t="s">
        <v>32</v>
      </c>
      <c r="I53" s="5" t="s">
        <v>32</v>
      </c>
      <c r="J53" s="6" t="s">
        <v>32</v>
      </c>
      <c r="K53" s="2" t="s">
        <v>32</v>
      </c>
      <c r="L53" s="5" t="s">
        <v>32</v>
      </c>
      <c r="M53" s="3" t="s">
        <v>32</v>
      </c>
      <c r="N53" s="4" t="s">
        <v>32</v>
      </c>
      <c r="O53" s="5" t="s">
        <v>32</v>
      </c>
      <c r="P53" s="3" t="s">
        <v>32</v>
      </c>
      <c r="Q53" s="4" t="s">
        <v>32</v>
      </c>
      <c r="R53" s="5" t="s">
        <v>32</v>
      </c>
      <c r="S53" s="6" t="s">
        <v>32</v>
      </c>
      <c r="T53" s="2" t="s">
        <v>32</v>
      </c>
      <c r="U53" s="5" t="s">
        <v>32</v>
      </c>
      <c r="V53" s="3" t="s">
        <v>32</v>
      </c>
      <c r="W53" s="4" t="s">
        <v>32</v>
      </c>
      <c r="X53" s="5" t="s">
        <v>32</v>
      </c>
      <c r="Y53" s="3" t="s">
        <v>32</v>
      </c>
      <c r="Z53" s="222">
        <v>9</v>
      </c>
      <c r="AA53" s="5" t="s">
        <v>32</v>
      </c>
      <c r="AB53" s="6">
        <v>5</v>
      </c>
      <c r="AC53" s="142"/>
      <c r="AF53" s="251">
        <f>IF(COUNTIF(N134:P136,0)=8,SUM(N134:P136),IF(B86="x",-1,0))</f>
        <v>-1</v>
      </c>
      <c r="AG53" s="37">
        <f>IF(COUNTIF(Q134:S136,0)=8,SUM(Q134:S136),IF(C86="x",-1,0))</f>
        <v>-1</v>
      </c>
      <c r="AH53" s="35">
        <f>IF(COUNTIF(T134:V136,0)=8,SUM(T134:V136),IF(D86="x",-1,0))</f>
        <v>-1</v>
      </c>
      <c r="AI53" s="36">
        <f>IF(COUNTIF(W134:Y136,0)=8,SUM(W134:Y136),IF(E86="x",-1,0))</f>
        <v>-1</v>
      </c>
      <c r="AJ53" s="37">
        <f>IF(COUNTIF(Z134:AB136,0)=8,SUM(Z134:AB136),IF(F86="x",-1,0))</f>
        <v>-1</v>
      </c>
      <c r="AK53" s="35">
        <f>IF(COUNTIF(AC134:AE136,0)=8,SUM(AC134:AE136),IF(G86="x",-1,0))</f>
        <v>-1</v>
      </c>
      <c r="AL53" s="36">
        <f>IF(COUNTIF(AF134:AH136,0)=8,SUM(AF134:AH136),IF(H86="x",-1,0))</f>
        <v>-1</v>
      </c>
      <c r="AM53" s="37">
        <f>IF(COUNTIF(AI134:AK136,0)=8,SUM(AI134:AK136),IF(I86="x",-1,0))</f>
        <v>-1</v>
      </c>
      <c r="AN53" s="38">
        <f>IF(COUNTIF(AL134:AN136,0)=8,SUM(AL134:AN136),IF(J86="x",-1,0))</f>
        <v>-1</v>
      </c>
      <c r="AO53" s="251">
        <f>IF(COUNTIF(AO134:AQ136,0)=8,SUM(AO134:AQ136),IF(K86="x",-1,0))</f>
        <v>-1</v>
      </c>
      <c r="AP53" s="37">
        <f>IF(COUNTIF(AR134:AT136,0)=8,SUM(AR134:AT136),IF(L86="x",-1,0))</f>
        <v>-1</v>
      </c>
      <c r="AQ53" s="35">
        <f>IF(COUNTIF(AU134:AW136,0)=8,SUM(AU134:AW136),IF(M86="x",-1,0))</f>
        <v>-1</v>
      </c>
      <c r="AR53" s="36">
        <f>IF(COUNTIF(AX134:AZ136,0)=8,SUM(AX134:AZ136),IF(N86="x",-1,0))</f>
        <v>-1</v>
      </c>
      <c r="AS53" s="37">
        <f>IF(COUNTIF(BA134:BC136,0)=8,SUM(BA134:BC136),IF(O86="x",-1,0))</f>
        <v>-1</v>
      </c>
      <c r="AT53" s="35">
        <f>IF(COUNTIF(BD134:BF136,0)=8,SUM(BD134:BF136),IF(P86="x",-1,0))</f>
        <v>-1</v>
      </c>
      <c r="AU53" s="36">
        <f>IF(COUNTIF(BG134:BI136,0)=8,SUM(BG134:BI136),IF(Q86="x",-1,0))</f>
        <v>-1</v>
      </c>
      <c r="AV53" s="37">
        <f>IF(COUNTIF(BJ134:BL136,0)=8,SUM(BJ134:BL136),IF(R86="x",-1,0))</f>
        <v>-1</v>
      </c>
      <c r="AW53" s="38">
        <f>IF(COUNTIF(BM134:BO136,0)=8,SUM(BM134:BO136),IF(S86="x",-1,0))</f>
        <v>-1</v>
      </c>
      <c r="AX53" s="251">
        <f>IF(COUNTIF(BP134:BR136,0)=8,SUM(BP134:BR136),IF(T86="x",-1,0))</f>
        <v>-1</v>
      </c>
      <c r="AY53" s="37">
        <f>IF(COUNTIF(BS134:BU136,0)=8,SUM(BS134:BU136),IF(U86="x",-1,0))</f>
        <v>-1</v>
      </c>
      <c r="AZ53" s="35">
        <f>IF(COUNTIF(BV134:BX136,0)=8,SUM(BV134:BX136),IF(V86="x",-1,0))</f>
        <v>-1</v>
      </c>
      <c r="BA53" s="36">
        <f>IF(COUNTIF(BY134:CA136,0)=8,SUM(BY134:CA136),IF(W86="x",-1,0))</f>
        <v>-1</v>
      </c>
      <c r="BB53" s="37">
        <f>IF(COUNTIF(CB134:CD136,0)=8,SUM(CB134:CD136),IF(X86="x",-1,0))</f>
        <v>-1</v>
      </c>
      <c r="BC53" s="35">
        <f>IF(COUNTIF(CE134:CG136,0)=8,SUM(CE134:CG136),IF(Y86="x",-1,0))</f>
        <v>-1</v>
      </c>
      <c r="BD53" s="36">
        <f>IF(COUNTIF(CH134:CJ136,0)=8,SUM(CH134:CJ136),IF(Z86="x",-1,0))</f>
        <v>0</v>
      </c>
      <c r="BE53" s="37">
        <f>IF(COUNTIF(CK134:CM136,0)=8,SUM(CK134:CM136),IF(AA86="x",-1,0))</f>
        <v>-1</v>
      </c>
      <c r="BF53" s="38">
        <f>IF(COUNTIF(CN134:CP136,0)=8,SUM(CN134:CP136),IF(AB86="x",-1,0))</f>
        <v>0</v>
      </c>
      <c r="BJ53" s="251">
        <f>IF(AF53=-1,-1,MAX(N317:P319))</f>
        <v>-1</v>
      </c>
      <c r="BK53" s="37">
        <f>IF(AG53=-1,-1,MAX(Q317:S319))</f>
        <v>-1</v>
      </c>
      <c r="BL53" s="35">
        <f>IF(AH53=-1,-1,MAX(T317:V319))</f>
        <v>-1</v>
      </c>
      <c r="BM53" s="36">
        <f>IF(AI53=-1,-1,MAX(W317:Y319))</f>
        <v>-1</v>
      </c>
      <c r="BN53" s="37">
        <f>IF(AJ53=-1,-1,MAX(Z317:AB319))</f>
        <v>-1</v>
      </c>
      <c r="BO53" s="35">
        <f>IF(AK53=-1,-1,MAX(AC317:AE319))</f>
        <v>-1</v>
      </c>
      <c r="BP53" s="36">
        <f>IF(AL53=-1,-1,MAX(AF317:AH319))</f>
        <v>-1</v>
      </c>
      <c r="BQ53" s="37">
        <f>IF(AM53=-1,-1,MAX(AI317:AK319))</f>
        <v>-1</v>
      </c>
      <c r="BR53" s="38">
        <f>IF(AN53=-1,-1,MAX(AL317:AN319))</f>
        <v>-1</v>
      </c>
      <c r="BS53" s="251">
        <f>IF(AO53=-1,-1,MAX(AO317:AQ319))</f>
        <v>-1</v>
      </c>
      <c r="BT53" s="37">
        <f>IF(AP53=-1,-1,MAX(AR317:AT319))</f>
        <v>-1</v>
      </c>
      <c r="BU53" s="35">
        <f>IF(AQ53=-1,-1,MAX(AU317:AW319))</f>
        <v>-1</v>
      </c>
      <c r="BV53" s="36">
        <f>IF(AR53=-1,-1,MAX(AX317:AZ319))</f>
        <v>-1</v>
      </c>
      <c r="BW53" s="37">
        <f>IF(AS53=-1,-1,MAX(BA317:BC319))</f>
        <v>-1</v>
      </c>
      <c r="BX53" s="35">
        <f>IF(AT53=-1,-1,MAX(BD317:BF319))</f>
        <v>-1</v>
      </c>
      <c r="BY53" s="36">
        <f>IF(AU53=-1,-1,MAX(BG317:BI319))</f>
        <v>-1</v>
      </c>
      <c r="BZ53" s="37">
        <f>IF(AV53=-1,-1,MAX(BJ317:BL319))</f>
        <v>-1</v>
      </c>
      <c r="CA53" s="38">
        <f>IF(AW53=-1,-1,MAX(BM317:BO319))</f>
        <v>-1</v>
      </c>
      <c r="CB53" s="251">
        <f>IF(AX53=-1,-1,MAX(BP317:BR319))</f>
        <v>-1</v>
      </c>
      <c r="CC53" s="37">
        <f>IF(AY53=-1,-1,MAX(BS317:BU319))</f>
        <v>-1</v>
      </c>
      <c r="CD53" s="35">
        <f>IF(AZ53=-1,-1,MAX(BV317:BX319))</f>
        <v>-1</v>
      </c>
      <c r="CE53" s="36">
        <f>IF(BA53=-1,-1,MAX(BY317:CA319))</f>
        <v>-1</v>
      </c>
      <c r="CF53" s="37">
        <f>IF(BB53=-1,-1,MAX(CB317:CD319))</f>
        <v>-1</v>
      </c>
      <c r="CG53" s="35">
        <f>IF(BC53=-1,-1,MAX(CE317:CG319))</f>
        <v>-1</v>
      </c>
      <c r="CH53" s="36">
        <f>IF(BD53=-1,-1,MAX(CH317:CJ319))</f>
        <v>0</v>
      </c>
      <c r="CI53" s="37">
        <f>IF(BE53=-1,-1,MAX(CK317:CM319))</f>
        <v>-1</v>
      </c>
      <c r="CJ53" s="38">
        <f>IF(BF53=-1,-1,MAX(CN317:CP319))</f>
        <v>0</v>
      </c>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row>
    <row r="54" spans="1:179" ht="15" customHeight="1">
      <c r="A54" s="142"/>
      <c r="B54" s="11" t="s">
        <v>32</v>
      </c>
      <c r="C54" s="7" t="s">
        <v>32</v>
      </c>
      <c r="D54" s="9" t="s">
        <v>32</v>
      </c>
      <c r="E54" s="8" t="s">
        <v>32</v>
      </c>
      <c r="F54" s="7" t="s">
        <v>32</v>
      </c>
      <c r="G54" s="9" t="s">
        <v>32</v>
      </c>
      <c r="H54" s="8" t="s">
        <v>32</v>
      </c>
      <c r="I54" s="7" t="s">
        <v>32</v>
      </c>
      <c r="J54" s="10" t="s">
        <v>32</v>
      </c>
      <c r="K54" s="11" t="s">
        <v>32</v>
      </c>
      <c r="L54" s="7">
        <v>7</v>
      </c>
      <c r="M54" s="9">
        <v>8</v>
      </c>
      <c r="N54" s="8" t="s">
        <v>32</v>
      </c>
      <c r="O54" s="7" t="s">
        <v>32</v>
      </c>
      <c r="P54" s="9">
        <v>1</v>
      </c>
      <c r="Q54" s="206">
        <v>5</v>
      </c>
      <c r="R54" s="7" t="s">
        <v>32</v>
      </c>
      <c r="S54" s="10" t="s">
        <v>32</v>
      </c>
      <c r="T54" s="11" t="s">
        <v>32</v>
      </c>
      <c r="U54" s="7" t="s">
        <v>32</v>
      </c>
      <c r="V54" s="9" t="s">
        <v>32</v>
      </c>
      <c r="W54" s="8" t="s">
        <v>32</v>
      </c>
      <c r="X54" s="7" t="s">
        <v>32</v>
      </c>
      <c r="Y54" s="9" t="s">
        <v>32</v>
      </c>
      <c r="Z54" s="8" t="s">
        <v>32</v>
      </c>
      <c r="AA54" s="7">
        <v>3</v>
      </c>
      <c r="AB54" s="10" t="s">
        <v>32</v>
      </c>
      <c r="AC54" s="142"/>
      <c r="AF54" s="43">
        <f>IF(COUNTIF(N137:P139,0)=8,SUM(N137:P139),IF(B87="x",-1,0))</f>
        <v>-1</v>
      </c>
      <c r="AG54" s="39">
        <f>IF(COUNTIF(Q137:S139,0)=8,SUM(Q137:S139),IF(C87="x",-1,0))</f>
        <v>-1</v>
      </c>
      <c r="AH54" s="41">
        <f>IF(COUNTIF(T137:V139,0)=8,SUM(T137:V139),IF(D87="x",-1,0))</f>
        <v>-1</v>
      </c>
      <c r="AI54" s="40">
        <f>IF(COUNTIF(W137:Y139,0)=8,SUM(W137:Y139),IF(E87="x",-1,0))</f>
        <v>-1</v>
      </c>
      <c r="AJ54" s="39">
        <f>IF(COUNTIF(Z137:AB139,0)=8,SUM(Z137:AB139),IF(F87="x",-1,0))</f>
        <v>-1</v>
      </c>
      <c r="AK54" s="41">
        <f>IF(COUNTIF(AC137:AE139,0)=8,SUM(AC137:AE139),IF(G87="x",-1,0))</f>
        <v>-1</v>
      </c>
      <c r="AL54" s="40">
        <f>IF(COUNTIF(AF137:AH139,0)=8,SUM(AF137:AH139),IF(H87="x",-1,0))</f>
        <v>-1</v>
      </c>
      <c r="AM54" s="39">
        <f>IF(COUNTIF(AI137:AK139,0)=8,SUM(AI137:AK139),IF(I87="x",-1,0))</f>
        <v>-1</v>
      </c>
      <c r="AN54" s="42">
        <f>IF(COUNTIF(AL137:AN139,0)=8,SUM(AL137:AN139),IF(J87="x",-1,0))</f>
        <v>-1</v>
      </c>
      <c r="AO54" s="43">
        <f>IF(COUNTIF(AO137:AQ139,0)=8,SUM(AO137:AQ139),IF(K87="x",-1,0))</f>
        <v>-1</v>
      </c>
      <c r="AP54" s="39">
        <f>IF(COUNTIF(AR137:AT139,0)=8,SUM(AR137:AT139),IF(L87="x",-1,0))</f>
        <v>0</v>
      </c>
      <c r="AQ54" s="41">
        <f>IF(COUNTIF(AU137:AW139,0)=8,SUM(AU137:AW139),IF(M87="x",-1,0))</f>
        <v>0</v>
      </c>
      <c r="AR54" s="40">
        <f>IF(COUNTIF(AX137:AZ139,0)=8,SUM(AX137:AZ139),IF(N87="x",-1,0))</f>
        <v>-1</v>
      </c>
      <c r="AS54" s="39">
        <f>IF(COUNTIF(BA137:BC139,0)=8,SUM(BA137:BC139),IF(O87="x",-1,0))</f>
        <v>-1</v>
      </c>
      <c r="AT54" s="41">
        <f>IF(COUNTIF(BD137:BF139,0)=8,SUM(BD137:BF139),IF(P87="x",-1,0))</f>
        <v>0</v>
      </c>
      <c r="AU54" s="40">
        <f>IF(COUNTIF(BG137:BI139,0)=8,SUM(BG137:BI139),IF(Q87="x",-1,0))</f>
        <v>0</v>
      </c>
      <c r="AV54" s="39">
        <f>IF(COUNTIF(BJ137:BL139,0)=8,SUM(BJ137:BL139),IF(R87="x",-1,0))</f>
        <v>-1</v>
      </c>
      <c r="AW54" s="42">
        <f>IF(COUNTIF(BM137:BO139,0)=8,SUM(BM137:BO139),IF(S87="x",-1,0))</f>
        <v>-1</v>
      </c>
      <c r="AX54" s="43">
        <f>IF(COUNTIF(BP137:BR139,0)=8,SUM(BP137:BR139),IF(T87="x",-1,0))</f>
        <v>-1</v>
      </c>
      <c r="AY54" s="39">
        <f>IF(COUNTIF(BS137:BU139,0)=8,SUM(BS137:BU139),IF(U87="x",-1,0))</f>
        <v>-1</v>
      </c>
      <c r="AZ54" s="41">
        <f>IF(COUNTIF(BV137:BX139,0)=8,SUM(BV137:BX139),IF(V87="x",-1,0))</f>
        <v>-1</v>
      </c>
      <c r="BA54" s="40">
        <f>IF(COUNTIF(BY137:CA139,0)=8,SUM(BY137:CA139),IF(W87="x",-1,0))</f>
        <v>-1</v>
      </c>
      <c r="BB54" s="39">
        <f>IF(COUNTIF(CB137:CD139,0)=8,SUM(CB137:CD139),IF(X87="x",-1,0))</f>
        <v>-1</v>
      </c>
      <c r="BC54" s="41">
        <f>IF(COUNTIF(CE137:CG139,0)=8,SUM(CE137:CG139),IF(Y87="x",-1,0))</f>
        <v>-1</v>
      </c>
      <c r="BD54" s="40">
        <f>IF(COUNTIF(CH137:CJ139,0)=8,SUM(CH137:CJ139),IF(Z87="x",-1,0))</f>
        <v>-1</v>
      </c>
      <c r="BE54" s="39">
        <f>IF(COUNTIF(CK137:CM139,0)=8,SUM(CK137:CM139),IF(AA87="x",-1,0))</f>
        <v>0</v>
      </c>
      <c r="BF54" s="42">
        <f>IF(COUNTIF(CN137:CP139,0)=8,SUM(CN137:CP139),IF(AB87="x",-1,0))</f>
        <v>-1</v>
      </c>
      <c r="BJ54" s="43">
        <f>IF(AF54=-1,-1,MAX(N320:P322))</f>
        <v>-1</v>
      </c>
      <c r="BK54" s="39">
        <f>IF(AG54=-1,-1,MAX(Q320:S322))</f>
        <v>-1</v>
      </c>
      <c r="BL54" s="41">
        <f>IF(AH54=-1,-1,MAX(T320:V322))</f>
        <v>-1</v>
      </c>
      <c r="BM54" s="40">
        <f>IF(AI54=-1,-1,MAX(W320:Y322))</f>
        <v>-1</v>
      </c>
      <c r="BN54" s="39">
        <f>IF(AJ54=-1,-1,MAX(Z320:AB322))</f>
        <v>-1</v>
      </c>
      <c r="BO54" s="41">
        <f>IF(AK54=-1,-1,MAX(AC320:AE322))</f>
        <v>-1</v>
      </c>
      <c r="BP54" s="40">
        <f>IF(AL54=-1,-1,MAX(AF320:AH322))</f>
        <v>-1</v>
      </c>
      <c r="BQ54" s="39">
        <f>IF(AM54=-1,-1,MAX(AI320:AK322))</f>
        <v>-1</v>
      </c>
      <c r="BR54" s="42">
        <f>IF(AN54=-1,-1,MAX(AL320:AN322))</f>
        <v>-1</v>
      </c>
      <c r="BS54" s="43">
        <f>IF(AO54=-1,-1,MAX(AO320:AQ322))</f>
        <v>-1</v>
      </c>
      <c r="BT54" s="39">
        <f>IF(AP54=-1,-1,MAX(AR320:AT322))</f>
        <v>0</v>
      </c>
      <c r="BU54" s="41">
        <f>IF(AQ54=-1,-1,MAX(AU320:AW322))</f>
        <v>0</v>
      </c>
      <c r="BV54" s="40">
        <f>IF(AR54=-1,-1,MAX(AX320:AZ322))</f>
        <v>-1</v>
      </c>
      <c r="BW54" s="39">
        <f>IF(AS54=-1,-1,MAX(BA320:BC322))</f>
        <v>-1</v>
      </c>
      <c r="BX54" s="41">
        <f>IF(AT54=-1,-1,MAX(BD320:BF322))</f>
        <v>0</v>
      </c>
      <c r="BY54" s="40">
        <f>IF(AU54=-1,-1,MAX(BG320:BI322))</f>
        <v>0</v>
      </c>
      <c r="BZ54" s="39">
        <f>IF(AV54=-1,-1,MAX(BJ320:BL322))</f>
        <v>-1</v>
      </c>
      <c r="CA54" s="42">
        <f>IF(AW54=-1,-1,MAX(BM320:BO322))</f>
        <v>-1</v>
      </c>
      <c r="CB54" s="43">
        <f>IF(AX54=-1,-1,MAX(BP320:BR322))</f>
        <v>-1</v>
      </c>
      <c r="CC54" s="39">
        <f>IF(AY54=-1,-1,MAX(BS320:BU322))</f>
        <v>-1</v>
      </c>
      <c r="CD54" s="41">
        <f>IF(AZ54=-1,-1,MAX(BV320:BX322))</f>
        <v>-1</v>
      </c>
      <c r="CE54" s="40">
        <f>IF(BA54=-1,-1,MAX(BY320:CA322))</f>
        <v>-1</v>
      </c>
      <c r="CF54" s="39">
        <f>IF(BB54=-1,-1,MAX(CB320:CD322))</f>
        <v>-1</v>
      </c>
      <c r="CG54" s="41">
        <f>IF(BC54=-1,-1,MAX(CE320:CG322))</f>
        <v>-1</v>
      </c>
      <c r="CH54" s="40">
        <f>IF(BD54=-1,-1,MAX(CH320:CJ322))</f>
        <v>-1</v>
      </c>
      <c r="CI54" s="39">
        <f>IF(BE54=-1,-1,MAX(CK320:CM322))</f>
        <v>0</v>
      </c>
      <c r="CJ54" s="42">
        <f>IF(BF54=-1,-1,MAX(CN320:CP322))</f>
        <v>-1</v>
      </c>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row>
    <row r="55" spans="1:179" ht="15" customHeight="1">
      <c r="A55" s="142"/>
      <c r="B55" s="12" t="s">
        <v>32</v>
      </c>
      <c r="C55" s="13" t="s">
        <v>32</v>
      </c>
      <c r="D55" s="15" t="s">
        <v>32</v>
      </c>
      <c r="E55" s="14" t="s">
        <v>32</v>
      </c>
      <c r="F55" s="13" t="s">
        <v>32</v>
      </c>
      <c r="G55" s="15" t="s">
        <v>32</v>
      </c>
      <c r="H55" s="14" t="s">
        <v>32</v>
      </c>
      <c r="I55" s="13" t="s">
        <v>32</v>
      </c>
      <c r="J55" s="1" t="s">
        <v>32</v>
      </c>
      <c r="K55" s="12" t="s">
        <v>32</v>
      </c>
      <c r="L55" s="212">
        <v>9</v>
      </c>
      <c r="M55" s="15" t="s">
        <v>32</v>
      </c>
      <c r="N55" s="14">
        <v>2</v>
      </c>
      <c r="O55" s="212">
        <v>3</v>
      </c>
      <c r="P55" s="15" t="s">
        <v>32</v>
      </c>
      <c r="Q55" s="14" t="s">
        <v>32</v>
      </c>
      <c r="R55" s="13" t="s">
        <v>32</v>
      </c>
      <c r="S55" s="1" t="s">
        <v>32</v>
      </c>
      <c r="T55" s="12" t="s">
        <v>32</v>
      </c>
      <c r="U55" s="13" t="s">
        <v>32</v>
      </c>
      <c r="V55" s="15" t="s">
        <v>32</v>
      </c>
      <c r="W55" s="14" t="s">
        <v>32</v>
      </c>
      <c r="X55" s="13" t="s">
        <v>32</v>
      </c>
      <c r="Y55" s="15" t="s">
        <v>32</v>
      </c>
      <c r="Z55" s="14">
        <v>6</v>
      </c>
      <c r="AA55" s="13" t="s">
        <v>32</v>
      </c>
      <c r="AB55" s="1" t="s">
        <v>32</v>
      </c>
      <c r="AC55" s="142"/>
      <c r="AF55" s="44">
        <f>IF(COUNTIF(N140:P142,0)=8,SUM(N140:P142),IF(B88="x",-1,0))</f>
        <v>-1</v>
      </c>
      <c r="AG55" s="45">
        <f>IF(COUNTIF(Q140:S142,0)=8,SUM(Q140:S142),IF(C88="x",-1,0))</f>
        <v>-1</v>
      </c>
      <c r="AH55" s="47">
        <f>IF(COUNTIF(T140:V142,0)=8,SUM(T140:V142),IF(D88="x",-1,0))</f>
        <v>-1</v>
      </c>
      <c r="AI55" s="46">
        <f>IF(COUNTIF(W140:Y142,0)=8,SUM(W140:Y142),IF(E88="x",-1,0))</f>
        <v>-1</v>
      </c>
      <c r="AJ55" s="45">
        <f>IF(COUNTIF(Z140:AB142,0)=8,SUM(Z140:AB142),IF(F88="x",-1,0))</f>
        <v>-1</v>
      </c>
      <c r="AK55" s="47">
        <f>IF(COUNTIF(AC140:AE142,0)=8,SUM(AC140:AE142),IF(G88="x",-1,0))</f>
        <v>-1</v>
      </c>
      <c r="AL55" s="46">
        <f>IF(COUNTIF(AF140:AH142,0)=8,SUM(AF140:AH142),IF(H88="x",-1,0))</f>
        <v>-1</v>
      </c>
      <c r="AM55" s="45">
        <f>IF(COUNTIF(AI140:AK142,0)=8,SUM(AI140:AK142),IF(I88="x",-1,0))</f>
        <v>-1</v>
      </c>
      <c r="AN55" s="48">
        <f>IF(COUNTIF(AL140:AN142,0)=8,SUM(AL140:AN142),IF(J88="x",-1,0))</f>
        <v>-1</v>
      </c>
      <c r="AO55" s="44">
        <f>IF(COUNTIF(AO140:AQ142,0)=8,SUM(AO140:AQ142),IF(K88="x",-1,0))</f>
        <v>-1</v>
      </c>
      <c r="AP55" s="45">
        <f>IF(COUNTIF(AR140:AT142,0)=8,SUM(AR140:AT142),IF(L88="x",-1,0))</f>
        <v>0</v>
      </c>
      <c r="AQ55" s="47">
        <f>IF(COUNTIF(AU140:AW142,0)=8,SUM(AU140:AW142),IF(M88="x",-1,0))</f>
        <v>-1</v>
      </c>
      <c r="AR55" s="46">
        <f>IF(COUNTIF(AX140:AZ142,0)=8,SUM(AX140:AZ142),IF(N88="x",-1,0))</f>
        <v>0</v>
      </c>
      <c r="AS55" s="45">
        <f>IF(COUNTIF(BA140:BC142,0)=8,SUM(BA140:BC142),IF(O88="x",-1,0))</f>
        <v>0</v>
      </c>
      <c r="AT55" s="47">
        <f>IF(COUNTIF(BD140:BF142,0)=8,SUM(BD140:BF142),IF(P88="x",-1,0))</f>
        <v>-1</v>
      </c>
      <c r="AU55" s="46">
        <f>IF(COUNTIF(BG140:BI142,0)=8,SUM(BG140:BI142),IF(Q88="x",-1,0))</f>
        <v>-1</v>
      </c>
      <c r="AV55" s="45">
        <f>IF(COUNTIF(BJ140:BL142,0)=8,SUM(BJ140:BL142),IF(R88="x",-1,0))</f>
        <v>-1</v>
      </c>
      <c r="AW55" s="48">
        <f>IF(COUNTIF(BM140:BO142,0)=8,SUM(BM140:BO142),IF(S88="x",-1,0))</f>
        <v>-1</v>
      </c>
      <c r="AX55" s="44">
        <f>IF(COUNTIF(BP140:BR142,0)=8,SUM(BP140:BR142),IF(T88="x",-1,0))</f>
        <v>-1</v>
      </c>
      <c r="AY55" s="45">
        <f>IF(COUNTIF(BS140:BU142,0)=8,SUM(BS140:BU142),IF(U88="x",-1,0))</f>
        <v>-1</v>
      </c>
      <c r="AZ55" s="47">
        <f>IF(COUNTIF(BV140:BX142,0)=8,SUM(BV140:BX142),IF(V88="x",-1,0))</f>
        <v>-1</v>
      </c>
      <c r="BA55" s="46">
        <f>IF(COUNTIF(BY140:CA142,0)=8,SUM(BY140:CA142),IF(W88="x",-1,0))</f>
        <v>-1</v>
      </c>
      <c r="BB55" s="45">
        <f>IF(COUNTIF(CB140:CD142,0)=8,SUM(CB140:CD142),IF(X88="x",-1,0))</f>
        <v>-1</v>
      </c>
      <c r="BC55" s="47">
        <f>IF(COUNTIF(CE140:CG142,0)=8,SUM(CE140:CG142),IF(Y88="x",-1,0))</f>
        <v>-1</v>
      </c>
      <c r="BD55" s="46">
        <f>IF(COUNTIF(CH140:CJ142,0)=8,SUM(CH140:CJ142),IF(Z88="x",-1,0))</f>
        <v>0</v>
      </c>
      <c r="BE55" s="45">
        <f>IF(COUNTIF(CK140:CM142,0)=8,SUM(CK140:CM142),IF(AA88="x",-1,0))</f>
        <v>-1</v>
      </c>
      <c r="BF55" s="48">
        <f>IF(COUNTIF(CN140:CP142,0)=8,SUM(CN140:CP142),IF(AB88="x",-1,0))</f>
        <v>-1</v>
      </c>
      <c r="BJ55" s="44">
        <f>IF(AF55=-1,-1,MAX(N323:P325))</f>
        <v>-1</v>
      </c>
      <c r="BK55" s="45">
        <f>IF(AG55=-1,-1,MAX(Q323:S325))</f>
        <v>-1</v>
      </c>
      <c r="BL55" s="47">
        <f>IF(AH55=-1,-1,MAX(T323:V325))</f>
        <v>-1</v>
      </c>
      <c r="BM55" s="46">
        <f>IF(AI55=-1,-1,MAX(W323:Y325))</f>
        <v>-1</v>
      </c>
      <c r="BN55" s="45">
        <f>IF(AJ55=-1,-1,MAX(Z323:AB325))</f>
        <v>-1</v>
      </c>
      <c r="BO55" s="47">
        <f>IF(AK55=-1,-1,MAX(AC323:AE325))</f>
        <v>-1</v>
      </c>
      <c r="BP55" s="46">
        <f>IF(AL55=-1,-1,MAX(AF323:AH325))</f>
        <v>-1</v>
      </c>
      <c r="BQ55" s="45">
        <f>IF(AM55=-1,-1,MAX(AI323:AK325))</f>
        <v>-1</v>
      </c>
      <c r="BR55" s="48">
        <f>IF(AN55=-1,-1,MAX(AL323:AN325))</f>
        <v>-1</v>
      </c>
      <c r="BS55" s="44">
        <f>IF(AO55=-1,-1,MAX(AO323:AQ325))</f>
        <v>-1</v>
      </c>
      <c r="BT55" s="45">
        <f>IF(AP55=-1,-1,MAX(AR323:AT325))</f>
        <v>0</v>
      </c>
      <c r="BU55" s="47">
        <f>IF(AQ55=-1,-1,MAX(AU323:AW325))</f>
        <v>-1</v>
      </c>
      <c r="BV55" s="46">
        <f>IF(AR55=-1,-1,MAX(AX323:AZ325))</f>
        <v>0</v>
      </c>
      <c r="BW55" s="45">
        <f>IF(AS55=-1,-1,MAX(BA323:BC325))</f>
        <v>0</v>
      </c>
      <c r="BX55" s="47">
        <f>IF(AT55=-1,-1,MAX(BD323:BF325))</f>
        <v>-1</v>
      </c>
      <c r="BY55" s="46">
        <f>IF(AU55=-1,-1,MAX(BG323:BI325))</f>
        <v>-1</v>
      </c>
      <c r="BZ55" s="45">
        <f>IF(AV55=-1,-1,MAX(BJ323:BL325))</f>
        <v>-1</v>
      </c>
      <c r="CA55" s="48">
        <f>IF(AW55=-1,-1,MAX(BM323:BO325))</f>
        <v>-1</v>
      </c>
      <c r="CB55" s="44">
        <f>IF(AX55=-1,-1,MAX(BP323:BR325))</f>
        <v>-1</v>
      </c>
      <c r="CC55" s="45">
        <f>IF(AY55=-1,-1,MAX(BS323:BU325))</f>
        <v>-1</v>
      </c>
      <c r="CD55" s="47">
        <f>IF(AZ55=-1,-1,MAX(BV323:BX325))</f>
        <v>-1</v>
      </c>
      <c r="CE55" s="46">
        <f>IF(BA55=-1,-1,MAX(BY323:CA325))</f>
        <v>-1</v>
      </c>
      <c r="CF55" s="45">
        <f>IF(BB55=-1,-1,MAX(CB323:CD325))</f>
        <v>-1</v>
      </c>
      <c r="CG55" s="47">
        <f>IF(BC55=-1,-1,MAX(CE323:CG325))</f>
        <v>-1</v>
      </c>
      <c r="CH55" s="46">
        <f>IF(BD55=-1,-1,MAX(CH323:CJ325))</f>
        <v>0</v>
      </c>
      <c r="CI55" s="45">
        <f>IF(BE55=-1,-1,MAX(CK323:CM325))</f>
        <v>-1</v>
      </c>
      <c r="CJ55" s="48">
        <f>IF(BF55=-1,-1,MAX(CN323:CP325))</f>
        <v>-1</v>
      </c>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row>
    <row r="56" spans="1:179" ht="15" customHeight="1">
      <c r="A56" s="142"/>
      <c r="B56" s="16" t="s">
        <v>32</v>
      </c>
      <c r="C56" s="17" t="s">
        <v>32</v>
      </c>
      <c r="D56" s="18" t="s">
        <v>32</v>
      </c>
      <c r="E56" s="19" t="s">
        <v>32</v>
      </c>
      <c r="F56" s="17" t="s">
        <v>32</v>
      </c>
      <c r="G56" s="18" t="s">
        <v>32</v>
      </c>
      <c r="H56" s="19" t="s">
        <v>32</v>
      </c>
      <c r="I56" s="17" t="s">
        <v>32</v>
      </c>
      <c r="J56" s="20" t="s">
        <v>32</v>
      </c>
      <c r="K56" s="16" t="s">
        <v>32</v>
      </c>
      <c r="L56" s="17" t="s">
        <v>32</v>
      </c>
      <c r="M56" s="18">
        <v>6</v>
      </c>
      <c r="N56" s="19" t="s">
        <v>32</v>
      </c>
      <c r="O56" s="17" t="s">
        <v>32</v>
      </c>
      <c r="P56" s="18">
        <v>4</v>
      </c>
      <c r="Q56" s="19" t="s">
        <v>32</v>
      </c>
      <c r="R56" s="17" t="s">
        <v>32</v>
      </c>
      <c r="S56" s="20" t="s">
        <v>32</v>
      </c>
      <c r="T56" s="16" t="s">
        <v>32</v>
      </c>
      <c r="U56" s="17" t="s">
        <v>32</v>
      </c>
      <c r="V56" s="18" t="s">
        <v>32</v>
      </c>
      <c r="W56" s="19" t="s">
        <v>32</v>
      </c>
      <c r="X56" s="17" t="s">
        <v>32</v>
      </c>
      <c r="Y56" s="18" t="s">
        <v>32</v>
      </c>
      <c r="Z56" s="19">
        <v>8</v>
      </c>
      <c r="AA56" s="17" t="s">
        <v>32</v>
      </c>
      <c r="AB56" s="20" t="s">
        <v>32</v>
      </c>
      <c r="AC56" s="142"/>
      <c r="AF56" s="49">
        <f>IF(COUNTIF(N143:P145,0)=8,SUM(N143:P145),IF(B89="x",-1,0))</f>
        <v>-1</v>
      </c>
      <c r="AG56" s="50">
        <f>IF(COUNTIF(Q143:S145,0)=8,SUM(Q143:S145),IF(C89="x",-1,0))</f>
        <v>-1</v>
      </c>
      <c r="AH56" s="51">
        <f>IF(COUNTIF(T143:V145,0)=8,SUM(T143:V145),IF(D89="x",-1,0))</f>
        <v>-1</v>
      </c>
      <c r="AI56" s="52">
        <f>IF(COUNTIF(W143:Y145,0)=8,SUM(W143:Y145),IF(E89="x",-1,0))</f>
        <v>-1</v>
      </c>
      <c r="AJ56" s="50">
        <f>IF(COUNTIF(Z143:AB145,0)=8,SUM(Z143:AB145),IF(F89="x",-1,0))</f>
        <v>-1</v>
      </c>
      <c r="AK56" s="51">
        <f>IF(COUNTIF(AC143:AE145,0)=8,SUM(AC143:AE145),IF(G89="x",-1,0))</f>
        <v>-1</v>
      </c>
      <c r="AL56" s="52">
        <f>IF(COUNTIF(AF143:AH145,0)=8,SUM(AF143:AH145),IF(H89="x",-1,0))</f>
        <v>-1</v>
      </c>
      <c r="AM56" s="50">
        <f>IF(COUNTIF(AI143:AK145,0)=8,SUM(AI143:AK145),IF(I89="x",-1,0))</f>
        <v>-1</v>
      </c>
      <c r="AN56" s="53">
        <f>IF(COUNTIF(AL143:AN145,0)=8,SUM(AL143:AN145),IF(J89="x",-1,0))</f>
        <v>-1</v>
      </c>
      <c r="AO56" s="49">
        <f>IF(COUNTIF(AO143:AQ145,0)=8,SUM(AO143:AQ145),IF(K89="x",-1,0))</f>
        <v>-1</v>
      </c>
      <c r="AP56" s="50">
        <f>IF(COUNTIF(AR143:AT145,0)=8,SUM(AR143:AT145),IF(L89="x",-1,0))</f>
        <v>-1</v>
      </c>
      <c r="AQ56" s="51">
        <f>IF(COUNTIF(AU143:AW145,0)=8,SUM(AU143:AW145),IF(M89="x",-1,0))</f>
        <v>0</v>
      </c>
      <c r="AR56" s="52">
        <f>IF(COUNTIF(AX143:AZ145,0)=8,SUM(AX143:AZ145),IF(N89="x",-1,0))</f>
        <v>-1</v>
      </c>
      <c r="AS56" s="50">
        <f>IF(COUNTIF(BA143:BC145,0)=8,SUM(BA143:BC145),IF(O89="x",-1,0))</f>
        <v>-1</v>
      </c>
      <c r="AT56" s="51">
        <f>IF(COUNTIF(BD143:BF145,0)=8,SUM(BD143:BF145),IF(P89="x",-1,0))</f>
        <v>0</v>
      </c>
      <c r="AU56" s="52">
        <f>IF(COUNTIF(BG143:BI145,0)=8,SUM(BG143:BI145),IF(Q89="x",-1,0))</f>
        <v>-1</v>
      </c>
      <c r="AV56" s="50">
        <f>IF(COUNTIF(BJ143:BL145,0)=8,SUM(BJ143:BL145),IF(R89="x",-1,0))</f>
        <v>-1</v>
      </c>
      <c r="AW56" s="53">
        <f>IF(COUNTIF(BM143:BO145,0)=8,SUM(BM143:BO145),IF(S89="x",-1,0))</f>
        <v>-1</v>
      </c>
      <c r="AX56" s="49">
        <f>IF(COUNTIF(BP143:BR145,0)=8,SUM(BP143:BR145),IF(T89="x",-1,0))</f>
        <v>-1</v>
      </c>
      <c r="AY56" s="50">
        <f>IF(COUNTIF(BS143:BU145,0)=8,SUM(BS143:BU145),IF(U89="x",-1,0))</f>
        <v>-1</v>
      </c>
      <c r="AZ56" s="51">
        <f>IF(COUNTIF(BV143:BX145,0)=8,SUM(BV143:BX145),IF(V89="x",-1,0))</f>
        <v>-1</v>
      </c>
      <c r="BA56" s="52">
        <f>IF(COUNTIF(BY143:CA145,0)=8,SUM(BY143:CA145),IF(W89="x",-1,0))</f>
        <v>-1</v>
      </c>
      <c r="BB56" s="50">
        <f>IF(COUNTIF(CB143:CD145,0)=8,SUM(CB143:CD145),IF(X89="x",-1,0))</f>
        <v>-1</v>
      </c>
      <c r="BC56" s="51">
        <f>IF(COUNTIF(CE143:CG145,0)=8,SUM(CE143:CG145),IF(Y89="x",-1,0))</f>
        <v>-1</v>
      </c>
      <c r="BD56" s="52">
        <f>IF(COUNTIF(CH143:CJ145,0)=8,SUM(CH143:CJ145),IF(Z89="x",-1,0))</f>
        <v>0</v>
      </c>
      <c r="BE56" s="50">
        <f>IF(COUNTIF(CK143:CM145,0)=8,SUM(CK143:CM145),IF(AA89="x",-1,0))</f>
        <v>-1</v>
      </c>
      <c r="BF56" s="53">
        <f>IF(COUNTIF(CN143:CP145,0)=8,SUM(CN143:CP145),IF(AB89="x",-1,0))</f>
        <v>-1</v>
      </c>
      <c r="BJ56" s="49">
        <f>IF(AF56=-1,-1,MAX(N326:P328))</f>
        <v>-1</v>
      </c>
      <c r="BK56" s="50">
        <f>IF(AG56=-1,-1,MAX(Q326:S328))</f>
        <v>-1</v>
      </c>
      <c r="BL56" s="51">
        <f>IF(AH56=-1,-1,MAX(T326:V328))</f>
        <v>-1</v>
      </c>
      <c r="BM56" s="52">
        <f>IF(AI56=-1,-1,MAX(W326:Y328))</f>
        <v>-1</v>
      </c>
      <c r="BN56" s="50">
        <f>IF(AJ56=-1,-1,MAX(Z326:AB328))</f>
        <v>-1</v>
      </c>
      <c r="BO56" s="51">
        <f>IF(AK56=-1,-1,MAX(AC326:AE328))</f>
        <v>-1</v>
      </c>
      <c r="BP56" s="52">
        <f>IF(AL56=-1,-1,MAX(AF326:AH328))</f>
        <v>-1</v>
      </c>
      <c r="BQ56" s="50">
        <f>IF(AM56=-1,-1,MAX(AI326:AK328))</f>
        <v>-1</v>
      </c>
      <c r="BR56" s="53">
        <f>IF(AN56=-1,-1,MAX(AL326:AN328))</f>
        <v>-1</v>
      </c>
      <c r="BS56" s="49">
        <f>IF(AO56=-1,-1,MAX(AO326:AQ328))</f>
        <v>-1</v>
      </c>
      <c r="BT56" s="50">
        <f>IF(AP56=-1,-1,MAX(AR326:AT328))</f>
        <v>-1</v>
      </c>
      <c r="BU56" s="51">
        <f>IF(AQ56=-1,-1,MAX(AU326:AW328))</f>
        <v>0</v>
      </c>
      <c r="BV56" s="52">
        <f>IF(AR56=-1,-1,MAX(AX326:AZ328))</f>
        <v>-1</v>
      </c>
      <c r="BW56" s="50">
        <f>IF(AS56=-1,-1,MAX(BA326:BC328))</f>
        <v>-1</v>
      </c>
      <c r="BX56" s="51">
        <f>IF(AT56=-1,-1,MAX(BD326:BF328))</f>
        <v>0</v>
      </c>
      <c r="BY56" s="52">
        <f>IF(AU56=-1,-1,MAX(BG326:BI328))</f>
        <v>-1</v>
      </c>
      <c r="BZ56" s="50">
        <f>IF(AV56=-1,-1,MAX(BJ326:BL328))</f>
        <v>-1</v>
      </c>
      <c r="CA56" s="53">
        <f>IF(AW56=-1,-1,MAX(BM326:BO328))</f>
        <v>-1</v>
      </c>
      <c r="CB56" s="49">
        <f>IF(AX56=-1,-1,MAX(BP326:BR328))</f>
        <v>-1</v>
      </c>
      <c r="CC56" s="50">
        <f>IF(AY56=-1,-1,MAX(BS326:BU328))</f>
        <v>-1</v>
      </c>
      <c r="CD56" s="51">
        <f>IF(AZ56=-1,-1,MAX(BV326:BX328))</f>
        <v>-1</v>
      </c>
      <c r="CE56" s="52">
        <f>IF(BA56=-1,-1,MAX(BY326:CA328))</f>
        <v>-1</v>
      </c>
      <c r="CF56" s="50">
        <f>IF(BB56=-1,-1,MAX(CB326:CD328))</f>
        <v>-1</v>
      </c>
      <c r="CG56" s="51">
        <f>IF(BC56=-1,-1,MAX(CE326:CG328))</f>
        <v>-1</v>
      </c>
      <c r="CH56" s="52">
        <f>IF(BD56=-1,-1,MAX(CH326:CJ328))</f>
        <v>0</v>
      </c>
      <c r="CI56" s="50">
        <f>IF(BE56=-1,-1,MAX(CK326:CM328))</f>
        <v>-1</v>
      </c>
      <c r="CJ56" s="53">
        <f>IF(BF56=-1,-1,MAX(CN326:CP328))</f>
        <v>-1</v>
      </c>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row>
    <row r="57" spans="1:179" ht="15" customHeight="1">
      <c r="A57" s="142"/>
      <c r="B57" s="11" t="s">
        <v>32</v>
      </c>
      <c r="C57" s="7" t="s">
        <v>32</v>
      </c>
      <c r="D57" s="205">
        <v>7</v>
      </c>
      <c r="E57" s="8" t="s">
        <v>32</v>
      </c>
      <c r="F57" s="7" t="s">
        <v>32</v>
      </c>
      <c r="G57" s="9" t="s">
        <v>32</v>
      </c>
      <c r="H57" s="8" t="s">
        <v>32</v>
      </c>
      <c r="I57" s="7" t="s">
        <v>32</v>
      </c>
      <c r="J57" s="10" t="s">
        <v>32</v>
      </c>
      <c r="K57" s="11" t="s">
        <v>32</v>
      </c>
      <c r="L57" s="7" t="s">
        <v>32</v>
      </c>
      <c r="M57" s="9" t="s">
        <v>32</v>
      </c>
      <c r="N57" s="8" t="s">
        <v>32</v>
      </c>
      <c r="O57" s="7" t="s">
        <v>32</v>
      </c>
      <c r="P57" s="9" t="s">
        <v>32</v>
      </c>
      <c r="Q57" s="8" t="s">
        <v>32</v>
      </c>
      <c r="R57" s="7" t="s">
        <v>32</v>
      </c>
      <c r="S57" s="10" t="s">
        <v>32</v>
      </c>
      <c r="T57" s="11" t="s">
        <v>32</v>
      </c>
      <c r="U57" s="7" t="s">
        <v>32</v>
      </c>
      <c r="V57" s="9" t="s">
        <v>32</v>
      </c>
      <c r="W57" s="8" t="s">
        <v>32</v>
      </c>
      <c r="X57" s="7" t="s">
        <v>32</v>
      </c>
      <c r="Y57" s="9" t="s">
        <v>32</v>
      </c>
      <c r="Z57" s="206">
        <v>2</v>
      </c>
      <c r="AA57" s="204">
        <v>4</v>
      </c>
      <c r="AB57" s="10" t="s">
        <v>32</v>
      </c>
      <c r="AC57" s="142"/>
      <c r="AF57" s="43">
        <f>IF(COUNTIF(N146:P148,0)=8,SUM(N146:P148),IF(B90="x",-1,0))</f>
        <v>-1</v>
      </c>
      <c r="AG57" s="39">
        <f>IF(COUNTIF(Q146:S148,0)=8,SUM(Q146:S148),IF(C90="x",-1,0))</f>
        <v>-1</v>
      </c>
      <c r="AH57" s="41">
        <f>IF(COUNTIF(T146:V148,0)=8,SUM(T146:V148),IF(D90="x",-1,0))</f>
        <v>0</v>
      </c>
      <c r="AI57" s="40">
        <f>IF(COUNTIF(W146:Y148,0)=8,SUM(W146:Y148),IF(E90="x",-1,0))</f>
        <v>-1</v>
      </c>
      <c r="AJ57" s="39">
        <f>IF(COUNTIF(Z146:AB148,0)=8,SUM(Z146:AB148),IF(F90="x",-1,0))</f>
        <v>-1</v>
      </c>
      <c r="AK57" s="41">
        <f>IF(COUNTIF(AC146:AE148,0)=8,SUM(AC146:AE148),IF(G90="x",-1,0))</f>
        <v>-1</v>
      </c>
      <c r="AL57" s="40">
        <f>IF(COUNTIF(AF146:AH148,0)=8,SUM(AF146:AH148),IF(H90="x",-1,0))</f>
        <v>-1</v>
      </c>
      <c r="AM57" s="39">
        <f>IF(COUNTIF(AI146:AK148,0)=8,SUM(AI146:AK148),IF(I90="x",-1,0))</f>
        <v>-1</v>
      </c>
      <c r="AN57" s="42">
        <f>IF(COUNTIF(AL146:AN148,0)=8,SUM(AL146:AN148),IF(J90="x",-1,0))</f>
        <v>-1</v>
      </c>
      <c r="AO57" s="43">
        <f>IF(COUNTIF(AO146:AQ148,0)=8,SUM(AO146:AQ148),IF(K90="x",-1,0))</f>
        <v>-1</v>
      </c>
      <c r="AP57" s="39">
        <f>IF(COUNTIF(AR146:AT148,0)=8,SUM(AR146:AT148),IF(L90="x",-1,0))</f>
        <v>-1</v>
      </c>
      <c r="AQ57" s="41">
        <f>IF(COUNTIF(AU146:AW148,0)=8,SUM(AU146:AW148),IF(M90="x",-1,0))</f>
        <v>-1</v>
      </c>
      <c r="AR57" s="40">
        <f>IF(COUNTIF(AX146:AZ148,0)=8,SUM(AX146:AZ148),IF(N90="x",-1,0))</f>
        <v>-1</v>
      </c>
      <c r="AS57" s="39">
        <f>IF(COUNTIF(BA146:BC148,0)=8,SUM(BA146:BC148),IF(O90="x",-1,0))</f>
        <v>-1</v>
      </c>
      <c r="AT57" s="41">
        <f>IF(COUNTIF(BD146:BF148,0)=8,SUM(BD146:BF148),IF(P90="x",-1,0))</f>
        <v>-1</v>
      </c>
      <c r="AU57" s="40">
        <f>IF(COUNTIF(BG146:BI148,0)=8,SUM(BG146:BI148),IF(Q90="x",-1,0))</f>
        <v>-1</v>
      </c>
      <c r="AV57" s="39">
        <f>IF(COUNTIF(BJ146:BL148,0)=8,SUM(BJ146:BL148),IF(R90="x",-1,0))</f>
        <v>-1</v>
      </c>
      <c r="AW57" s="42">
        <f>IF(COUNTIF(BM146:BO148,0)=8,SUM(BM146:BO148),IF(S90="x",-1,0))</f>
        <v>-1</v>
      </c>
      <c r="AX57" s="43">
        <f>IF(COUNTIF(BP146:BR148,0)=8,SUM(BP146:BR148),IF(T90="x",-1,0))</f>
        <v>-1</v>
      </c>
      <c r="AY57" s="39">
        <f>IF(COUNTIF(BS146:BU148,0)=8,SUM(BS146:BU148),IF(U90="x",-1,0))</f>
        <v>-1</v>
      </c>
      <c r="AZ57" s="41">
        <f>IF(COUNTIF(BV146:BX148,0)=8,SUM(BV146:BX148),IF(V90="x",-1,0))</f>
        <v>-1</v>
      </c>
      <c r="BA57" s="40">
        <f>IF(COUNTIF(BY146:CA148,0)=8,SUM(BY146:CA148),IF(W90="x",-1,0))</f>
        <v>-1</v>
      </c>
      <c r="BB57" s="39">
        <f>IF(COUNTIF(CB146:CD148,0)=8,SUM(CB146:CD148),IF(X90="x",-1,0))</f>
        <v>-1</v>
      </c>
      <c r="BC57" s="41">
        <f>IF(COUNTIF(CE146:CG148,0)=8,SUM(CE146:CG148),IF(Y90="x",-1,0))</f>
        <v>-1</v>
      </c>
      <c r="BD57" s="40">
        <f>IF(COUNTIF(CH146:CJ148,0)=8,SUM(CH146:CJ148),IF(Z90="x",-1,0))</f>
        <v>0</v>
      </c>
      <c r="BE57" s="39">
        <f>IF(COUNTIF(CK146:CM148,0)=8,SUM(CK146:CM148),IF(AA90="x",-1,0))</f>
        <v>0</v>
      </c>
      <c r="BF57" s="42">
        <f>IF(COUNTIF(CN146:CP148,0)=8,SUM(CN146:CP148),IF(AB90="x",-1,0))</f>
        <v>-1</v>
      </c>
      <c r="BJ57" s="43">
        <f>IF(AF57=-1,-1,MAX(N329:P331))</f>
        <v>-1</v>
      </c>
      <c r="BK57" s="39">
        <f>IF(AG57=-1,-1,MAX(Q329:S331))</f>
        <v>-1</v>
      </c>
      <c r="BL57" s="41">
        <f>IF(AH57=-1,-1,MAX(T329:V331))</f>
        <v>0</v>
      </c>
      <c r="BM57" s="40">
        <f>IF(AI57=-1,-1,MAX(W329:Y331))</f>
        <v>-1</v>
      </c>
      <c r="BN57" s="39">
        <f>IF(AJ57=-1,-1,MAX(Z329:AB331))</f>
        <v>-1</v>
      </c>
      <c r="BO57" s="41">
        <f>IF(AK57=-1,-1,MAX(AC329:AE331))</f>
        <v>-1</v>
      </c>
      <c r="BP57" s="40">
        <f>IF(AL57=-1,-1,MAX(AF329:AH331))</f>
        <v>-1</v>
      </c>
      <c r="BQ57" s="39">
        <f>IF(AM57=-1,-1,MAX(AI329:AK331))</f>
        <v>-1</v>
      </c>
      <c r="BR57" s="42">
        <f>IF(AN57=-1,-1,MAX(AL329:AN331))</f>
        <v>-1</v>
      </c>
      <c r="BS57" s="43">
        <f>IF(AO57=-1,-1,MAX(AO329:AQ331))</f>
        <v>-1</v>
      </c>
      <c r="BT57" s="39">
        <f>IF(AP57=-1,-1,MAX(AR329:AT331))</f>
        <v>-1</v>
      </c>
      <c r="BU57" s="41">
        <f>IF(AQ57=-1,-1,MAX(AU329:AW331))</f>
        <v>-1</v>
      </c>
      <c r="BV57" s="40">
        <f>IF(AR57=-1,-1,MAX(AX329:AZ331))</f>
        <v>-1</v>
      </c>
      <c r="BW57" s="39">
        <f>IF(AS57=-1,-1,MAX(BA329:BC331))</f>
        <v>-1</v>
      </c>
      <c r="BX57" s="41">
        <f>IF(AT57=-1,-1,MAX(BD329:BF331))</f>
        <v>-1</v>
      </c>
      <c r="BY57" s="40">
        <f>IF(AU57=-1,-1,MAX(BG329:BI331))</f>
        <v>-1</v>
      </c>
      <c r="BZ57" s="39">
        <f>IF(AV57=-1,-1,MAX(BJ329:BL331))</f>
        <v>-1</v>
      </c>
      <c r="CA57" s="42">
        <f>IF(AW57=-1,-1,MAX(BM329:BO331))</f>
        <v>-1</v>
      </c>
      <c r="CB57" s="43">
        <f>IF(AX57=-1,-1,MAX(BP329:BR331))</f>
        <v>-1</v>
      </c>
      <c r="CC57" s="39">
        <f>IF(AY57=-1,-1,MAX(BS329:BU331))</f>
        <v>-1</v>
      </c>
      <c r="CD57" s="41">
        <f>IF(AZ57=-1,-1,MAX(BV329:BX331))</f>
        <v>-1</v>
      </c>
      <c r="CE57" s="40">
        <f>IF(BA57=-1,-1,MAX(BY329:CA331))</f>
        <v>-1</v>
      </c>
      <c r="CF57" s="39">
        <f>IF(BB57=-1,-1,MAX(CB329:CD331))</f>
        <v>-1</v>
      </c>
      <c r="CG57" s="41">
        <f>IF(BC57=-1,-1,MAX(CE329:CG331))</f>
        <v>-1</v>
      </c>
      <c r="CH57" s="40">
        <f>IF(BD57=-1,-1,MAX(CH329:CJ331))</f>
        <v>0</v>
      </c>
      <c r="CI57" s="39">
        <f>IF(BE57=-1,-1,MAX(CK329:CM331))</f>
        <v>0</v>
      </c>
      <c r="CJ57" s="42">
        <f>IF(BF57=-1,-1,MAX(CN329:CP331))</f>
        <v>-1</v>
      </c>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row>
    <row r="58" spans="1:179" ht="15" customHeight="1">
      <c r="A58" s="142"/>
      <c r="B58" s="12">
        <v>1</v>
      </c>
      <c r="C58" s="13">
        <v>2</v>
      </c>
      <c r="D58" s="15">
        <v>5</v>
      </c>
      <c r="E58" s="14">
        <v>6</v>
      </c>
      <c r="F58" s="13" t="s">
        <v>32</v>
      </c>
      <c r="G58" s="15" t="s">
        <v>32</v>
      </c>
      <c r="H58" s="14" t="s">
        <v>32</v>
      </c>
      <c r="I58" s="13" t="s">
        <v>32</v>
      </c>
      <c r="J58" s="1" t="s">
        <v>32</v>
      </c>
      <c r="K58" s="12" t="s">
        <v>32</v>
      </c>
      <c r="L58" s="13" t="s">
        <v>32</v>
      </c>
      <c r="M58" s="15" t="s">
        <v>32</v>
      </c>
      <c r="N58" s="14" t="s">
        <v>32</v>
      </c>
      <c r="O58" s="13" t="s">
        <v>32</v>
      </c>
      <c r="P58" s="15" t="s">
        <v>32</v>
      </c>
      <c r="Q58" s="14" t="s">
        <v>32</v>
      </c>
      <c r="R58" s="13" t="s">
        <v>32</v>
      </c>
      <c r="S58" s="1" t="s">
        <v>32</v>
      </c>
      <c r="T58" s="12" t="s">
        <v>32</v>
      </c>
      <c r="U58" s="13" t="s">
        <v>32</v>
      </c>
      <c r="V58" s="15" t="s">
        <v>32</v>
      </c>
      <c r="W58" s="14" t="s">
        <v>32</v>
      </c>
      <c r="X58" s="13" t="s">
        <v>32</v>
      </c>
      <c r="Y58" s="15" t="s">
        <v>32</v>
      </c>
      <c r="Z58" s="14" t="s">
        <v>32</v>
      </c>
      <c r="AA58" s="13">
        <v>7</v>
      </c>
      <c r="AB58" s="1" t="s">
        <v>32</v>
      </c>
      <c r="AC58" s="142"/>
      <c r="AF58" s="44">
        <f>IF(COUNTIF(N149:P151,0)=8,SUM(N149:P151),IF(B91="x",-1,0))</f>
        <v>0</v>
      </c>
      <c r="AG58" s="45">
        <f>IF(COUNTIF(Q149:S151,0)=8,SUM(Q149:S151),IF(C91="x",-1,0))</f>
        <v>0</v>
      </c>
      <c r="AH58" s="47">
        <f>IF(COUNTIF(T149:V151,0)=8,SUM(T149:V151),IF(D91="x",-1,0))</f>
        <v>0</v>
      </c>
      <c r="AI58" s="46">
        <f>IF(COUNTIF(W149:Y151,0)=8,SUM(W149:Y151),IF(E91="x",-1,0))</f>
        <v>0</v>
      </c>
      <c r="AJ58" s="45">
        <f>IF(COUNTIF(Z149:AB151,0)=8,SUM(Z149:AB151),IF(F91="x",-1,0))</f>
        <v>-1</v>
      </c>
      <c r="AK58" s="47">
        <f>IF(COUNTIF(AC149:AE151,0)=8,SUM(AC149:AE151),IF(G91="x",-1,0))</f>
        <v>-1</v>
      </c>
      <c r="AL58" s="46">
        <f>IF(COUNTIF(AF149:AH151,0)=8,SUM(AF149:AH151),IF(H91="x",-1,0))</f>
        <v>-1</v>
      </c>
      <c r="AM58" s="45">
        <f>IF(COUNTIF(AI149:AK151,0)=8,SUM(AI149:AK151),IF(I91="x",-1,0))</f>
        <v>-1</v>
      </c>
      <c r="AN58" s="48">
        <f>IF(COUNTIF(AL149:AN151,0)=8,SUM(AL149:AN151),IF(J91="x",-1,0))</f>
        <v>-1</v>
      </c>
      <c r="AO58" s="44">
        <f>IF(COUNTIF(AO149:AQ151,0)=8,SUM(AO149:AQ151),IF(K91="x",-1,0))</f>
        <v>-1</v>
      </c>
      <c r="AP58" s="45">
        <f>IF(COUNTIF(AR149:AT151,0)=8,SUM(AR149:AT151),IF(L91="x",-1,0))</f>
        <v>-1</v>
      </c>
      <c r="AQ58" s="47">
        <f>IF(COUNTIF(AU149:AW151,0)=8,SUM(AU149:AW151),IF(M91="x",-1,0))</f>
        <v>-1</v>
      </c>
      <c r="AR58" s="46">
        <f>IF(COUNTIF(AX149:AZ151,0)=8,SUM(AX149:AZ151),IF(N91="x",-1,0))</f>
        <v>-1</v>
      </c>
      <c r="AS58" s="45">
        <f>IF(COUNTIF(BA149:BC151,0)=8,SUM(BA149:BC151),IF(O91="x",-1,0))</f>
        <v>-1</v>
      </c>
      <c r="AT58" s="47">
        <f>IF(COUNTIF(BD149:BF151,0)=8,SUM(BD149:BF151),IF(P91="x",-1,0))</f>
        <v>-1</v>
      </c>
      <c r="AU58" s="46">
        <f>IF(COUNTIF(BG149:BI151,0)=8,SUM(BG149:BI151),IF(Q91="x",-1,0))</f>
        <v>-1</v>
      </c>
      <c r="AV58" s="45">
        <f>IF(COUNTIF(BJ149:BL151,0)=8,SUM(BJ149:BL151),IF(R91="x",-1,0))</f>
        <v>-1</v>
      </c>
      <c r="AW58" s="48">
        <f>IF(COUNTIF(BM149:BO151,0)=8,SUM(BM149:BO151),IF(S91="x",-1,0))</f>
        <v>-1</v>
      </c>
      <c r="AX58" s="44">
        <f>IF(COUNTIF(BP149:BR151,0)=8,SUM(BP149:BR151),IF(T91="x",-1,0))</f>
        <v>-1</v>
      </c>
      <c r="AY58" s="45">
        <f>IF(COUNTIF(BS149:BU151,0)=8,SUM(BS149:BU151),IF(U91="x",-1,0))</f>
        <v>-1</v>
      </c>
      <c r="AZ58" s="47">
        <f>IF(COUNTIF(BV149:BX151,0)=8,SUM(BV149:BX151),IF(V91="x",-1,0))</f>
        <v>-1</v>
      </c>
      <c r="BA58" s="46">
        <f>IF(COUNTIF(BY149:CA151,0)=8,SUM(BY149:CA151),IF(W91="x",-1,0))</f>
        <v>-1</v>
      </c>
      <c r="BB58" s="45">
        <f>IF(COUNTIF(CB149:CD151,0)=8,SUM(CB149:CD151),IF(X91="x",-1,0))</f>
        <v>-1</v>
      </c>
      <c r="BC58" s="47">
        <f>IF(COUNTIF(CE149:CG151,0)=8,SUM(CE149:CG151),IF(Y91="x",-1,0))</f>
        <v>-1</v>
      </c>
      <c r="BD58" s="46">
        <f>IF(COUNTIF(CH149:CJ151,0)=8,SUM(CH149:CJ151),IF(Z91="x",-1,0))</f>
        <v>-1</v>
      </c>
      <c r="BE58" s="45">
        <f>IF(COUNTIF(CK149:CM151,0)=8,SUM(CK149:CM151),IF(AA91="x",-1,0))</f>
        <v>0</v>
      </c>
      <c r="BF58" s="48">
        <f>IF(COUNTIF(CN149:CP151,0)=8,SUM(CN149:CP151),IF(AB91="x",-1,0))</f>
        <v>-1</v>
      </c>
      <c r="BJ58" s="44">
        <f>IF(AF58=-1,-1,MAX(N332:P334))</f>
        <v>0</v>
      </c>
      <c r="BK58" s="45">
        <f>IF(AG58=-1,-1,MAX(Q332:S334))</f>
        <v>0</v>
      </c>
      <c r="BL58" s="47">
        <f>IF(AH58=-1,-1,MAX(T332:V334))</f>
        <v>0</v>
      </c>
      <c r="BM58" s="46">
        <f>IF(AI58=-1,-1,MAX(W332:Y334))</f>
        <v>0</v>
      </c>
      <c r="BN58" s="45">
        <f>IF(AJ58=-1,-1,MAX(Z332:AB334))</f>
        <v>-1</v>
      </c>
      <c r="BO58" s="47">
        <f>IF(AK58=-1,-1,MAX(AC332:AE334))</f>
        <v>-1</v>
      </c>
      <c r="BP58" s="46">
        <f>IF(AL58=-1,-1,MAX(AF332:AH334))</f>
        <v>-1</v>
      </c>
      <c r="BQ58" s="45">
        <f>IF(AM58=-1,-1,MAX(AI332:AK334))</f>
        <v>-1</v>
      </c>
      <c r="BR58" s="48">
        <f>IF(AN58=-1,-1,MAX(AL332:AN334))</f>
        <v>-1</v>
      </c>
      <c r="BS58" s="44">
        <f>IF(AO58=-1,-1,MAX(AO332:AQ334))</f>
        <v>-1</v>
      </c>
      <c r="BT58" s="45">
        <f>IF(AP58=-1,-1,MAX(AR332:AT334))</f>
        <v>-1</v>
      </c>
      <c r="BU58" s="47">
        <f>IF(AQ58=-1,-1,MAX(AU332:AW334))</f>
        <v>-1</v>
      </c>
      <c r="BV58" s="46">
        <f>IF(AR58=-1,-1,MAX(AX332:AZ334))</f>
        <v>-1</v>
      </c>
      <c r="BW58" s="45">
        <f>IF(AS58=-1,-1,MAX(BA332:BC334))</f>
        <v>-1</v>
      </c>
      <c r="BX58" s="47">
        <f>IF(AT58=-1,-1,MAX(BD332:BF334))</f>
        <v>-1</v>
      </c>
      <c r="BY58" s="46">
        <f>IF(AU58=-1,-1,MAX(BG332:BI334))</f>
        <v>-1</v>
      </c>
      <c r="BZ58" s="45">
        <f>IF(AV58=-1,-1,MAX(BJ332:BL334))</f>
        <v>-1</v>
      </c>
      <c r="CA58" s="48">
        <f>IF(AW58=-1,-1,MAX(BM332:BO334))</f>
        <v>-1</v>
      </c>
      <c r="CB58" s="44">
        <f>IF(AX58=-1,-1,MAX(BP332:BR334))</f>
        <v>-1</v>
      </c>
      <c r="CC58" s="45">
        <f>IF(AY58=-1,-1,MAX(BS332:BU334))</f>
        <v>-1</v>
      </c>
      <c r="CD58" s="47">
        <f>IF(AZ58=-1,-1,MAX(BV332:BX334))</f>
        <v>-1</v>
      </c>
      <c r="CE58" s="46">
        <f>IF(BA58=-1,-1,MAX(BY332:CA334))</f>
        <v>-1</v>
      </c>
      <c r="CF58" s="45">
        <f>IF(BB58=-1,-1,MAX(CB332:CD334))</f>
        <v>-1</v>
      </c>
      <c r="CG58" s="47">
        <f>IF(BC58=-1,-1,MAX(CE332:CG334))</f>
        <v>-1</v>
      </c>
      <c r="CH58" s="46">
        <f>IF(BD58=-1,-1,MAX(CH332:CJ334))</f>
        <v>-1</v>
      </c>
      <c r="CI58" s="45">
        <f>IF(BE58=-1,-1,MAX(CK332:CM334))</f>
        <v>0</v>
      </c>
      <c r="CJ58" s="48">
        <f>IF(BF58=-1,-1,MAX(CN332:CP334))</f>
        <v>-1</v>
      </c>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row>
    <row r="59" spans="1:179" ht="15" customHeight="1">
      <c r="A59" s="142"/>
      <c r="B59" s="16">
        <v>4</v>
      </c>
      <c r="C59" s="17">
        <v>8</v>
      </c>
      <c r="D59" s="18">
        <v>3</v>
      </c>
      <c r="E59" s="19" t="s">
        <v>32</v>
      </c>
      <c r="F59" s="17" t="s">
        <v>32</v>
      </c>
      <c r="G59" s="18" t="s">
        <v>32</v>
      </c>
      <c r="H59" s="19" t="s">
        <v>32</v>
      </c>
      <c r="I59" s="17" t="s">
        <v>32</v>
      </c>
      <c r="J59" s="20" t="s">
        <v>32</v>
      </c>
      <c r="K59" s="16" t="s">
        <v>32</v>
      </c>
      <c r="L59" s="17" t="s">
        <v>32</v>
      </c>
      <c r="M59" s="18" t="s">
        <v>32</v>
      </c>
      <c r="N59" s="19" t="s">
        <v>32</v>
      </c>
      <c r="O59" s="17" t="s">
        <v>32</v>
      </c>
      <c r="P59" s="18" t="s">
        <v>32</v>
      </c>
      <c r="Q59" s="19" t="s">
        <v>32</v>
      </c>
      <c r="R59" s="17" t="s">
        <v>32</v>
      </c>
      <c r="S59" s="20" t="s">
        <v>32</v>
      </c>
      <c r="T59" s="16" t="s">
        <v>32</v>
      </c>
      <c r="U59" s="17" t="s">
        <v>32</v>
      </c>
      <c r="V59" s="18" t="s">
        <v>32</v>
      </c>
      <c r="W59" s="19" t="s">
        <v>32</v>
      </c>
      <c r="X59" s="17" t="s">
        <v>32</v>
      </c>
      <c r="Y59" s="18" t="s">
        <v>32</v>
      </c>
      <c r="Z59" s="19">
        <v>1</v>
      </c>
      <c r="AA59" s="17" t="s">
        <v>32</v>
      </c>
      <c r="AB59" s="20" t="s">
        <v>32</v>
      </c>
      <c r="AC59" s="142"/>
      <c r="AF59" s="49">
        <f>IF(COUNTIF(N152:P154,0)=8,SUM(N152:P154),IF(B92="x",-1,0))</f>
        <v>0</v>
      </c>
      <c r="AG59" s="50">
        <f>IF(COUNTIF(Q152:S154,0)=8,SUM(Q152:S154),IF(C92="x",-1,0))</f>
        <v>0</v>
      </c>
      <c r="AH59" s="51">
        <f>IF(COUNTIF(T152:V154,0)=8,SUM(T152:V154),IF(D92="x",-1,0))</f>
        <v>0</v>
      </c>
      <c r="AI59" s="52">
        <f>IF(COUNTIF(W152:Y154,0)=8,SUM(W152:Y154),IF(E92="x",-1,0))</f>
        <v>-1</v>
      </c>
      <c r="AJ59" s="50">
        <f>IF(COUNTIF(Z152:AB154,0)=8,SUM(Z152:AB154),IF(F92="x",-1,0))</f>
        <v>-1</v>
      </c>
      <c r="AK59" s="51">
        <f>IF(COUNTIF(AC152:AE154,0)=8,SUM(AC152:AE154),IF(G92="x",-1,0))</f>
        <v>-1</v>
      </c>
      <c r="AL59" s="52">
        <f>IF(COUNTIF(AF152:AH154,0)=8,SUM(AF152:AH154),IF(H92="x",-1,0))</f>
        <v>-1</v>
      </c>
      <c r="AM59" s="50">
        <f>IF(COUNTIF(AI152:AK154,0)=8,SUM(AI152:AK154),IF(I92="x",-1,0))</f>
        <v>-1</v>
      </c>
      <c r="AN59" s="53">
        <f>IF(COUNTIF(AL152:AN154,0)=8,SUM(AL152:AN154),IF(J92="x",-1,0))</f>
        <v>-1</v>
      </c>
      <c r="AO59" s="49">
        <f>IF(COUNTIF(AO152:AQ154,0)=8,SUM(AO152:AQ154),IF(K92="x",-1,0))</f>
        <v>-1</v>
      </c>
      <c r="AP59" s="50">
        <f>IF(COUNTIF(AR152:AT154,0)=8,SUM(AR152:AT154),IF(L92="x",-1,0))</f>
        <v>-1</v>
      </c>
      <c r="AQ59" s="51">
        <f>IF(COUNTIF(AU152:AW154,0)=8,SUM(AU152:AW154),IF(M92="x",-1,0))</f>
        <v>-1</v>
      </c>
      <c r="AR59" s="52">
        <f>IF(COUNTIF(AX152:AZ154,0)=8,SUM(AX152:AZ154),IF(N92="x",-1,0))</f>
        <v>-1</v>
      </c>
      <c r="AS59" s="50">
        <f>IF(COUNTIF(BA152:BC154,0)=8,SUM(BA152:BC154),IF(O92="x",-1,0))</f>
        <v>-1</v>
      </c>
      <c r="AT59" s="51">
        <f>IF(COUNTIF(BD152:BF154,0)=8,SUM(BD152:BF154),IF(P92="x",-1,0))</f>
        <v>-1</v>
      </c>
      <c r="AU59" s="52">
        <f>IF(COUNTIF(BG152:BI154,0)=8,SUM(BG152:BI154),IF(Q92="x",-1,0))</f>
        <v>-1</v>
      </c>
      <c r="AV59" s="50">
        <f>IF(COUNTIF(BJ152:BL154,0)=8,SUM(BJ152:BL154),IF(R92="x",-1,0))</f>
        <v>-1</v>
      </c>
      <c r="AW59" s="53">
        <f>IF(COUNTIF(BM152:BO154,0)=8,SUM(BM152:BO154),IF(S92="x",-1,0))</f>
        <v>-1</v>
      </c>
      <c r="AX59" s="49">
        <f>IF(COUNTIF(BP152:BR154,0)=8,SUM(BP152:BR154),IF(T92="x",-1,0))</f>
        <v>-1</v>
      </c>
      <c r="AY59" s="50">
        <f>IF(COUNTIF(BS152:BU154,0)=8,SUM(BS152:BU154),IF(U92="x",-1,0))</f>
        <v>-1</v>
      </c>
      <c r="AZ59" s="51">
        <f>IF(COUNTIF(BV152:BX154,0)=8,SUM(BV152:BX154),IF(V92="x",-1,0))</f>
        <v>-1</v>
      </c>
      <c r="BA59" s="52">
        <f>IF(COUNTIF(BY152:CA154,0)=8,SUM(BY152:CA154),IF(W92="x",-1,0))</f>
        <v>-1</v>
      </c>
      <c r="BB59" s="50">
        <f>IF(COUNTIF(CB152:CD154,0)=8,SUM(CB152:CD154),IF(X92="x",-1,0))</f>
        <v>-1</v>
      </c>
      <c r="BC59" s="51">
        <f>IF(COUNTIF(CE152:CG154,0)=8,SUM(CE152:CG154),IF(Y92="x",-1,0))</f>
        <v>-1</v>
      </c>
      <c r="BD59" s="52">
        <f>IF(COUNTIF(CH152:CJ154,0)=8,SUM(CH152:CJ154),IF(Z92="x",-1,0))</f>
        <v>0</v>
      </c>
      <c r="BE59" s="50">
        <f>IF(COUNTIF(CK152:CM154,0)=8,SUM(CK152:CM154),IF(AA92="x",-1,0))</f>
        <v>-1</v>
      </c>
      <c r="BF59" s="53">
        <f>IF(COUNTIF(CN152:CP154,0)=8,SUM(CN152:CP154),IF(AB92="x",-1,0))</f>
        <v>-1</v>
      </c>
      <c r="BJ59" s="49">
        <f>IF(AF59=-1,-1,MAX(N335:P337))</f>
        <v>0</v>
      </c>
      <c r="BK59" s="50">
        <f>IF(AG59=-1,-1,MAX(Q335:S337))</f>
        <v>0</v>
      </c>
      <c r="BL59" s="51">
        <f>IF(AH59=-1,-1,MAX(T335:V337))</f>
        <v>0</v>
      </c>
      <c r="BM59" s="52">
        <f>IF(AI59=-1,-1,MAX(W335:Y337))</f>
        <v>-1</v>
      </c>
      <c r="BN59" s="50">
        <f>IF(AJ59=-1,-1,MAX(Z335:AB337))</f>
        <v>-1</v>
      </c>
      <c r="BO59" s="51">
        <f>IF(AK59=-1,-1,MAX(AC335:AE337))</f>
        <v>-1</v>
      </c>
      <c r="BP59" s="52">
        <f>IF(AL59=-1,-1,MAX(AF335:AH337))</f>
        <v>-1</v>
      </c>
      <c r="BQ59" s="50">
        <f>IF(AM59=-1,-1,MAX(AI335:AK337))</f>
        <v>-1</v>
      </c>
      <c r="BR59" s="53">
        <f>IF(AN59=-1,-1,MAX(AL335:AN337))</f>
        <v>-1</v>
      </c>
      <c r="BS59" s="49">
        <f>IF(AO59=-1,-1,MAX(AO335:AQ337))</f>
        <v>-1</v>
      </c>
      <c r="BT59" s="50">
        <f>IF(AP59=-1,-1,MAX(AR335:AT337))</f>
        <v>-1</v>
      </c>
      <c r="BU59" s="51">
        <f>IF(AQ59=-1,-1,MAX(AU335:AW337))</f>
        <v>-1</v>
      </c>
      <c r="BV59" s="52">
        <f>IF(AR59=-1,-1,MAX(AX335:AZ337))</f>
        <v>-1</v>
      </c>
      <c r="BW59" s="50">
        <f>IF(AS59=-1,-1,MAX(BA335:BC337))</f>
        <v>-1</v>
      </c>
      <c r="BX59" s="51">
        <f>IF(AT59=-1,-1,MAX(BD335:BF337))</f>
        <v>-1</v>
      </c>
      <c r="BY59" s="52">
        <f>IF(AU59=-1,-1,MAX(BG335:BI337))</f>
        <v>-1</v>
      </c>
      <c r="BZ59" s="50">
        <f>IF(AV59=-1,-1,MAX(BJ335:BL337))</f>
        <v>-1</v>
      </c>
      <c r="CA59" s="53">
        <f>IF(AW59=-1,-1,MAX(BM335:BO337))</f>
        <v>-1</v>
      </c>
      <c r="CB59" s="49">
        <f>IF(AX59=-1,-1,MAX(BP335:BR337))</f>
        <v>-1</v>
      </c>
      <c r="CC59" s="50">
        <f>IF(AY59=-1,-1,MAX(BS335:BU337))</f>
        <v>-1</v>
      </c>
      <c r="CD59" s="51">
        <f>IF(AZ59=-1,-1,MAX(BV335:BX337))</f>
        <v>-1</v>
      </c>
      <c r="CE59" s="52">
        <f>IF(BA59=-1,-1,MAX(BY335:CA337))</f>
        <v>-1</v>
      </c>
      <c r="CF59" s="50">
        <f>IF(BB59=-1,-1,MAX(CB335:CD337))</f>
        <v>-1</v>
      </c>
      <c r="CG59" s="51">
        <f>IF(BC59=-1,-1,MAX(CE335:CG337))</f>
        <v>-1</v>
      </c>
      <c r="CH59" s="52">
        <f>IF(BD59=-1,-1,MAX(CH335:CJ337))</f>
        <v>0</v>
      </c>
      <c r="CI59" s="50">
        <f>IF(BE59=-1,-1,MAX(CK335:CM337))</f>
        <v>-1</v>
      </c>
      <c r="CJ59" s="53">
        <f>IF(BF59=-1,-1,MAX(CN335:CP337))</f>
        <v>-1</v>
      </c>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row>
    <row r="60" spans="1:179" ht="15" customHeight="1">
      <c r="A60" s="142"/>
      <c r="B60" s="11" t="s">
        <v>32</v>
      </c>
      <c r="C60" s="7" t="s">
        <v>32</v>
      </c>
      <c r="D60" s="205">
        <v>9</v>
      </c>
      <c r="E60" s="8" t="s">
        <v>32</v>
      </c>
      <c r="F60" s="7" t="s">
        <v>32</v>
      </c>
      <c r="G60" s="9" t="s">
        <v>32</v>
      </c>
      <c r="H60" s="8" t="s">
        <v>32</v>
      </c>
      <c r="I60" s="7" t="s">
        <v>32</v>
      </c>
      <c r="J60" s="10" t="s">
        <v>32</v>
      </c>
      <c r="K60" s="11" t="s">
        <v>32</v>
      </c>
      <c r="L60" s="7" t="s">
        <v>32</v>
      </c>
      <c r="M60" s="9" t="s">
        <v>32</v>
      </c>
      <c r="N60" s="8" t="s">
        <v>32</v>
      </c>
      <c r="O60" s="7" t="s">
        <v>32</v>
      </c>
      <c r="P60" s="9" t="s">
        <v>32</v>
      </c>
      <c r="Q60" s="8" t="s">
        <v>32</v>
      </c>
      <c r="R60" s="7" t="s">
        <v>32</v>
      </c>
      <c r="S60" s="10" t="s">
        <v>32</v>
      </c>
      <c r="T60" s="11" t="s">
        <v>32</v>
      </c>
      <c r="U60" s="7" t="s">
        <v>32</v>
      </c>
      <c r="V60" s="9" t="s">
        <v>32</v>
      </c>
      <c r="W60" s="8" t="s">
        <v>32</v>
      </c>
      <c r="X60" s="7" t="s">
        <v>32</v>
      </c>
      <c r="Y60" s="9" t="s">
        <v>32</v>
      </c>
      <c r="Z60" s="8" t="s">
        <v>32</v>
      </c>
      <c r="AA60" s="7" t="s">
        <v>32</v>
      </c>
      <c r="AB60" s="10" t="s">
        <v>32</v>
      </c>
      <c r="AC60" s="142"/>
      <c r="AF60" s="43">
        <f>IF(COUNTIF(N155:P157,0)=8,SUM(N155:P157),IF(B93="x",-1,0))</f>
        <v>-1</v>
      </c>
      <c r="AG60" s="39">
        <f>IF(COUNTIF(Q155:S157,0)=8,SUM(Q155:S157),IF(C93="x",-1,0))</f>
        <v>-1</v>
      </c>
      <c r="AH60" s="41">
        <f>IF(COUNTIF(T155:V157,0)=8,SUM(T155:V157),IF(D93="x",-1,0))</f>
        <v>0</v>
      </c>
      <c r="AI60" s="40">
        <f>IF(COUNTIF(W155:Y157,0)=8,SUM(W155:Y157),IF(E93="x",-1,0))</f>
        <v>-1</v>
      </c>
      <c r="AJ60" s="39">
        <f>IF(COUNTIF(Z155:AB157,0)=8,SUM(Z155:AB157),IF(F93="x",-1,0))</f>
        <v>-1</v>
      </c>
      <c r="AK60" s="41">
        <f>IF(COUNTIF(AC155:AE157,0)=8,SUM(AC155:AE157),IF(G93="x",-1,0))</f>
        <v>-1</v>
      </c>
      <c r="AL60" s="40">
        <f>IF(COUNTIF(AF155:AH157,0)=8,SUM(AF155:AH157),IF(H93="x",-1,0))</f>
        <v>-1</v>
      </c>
      <c r="AM60" s="39">
        <f>IF(COUNTIF(AI155:AK157,0)=8,SUM(AI155:AK157),IF(I93="x",-1,0))</f>
        <v>-1</v>
      </c>
      <c r="AN60" s="42">
        <f>IF(COUNTIF(AL155:AN157,0)=8,SUM(AL155:AN157),IF(J93="x",-1,0))</f>
        <v>-1</v>
      </c>
      <c r="AO60" s="43">
        <f>IF(COUNTIF(AO155:AQ157,0)=8,SUM(AO155:AQ157),IF(K93="x",-1,0))</f>
        <v>-1</v>
      </c>
      <c r="AP60" s="39">
        <f>IF(COUNTIF(AR155:AT157,0)=8,SUM(AR155:AT157),IF(L93="x",-1,0))</f>
        <v>-1</v>
      </c>
      <c r="AQ60" s="41">
        <f>IF(COUNTIF(AU155:AW157,0)=8,SUM(AU155:AW157),IF(M93="x",-1,0))</f>
        <v>-1</v>
      </c>
      <c r="AR60" s="40">
        <f>IF(COUNTIF(AX155:AZ157,0)=8,SUM(AX155:AZ157),IF(N93="x",-1,0))</f>
        <v>-1</v>
      </c>
      <c r="AS60" s="39">
        <f>IF(COUNTIF(BA155:BC157,0)=8,SUM(BA155:BC157),IF(O93="x",-1,0))</f>
        <v>-1</v>
      </c>
      <c r="AT60" s="41">
        <f>IF(COUNTIF(BD155:BF157,0)=8,SUM(BD155:BF157),IF(P93="x",-1,0))</f>
        <v>-1</v>
      </c>
      <c r="AU60" s="40">
        <f>IF(COUNTIF(BG155:BI157,0)=8,SUM(BG155:BI157),IF(Q93="x",-1,0))</f>
        <v>-1</v>
      </c>
      <c r="AV60" s="39">
        <f>IF(COUNTIF(BJ155:BL157,0)=8,SUM(BJ155:BL157),IF(R93="x",-1,0))</f>
        <v>-1</v>
      </c>
      <c r="AW60" s="42">
        <f>IF(COUNTIF(BM155:BO157,0)=8,SUM(BM155:BO157),IF(S93="x",-1,0))</f>
        <v>-1</v>
      </c>
      <c r="AX60" s="43">
        <f>IF(COUNTIF(BP155:BR157,0)=8,SUM(BP155:BR157),IF(T93="x",-1,0))</f>
        <v>-1</v>
      </c>
      <c r="AY60" s="39">
        <f>IF(COUNTIF(BS155:BU157,0)=8,SUM(BS155:BU157),IF(U93="x",-1,0))</f>
        <v>-1</v>
      </c>
      <c r="AZ60" s="41">
        <f>IF(COUNTIF(BV155:BX157,0)=8,SUM(BV155:BX157),IF(V93="x",-1,0))</f>
        <v>-1</v>
      </c>
      <c r="BA60" s="40">
        <f>IF(COUNTIF(BY155:CA157,0)=8,SUM(BY155:CA157),IF(W93="x",-1,0))</f>
        <v>-1</v>
      </c>
      <c r="BB60" s="39">
        <f>IF(COUNTIF(CB155:CD157,0)=8,SUM(CB155:CD157),IF(X93="x",-1,0))</f>
        <v>-1</v>
      </c>
      <c r="BC60" s="41">
        <f>IF(COUNTIF(CE155:CG157,0)=8,SUM(CE155:CG157),IF(Y93="x",-1,0))</f>
        <v>-1</v>
      </c>
      <c r="BD60" s="40">
        <f>IF(COUNTIF(CH155:CJ157,0)=8,SUM(CH155:CJ157),IF(Z93="x",-1,0))</f>
        <v>-1</v>
      </c>
      <c r="BE60" s="39">
        <f>IF(COUNTIF(CK155:CM157,0)=8,SUM(CK155:CM157),IF(AA93="x",-1,0))</f>
        <v>-1</v>
      </c>
      <c r="BF60" s="42">
        <f>IF(COUNTIF(CN155:CP157,0)=8,SUM(CN155:CP157),IF(AB93="x",-1,0))</f>
        <v>-1</v>
      </c>
      <c r="BJ60" s="43">
        <f>IF(AF60=-1,-1,MAX(N338:P340))</f>
        <v>-1</v>
      </c>
      <c r="BK60" s="39">
        <f>IF(AG60=-1,-1,MAX(Q338:S340))</f>
        <v>-1</v>
      </c>
      <c r="BL60" s="41">
        <f>IF(AH60=-1,-1,MAX(T338:V340))</f>
        <v>0</v>
      </c>
      <c r="BM60" s="40">
        <f>IF(AI60=-1,-1,MAX(W338:Y340))</f>
        <v>-1</v>
      </c>
      <c r="BN60" s="39">
        <f>IF(AJ60=-1,-1,MAX(Z338:AB340))</f>
        <v>-1</v>
      </c>
      <c r="BO60" s="41">
        <f>IF(AK60=-1,-1,MAX(AC338:AE340))</f>
        <v>-1</v>
      </c>
      <c r="BP60" s="40">
        <f>IF(AL60=-1,-1,MAX(AF338:AH340))</f>
        <v>-1</v>
      </c>
      <c r="BQ60" s="39">
        <f>IF(AM60=-1,-1,MAX(AI338:AK340))</f>
        <v>-1</v>
      </c>
      <c r="BR60" s="42">
        <f>IF(AN60=-1,-1,MAX(AL338:AN340))</f>
        <v>-1</v>
      </c>
      <c r="BS60" s="43">
        <f>IF(AO60=-1,-1,MAX(AO338:AQ340))</f>
        <v>-1</v>
      </c>
      <c r="BT60" s="39">
        <f>IF(AP60=-1,-1,MAX(AR338:AT340))</f>
        <v>-1</v>
      </c>
      <c r="BU60" s="41">
        <f>IF(AQ60=-1,-1,MAX(AU338:AW340))</f>
        <v>-1</v>
      </c>
      <c r="BV60" s="40">
        <f>IF(AR60=-1,-1,MAX(AX338:AZ340))</f>
        <v>-1</v>
      </c>
      <c r="BW60" s="39">
        <f>IF(AS60=-1,-1,MAX(BA338:BC340))</f>
        <v>-1</v>
      </c>
      <c r="BX60" s="41">
        <f>IF(AT60=-1,-1,MAX(BD338:BF340))</f>
        <v>-1</v>
      </c>
      <c r="BY60" s="40">
        <f>IF(AU60=-1,-1,MAX(BG338:BI340))</f>
        <v>-1</v>
      </c>
      <c r="BZ60" s="39">
        <f>IF(AV60=-1,-1,MAX(BJ338:BL340))</f>
        <v>-1</v>
      </c>
      <c r="CA60" s="42">
        <f>IF(AW60=-1,-1,MAX(BM338:BO340))</f>
        <v>-1</v>
      </c>
      <c r="CB60" s="43">
        <f>IF(AX60=-1,-1,MAX(BP338:BR340))</f>
        <v>-1</v>
      </c>
      <c r="CC60" s="39">
        <f>IF(AY60=-1,-1,MAX(BS338:BU340))</f>
        <v>-1</v>
      </c>
      <c r="CD60" s="41">
        <f>IF(AZ60=-1,-1,MAX(BV338:BX340))</f>
        <v>-1</v>
      </c>
      <c r="CE60" s="40">
        <f>IF(BA60=-1,-1,MAX(BY338:CA340))</f>
        <v>-1</v>
      </c>
      <c r="CF60" s="39">
        <f>IF(BB60=-1,-1,MAX(CB338:CD340))</f>
        <v>-1</v>
      </c>
      <c r="CG60" s="41">
        <f>IF(BC60=-1,-1,MAX(CE338:CG340))</f>
        <v>-1</v>
      </c>
      <c r="CH60" s="40">
        <f>IF(BD60=-1,-1,MAX(CH338:CJ340))</f>
        <v>-1</v>
      </c>
      <c r="CI60" s="39">
        <f>IF(BE60=-1,-1,MAX(CK338:CM340))</f>
        <v>-1</v>
      </c>
      <c r="CJ60" s="42">
        <f>IF(BF60=-1,-1,MAX(CN338:CP340))</f>
        <v>-1</v>
      </c>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row>
    <row r="61" spans="1:179" ht="15" customHeight="1" thickBot="1">
      <c r="A61" s="142"/>
      <c r="B61" s="21" t="s">
        <v>32</v>
      </c>
      <c r="C61" s="22" t="s">
        <v>32</v>
      </c>
      <c r="D61" s="23" t="s">
        <v>32</v>
      </c>
      <c r="E61" s="24" t="s">
        <v>32</v>
      </c>
      <c r="F61" s="22" t="s">
        <v>32</v>
      </c>
      <c r="G61" s="23" t="s">
        <v>32</v>
      </c>
      <c r="H61" s="24" t="s">
        <v>32</v>
      </c>
      <c r="I61" s="22" t="s">
        <v>32</v>
      </c>
      <c r="J61" s="25" t="s">
        <v>32</v>
      </c>
      <c r="K61" s="21" t="s">
        <v>32</v>
      </c>
      <c r="L61" s="22" t="s">
        <v>32</v>
      </c>
      <c r="M61" s="23" t="s">
        <v>32</v>
      </c>
      <c r="N61" s="24" t="s">
        <v>32</v>
      </c>
      <c r="O61" s="22" t="s">
        <v>32</v>
      </c>
      <c r="P61" s="23" t="s">
        <v>32</v>
      </c>
      <c r="Q61" s="24" t="s">
        <v>32</v>
      </c>
      <c r="R61" s="22" t="s">
        <v>32</v>
      </c>
      <c r="S61" s="25" t="s">
        <v>32</v>
      </c>
      <c r="T61" s="21" t="s">
        <v>32</v>
      </c>
      <c r="U61" s="22" t="s">
        <v>32</v>
      </c>
      <c r="V61" s="23" t="s">
        <v>32</v>
      </c>
      <c r="W61" s="24" t="s">
        <v>32</v>
      </c>
      <c r="X61" s="22" t="s">
        <v>32</v>
      </c>
      <c r="Y61" s="23" t="s">
        <v>32</v>
      </c>
      <c r="Z61" s="24" t="s">
        <v>32</v>
      </c>
      <c r="AA61" s="22" t="s">
        <v>32</v>
      </c>
      <c r="AB61" s="25" t="s">
        <v>32</v>
      </c>
      <c r="AC61" s="142"/>
      <c r="AF61" s="54">
        <f>IF(COUNTIF(N158:P160,0)=8,SUM(N158:P160),IF(B94="x",-1,0))</f>
        <v>-1</v>
      </c>
      <c r="AG61" s="55">
        <f>IF(COUNTIF(Q158:S160,0)=8,SUM(Q158:S160),IF(C94="x",-1,0))</f>
        <v>-1</v>
      </c>
      <c r="AH61" s="56">
        <f>IF(COUNTIF(T158:V160,0)=8,SUM(T158:V160),IF(D94="x",-1,0))</f>
        <v>-1</v>
      </c>
      <c r="AI61" s="57">
        <f>IF(COUNTIF(W158:Y160,0)=8,SUM(W158:Y160),IF(E94="x",-1,0))</f>
        <v>-1</v>
      </c>
      <c r="AJ61" s="55">
        <f>IF(COUNTIF(Z158:AB160,0)=8,SUM(Z158:AB160),IF(F94="x",-1,0))</f>
        <v>-1</v>
      </c>
      <c r="AK61" s="56">
        <f>IF(COUNTIF(AC158:AE160,0)=8,SUM(AC158:AE160),IF(G94="x",-1,0))</f>
        <v>-1</v>
      </c>
      <c r="AL61" s="57">
        <f>IF(COUNTIF(AF158:AH160,0)=8,SUM(AF158:AH160),IF(H94="x",-1,0))</f>
        <v>-1</v>
      </c>
      <c r="AM61" s="55">
        <f>IF(COUNTIF(AI158:AK160,0)=8,SUM(AI158:AK160),IF(I94="x",-1,0))</f>
        <v>-1</v>
      </c>
      <c r="AN61" s="58">
        <f>IF(COUNTIF(AL158:AN160,0)=8,SUM(AL158:AN160),IF(J94="x",-1,0))</f>
        <v>-1</v>
      </c>
      <c r="AO61" s="54">
        <f>IF(COUNTIF(AO158:AQ160,0)=8,SUM(AO158:AQ160),IF(K94="x",-1,0))</f>
        <v>-1</v>
      </c>
      <c r="AP61" s="55">
        <f>IF(COUNTIF(AR158:AT160,0)=8,SUM(AR158:AT160),IF(L94="x",-1,0))</f>
        <v>-1</v>
      </c>
      <c r="AQ61" s="56">
        <f>IF(COUNTIF(AU158:AW160,0)=8,SUM(AU158:AW160),IF(M94="x",-1,0))</f>
        <v>-1</v>
      </c>
      <c r="AR61" s="57">
        <f>IF(COUNTIF(AX158:AZ160,0)=8,SUM(AX158:AZ160),IF(N94="x",-1,0))</f>
        <v>-1</v>
      </c>
      <c r="AS61" s="55">
        <f>IF(COUNTIF(BA158:BC160,0)=8,SUM(BA158:BC160),IF(O94="x",-1,0))</f>
        <v>-1</v>
      </c>
      <c r="AT61" s="56">
        <f>IF(COUNTIF(BD158:BF160,0)=8,SUM(BD158:BF160),IF(P94="x",-1,0))</f>
        <v>-1</v>
      </c>
      <c r="AU61" s="57">
        <f>IF(COUNTIF(BG158:BI160,0)=8,SUM(BG158:BI160),IF(Q94="x",-1,0))</f>
        <v>-1</v>
      </c>
      <c r="AV61" s="55">
        <f>IF(COUNTIF(BJ158:BL160,0)=8,SUM(BJ158:BL160),IF(R94="x",-1,0))</f>
        <v>-1</v>
      </c>
      <c r="AW61" s="58">
        <f>IF(COUNTIF(BM158:BO160,0)=8,SUM(BM158:BO160),IF(S94="x",-1,0))</f>
        <v>-1</v>
      </c>
      <c r="AX61" s="54">
        <f>IF(COUNTIF(BP158:BR160,0)=8,SUM(BP158:BR160),IF(T94="x",-1,0))</f>
        <v>-1</v>
      </c>
      <c r="AY61" s="55">
        <f>IF(COUNTIF(BS158:BU160,0)=8,SUM(BS158:BU160),IF(U94="x",-1,0))</f>
        <v>-1</v>
      </c>
      <c r="AZ61" s="56">
        <f>IF(COUNTIF(BV158:BX160,0)=8,SUM(BV158:BX160),IF(V94="x",-1,0))</f>
        <v>-1</v>
      </c>
      <c r="BA61" s="57">
        <f>IF(COUNTIF(BY158:CA160,0)=8,SUM(BY158:CA160),IF(W94="x",-1,0))</f>
        <v>-1</v>
      </c>
      <c r="BB61" s="55">
        <f>IF(COUNTIF(CB158:CD160,0)=8,SUM(CB158:CD160),IF(X94="x",-1,0))</f>
        <v>-1</v>
      </c>
      <c r="BC61" s="56">
        <f>IF(COUNTIF(CE158:CG160,0)=8,SUM(CE158:CG160),IF(Y94="x",-1,0))</f>
        <v>-1</v>
      </c>
      <c r="BD61" s="57">
        <f>IF(COUNTIF(CH158:CJ160,0)=8,SUM(CH158:CJ160),IF(Z94="x",-1,0))</f>
        <v>-1</v>
      </c>
      <c r="BE61" s="55">
        <f>IF(COUNTIF(CK158:CM160,0)=8,SUM(CK158:CM160),IF(AA94="x",-1,0))</f>
        <v>-1</v>
      </c>
      <c r="BF61" s="58">
        <f>IF(COUNTIF(CN158:CP160,0)=8,SUM(CN158:CP160),IF(AB94="x",-1,0))</f>
        <v>-1</v>
      </c>
      <c r="BJ61" s="54">
        <f>IF(AF61=-1,-1,MAX(N341:P343))</f>
        <v>-1</v>
      </c>
      <c r="BK61" s="55">
        <f>IF(AG61=-1,-1,MAX(Q341:S343))</f>
        <v>-1</v>
      </c>
      <c r="BL61" s="56">
        <f>IF(AH61=-1,-1,MAX(T341:V343))</f>
        <v>-1</v>
      </c>
      <c r="BM61" s="57">
        <f>IF(AI61=-1,-1,MAX(W341:Y343))</f>
        <v>-1</v>
      </c>
      <c r="BN61" s="55">
        <f>IF(AJ61=-1,-1,MAX(Z341:AB343))</f>
        <v>-1</v>
      </c>
      <c r="BO61" s="56">
        <f>IF(AK61=-1,-1,MAX(AC341:AE343))</f>
        <v>-1</v>
      </c>
      <c r="BP61" s="57">
        <f>IF(AL61=-1,-1,MAX(AF341:AH343))</f>
        <v>-1</v>
      </c>
      <c r="BQ61" s="55">
        <f>IF(AM61=-1,-1,MAX(AI341:AK343))</f>
        <v>-1</v>
      </c>
      <c r="BR61" s="58">
        <f>IF(AN61=-1,-1,MAX(AL341:AN343))</f>
        <v>-1</v>
      </c>
      <c r="BS61" s="54">
        <f>IF(AO61=-1,-1,MAX(AO341:AQ343))</f>
        <v>-1</v>
      </c>
      <c r="BT61" s="55">
        <f>IF(AP61=-1,-1,MAX(AR341:AT343))</f>
        <v>-1</v>
      </c>
      <c r="BU61" s="56">
        <f>IF(AQ61=-1,-1,MAX(AU341:AW343))</f>
        <v>-1</v>
      </c>
      <c r="BV61" s="57">
        <f>IF(AR61=-1,-1,MAX(AX341:AZ343))</f>
        <v>-1</v>
      </c>
      <c r="BW61" s="55">
        <f>IF(AS61=-1,-1,MAX(BA341:BC343))</f>
        <v>-1</v>
      </c>
      <c r="BX61" s="56">
        <f>IF(AT61=-1,-1,MAX(BD341:BF343))</f>
        <v>-1</v>
      </c>
      <c r="BY61" s="57">
        <f>IF(AU61=-1,-1,MAX(BG341:BI343))</f>
        <v>-1</v>
      </c>
      <c r="BZ61" s="55">
        <f>IF(AV61=-1,-1,MAX(BJ341:BL343))</f>
        <v>-1</v>
      </c>
      <c r="CA61" s="58">
        <f>IF(AW61=-1,-1,MAX(BM341:BO343))</f>
        <v>-1</v>
      </c>
      <c r="CB61" s="54">
        <f>IF(AX61=-1,-1,MAX(BP341:BR343))</f>
        <v>-1</v>
      </c>
      <c r="CC61" s="55">
        <f>IF(AY61=-1,-1,MAX(BS341:BU343))</f>
        <v>-1</v>
      </c>
      <c r="CD61" s="56">
        <f>IF(AZ61=-1,-1,MAX(BV341:BX343))</f>
        <v>-1</v>
      </c>
      <c r="CE61" s="57">
        <f>IF(BA61=-1,-1,MAX(BY341:CA343))</f>
        <v>-1</v>
      </c>
      <c r="CF61" s="55">
        <f>IF(BB61=-1,-1,MAX(CB341:CD343))</f>
        <v>-1</v>
      </c>
      <c r="CG61" s="56">
        <f>IF(BC61=-1,-1,MAX(CE341:CG343))</f>
        <v>-1</v>
      </c>
      <c r="CH61" s="57">
        <f>IF(BD61=-1,-1,MAX(CH341:CJ343))</f>
        <v>-1</v>
      </c>
      <c r="CI61" s="55">
        <f>IF(BE61=-1,-1,MAX(CK341:CM343))</f>
        <v>-1</v>
      </c>
      <c r="CJ61" s="58">
        <f>IF(BF61=-1,-1,MAX(CN341:CP343))</f>
        <v>-1</v>
      </c>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row>
    <row r="62" spans="1:179" ht="15" customHeight="1">
      <c r="A62" s="142"/>
      <c r="B62" s="2" t="s">
        <v>32</v>
      </c>
      <c r="C62" s="5" t="s">
        <v>32</v>
      </c>
      <c r="D62" s="3" t="s">
        <v>32</v>
      </c>
      <c r="E62" s="4" t="s">
        <v>32</v>
      </c>
      <c r="F62" s="5" t="s">
        <v>32</v>
      </c>
      <c r="G62" s="3" t="s">
        <v>32</v>
      </c>
      <c r="H62" s="4" t="s">
        <v>32</v>
      </c>
      <c r="I62" s="5" t="s">
        <v>32</v>
      </c>
      <c r="J62" s="6" t="s">
        <v>32</v>
      </c>
      <c r="K62" s="2" t="s">
        <v>32</v>
      </c>
      <c r="L62" s="5" t="s">
        <v>32</v>
      </c>
      <c r="M62" s="3" t="s">
        <v>32</v>
      </c>
      <c r="N62" s="4" t="s">
        <v>32</v>
      </c>
      <c r="O62" s="5" t="s">
        <v>32</v>
      </c>
      <c r="P62" s="3" t="s">
        <v>32</v>
      </c>
      <c r="Q62" s="4" t="s">
        <v>32</v>
      </c>
      <c r="R62" s="5" t="s">
        <v>32</v>
      </c>
      <c r="S62" s="6" t="s">
        <v>32</v>
      </c>
      <c r="T62" s="2" t="s">
        <v>32</v>
      </c>
      <c r="U62" s="5" t="s">
        <v>32</v>
      </c>
      <c r="V62" s="3" t="s">
        <v>32</v>
      </c>
      <c r="W62" s="4" t="s">
        <v>32</v>
      </c>
      <c r="X62" s="5" t="s">
        <v>32</v>
      </c>
      <c r="Y62" s="3" t="s">
        <v>32</v>
      </c>
      <c r="Z62" s="4" t="s">
        <v>32</v>
      </c>
      <c r="AA62" s="5" t="s">
        <v>32</v>
      </c>
      <c r="AB62" s="6" t="s">
        <v>32</v>
      </c>
      <c r="AC62" s="142"/>
      <c r="AF62" s="251">
        <f>IF(COUNTIF(N161:P163,0)=8,SUM(N161:P163),IF(B95="x",-1,0))</f>
        <v>-1</v>
      </c>
      <c r="AG62" s="37">
        <f>IF(COUNTIF(Q161:S163,0)=8,SUM(Q161:S163),IF(C95="x",-1,0))</f>
        <v>-1</v>
      </c>
      <c r="AH62" s="35">
        <f>IF(COUNTIF(T161:V163,0)=8,SUM(T161:V163),IF(D95="x",-1,0))</f>
        <v>-1</v>
      </c>
      <c r="AI62" s="36">
        <f>IF(COUNTIF(W161:Y163,0)=8,SUM(W161:Y163),IF(E95="x",-1,0))</f>
        <v>-1</v>
      </c>
      <c r="AJ62" s="37">
        <f>IF(COUNTIF(Z161:AB163,0)=8,SUM(Z161:AB163),IF(F95="x",-1,0))</f>
        <v>-1</v>
      </c>
      <c r="AK62" s="35">
        <f>IF(COUNTIF(AC161:AE163,0)=8,SUM(AC161:AE163),IF(G95="x",-1,0))</f>
        <v>-1</v>
      </c>
      <c r="AL62" s="36">
        <f>IF(COUNTIF(AF161:AH163,0)=8,SUM(AF161:AH163),IF(H95="x",-1,0))</f>
        <v>-1</v>
      </c>
      <c r="AM62" s="37">
        <f>IF(COUNTIF(AI161:AK163,0)=8,SUM(AI161:AK163),IF(I95="x",-1,0))</f>
        <v>-1</v>
      </c>
      <c r="AN62" s="38">
        <f>IF(COUNTIF(AL161:AN163,0)=8,SUM(AL161:AN163),IF(J95="x",-1,0))</f>
        <v>-1</v>
      </c>
      <c r="AO62" s="251">
        <f>IF(COUNTIF(AO161:AQ163,0)=8,SUM(AO161:AQ163),IF(K95="x",-1,0))</f>
        <v>-1</v>
      </c>
      <c r="AP62" s="37">
        <f>IF(COUNTIF(AR161:AT163,0)=8,SUM(AR161:AT163),IF(L95="x",-1,0))</f>
        <v>-1</v>
      </c>
      <c r="AQ62" s="35">
        <f>IF(COUNTIF(AU161:AW163,0)=8,SUM(AU161:AW163),IF(M95="x",-1,0))</f>
        <v>-1</v>
      </c>
      <c r="AR62" s="36">
        <f>IF(COUNTIF(AX161:AZ163,0)=8,SUM(AX161:AZ163),IF(N95="x",-1,0))</f>
        <v>-1</v>
      </c>
      <c r="AS62" s="37">
        <f>IF(COUNTIF(BA161:BC163,0)=8,SUM(BA161:BC163),IF(O95="x",-1,0))</f>
        <v>-1</v>
      </c>
      <c r="AT62" s="35">
        <f>IF(COUNTIF(BD161:BF163,0)=8,SUM(BD161:BF163),IF(P95="x",-1,0))</f>
        <v>-1</v>
      </c>
      <c r="AU62" s="36">
        <f>IF(COUNTIF(BG161:BI163,0)=8,SUM(BG161:BI163),IF(Q95="x",-1,0))</f>
        <v>-1</v>
      </c>
      <c r="AV62" s="37">
        <f>IF(COUNTIF(BJ161:BL163,0)=8,SUM(BJ161:BL163),IF(R95="x",-1,0))</f>
        <v>-1</v>
      </c>
      <c r="AW62" s="38">
        <f>IF(COUNTIF(BM161:BO163,0)=8,SUM(BM161:BO163),IF(S95="x",-1,0))</f>
        <v>-1</v>
      </c>
      <c r="AX62" s="251">
        <f>IF(COUNTIF(BP161:BR163,0)=8,SUM(BP161:BR163),IF(T95="x",-1,0))</f>
        <v>-1</v>
      </c>
      <c r="AY62" s="37">
        <f>IF(COUNTIF(BS161:BU163,0)=8,SUM(BS161:BU163),IF(U95="x",-1,0))</f>
        <v>-1</v>
      </c>
      <c r="AZ62" s="35">
        <f>IF(COUNTIF(BV161:BX163,0)=8,SUM(BV161:BX163),IF(V95="x",-1,0))</f>
        <v>-1</v>
      </c>
      <c r="BA62" s="36">
        <f>IF(COUNTIF(BY161:CA163,0)=8,SUM(BY161:CA163),IF(W95="x",-1,0))</f>
        <v>-1</v>
      </c>
      <c r="BB62" s="37">
        <f>IF(COUNTIF(CB161:CD163,0)=8,SUM(CB161:CD163),IF(X95="x",-1,0))</f>
        <v>-1</v>
      </c>
      <c r="BC62" s="35">
        <f>IF(COUNTIF(CE161:CG163,0)=8,SUM(CE161:CG163),IF(Y95="x",-1,0))</f>
        <v>-1</v>
      </c>
      <c r="BD62" s="36">
        <f>IF(COUNTIF(CH161:CJ163,0)=8,SUM(CH161:CJ163),IF(Z95="x",-1,0))</f>
        <v>-1</v>
      </c>
      <c r="BE62" s="37">
        <f>IF(COUNTIF(CK161:CM163,0)=8,SUM(CK161:CM163),IF(AA95="x",-1,0))</f>
        <v>-1</v>
      </c>
      <c r="BF62" s="38">
        <f>IF(COUNTIF(CN161:CP163,0)=8,SUM(CN161:CP163),IF(AB95="x",-1,0))</f>
        <v>-1</v>
      </c>
      <c r="BJ62" s="251">
        <f>IF(AF62=-1,-1,MAX(N344:P346))</f>
        <v>-1</v>
      </c>
      <c r="BK62" s="37">
        <f>IF(AG62=-1,-1,MAX(Q344:S346))</f>
        <v>-1</v>
      </c>
      <c r="BL62" s="35">
        <f>IF(AH62=-1,-1,MAX(T344:V346))</f>
        <v>-1</v>
      </c>
      <c r="BM62" s="36">
        <f>IF(AI62=-1,-1,MAX(W344:Y346))</f>
        <v>-1</v>
      </c>
      <c r="BN62" s="37">
        <f>IF(AJ62=-1,-1,MAX(Z344:AB346))</f>
        <v>-1</v>
      </c>
      <c r="BO62" s="35">
        <f>IF(AK62=-1,-1,MAX(AC344:AE346))</f>
        <v>-1</v>
      </c>
      <c r="BP62" s="36">
        <f>IF(AL62=-1,-1,MAX(AF344:AH346))</f>
        <v>-1</v>
      </c>
      <c r="BQ62" s="37">
        <f>IF(AM62=-1,-1,MAX(AI344:AK346))</f>
        <v>-1</v>
      </c>
      <c r="BR62" s="38">
        <f>IF(AN62=-1,-1,MAX(AL344:AN346))</f>
        <v>-1</v>
      </c>
      <c r="BS62" s="251">
        <f>IF(AO62=-1,-1,MAX(AO344:AQ346))</f>
        <v>-1</v>
      </c>
      <c r="BT62" s="37">
        <f>IF(AP62=-1,-1,MAX(AR344:AT346))</f>
        <v>-1</v>
      </c>
      <c r="BU62" s="35">
        <f>IF(AQ62=-1,-1,MAX(AU344:AW346))</f>
        <v>-1</v>
      </c>
      <c r="BV62" s="36">
        <f>IF(AR62=-1,-1,MAX(AX344:AZ346))</f>
        <v>-1</v>
      </c>
      <c r="BW62" s="37">
        <f>IF(AS62=-1,-1,MAX(BA344:BC346))</f>
        <v>-1</v>
      </c>
      <c r="BX62" s="35">
        <f>IF(AT62=-1,-1,MAX(BD344:BF346))</f>
        <v>-1</v>
      </c>
      <c r="BY62" s="36">
        <f>IF(AU62=-1,-1,MAX(BG344:BI346))</f>
        <v>-1</v>
      </c>
      <c r="BZ62" s="37">
        <f>IF(AV62=-1,-1,MAX(BJ344:BL346))</f>
        <v>-1</v>
      </c>
      <c r="CA62" s="38">
        <f>IF(AW62=-1,-1,MAX(BM344:BO346))</f>
        <v>-1</v>
      </c>
      <c r="CB62" s="251">
        <f>IF(AX62=-1,-1,MAX(BP344:BR346))</f>
        <v>-1</v>
      </c>
      <c r="CC62" s="37">
        <f>IF(AY62=-1,-1,MAX(BS344:BU346))</f>
        <v>-1</v>
      </c>
      <c r="CD62" s="35">
        <f>IF(AZ62=-1,-1,MAX(BV344:BX346))</f>
        <v>-1</v>
      </c>
      <c r="CE62" s="36">
        <f>IF(BA62=-1,-1,MAX(BY344:CA346))</f>
        <v>-1</v>
      </c>
      <c r="CF62" s="37">
        <f>IF(BB62=-1,-1,MAX(CB344:CD346))</f>
        <v>-1</v>
      </c>
      <c r="CG62" s="35">
        <f>IF(BC62=-1,-1,MAX(CE344:CG346))</f>
        <v>-1</v>
      </c>
      <c r="CH62" s="36">
        <f>IF(BD62=-1,-1,MAX(CH344:CJ346))</f>
        <v>-1</v>
      </c>
      <c r="CI62" s="37">
        <f>IF(BE62=-1,-1,MAX(CK344:CM346))</f>
        <v>-1</v>
      </c>
      <c r="CJ62" s="38">
        <f>IF(BF62=-1,-1,MAX(CN344:CP346))</f>
        <v>-1</v>
      </c>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row>
    <row r="63" spans="1:179" ht="15" customHeight="1">
      <c r="A63" s="142"/>
      <c r="B63" s="11" t="s">
        <v>32</v>
      </c>
      <c r="C63" s="7" t="s">
        <v>32</v>
      </c>
      <c r="D63" s="9" t="s">
        <v>32</v>
      </c>
      <c r="E63" s="8" t="s">
        <v>32</v>
      </c>
      <c r="F63" s="7" t="s">
        <v>32</v>
      </c>
      <c r="G63" s="9" t="s">
        <v>32</v>
      </c>
      <c r="H63" s="8" t="s">
        <v>32</v>
      </c>
      <c r="I63" s="7" t="s">
        <v>32</v>
      </c>
      <c r="J63" s="10" t="s">
        <v>32</v>
      </c>
      <c r="K63" s="11" t="s">
        <v>32</v>
      </c>
      <c r="L63" s="7" t="s">
        <v>32</v>
      </c>
      <c r="M63" s="9" t="s">
        <v>32</v>
      </c>
      <c r="N63" s="8" t="s">
        <v>32</v>
      </c>
      <c r="O63" s="7" t="s">
        <v>32</v>
      </c>
      <c r="P63" s="9" t="s">
        <v>32</v>
      </c>
      <c r="Q63" s="8" t="s">
        <v>32</v>
      </c>
      <c r="R63" s="7" t="s">
        <v>32</v>
      </c>
      <c r="S63" s="10" t="s">
        <v>32</v>
      </c>
      <c r="T63" s="11" t="s">
        <v>32</v>
      </c>
      <c r="U63" s="7" t="s">
        <v>32</v>
      </c>
      <c r="V63" s="9" t="s">
        <v>32</v>
      </c>
      <c r="W63" s="8" t="s">
        <v>32</v>
      </c>
      <c r="X63" s="7" t="s">
        <v>32</v>
      </c>
      <c r="Y63" s="9" t="s">
        <v>32</v>
      </c>
      <c r="Z63" s="8" t="s">
        <v>32</v>
      </c>
      <c r="AA63" s="7" t="s">
        <v>32</v>
      </c>
      <c r="AB63" s="10" t="s">
        <v>32</v>
      </c>
      <c r="AC63" s="142"/>
      <c r="AF63" s="43">
        <f>IF(COUNTIF(N164:P166,0)=8,SUM(N164:P166),IF(B96="x",-1,0))</f>
        <v>-1</v>
      </c>
      <c r="AG63" s="39">
        <f>IF(COUNTIF(Q164:S166,0)=8,SUM(Q164:S166),IF(C96="x",-1,0))</f>
        <v>-1</v>
      </c>
      <c r="AH63" s="41">
        <f>IF(COUNTIF(T164:V166,0)=8,SUM(T164:V166),IF(D96="x",-1,0))</f>
        <v>-1</v>
      </c>
      <c r="AI63" s="40">
        <f>IF(COUNTIF(W164:Y166,0)=8,SUM(W164:Y166),IF(E96="x",-1,0))</f>
        <v>-1</v>
      </c>
      <c r="AJ63" s="39">
        <f>IF(COUNTIF(Z164:AB166,0)=8,SUM(Z164:AB166),IF(F96="x",-1,0))</f>
        <v>-1</v>
      </c>
      <c r="AK63" s="41">
        <f>IF(COUNTIF(AC164:AE166,0)=8,SUM(AC164:AE166),IF(G96="x",-1,0))</f>
        <v>-1</v>
      </c>
      <c r="AL63" s="40">
        <f>IF(COUNTIF(AF164:AH166,0)=8,SUM(AF164:AH166),IF(H96="x",-1,0))</f>
        <v>-1</v>
      </c>
      <c r="AM63" s="39">
        <f>IF(COUNTIF(AI164:AK166,0)=8,SUM(AI164:AK166),IF(I96="x",-1,0))</f>
        <v>-1</v>
      </c>
      <c r="AN63" s="42">
        <f>IF(COUNTIF(AL164:AN166,0)=8,SUM(AL164:AN166),IF(J96="x",-1,0))</f>
        <v>-1</v>
      </c>
      <c r="AO63" s="43">
        <f>IF(COUNTIF(AO164:AQ166,0)=8,SUM(AO164:AQ166),IF(K96="x",-1,0))</f>
        <v>-1</v>
      </c>
      <c r="AP63" s="39">
        <f>IF(COUNTIF(AR164:AT166,0)=8,SUM(AR164:AT166),IF(L96="x",-1,0))</f>
        <v>-1</v>
      </c>
      <c r="AQ63" s="41">
        <f>IF(COUNTIF(AU164:AW166,0)=8,SUM(AU164:AW166),IF(M96="x",-1,0))</f>
        <v>-1</v>
      </c>
      <c r="AR63" s="40">
        <f>IF(COUNTIF(AX164:AZ166,0)=8,SUM(AX164:AZ166),IF(N96="x",-1,0))</f>
        <v>-1</v>
      </c>
      <c r="AS63" s="39">
        <f>IF(COUNTIF(BA164:BC166,0)=8,SUM(BA164:BC166),IF(O96="x",-1,0))</f>
        <v>-1</v>
      </c>
      <c r="AT63" s="41">
        <f>IF(COUNTIF(BD164:BF166,0)=8,SUM(BD164:BF166),IF(P96="x",-1,0))</f>
        <v>-1</v>
      </c>
      <c r="AU63" s="40">
        <f>IF(COUNTIF(BG164:BI166,0)=8,SUM(BG164:BI166),IF(Q96="x",-1,0))</f>
        <v>-1</v>
      </c>
      <c r="AV63" s="39">
        <f>IF(COUNTIF(BJ164:BL166,0)=8,SUM(BJ164:BL166),IF(R96="x",-1,0))</f>
        <v>-1</v>
      </c>
      <c r="AW63" s="42">
        <f>IF(COUNTIF(BM164:BO166,0)=8,SUM(BM164:BO166),IF(S96="x",-1,0))</f>
        <v>-1</v>
      </c>
      <c r="AX63" s="43">
        <f>IF(COUNTIF(BP164:BR166,0)=8,SUM(BP164:BR166),IF(T96="x",-1,0))</f>
        <v>-1</v>
      </c>
      <c r="AY63" s="39">
        <f>IF(COUNTIF(BS164:BU166,0)=8,SUM(BS164:BU166),IF(U96="x",-1,0))</f>
        <v>-1</v>
      </c>
      <c r="AZ63" s="41">
        <f>IF(COUNTIF(BV164:BX166,0)=8,SUM(BV164:BX166),IF(V96="x",-1,0))</f>
        <v>-1</v>
      </c>
      <c r="BA63" s="40">
        <f>IF(COUNTIF(BY164:CA166,0)=8,SUM(BY164:CA166),IF(W96="x",-1,0))</f>
        <v>-1</v>
      </c>
      <c r="BB63" s="39">
        <f>IF(COUNTIF(CB164:CD166,0)=8,SUM(CB164:CD166),IF(X96="x",-1,0))</f>
        <v>-1</v>
      </c>
      <c r="BC63" s="41">
        <f>IF(COUNTIF(CE164:CG166,0)=8,SUM(CE164:CG166),IF(Y96="x",-1,0))</f>
        <v>-1</v>
      </c>
      <c r="BD63" s="40">
        <f>IF(COUNTIF(CH164:CJ166,0)=8,SUM(CH164:CJ166),IF(Z96="x",-1,0))</f>
        <v>-1</v>
      </c>
      <c r="BE63" s="39">
        <f>IF(COUNTIF(CK164:CM166,0)=8,SUM(CK164:CM166),IF(AA96="x",-1,0))</f>
        <v>-1</v>
      </c>
      <c r="BF63" s="42">
        <f>IF(COUNTIF(CN164:CP166,0)=8,SUM(CN164:CP166),IF(AB96="x",-1,0))</f>
        <v>-1</v>
      </c>
      <c r="BJ63" s="43">
        <f>IF(AF63=-1,-1,MAX(N347:P349))</f>
        <v>-1</v>
      </c>
      <c r="BK63" s="39">
        <f>IF(AG63=-1,-1,MAX(Q347:S349))</f>
        <v>-1</v>
      </c>
      <c r="BL63" s="41">
        <f>IF(AH63=-1,-1,MAX(T347:V349))</f>
        <v>-1</v>
      </c>
      <c r="BM63" s="40">
        <f>IF(AI63=-1,-1,MAX(W347:Y349))</f>
        <v>-1</v>
      </c>
      <c r="BN63" s="39">
        <f>IF(AJ63=-1,-1,MAX(Z347:AB349))</f>
        <v>-1</v>
      </c>
      <c r="BO63" s="41">
        <f>IF(AK63=-1,-1,MAX(AC347:AE349))</f>
        <v>-1</v>
      </c>
      <c r="BP63" s="40">
        <f>IF(AL63=-1,-1,MAX(AF347:AH349))</f>
        <v>-1</v>
      </c>
      <c r="BQ63" s="39">
        <f>IF(AM63=-1,-1,MAX(AI347:AK349))</f>
        <v>-1</v>
      </c>
      <c r="BR63" s="42">
        <f>IF(AN63=-1,-1,MAX(AL347:AN349))</f>
        <v>-1</v>
      </c>
      <c r="BS63" s="43">
        <f>IF(AO63=-1,-1,MAX(AO347:AQ349))</f>
        <v>-1</v>
      </c>
      <c r="BT63" s="39">
        <f>IF(AP63=-1,-1,MAX(AR347:AT349))</f>
        <v>-1</v>
      </c>
      <c r="BU63" s="41">
        <f>IF(AQ63=-1,-1,MAX(AU347:AW349))</f>
        <v>-1</v>
      </c>
      <c r="BV63" s="40">
        <f>IF(AR63=-1,-1,MAX(AX347:AZ349))</f>
        <v>-1</v>
      </c>
      <c r="BW63" s="39">
        <f>IF(AS63=-1,-1,MAX(BA347:BC349))</f>
        <v>-1</v>
      </c>
      <c r="BX63" s="41">
        <f>IF(AT63=-1,-1,MAX(BD347:BF349))</f>
        <v>-1</v>
      </c>
      <c r="BY63" s="40">
        <f>IF(AU63=-1,-1,MAX(BG347:BI349))</f>
        <v>-1</v>
      </c>
      <c r="BZ63" s="39">
        <f>IF(AV63=-1,-1,MAX(BJ347:BL349))</f>
        <v>-1</v>
      </c>
      <c r="CA63" s="42">
        <f>IF(AW63=-1,-1,MAX(BM347:BO349))</f>
        <v>-1</v>
      </c>
      <c r="CB63" s="43">
        <f>IF(AX63=-1,-1,MAX(BP347:BR349))</f>
        <v>-1</v>
      </c>
      <c r="CC63" s="39">
        <f>IF(AY63=-1,-1,MAX(BS347:BU349))</f>
        <v>-1</v>
      </c>
      <c r="CD63" s="41">
        <f>IF(AZ63=-1,-1,MAX(BV347:BX349))</f>
        <v>-1</v>
      </c>
      <c r="CE63" s="40">
        <f>IF(BA63=-1,-1,MAX(BY347:CA349))</f>
        <v>-1</v>
      </c>
      <c r="CF63" s="39">
        <f>IF(BB63=-1,-1,MAX(CB347:CD349))</f>
        <v>-1</v>
      </c>
      <c r="CG63" s="41">
        <f>IF(BC63=-1,-1,MAX(CE347:CG349))</f>
        <v>-1</v>
      </c>
      <c r="CH63" s="40">
        <f>IF(BD63=-1,-1,MAX(CH347:CJ349))</f>
        <v>-1</v>
      </c>
      <c r="CI63" s="39">
        <f>IF(BE63=-1,-1,MAX(CK347:CM349))</f>
        <v>-1</v>
      </c>
      <c r="CJ63" s="42">
        <f>IF(BF63=-1,-1,MAX(CN347:CP349))</f>
        <v>-1</v>
      </c>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row>
    <row r="64" spans="1:179" ht="15" customHeight="1">
      <c r="A64" s="142"/>
      <c r="B64" s="12" t="s">
        <v>32</v>
      </c>
      <c r="C64" s="13" t="s">
        <v>32</v>
      </c>
      <c r="D64" s="15" t="s">
        <v>32</v>
      </c>
      <c r="E64" s="14" t="s">
        <v>32</v>
      </c>
      <c r="F64" s="13" t="s">
        <v>32</v>
      </c>
      <c r="G64" s="15" t="s">
        <v>32</v>
      </c>
      <c r="H64" s="14" t="s">
        <v>32</v>
      </c>
      <c r="I64" s="13" t="s">
        <v>32</v>
      </c>
      <c r="J64" s="1" t="s">
        <v>32</v>
      </c>
      <c r="K64" s="12" t="s">
        <v>32</v>
      </c>
      <c r="L64" s="13" t="s">
        <v>32</v>
      </c>
      <c r="M64" s="15" t="s">
        <v>32</v>
      </c>
      <c r="N64" s="14" t="s">
        <v>32</v>
      </c>
      <c r="O64" s="13" t="s">
        <v>32</v>
      </c>
      <c r="P64" s="15">
        <v>7</v>
      </c>
      <c r="Q64" s="14" t="s">
        <v>32</v>
      </c>
      <c r="R64" s="13" t="s">
        <v>32</v>
      </c>
      <c r="S64" s="1" t="s">
        <v>32</v>
      </c>
      <c r="T64" s="12" t="s">
        <v>32</v>
      </c>
      <c r="U64" s="13" t="s">
        <v>32</v>
      </c>
      <c r="V64" s="15" t="s">
        <v>32</v>
      </c>
      <c r="W64" s="14" t="s">
        <v>32</v>
      </c>
      <c r="X64" s="13" t="s">
        <v>32</v>
      </c>
      <c r="Y64" s="15" t="s">
        <v>32</v>
      </c>
      <c r="Z64" s="14" t="s">
        <v>32</v>
      </c>
      <c r="AA64" s="13" t="s">
        <v>32</v>
      </c>
      <c r="AB64" s="1" t="s">
        <v>32</v>
      </c>
      <c r="AC64" s="142"/>
      <c r="AF64" s="44">
        <f>IF(COUNTIF(N167:P169,0)=8,SUM(N167:P169),IF(B97="x",-1,0))</f>
        <v>-1</v>
      </c>
      <c r="AG64" s="45">
        <f>IF(COUNTIF(Q167:S169,0)=8,SUM(Q167:S169),IF(C97="x",-1,0))</f>
        <v>-1</v>
      </c>
      <c r="AH64" s="47">
        <f>IF(COUNTIF(T167:V169,0)=8,SUM(T167:V169),IF(D97="x",-1,0))</f>
        <v>-1</v>
      </c>
      <c r="AI64" s="46">
        <f>IF(COUNTIF(W167:Y169,0)=8,SUM(W167:Y169),IF(E97="x",-1,0))</f>
        <v>-1</v>
      </c>
      <c r="AJ64" s="45">
        <f>IF(COUNTIF(Z167:AB169,0)=8,SUM(Z167:AB169),IF(F97="x",-1,0))</f>
        <v>-1</v>
      </c>
      <c r="AK64" s="47">
        <f>IF(COUNTIF(AC167:AE169,0)=8,SUM(AC167:AE169),IF(G97="x",-1,0))</f>
        <v>-1</v>
      </c>
      <c r="AL64" s="46">
        <f>IF(COUNTIF(AF167:AH169,0)=8,SUM(AF167:AH169),IF(H97="x",-1,0))</f>
        <v>-1</v>
      </c>
      <c r="AM64" s="45">
        <f>IF(COUNTIF(AI167:AK169,0)=8,SUM(AI167:AK169),IF(I97="x",-1,0))</f>
        <v>-1</v>
      </c>
      <c r="AN64" s="48">
        <f>IF(COUNTIF(AL167:AN169,0)=8,SUM(AL167:AN169),IF(J97="x",-1,0))</f>
        <v>-1</v>
      </c>
      <c r="AO64" s="44">
        <f>IF(COUNTIF(AO167:AQ169,0)=8,SUM(AO167:AQ169),IF(K97="x",-1,0))</f>
        <v>-1</v>
      </c>
      <c r="AP64" s="45">
        <f>IF(COUNTIF(AR167:AT169,0)=8,SUM(AR167:AT169),IF(L97="x",-1,0))</f>
        <v>-1</v>
      </c>
      <c r="AQ64" s="47">
        <f>IF(COUNTIF(AU167:AW169,0)=8,SUM(AU167:AW169),IF(M97="x",-1,0))</f>
        <v>-1</v>
      </c>
      <c r="AR64" s="46">
        <f>IF(COUNTIF(AX167:AZ169,0)=8,SUM(AX167:AZ169),IF(N97="x",-1,0))</f>
        <v>-1</v>
      </c>
      <c r="AS64" s="45">
        <f>IF(COUNTIF(BA167:BC169,0)=8,SUM(BA167:BC169),IF(O97="x",-1,0))</f>
        <v>-1</v>
      </c>
      <c r="AT64" s="47">
        <f>IF(COUNTIF(BD167:BF169,0)=8,SUM(BD167:BF169),IF(P97="x",-1,0))</f>
        <v>0</v>
      </c>
      <c r="AU64" s="46">
        <f>IF(COUNTIF(BG167:BI169,0)=8,SUM(BG167:BI169),IF(Q97="x",-1,0))</f>
        <v>-1</v>
      </c>
      <c r="AV64" s="45">
        <f>IF(COUNTIF(BJ167:BL169,0)=8,SUM(BJ167:BL169),IF(R97="x",-1,0))</f>
        <v>-1</v>
      </c>
      <c r="AW64" s="48">
        <f>IF(COUNTIF(BM167:BO169,0)=8,SUM(BM167:BO169),IF(S97="x",-1,0))</f>
        <v>-1</v>
      </c>
      <c r="AX64" s="44">
        <f>IF(COUNTIF(BP167:BR169,0)=8,SUM(BP167:BR169),IF(T97="x",-1,0))</f>
        <v>-1</v>
      </c>
      <c r="AY64" s="45">
        <f>IF(COUNTIF(BS167:BU169,0)=8,SUM(BS167:BU169),IF(U97="x",-1,0))</f>
        <v>-1</v>
      </c>
      <c r="AZ64" s="47">
        <f>IF(COUNTIF(BV167:BX169,0)=8,SUM(BV167:BX169),IF(V97="x",-1,0))</f>
        <v>-1</v>
      </c>
      <c r="BA64" s="46">
        <f>IF(COUNTIF(BY167:CA169,0)=8,SUM(BY167:CA169),IF(W97="x",-1,0))</f>
        <v>-1</v>
      </c>
      <c r="BB64" s="45">
        <f>IF(COUNTIF(CB167:CD169,0)=8,SUM(CB167:CD169),IF(X97="x",-1,0))</f>
        <v>-1</v>
      </c>
      <c r="BC64" s="47">
        <f>IF(COUNTIF(CE167:CG169,0)=8,SUM(CE167:CG169),IF(Y97="x",-1,0))</f>
        <v>-1</v>
      </c>
      <c r="BD64" s="46">
        <f>IF(COUNTIF(CH167:CJ169,0)=8,SUM(CH167:CJ169),IF(Z97="x",-1,0))</f>
        <v>-1</v>
      </c>
      <c r="BE64" s="45">
        <f>IF(COUNTIF(CK167:CM169,0)=8,SUM(CK167:CM169),IF(AA97="x",-1,0))</f>
        <v>-1</v>
      </c>
      <c r="BF64" s="48">
        <f>IF(COUNTIF(CN167:CP169,0)=8,SUM(CN167:CP169),IF(AB97="x",-1,0))</f>
        <v>-1</v>
      </c>
      <c r="BJ64" s="44">
        <f>IF(AF64=-1,-1,MAX(N350:P352))</f>
        <v>-1</v>
      </c>
      <c r="BK64" s="45">
        <f>IF(AG64=-1,-1,MAX(Q350:S352))</f>
        <v>-1</v>
      </c>
      <c r="BL64" s="47">
        <f>IF(AH64=-1,-1,MAX(T350:V352))</f>
        <v>-1</v>
      </c>
      <c r="BM64" s="46">
        <f>IF(AI64=-1,-1,MAX(W350:Y352))</f>
        <v>-1</v>
      </c>
      <c r="BN64" s="45">
        <f>IF(AJ64=-1,-1,MAX(Z350:AB352))</f>
        <v>-1</v>
      </c>
      <c r="BO64" s="47">
        <f>IF(AK64=-1,-1,MAX(AC350:AE352))</f>
        <v>-1</v>
      </c>
      <c r="BP64" s="46">
        <f>IF(AL64=-1,-1,MAX(AF350:AH352))</f>
        <v>-1</v>
      </c>
      <c r="BQ64" s="45">
        <f>IF(AM64=-1,-1,MAX(AI350:AK352))</f>
        <v>-1</v>
      </c>
      <c r="BR64" s="48">
        <f>IF(AN64=-1,-1,MAX(AL350:AN352))</f>
        <v>-1</v>
      </c>
      <c r="BS64" s="44">
        <f>IF(AO64=-1,-1,MAX(AO350:AQ352))</f>
        <v>-1</v>
      </c>
      <c r="BT64" s="45">
        <f>IF(AP64=-1,-1,MAX(AR350:AT352))</f>
        <v>-1</v>
      </c>
      <c r="BU64" s="47">
        <f>IF(AQ64=-1,-1,MAX(AU350:AW352))</f>
        <v>-1</v>
      </c>
      <c r="BV64" s="46">
        <f>IF(AR64=-1,-1,MAX(AX350:AZ352))</f>
        <v>-1</v>
      </c>
      <c r="BW64" s="45">
        <f>IF(AS64=-1,-1,MAX(BA350:BC352))</f>
        <v>-1</v>
      </c>
      <c r="BX64" s="47">
        <f>IF(AT64=-1,-1,MAX(BD350:BF352))</f>
        <v>0</v>
      </c>
      <c r="BY64" s="46">
        <f>IF(AU64=-1,-1,MAX(BG350:BI352))</f>
        <v>-1</v>
      </c>
      <c r="BZ64" s="45">
        <f>IF(AV64=-1,-1,MAX(BJ350:BL352))</f>
        <v>-1</v>
      </c>
      <c r="CA64" s="48">
        <f>IF(AW64=-1,-1,MAX(BM350:BO352))</f>
        <v>-1</v>
      </c>
      <c r="CB64" s="44">
        <f>IF(AX64=-1,-1,MAX(BP350:BR352))</f>
        <v>-1</v>
      </c>
      <c r="CC64" s="45">
        <f>IF(AY64=-1,-1,MAX(BS350:BU352))</f>
        <v>-1</v>
      </c>
      <c r="CD64" s="47">
        <f>IF(AZ64=-1,-1,MAX(BV350:BX352))</f>
        <v>-1</v>
      </c>
      <c r="CE64" s="46">
        <f>IF(BA64=-1,-1,MAX(BY350:CA352))</f>
        <v>-1</v>
      </c>
      <c r="CF64" s="45">
        <f>IF(BB64=-1,-1,MAX(CB350:CD352))</f>
        <v>-1</v>
      </c>
      <c r="CG64" s="47">
        <f>IF(BC64=-1,-1,MAX(CE350:CG352))</f>
        <v>-1</v>
      </c>
      <c r="CH64" s="46">
        <f>IF(BD64=-1,-1,MAX(CH350:CJ352))</f>
        <v>-1</v>
      </c>
      <c r="CI64" s="45">
        <f>IF(BE64=-1,-1,MAX(CK350:CM352))</f>
        <v>-1</v>
      </c>
      <c r="CJ64" s="48">
        <f>IF(BF64=-1,-1,MAX(CN350:CP352))</f>
        <v>-1</v>
      </c>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row>
    <row r="65" spans="1:188" ht="15" customHeight="1">
      <c r="A65" s="142"/>
      <c r="B65" s="16" t="s">
        <v>32</v>
      </c>
      <c r="C65" s="17" t="s">
        <v>32</v>
      </c>
      <c r="D65" s="18" t="s">
        <v>32</v>
      </c>
      <c r="E65" s="19" t="s">
        <v>32</v>
      </c>
      <c r="F65" s="17" t="s">
        <v>32</v>
      </c>
      <c r="G65" s="18" t="s">
        <v>32</v>
      </c>
      <c r="H65" s="19" t="s">
        <v>32</v>
      </c>
      <c r="I65" s="17" t="s">
        <v>32</v>
      </c>
      <c r="J65" s="20" t="s">
        <v>32</v>
      </c>
      <c r="K65" s="16" t="s">
        <v>32</v>
      </c>
      <c r="L65" s="17" t="s">
        <v>32</v>
      </c>
      <c r="M65" s="18" t="s">
        <v>32</v>
      </c>
      <c r="N65" s="19" t="s">
        <v>32</v>
      </c>
      <c r="O65" s="17">
        <v>1</v>
      </c>
      <c r="P65" s="18" t="s">
        <v>32</v>
      </c>
      <c r="Q65" s="19" t="s">
        <v>32</v>
      </c>
      <c r="R65" s="17" t="s">
        <v>32</v>
      </c>
      <c r="S65" s="20" t="s">
        <v>32</v>
      </c>
      <c r="T65" s="16" t="s">
        <v>32</v>
      </c>
      <c r="U65" s="17" t="s">
        <v>32</v>
      </c>
      <c r="V65" s="18" t="s">
        <v>32</v>
      </c>
      <c r="W65" s="19" t="s">
        <v>32</v>
      </c>
      <c r="X65" s="17" t="s">
        <v>32</v>
      </c>
      <c r="Y65" s="18" t="s">
        <v>32</v>
      </c>
      <c r="Z65" s="19" t="s">
        <v>32</v>
      </c>
      <c r="AA65" s="17" t="s">
        <v>32</v>
      </c>
      <c r="AB65" s="20" t="s">
        <v>32</v>
      </c>
      <c r="AC65" s="142"/>
      <c r="AF65" s="49">
        <f>IF(COUNTIF(N170:P172,0)=8,SUM(N170:P172),IF(B98="x",-1,0))</f>
        <v>-1</v>
      </c>
      <c r="AG65" s="50">
        <f>IF(COUNTIF(Q170:S172,0)=8,SUM(Q170:S172),IF(C98="x",-1,0))</f>
        <v>-1</v>
      </c>
      <c r="AH65" s="51">
        <f>IF(COUNTIF(T170:V172,0)=8,SUM(T170:V172),IF(D98="x",-1,0))</f>
        <v>-1</v>
      </c>
      <c r="AI65" s="52">
        <f>IF(COUNTIF(W170:Y172,0)=8,SUM(W170:Y172),IF(E98="x",-1,0))</f>
        <v>-1</v>
      </c>
      <c r="AJ65" s="50">
        <f>IF(COUNTIF(Z170:AB172,0)=8,SUM(Z170:AB172),IF(F98="x",-1,0))</f>
        <v>-1</v>
      </c>
      <c r="AK65" s="51">
        <f>IF(COUNTIF(AC170:AE172,0)=8,SUM(AC170:AE172),IF(G98="x",-1,0))</f>
        <v>-1</v>
      </c>
      <c r="AL65" s="52">
        <f>IF(COUNTIF(AF170:AH172,0)=8,SUM(AF170:AH172),IF(H98="x",-1,0))</f>
        <v>-1</v>
      </c>
      <c r="AM65" s="50">
        <f>IF(COUNTIF(AI170:AK172,0)=8,SUM(AI170:AK172),IF(I98="x",-1,0))</f>
        <v>-1</v>
      </c>
      <c r="AN65" s="53">
        <f>IF(COUNTIF(AL170:AN172,0)=8,SUM(AL170:AN172),IF(J98="x",-1,0))</f>
        <v>-1</v>
      </c>
      <c r="AO65" s="49">
        <f>IF(COUNTIF(AO170:AQ172,0)=8,SUM(AO170:AQ172),IF(K98="x",-1,0))</f>
        <v>-1</v>
      </c>
      <c r="AP65" s="50">
        <f>IF(COUNTIF(AR170:AT172,0)=8,SUM(AR170:AT172),IF(L98="x",-1,0))</f>
        <v>-1</v>
      </c>
      <c r="AQ65" s="51">
        <f>IF(COUNTIF(AU170:AW172,0)=8,SUM(AU170:AW172),IF(M98="x",-1,0))</f>
        <v>-1</v>
      </c>
      <c r="AR65" s="52">
        <f>IF(COUNTIF(AX170:AZ172,0)=8,SUM(AX170:AZ172),IF(N98="x",-1,0))</f>
        <v>-1</v>
      </c>
      <c r="AS65" s="50">
        <f>IF(COUNTIF(BA170:BC172,0)=8,SUM(BA170:BC172),IF(O98="x",-1,0))</f>
        <v>0</v>
      </c>
      <c r="AT65" s="51">
        <f>IF(COUNTIF(BD170:BF172,0)=8,SUM(BD170:BF172),IF(P98="x",-1,0))</f>
        <v>-1</v>
      </c>
      <c r="AU65" s="52">
        <f>IF(COUNTIF(BG170:BI172,0)=8,SUM(BG170:BI172),IF(Q98="x",-1,0))</f>
        <v>-1</v>
      </c>
      <c r="AV65" s="50">
        <f>IF(COUNTIF(BJ170:BL172,0)=8,SUM(BJ170:BL172),IF(R98="x",-1,0))</f>
        <v>-1</v>
      </c>
      <c r="AW65" s="53">
        <f>IF(COUNTIF(BM170:BO172,0)=8,SUM(BM170:BO172),IF(S98="x",-1,0))</f>
        <v>-1</v>
      </c>
      <c r="AX65" s="49">
        <f>IF(COUNTIF(BP170:BR172,0)=8,SUM(BP170:BR172),IF(T98="x",-1,0))</f>
        <v>-1</v>
      </c>
      <c r="AY65" s="50">
        <f>IF(COUNTIF(BS170:BU172,0)=8,SUM(BS170:BU172),IF(U98="x",-1,0))</f>
        <v>-1</v>
      </c>
      <c r="AZ65" s="51">
        <f>IF(COUNTIF(BV170:BX172,0)=8,SUM(BV170:BX172),IF(V98="x",-1,0))</f>
        <v>-1</v>
      </c>
      <c r="BA65" s="52">
        <f>IF(COUNTIF(BY170:CA172,0)=8,SUM(BY170:CA172),IF(W98="x",-1,0))</f>
        <v>-1</v>
      </c>
      <c r="BB65" s="50">
        <f>IF(COUNTIF(CB170:CD172,0)=8,SUM(CB170:CD172),IF(X98="x",-1,0))</f>
        <v>-1</v>
      </c>
      <c r="BC65" s="51">
        <f>IF(COUNTIF(CE170:CG172,0)=8,SUM(CE170:CG172),IF(Y98="x",-1,0))</f>
        <v>-1</v>
      </c>
      <c r="BD65" s="52">
        <f>IF(COUNTIF(CH170:CJ172,0)=8,SUM(CH170:CJ172),IF(Z98="x",-1,0))</f>
        <v>-1</v>
      </c>
      <c r="BE65" s="50">
        <f>IF(COUNTIF(CK170:CM172,0)=8,SUM(CK170:CM172),IF(AA98="x",-1,0))</f>
        <v>-1</v>
      </c>
      <c r="BF65" s="53">
        <f>IF(COUNTIF(CN170:CP172,0)=8,SUM(CN170:CP172),IF(AB98="x",-1,0))</f>
        <v>-1</v>
      </c>
      <c r="BJ65" s="49">
        <f>IF(AF65=-1,-1,MAX(N353:P355))</f>
        <v>-1</v>
      </c>
      <c r="BK65" s="50">
        <f>IF(AG65=-1,-1,MAX(Q353:S355))</f>
        <v>-1</v>
      </c>
      <c r="BL65" s="51">
        <f>IF(AH65=-1,-1,MAX(T353:V355))</f>
        <v>-1</v>
      </c>
      <c r="BM65" s="52">
        <f>IF(AI65=-1,-1,MAX(W353:Y355))</f>
        <v>-1</v>
      </c>
      <c r="BN65" s="50">
        <f>IF(AJ65=-1,-1,MAX(Z353:AB355))</f>
        <v>-1</v>
      </c>
      <c r="BO65" s="51">
        <f>IF(AK65=-1,-1,MAX(AC353:AE355))</f>
        <v>-1</v>
      </c>
      <c r="BP65" s="52">
        <f>IF(AL65=-1,-1,MAX(AF353:AH355))</f>
        <v>-1</v>
      </c>
      <c r="BQ65" s="50">
        <f>IF(AM65=-1,-1,MAX(AI353:AK355))</f>
        <v>-1</v>
      </c>
      <c r="BR65" s="53">
        <f>IF(AN65=-1,-1,MAX(AL353:AN355))</f>
        <v>-1</v>
      </c>
      <c r="BS65" s="49">
        <f>IF(AO65=-1,-1,MAX(AO353:AQ355))</f>
        <v>-1</v>
      </c>
      <c r="BT65" s="50">
        <f>IF(AP65=-1,-1,MAX(AR353:AT355))</f>
        <v>-1</v>
      </c>
      <c r="BU65" s="51">
        <f>IF(AQ65=-1,-1,MAX(AU353:AW355))</f>
        <v>-1</v>
      </c>
      <c r="BV65" s="52">
        <f>IF(AR65=-1,-1,MAX(AX353:AZ355))</f>
        <v>-1</v>
      </c>
      <c r="BW65" s="50">
        <f>IF(AS65=-1,-1,MAX(BA353:BC355))</f>
        <v>0</v>
      </c>
      <c r="BX65" s="51">
        <f>IF(AT65=-1,-1,MAX(BD353:BF355))</f>
        <v>-1</v>
      </c>
      <c r="BY65" s="52">
        <f>IF(AU65=-1,-1,MAX(BG353:BI355))</f>
        <v>-1</v>
      </c>
      <c r="BZ65" s="50">
        <f>IF(AV65=-1,-1,MAX(BJ353:BL355))</f>
        <v>-1</v>
      </c>
      <c r="CA65" s="53">
        <f>IF(AW65=-1,-1,MAX(BM353:BO355))</f>
        <v>-1</v>
      </c>
      <c r="CB65" s="49">
        <f>IF(AX65=-1,-1,MAX(BP353:BR355))</f>
        <v>-1</v>
      </c>
      <c r="CC65" s="50">
        <f>IF(AY65=-1,-1,MAX(BS353:BU355))</f>
        <v>-1</v>
      </c>
      <c r="CD65" s="51">
        <f>IF(AZ65=-1,-1,MAX(BV353:BX355))</f>
        <v>-1</v>
      </c>
      <c r="CE65" s="52">
        <f>IF(BA65=-1,-1,MAX(BY353:CA355))</f>
        <v>-1</v>
      </c>
      <c r="CF65" s="50">
        <f>IF(BB65=-1,-1,MAX(CB353:CD355))</f>
        <v>-1</v>
      </c>
      <c r="CG65" s="51">
        <f>IF(BC65=-1,-1,MAX(CE353:CG355))</f>
        <v>-1</v>
      </c>
      <c r="CH65" s="52">
        <f>IF(BD65=-1,-1,MAX(CH353:CJ355))</f>
        <v>-1</v>
      </c>
      <c r="CI65" s="50">
        <f>IF(BE65=-1,-1,MAX(CK353:CM355))</f>
        <v>-1</v>
      </c>
      <c r="CJ65" s="53">
        <f>IF(BF65=-1,-1,MAX(CN353:CP355))</f>
        <v>-1</v>
      </c>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row>
    <row r="66" spans="1:188" ht="15" customHeight="1">
      <c r="A66" s="142"/>
      <c r="B66" s="11" t="s">
        <v>32</v>
      </c>
      <c r="C66" s="7" t="s">
        <v>32</v>
      </c>
      <c r="D66" s="9" t="s">
        <v>32</v>
      </c>
      <c r="E66" s="8" t="s">
        <v>32</v>
      </c>
      <c r="F66" s="7" t="s">
        <v>32</v>
      </c>
      <c r="G66" s="9" t="s">
        <v>32</v>
      </c>
      <c r="H66" s="8" t="s">
        <v>32</v>
      </c>
      <c r="I66" s="7" t="s">
        <v>32</v>
      </c>
      <c r="J66" s="10" t="s">
        <v>32</v>
      </c>
      <c r="K66" s="11" t="s">
        <v>32</v>
      </c>
      <c r="L66" s="7" t="s">
        <v>32</v>
      </c>
      <c r="M66" s="9" t="s">
        <v>32</v>
      </c>
      <c r="N66" s="8">
        <v>9</v>
      </c>
      <c r="O66" s="7" t="s">
        <v>32</v>
      </c>
      <c r="P66" s="9" t="s">
        <v>32</v>
      </c>
      <c r="Q66" s="8" t="s">
        <v>32</v>
      </c>
      <c r="R66" s="7" t="s">
        <v>32</v>
      </c>
      <c r="S66" s="10" t="s">
        <v>32</v>
      </c>
      <c r="T66" s="11" t="s">
        <v>32</v>
      </c>
      <c r="U66" s="7" t="s">
        <v>32</v>
      </c>
      <c r="V66" s="9" t="s">
        <v>32</v>
      </c>
      <c r="W66" s="8" t="s">
        <v>32</v>
      </c>
      <c r="X66" s="7" t="s">
        <v>32</v>
      </c>
      <c r="Y66" s="9" t="s">
        <v>32</v>
      </c>
      <c r="Z66" s="8" t="s">
        <v>32</v>
      </c>
      <c r="AA66" s="7" t="s">
        <v>32</v>
      </c>
      <c r="AB66" s="10" t="s">
        <v>32</v>
      </c>
      <c r="AC66" s="142"/>
      <c r="AF66" s="43">
        <f>IF(COUNTIF(N173:P175,0)=8,SUM(N173:P175),IF(B99="x",-1,0))</f>
        <v>-1</v>
      </c>
      <c r="AG66" s="39">
        <f>IF(COUNTIF(Q173:S175,0)=8,SUM(Q173:S175),IF(C99="x",-1,0))</f>
        <v>-1</v>
      </c>
      <c r="AH66" s="41">
        <f>IF(COUNTIF(T173:V175,0)=8,SUM(T173:V175),IF(D99="x",-1,0))</f>
        <v>-1</v>
      </c>
      <c r="AI66" s="40">
        <f>IF(COUNTIF(W173:Y175,0)=8,SUM(W173:Y175),IF(E99="x",-1,0))</f>
        <v>-1</v>
      </c>
      <c r="AJ66" s="39">
        <f>IF(COUNTIF(Z173:AB175,0)=8,SUM(Z173:AB175),IF(F99="x",-1,0))</f>
        <v>-1</v>
      </c>
      <c r="AK66" s="41">
        <f>IF(COUNTIF(AC173:AE175,0)=8,SUM(AC173:AE175),IF(G99="x",-1,0))</f>
        <v>-1</v>
      </c>
      <c r="AL66" s="40">
        <f>IF(COUNTIF(AF173:AH175,0)=8,SUM(AF173:AH175),IF(H99="x",-1,0))</f>
        <v>-1</v>
      </c>
      <c r="AM66" s="39">
        <f>IF(COUNTIF(AI173:AK175,0)=8,SUM(AI173:AK175),IF(I99="x",-1,0))</f>
        <v>-1</v>
      </c>
      <c r="AN66" s="42">
        <f>IF(COUNTIF(AL173:AN175,0)=8,SUM(AL173:AN175),IF(J99="x",-1,0))</f>
        <v>-1</v>
      </c>
      <c r="AO66" s="43">
        <f>IF(COUNTIF(AO173:AQ175,0)=8,SUM(AO173:AQ175),IF(K99="x",-1,0))</f>
        <v>-1</v>
      </c>
      <c r="AP66" s="39">
        <f>IF(COUNTIF(AR173:AT175,0)=8,SUM(AR173:AT175),IF(L99="x",-1,0))</f>
        <v>-1</v>
      </c>
      <c r="AQ66" s="41">
        <f>IF(COUNTIF(AU173:AW175,0)=8,SUM(AU173:AW175),IF(M99="x",-1,0))</f>
        <v>-1</v>
      </c>
      <c r="AR66" s="40">
        <f>IF(COUNTIF(AX173:AZ175,0)=8,SUM(AX173:AZ175),IF(N99="x",-1,0))</f>
        <v>0</v>
      </c>
      <c r="AS66" s="39">
        <f>IF(COUNTIF(BA173:BC175,0)=8,SUM(BA173:BC175),IF(O99="x",-1,0))</f>
        <v>-1</v>
      </c>
      <c r="AT66" s="41">
        <f>IF(COUNTIF(BD173:BF175,0)=8,SUM(BD173:BF175),IF(P99="x",-1,0))</f>
        <v>-1</v>
      </c>
      <c r="AU66" s="40">
        <f>IF(COUNTIF(BG173:BI175,0)=8,SUM(BG173:BI175),IF(Q99="x",-1,0))</f>
        <v>-1</v>
      </c>
      <c r="AV66" s="39">
        <f>IF(COUNTIF(BJ173:BL175,0)=8,SUM(BJ173:BL175),IF(R99="x",-1,0))</f>
        <v>-1</v>
      </c>
      <c r="AW66" s="42">
        <f>IF(COUNTIF(BM173:BO175,0)=8,SUM(BM173:BO175),IF(S99="x",-1,0))</f>
        <v>-1</v>
      </c>
      <c r="AX66" s="43">
        <f>IF(COUNTIF(BP173:BR175,0)=8,SUM(BP173:BR175),IF(T99="x",-1,0))</f>
        <v>-1</v>
      </c>
      <c r="AY66" s="39">
        <f>IF(COUNTIF(BS173:BU175,0)=8,SUM(BS173:BU175),IF(U99="x",-1,0))</f>
        <v>-1</v>
      </c>
      <c r="AZ66" s="41">
        <f>IF(COUNTIF(BV173:BX175,0)=8,SUM(BV173:BX175),IF(V99="x",-1,0))</f>
        <v>-1</v>
      </c>
      <c r="BA66" s="40">
        <f>IF(COUNTIF(BY173:CA175,0)=8,SUM(BY173:CA175),IF(W99="x",-1,0))</f>
        <v>-1</v>
      </c>
      <c r="BB66" s="39">
        <f>IF(COUNTIF(CB173:CD175,0)=8,SUM(CB173:CD175),IF(X99="x",-1,0))</f>
        <v>-1</v>
      </c>
      <c r="BC66" s="41">
        <f>IF(COUNTIF(CE173:CG175,0)=8,SUM(CE173:CG175),IF(Y99="x",-1,0))</f>
        <v>-1</v>
      </c>
      <c r="BD66" s="40">
        <f>IF(COUNTIF(CH173:CJ175,0)=8,SUM(CH173:CJ175),IF(Z99="x",-1,0))</f>
        <v>-1</v>
      </c>
      <c r="BE66" s="39">
        <f>IF(COUNTIF(CK173:CM175,0)=8,SUM(CK173:CM175),IF(AA99="x",-1,0))</f>
        <v>-1</v>
      </c>
      <c r="BF66" s="42">
        <f>IF(COUNTIF(CN173:CP175,0)=8,SUM(CN173:CP175),IF(AB99="x",-1,0))</f>
        <v>-1</v>
      </c>
      <c r="BJ66" s="43">
        <f>IF(AF66=-1,-1,MAX(N356:P358))</f>
        <v>-1</v>
      </c>
      <c r="BK66" s="39">
        <f>IF(AG66=-1,-1,MAX(Q356:S358))</f>
        <v>-1</v>
      </c>
      <c r="BL66" s="41">
        <f>IF(AH66=-1,-1,MAX(T356:V358))</f>
        <v>-1</v>
      </c>
      <c r="BM66" s="40">
        <f>IF(AI66=-1,-1,MAX(W356:Y358))</f>
        <v>-1</v>
      </c>
      <c r="BN66" s="39">
        <f>IF(AJ66=-1,-1,MAX(Z356:AB358))</f>
        <v>-1</v>
      </c>
      <c r="BO66" s="41">
        <f>IF(AK66=-1,-1,MAX(AC356:AE358))</f>
        <v>-1</v>
      </c>
      <c r="BP66" s="40">
        <f>IF(AL66=-1,-1,MAX(AF356:AH358))</f>
        <v>-1</v>
      </c>
      <c r="BQ66" s="39">
        <f>IF(AM66=-1,-1,MAX(AI356:AK358))</f>
        <v>-1</v>
      </c>
      <c r="BR66" s="42">
        <f>IF(AN66=-1,-1,MAX(AL356:AN358))</f>
        <v>-1</v>
      </c>
      <c r="BS66" s="43">
        <f>IF(AO66=-1,-1,MAX(AO356:AQ358))</f>
        <v>-1</v>
      </c>
      <c r="BT66" s="39">
        <f>IF(AP66=-1,-1,MAX(AR356:AT358))</f>
        <v>-1</v>
      </c>
      <c r="BU66" s="41">
        <f>IF(AQ66=-1,-1,MAX(AU356:AW358))</f>
        <v>-1</v>
      </c>
      <c r="BV66" s="40">
        <f>IF(AR66=-1,-1,MAX(AX356:AZ358))</f>
        <v>0</v>
      </c>
      <c r="BW66" s="39">
        <f>IF(AS66=-1,-1,MAX(BA356:BC358))</f>
        <v>-1</v>
      </c>
      <c r="BX66" s="41">
        <f>IF(AT66=-1,-1,MAX(BD356:BF358))</f>
        <v>-1</v>
      </c>
      <c r="BY66" s="40">
        <f>IF(AU66=-1,-1,MAX(BG356:BI358))</f>
        <v>-1</v>
      </c>
      <c r="BZ66" s="39">
        <f>IF(AV66=-1,-1,MAX(BJ356:BL358))</f>
        <v>-1</v>
      </c>
      <c r="CA66" s="42">
        <f>IF(AW66=-1,-1,MAX(BM356:BO358))</f>
        <v>-1</v>
      </c>
      <c r="CB66" s="43">
        <f>IF(AX66=-1,-1,MAX(BP356:BR358))</f>
        <v>-1</v>
      </c>
      <c r="CC66" s="39">
        <f>IF(AY66=-1,-1,MAX(BS356:BU358))</f>
        <v>-1</v>
      </c>
      <c r="CD66" s="41">
        <f>IF(AZ66=-1,-1,MAX(BV356:BX358))</f>
        <v>-1</v>
      </c>
      <c r="CE66" s="40">
        <f>IF(BA66=-1,-1,MAX(BY356:CA358))</f>
        <v>-1</v>
      </c>
      <c r="CF66" s="39">
        <f>IF(BB66=-1,-1,MAX(CB356:CD358))</f>
        <v>-1</v>
      </c>
      <c r="CG66" s="41">
        <f>IF(BC66=-1,-1,MAX(CE356:CG358))</f>
        <v>-1</v>
      </c>
      <c r="CH66" s="40">
        <f>IF(BD66=-1,-1,MAX(CH356:CJ358))</f>
        <v>-1</v>
      </c>
      <c r="CI66" s="39">
        <f>IF(BE66=-1,-1,MAX(CK356:CM358))</f>
        <v>-1</v>
      </c>
      <c r="CJ66" s="42">
        <f>IF(BF66=-1,-1,MAX(CN356:CP358))</f>
        <v>-1</v>
      </c>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row>
    <row r="67" spans="1:188" ht="15" customHeight="1">
      <c r="A67" s="142"/>
      <c r="B67" s="12" t="s">
        <v>32</v>
      </c>
      <c r="C67" s="13" t="s">
        <v>32</v>
      </c>
      <c r="D67" s="15" t="s">
        <v>32</v>
      </c>
      <c r="E67" s="14" t="s">
        <v>32</v>
      </c>
      <c r="F67" s="13" t="s">
        <v>32</v>
      </c>
      <c r="G67" s="15" t="s">
        <v>32</v>
      </c>
      <c r="H67" s="14" t="s">
        <v>32</v>
      </c>
      <c r="I67" s="13" t="s">
        <v>32</v>
      </c>
      <c r="J67" s="1" t="s">
        <v>32</v>
      </c>
      <c r="K67" s="12" t="s">
        <v>32</v>
      </c>
      <c r="L67" s="13" t="s">
        <v>32</v>
      </c>
      <c r="M67" s="15" t="s">
        <v>32</v>
      </c>
      <c r="N67" s="14" t="s">
        <v>32</v>
      </c>
      <c r="O67" s="13">
        <v>4</v>
      </c>
      <c r="P67" s="15">
        <v>8</v>
      </c>
      <c r="Q67" s="14">
        <v>3</v>
      </c>
      <c r="R67" s="13" t="s">
        <v>32</v>
      </c>
      <c r="S67" s="1" t="s">
        <v>32</v>
      </c>
      <c r="T67" s="12" t="s">
        <v>32</v>
      </c>
      <c r="U67" s="13" t="s">
        <v>32</v>
      </c>
      <c r="V67" s="15" t="s">
        <v>32</v>
      </c>
      <c r="W67" s="14" t="s">
        <v>32</v>
      </c>
      <c r="X67" s="13" t="s">
        <v>32</v>
      </c>
      <c r="Y67" s="15" t="s">
        <v>32</v>
      </c>
      <c r="Z67" s="14" t="s">
        <v>32</v>
      </c>
      <c r="AA67" s="13" t="s">
        <v>32</v>
      </c>
      <c r="AB67" s="1" t="s">
        <v>32</v>
      </c>
      <c r="AC67" s="142"/>
      <c r="AF67" s="44">
        <f>IF(COUNTIF(N176:P178,0)=8,SUM(N176:P178),IF(B100="x",-1,0))</f>
        <v>-1</v>
      </c>
      <c r="AG67" s="45">
        <f>IF(COUNTIF(Q176:S178,0)=8,SUM(Q176:S178),IF(C100="x",-1,0))</f>
        <v>-1</v>
      </c>
      <c r="AH67" s="47">
        <f>IF(COUNTIF(T176:V178,0)=8,SUM(T176:V178),IF(D100="x",-1,0))</f>
        <v>-1</v>
      </c>
      <c r="AI67" s="46">
        <f>IF(COUNTIF(W176:Y178,0)=8,SUM(W176:Y178),IF(E100="x",-1,0))</f>
        <v>-1</v>
      </c>
      <c r="AJ67" s="45">
        <f>IF(COUNTIF(Z176:AB178,0)=8,SUM(Z176:AB178),IF(F100="x",-1,0))</f>
        <v>-1</v>
      </c>
      <c r="AK67" s="47">
        <f>IF(COUNTIF(AC176:AE178,0)=8,SUM(AC176:AE178),IF(G100="x",-1,0))</f>
        <v>-1</v>
      </c>
      <c r="AL67" s="46">
        <f>IF(COUNTIF(AF176:AH178,0)=8,SUM(AF176:AH178),IF(H100="x",-1,0))</f>
        <v>-1</v>
      </c>
      <c r="AM67" s="45">
        <f>IF(COUNTIF(AI176:AK178,0)=8,SUM(AI176:AK178),IF(I100="x",-1,0))</f>
        <v>-1</v>
      </c>
      <c r="AN67" s="48">
        <f>IF(COUNTIF(AL176:AN178,0)=8,SUM(AL176:AN178),IF(J100="x",-1,0))</f>
        <v>-1</v>
      </c>
      <c r="AO67" s="44">
        <f>IF(COUNTIF(AO176:AQ178,0)=8,SUM(AO176:AQ178),IF(K100="x",-1,0))</f>
        <v>-1</v>
      </c>
      <c r="AP67" s="45">
        <f>IF(COUNTIF(AR176:AT178,0)=8,SUM(AR176:AT178),IF(L100="x",-1,0))</f>
        <v>-1</v>
      </c>
      <c r="AQ67" s="47">
        <f>IF(COUNTIF(AU176:AW178,0)=8,SUM(AU176:AW178),IF(M100="x",-1,0))</f>
        <v>-1</v>
      </c>
      <c r="AR67" s="46">
        <f>IF(COUNTIF(AX176:AZ178,0)=8,SUM(AX176:AZ178),IF(N100="x",-1,0))</f>
        <v>-1</v>
      </c>
      <c r="AS67" s="45">
        <f>IF(COUNTIF(BA176:BC178,0)=8,SUM(BA176:BC178),IF(O100="x",-1,0))</f>
        <v>0</v>
      </c>
      <c r="AT67" s="47">
        <f>IF(COUNTIF(BD176:BF178,0)=8,SUM(BD176:BF178),IF(P100="x",-1,0))</f>
        <v>0</v>
      </c>
      <c r="AU67" s="46">
        <f>IF(COUNTIF(BG176:BI178,0)=8,SUM(BG176:BI178),IF(Q100="x",-1,0))</f>
        <v>0</v>
      </c>
      <c r="AV67" s="45">
        <f>IF(COUNTIF(BJ176:BL178,0)=8,SUM(BJ176:BL178),IF(R100="x",-1,0))</f>
        <v>-1</v>
      </c>
      <c r="AW67" s="48">
        <f>IF(COUNTIF(BM176:BO178,0)=8,SUM(BM176:BO178),IF(S100="x",-1,0))</f>
        <v>-1</v>
      </c>
      <c r="AX67" s="44">
        <f>IF(COUNTIF(BP176:BR178,0)=8,SUM(BP176:BR178),IF(T100="x",-1,0))</f>
        <v>-1</v>
      </c>
      <c r="AY67" s="45">
        <f>IF(COUNTIF(BS176:BU178,0)=8,SUM(BS176:BU178),IF(U100="x",-1,0))</f>
        <v>-1</v>
      </c>
      <c r="AZ67" s="47">
        <f>IF(COUNTIF(BV176:BX178,0)=8,SUM(BV176:BX178),IF(V100="x",-1,0))</f>
        <v>-1</v>
      </c>
      <c r="BA67" s="46">
        <f>IF(COUNTIF(BY176:CA178,0)=8,SUM(BY176:CA178),IF(W100="x",-1,0))</f>
        <v>-1</v>
      </c>
      <c r="BB67" s="45">
        <f>IF(COUNTIF(CB176:CD178,0)=8,SUM(CB176:CD178),IF(X100="x",-1,0))</f>
        <v>-1</v>
      </c>
      <c r="BC67" s="47">
        <f>IF(COUNTIF(CE176:CG178,0)=8,SUM(CE176:CG178),IF(Y100="x",-1,0))</f>
        <v>-1</v>
      </c>
      <c r="BD67" s="46">
        <f>IF(COUNTIF(CH176:CJ178,0)=8,SUM(CH176:CJ178),IF(Z100="x",-1,0))</f>
        <v>-1</v>
      </c>
      <c r="BE67" s="45">
        <f>IF(COUNTIF(CK176:CM178,0)=8,SUM(CK176:CM178),IF(AA100="x",-1,0))</f>
        <v>-1</v>
      </c>
      <c r="BF67" s="48">
        <f>IF(COUNTIF(CN176:CP178,0)=8,SUM(CN176:CP178),IF(AB100="x",-1,0))</f>
        <v>-1</v>
      </c>
      <c r="BJ67" s="44">
        <f>IF(AF67=-1,-1,MAX(N359:P361))</f>
        <v>-1</v>
      </c>
      <c r="BK67" s="45">
        <f>IF(AG67=-1,-1,MAX(Q359:S361))</f>
        <v>-1</v>
      </c>
      <c r="BL67" s="47">
        <f>IF(AH67=-1,-1,MAX(T359:V361))</f>
        <v>-1</v>
      </c>
      <c r="BM67" s="46">
        <f>IF(AI67=-1,-1,MAX(W359:Y361))</f>
        <v>-1</v>
      </c>
      <c r="BN67" s="45">
        <f>IF(AJ67=-1,-1,MAX(Z359:AB361))</f>
        <v>-1</v>
      </c>
      <c r="BO67" s="47">
        <f>IF(AK67=-1,-1,MAX(AC359:AE361))</f>
        <v>-1</v>
      </c>
      <c r="BP67" s="46">
        <f>IF(AL67=-1,-1,MAX(AF359:AH361))</f>
        <v>-1</v>
      </c>
      <c r="BQ67" s="45">
        <f>IF(AM67=-1,-1,MAX(AI359:AK361))</f>
        <v>-1</v>
      </c>
      <c r="BR67" s="48">
        <f>IF(AN67=-1,-1,MAX(AL359:AN361))</f>
        <v>-1</v>
      </c>
      <c r="BS67" s="44">
        <f>IF(AO67=-1,-1,MAX(AO359:AQ361))</f>
        <v>-1</v>
      </c>
      <c r="BT67" s="45">
        <f>IF(AP67=-1,-1,MAX(AR359:AT361))</f>
        <v>-1</v>
      </c>
      <c r="BU67" s="47">
        <f>IF(AQ67=-1,-1,MAX(AU359:AW361))</f>
        <v>-1</v>
      </c>
      <c r="BV67" s="46">
        <f>IF(AR67=-1,-1,MAX(AX359:AZ361))</f>
        <v>-1</v>
      </c>
      <c r="BW67" s="45">
        <f>IF(AS67=-1,-1,MAX(BA359:BC361))</f>
        <v>0</v>
      </c>
      <c r="BX67" s="47">
        <f>IF(AT67=-1,-1,MAX(BD359:BF361))</f>
        <v>0</v>
      </c>
      <c r="BY67" s="46">
        <f>IF(AU67=-1,-1,MAX(BG359:BI361))</f>
        <v>0</v>
      </c>
      <c r="BZ67" s="45">
        <f>IF(AV67=-1,-1,MAX(BJ359:BL361))</f>
        <v>-1</v>
      </c>
      <c r="CA67" s="48">
        <f>IF(AW67=-1,-1,MAX(BM359:BO361))</f>
        <v>-1</v>
      </c>
      <c r="CB67" s="44">
        <f>IF(AX67=-1,-1,MAX(BP359:BR361))</f>
        <v>-1</v>
      </c>
      <c r="CC67" s="45">
        <f>IF(AY67=-1,-1,MAX(BS359:BU361))</f>
        <v>-1</v>
      </c>
      <c r="CD67" s="47">
        <f>IF(AZ67=-1,-1,MAX(BV359:BX361))</f>
        <v>-1</v>
      </c>
      <c r="CE67" s="46">
        <f>IF(BA67=-1,-1,MAX(BY359:CA361))</f>
        <v>-1</v>
      </c>
      <c r="CF67" s="45">
        <f>IF(BB67=-1,-1,MAX(CB359:CD361))</f>
        <v>-1</v>
      </c>
      <c r="CG67" s="47">
        <f>IF(BC67=-1,-1,MAX(CE359:CG361))</f>
        <v>-1</v>
      </c>
      <c r="CH67" s="46">
        <f>IF(BD67=-1,-1,MAX(CH359:CJ361))</f>
        <v>-1</v>
      </c>
      <c r="CI67" s="45">
        <f>IF(BE67=-1,-1,MAX(CK359:CM361))</f>
        <v>-1</v>
      </c>
      <c r="CJ67" s="48">
        <f>IF(BF67=-1,-1,MAX(CN359:CP361))</f>
        <v>-1</v>
      </c>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row>
    <row r="68" spans="1:188" ht="15" customHeight="1">
      <c r="A68" s="142"/>
      <c r="B68" s="16" t="s">
        <v>32</v>
      </c>
      <c r="C68" s="17" t="s">
        <v>32</v>
      </c>
      <c r="D68" s="18" t="s">
        <v>32</v>
      </c>
      <c r="E68" s="19" t="s">
        <v>32</v>
      </c>
      <c r="F68" s="17" t="s">
        <v>32</v>
      </c>
      <c r="G68" s="18">
        <v>9</v>
      </c>
      <c r="H68" s="19" t="s">
        <v>32</v>
      </c>
      <c r="I68" s="17" t="s">
        <v>32</v>
      </c>
      <c r="J68" s="20" t="s">
        <v>32</v>
      </c>
      <c r="K68" s="16" t="s">
        <v>32</v>
      </c>
      <c r="L68" s="17" t="s">
        <v>32</v>
      </c>
      <c r="M68" s="18" t="s">
        <v>32</v>
      </c>
      <c r="N68" s="19">
        <v>5</v>
      </c>
      <c r="O68" s="211">
        <v>2</v>
      </c>
      <c r="P68" s="18" t="s">
        <v>32</v>
      </c>
      <c r="Q68" s="19" t="s">
        <v>32</v>
      </c>
      <c r="R68" s="211">
        <v>6</v>
      </c>
      <c r="S68" s="20" t="s">
        <v>32</v>
      </c>
      <c r="T68" s="16" t="s">
        <v>32</v>
      </c>
      <c r="U68" s="17" t="s">
        <v>32</v>
      </c>
      <c r="V68" s="18" t="s">
        <v>32</v>
      </c>
      <c r="W68" s="19" t="s">
        <v>32</v>
      </c>
      <c r="X68" s="17" t="s">
        <v>32</v>
      </c>
      <c r="Y68" s="18" t="s">
        <v>32</v>
      </c>
      <c r="Z68" s="19" t="s">
        <v>32</v>
      </c>
      <c r="AA68" s="17" t="s">
        <v>32</v>
      </c>
      <c r="AB68" s="20" t="s">
        <v>32</v>
      </c>
      <c r="AC68" s="142"/>
      <c r="AF68" s="49">
        <f>IF(COUNTIF(N179:P181,0)=8,SUM(N179:P181),IF(B101="x",-1,0))</f>
        <v>-1</v>
      </c>
      <c r="AG68" s="50">
        <f>IF(COUNTIF(Q179:S181,0)=8,SUM(Q179:S181),IF(C101="x",-1,0))</f>
        <v>-1</v>
      </c>
      <c r="AH68" s="51">
        <f>IF(COUNTIF(T179:V181,0)=8,SUM(T179:V181),IF(D101="x",-1,0))</f>
        <v>-1</v>
      </c>
      <c r="AI68" s="52">
        <f>IF(COUNTIF(W179:Y181,0)=8,SUM(W179:Y181),IF(E101="x",-1,0))</f>
        <v>-1</v>
      </c>
      <c r="AJ68" s="50">
        <f>IF(COUNTIF(Z179:AB181,0)=8,SUM(Z179:AB181),IF(F101="x",-1,0))</f>
        <v>-1</v>
      </c>
      <c r="AK68" s="51">
        <f>IF(COUNTIF(AC179:AE181,0)=8,SUM(AC179:AE181),IF(G101="x",-1,0))</f>
        <v>0</v>
      </c>
      <c r="AL68" s="52">
        <f>IF(COUNTIF(AF179:AH181,0)=8,SUM(AF179:AH181),IF(H101="x",-1,0))</f>
        <v>-1</v>
      </c>
      <c r="AM68" s="50">
        <f>IF(COUNTIF(AI179:AK181,0)=8,SUM(AI179:AK181),IF(I101="x",-1,0))</f>
        <v>-1</v>
      </c>
      <c r="AN68" s="53">
        <f>IF(COUNTIF(AL179:AN181,0)=8,SUM(AL179:AN181),IF(J101="x",-1,0))</f>
        <v>-1</v>
      </c>
      <c r="AO68" s="49">
        <f>IF(COUNTIF(AO179:AQ181,0)=8,SUM(AO179:AQ181),IF(K101="x",-1,0))</f>
        <v>-1</v>
      </c>
      <c r="AP68" s="50">
        <f>IF(COUNTIF(AR179:AT181,0)=8,SUM(AR179:AT181),IF(L101="x",-1,0))</f>
        <v>-1</v>
      </c>
      <c r="AQ68" s="51">
        <f>IF(COUNTIF(AU179:AW181,0)=8,SUM(AU179:AW181),IF(M101="x",-1,0))</f>
        <v>-1</v>
      </c>
      <c r="AR68" s="52">
        <f>IF(COUNTIF(AX179:AZ181,0)=8,SUM(AX179:AZ181),IF(N101="x",-1,0))</f>
        <v>0</v>
      </c>
      <c r="AS68" s="50">
        <f>IF(COUNTIF(BA179:BC181,0)=8,SUM(BA179:BC181),IF(O101="x",-1,0))</f>
        <v>0</v>
      </c>
      <c r="AT68" s="51">
        <f>IF(COUNTIF(BD179:BF181,0)=8,SUM(BD179:BF181),IF(P101="x",-1,0))</f>
        <v>-1</v>
      </c>
      <c r="AU68" s="52">
        <f>IF(COUNTIF(BG179:BI181,0)=8,SUM(BG179:BI181),IF(Q101="x",-1,0))</f>
        <v>-1</v>
      </c>
      <c r="AV68" s="50">
        <f>IF(COUNTIF(BJ179:BL181,0)=8,SUM(BJ179:BL181),IF(R101="x",-1,0))</f>
        <v>0</v>
      </c>
      <c r="AW68" s="53">
        <f>IF(COUNTIF(BM179:BO181,0)=8,SUM(BM179:BO181),IF(S101="x",-1,0))</f>
        <v>-1</v>
      </c>
      <c r="AX68" s="49">
        <f>IF(COUNTIF(BP179:BR181,0)=8,SUM(BP179:BR181),IF(T101="x",-1,0))</f>
        <v>-1</v>
      </c>
      <c r="AY68" s="50">
        <f>IF(COUNTIF(BS179:BU181,0)=8,SUM(BS179:BU181),IF(U101="x",-1,0))</f>
        <v>-1</v>
      </c>
      <c r="AZ68" s="51">
        <f>IF(COUNTIF(BV179:BX181,0)=8,SUM(BV179:BX181),IF(V101="x",-1,0))</f>
        <v>-1</v>
      </c>
      <c r="BA68" s="52">
        <f>IF(COUNTIF(BY179:CA181,0)=8,SUM(BY179:CA181),IF(W101="x",-1,0))</f>
        <v>-1</v>
      </c>
      <c r="BB68" s="50">
        <f>IF(COUNTIF(CB179:CD181,0)=8,SUM(CB179:CD181),IF(X101="x",-1,0))</f>
        <v>-1</v>
      </c>
      <c r="BC68" s="51">
        <f>IF(COUNTIF(CE179:CG181,0)=8,SUM(CE179:CG181),IF(Y101="x",-1,0))</f>
        <v>-1</v>
      </c>
      <c r="BD68" s="52">
        <f>IF(COUNTIF(CH179:CJ181,0)=8,SUM(CH179:CJ181),IF(Z101="x",-1,0))</f>
        <v>-1</v>
      </c>
      <c r="BE68" s="50">
        <f>IF(COUNTIF(CK179:CM181,0)=8,SUM(CK179:CM181),IF(AA101="x",-1,0))</f>
        <v>-1</v>
      </c>
      <c r="BF68" s="53">
        <f>IF(COUNTIF(CN179:CP181,0)=8,SUM(CN179:CP181),IF(AB101="x",-1,0))</f>
        <v>-1</v>
      </c>
      <c r="BJ68" s="49">
        <f>IF(AF68=-1,-1,MAX(N362:P364))</f>
        <v>-1</v>
      </c>
      <c r="BK68" s="50">
        <f>IF(AG68=-1,-1,MAX(Q362:S364))</f>
        <v>-1</v>
      </c>
      <c r="BL68" s="51">
        <f>IF(AH68=-1,-1,MAX(T362:V364))</f>
        <v>-1</v>
      </c>
      <c r="BM68" s="52">
        <f>IF(AI68=-1,-1,MAX(W362:Y364))</f>
        <v>-1</v>
      </c>
      <c r="BN68" s="50">
        <f>IF(AJ68=-1,-1,MAX(Z362:AB364))</f>
        <v>-1</v>
      </c>
      <c r="BO68" s="51">
        <f>IF(AK68=-1,-1,MAX(AC362:AE364))</f>
        <v>0</v>
      </c>
      <c r="BP68" s="52">
        <f>IF(AL68=-1,-1,MAX(AF362:AH364))</f>
        <v>-1</v>
      </c>
      <c r="BQ68" s="50">
        <f>IF(AM68=-1,-1,MAX(AI362:AK364))</f>
        <v>-1</v>
      </c>
      <c r="BR68" s="53">
        <f>IF(AN68=-1,-1,MAX(AL362:AN364))</f>
        <v>-1</v>
      </c>
      <c r="BS68" s="49">
        <f>IF(AO68=-1,-1,MAX(AO362:AQ364))</f>
        <v>-1</v>
      </c>
      <c r="BT68" s="50">
        <f>IF(AP68=-1,-1,MAX(AR362:AT364))</f>
        <v>-1</v>
      </c>
      <c r="BU68" s="51">
        <f>IF(AQ68=-1,-1,MAX(AU362:AW364))</f>
        <v>-1</v>
      </c>
      <c r="BV68" s="52">
        <f>IF(AR68=-1,-1,MAX(AX362:AZ364))</f>
        <v>0</v>
      </c>
      <c r="BW68" s="50">
        <f>IF(AS68=-1,-1,MAX(BA362:BC364))</f>
        <v>0</v>
      </c>
      <c r="BX68" s="51">
        <f>IF(AT68=-1,-1,MAX(BD362:BF364))</f>
        <v>-1</v>
      </c>
      <c r="BY68" s="52">
        <f>IF(AU68=-1,-1,MAX(BG362:BI364))</f>
        <v>-1</v>
      </c>
      <c r="BZ68" s="50">
        <f>IF(AV68=-1,-1,MAX(BJ362:BL364))</f>
        <v>0</v>
      </c>
      <c r="CA68" s="53">
        <f>IF(AW68=-1,-1,MAX(BM362:BO364))</f>
        <v>-1</v>
      </c>
      <c r="CB68" s="49">
        <f>IF(AX68=-1,-1,MAX(BP362:BR364))</f>
        <v>-1</v>
      </c>
      <c r="CC68" s="50">
        <f>IF(AY68=-1,-1,MAX(BS362:BU364))</f>
        <v>-1</v>
      </c>
      <c r="CD68" s="51">
        <f>IF(AZ68=-1,-1,MAX(BV362:BX364))</f>
        <v>-1</v>
      </c>
      <c r="CE68" s="52">
        <f>IF(BA68=-1,-1,MAX(BY362:CA364))</f>
        <v>-1</v>
      </c>
      <c r="CF68" s="50">
        <f>IF(BB68=-1,-1,MAX(CB362:CD364))</f>
        <v>-1</v>
      </c>
      <c r="CG68" s="51">
        <f>IF(BC68=-1,-1,MAX(CE362:CG364))</f>
        <v>-1</v>
      </c>
      <c r="CH68" s="52">
        <f>IF(BD68=-1,-1,MAX(CH362:CJ364))</f>
        <v>-1</v>
      </c>
      <c r="CI68" s="50">
        <f>IF(BE68=-1,-1,MAX(CK362:CM364))</f>
        <v>-1</v>
      </c>
      <c r="CJ68" s="53">
        <f>IF(BF68=-1,-1,MAX(CN362:CP364))</f>
        <v>-1</v>
      </c>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row>
    <row r="69" spans="1:188" ht="15" customHeight="1">
      <c r="A69" s="142"/>
      <c r="B69" s="11">
        <v>5</v>
      </c>
      <c r="C69" s="7">
        <v>6</v>
      </c>
      <c r="D69" s="9" t="s">
        <v>32</v>
      </c>
      <c r="E69" s="8">
        <v>8</v>
      </c>
      <c r="F69" s="204">
        <v>7</v>
      </c>
      <c r="G69" s="9" t="s">
        <v>32</v>
      </c>
      <c r="H69" s="8" t="s">
        <v>32</v>
      </c>
      <c r="I69" s="7" t="s">
        <v>32</v>
      </c>
      <c r="J69" s="10" t="s">
        <v>32</v>
      </c>
      <c r="K69" s="11" t="s">
        <v>32</v>
      </c>
      <c r="L69" s="7" t="s">
        <v>32</v>
      </c>
      <c r="M69" s="9" t="s">
        <v>32</v>
      </c>
      <c r="N69" s="8" t="s">
        <v>32</v>
      </c>
      <c r="O69" s="7" t="s">
        <v>32</v>
      </c>
      <c r="P69" s="9" t="s">
        <v>32</v>
      </c>
      <c r="Q69" s="8" t="s">
        <v>32</v>
      </c>
      <c r="R69" s="7" t="s">
        <v>32</v>
      </c>
      <c r="S69" s="10" t="s">
        <v>32</v>
      </c>
      <c r="T69" s="11" t="s">
        <v>32</v>
      </c>
      <c r="U69" s="7" t="s">
        <v>32</v>
      </c>
      <c r="V69" s="9" t="s">
        <v>32</v>
      </c>
      <c r="W69" s="8" t="s">
        <v>32</v>
      </c>
      <c r="X69" s="7" t="s">
        <v>32</v>
      </c>
      <c r="Y69" s="9">
        <v>3</v>
      </c>
      <c r="Z69" s="8">
        <v>4</v>
      </c>
      <c r="AA69" s="7">
        <v>1</v>
      </c>
      <c r="AB69" s="10">
        <v>2</v>
      </c>
      <c r="AC69" s="142"/>
      <c r="AF69" s="43">
        <f>IF(COUNTIF(N182:P184,0)=8,SUM(N182:P184),IF(B102="x",-1,0))</f>
        <v>0</v>
      </c>
      <c r="AG69" s="39">
        <f>IF(COUNTIF(Q182:S184,0)=8,SUM(Q182:S184),IF(C102="x",-1,0))</f>
        <v>0</v>
      </c>
      <c r="AH69" s="41">
        <f>IF(COUNTIF(T182:V184,0)=8,SUM(T182:V184),IF(D102="x",-1,0))</f>
        <v>-1</v>
      </c>
      <c r="AI69" s="40">
        <f>IF(COUNTIF(W182:Y184,0)=8,SUM(W182:Y184),IF(E102="x",-1,0))</f>
        <v>0</v>
      </c>
      <c r="AJ69" s="39">
        <f>IF(COUNTIF(Z182:AB184,0)=8,SUM(Z182:AB184),IF(F102="x",-1,0))</f>
        <v>0</v>
      </c>
      <c r="AK69" s="41">
        <f>IF(COUNTIF(AC182:AE184,0)=8,SUM(AC182:AE184),IF(G102="x",-1,0))</f>
        <v>-1</v>
      </c>
      <c r="AL69" s="40">
        <f>IF(COUNTIF(AF182:AH184,0)=8,SUM(AF182:AH184),IF(H102="x",-1,0))</f>
        <v>-1</v>
      </c>
      <c r="AM69" s="39">
        <f>IF(COUNTIF(AI182:AK184,0)=8,SUM(AI182:AK184),IF(I102="x",-1,0))</f>
        <v>-1</v>
      </c>
      <c r="AN69" s="42">
        <f>IF(COUNTIF(AL182:AN184,0)=8,SUM(AL182:AN184),IF(J102="x",-1,0))</f>
        <v>-1</v>
      </c>
      <c r="AO69" s="43">
        <f>IF(COUNTIF(AO182:AQ184,0)=8,SUM(AO182:AQ184),IF(K102="x",-1,0))</f>
        <v>-1</v>
      </c>
      <c r="AP69" s="39">
        <f>IF(COUNTIF(AR182:AT184,0)=8,SUM(AR182:AT184),IF(L102="x",-1,0))</f>
        <v>-1</v>
      </c>
      <c r="AQ69" s="41">
        <f>IF(COUNTIF(AU182:AW184,0)=8,SUM(AU182:AW184),IF(M102="x",-1,0))</f>
        <v>-1</v>
      </c>
      <c r="AR69" s="40">
        <f>IF(COUNTIF(AX182:AZ184,0)=8,SUM(AX182:AZ184),IF(N102="x",-1,0))</f>
        <v>-1</v>
      </c>
      <c r="AS69" s="39">
        <f>IF(COUNTIF(BA182:BC184,0)=8,SUM(BA182:BC184),IF(O102="x",-1,0))</f>
        <v>-1</v>
      </c>
      <c r="AT69" s="41">
        <f>IF(COUNTIF(BD182:BF184,0)=8,SUM(BD182:BF184),IF(P102="x",-1,0))</f>
        <v>-1</v>
      </c>
      <c r="AU69" s="40">
        <f>IF(COUNTIF(BG182:BI184,0)=8,SUM(BG182:BI184),IF(Q102="x",-1,0))</f>
        <v>-1</v>
      </c>
      <c r="AV69" s="39">
        <f>IF(COUNTIF(BJ182:BL184,0)=8,SUM(BJ182:BL184),IF(R102="x",-1,0))</f>
        <v>-1</v>
      </c>
      <c r="AW69" s="42">
        <f>IF(COUNTIF(BM182:BO184,0)=8,SUM(BM182:BO184),IF(S102="x",-1,0))</f>
        <v>-1</v>
      </c>
      <c r="AX69" s="43">
        <f>IF(COUNTIF(BP182:BR184,0)=8,SUM(BP182:BR184),IF(T102="x",-1,0))</f>
        <v>-1</v>
      </c>
      <c r="AY69" s="39">
        <f>IF(COUNTIF(BS182:BU184,0)=8,SUM(BS182:BU184),IF(U102="x",-1,0))</f>
        <v>-1</v>
      </c>
      <c r="AZ69" s="41">
        <f>IF(COUNTIF(BV182:BX184,0)=8,SUM(BV182:BX184),IF(V102="x",-1,0))</f>
        <v>-1</v>
      </c>
      <c r="BA69" s="40">
        <f>IF(COUNTIF(BY182:CA184,0)=8,SUM(BY182:CA184),IF(W102="x",-1,0))</f>
        <v>-1</v>
      </c>
      <c r="BB69" s="39">
        <f>IF(COUNTIF(CB182:CD184,0)=8,SUM(CB182:CD184),IF(X102="x",-1,0))</f>
        <v>-1</v>
      </c>
      <c r="BC69" s="41">
        <f>IF(COUNTIF(CE182:CG184,0)=8,SUM(CE182:CG184),IF(Y102="x",-1,0))</f>
        <v>0</v>
      </c>
      <c r="BD69" s="40">
        <f>IF(COUNTIF(CH182:CJ184,0)=8,SUM(CH182:CJ184),IF(Z102="x",-1,0))</f>
        <v>0</v>
      </c>
      <c r="BE69" s="39">
        <f>IF(COUNTIF(CK182:CM184,0)=8,SUM(CK182:CM184),IF(AA102="x",-1,0))</f>
        <v>0</v>
      </c>
      <c r="BF69" s="42">
        <f>IF(COUNTIF(CN182:CP184,0)=8,SUM(CN182:CP184),IF(AB102="x",-1,0))</f>
        <v>0</v>
      </c>
      <c r="BJ69" s="43">
        <f>IF(AF69=-1,-1,MAX(N365:P367))</f>
        <v>0</v>
      </c>
      <c r="BK69" s="39">
        <f>IF(AG69=-1,-1,MAX(Q365:S367))</f>
        <v>0</v>
      </c>
      <c r="BL69" s="41">
        <f>IF(AH69=-1,-1,MAX(T365:V367))</f>
        <v>-1</v>
      </c>
      <c r="BM69" s="40">
        <f>IF(AI69=-1,-1,MAX(W365:Y367))</f>
        <v>0</v>
      </c>
      <c r="BN69" s="39">
        <f>IF(AJ69=-1,-1,MAX(Z365:AB367))</f>
        <v>0</v>
      </c>
      <c r="BO69" s="41">
        <f>IF(AK69=-1,-1,MAX(AC365:AE367))</f>
        <v>-1</v>
      </c>
      <c r="BP69" s="40">
        <f>IF(AL69=-1,-1,MAX(AF365:AH367))</f>
        <v>-1</v>
      </c>
      <c r="BQ69" s="39">
        <f>IF(AM69=-1,-1,MAX(AI365:AK367))</f>
        <v>-1</v>
      </c>
      <c r="BR69" s="42">
        <f>IF(AN69=-1,-1,MAX(AL365:AN367))</f>
        <v>-1</v>
      </c>
      <c r="BS69" s="43">
        <f>IF(AO69=-1,-1,MAX(AO365:AQ367))</f>
        <v>-1</v>
      </c>
      <c r="BT69" s="39">
        <f>IF(AP69=-1,-1,MAX(AR365:AT367))</f>
        <v>-1</v>
      </c>
      <c r="BU69" s="41">
        <f>IF(AQ69=-1,-1,MAX(AU365:AW367))</f>
        <v>-1</v>
      </c>
      <c r="BV69" s="40">
        <f>IF(AR69=-1,-1,MAX(AX365:AZ367))</f>
        <v>-1</v>
      </c>
      <c r="BW69" s="39">
        <f>IF(AS69=-1,-1,MAX(BA365:BC367))</f>
        <v>-1</v>
      </c>
      <c r="BX69" s="41">
        <f>IF(AT69=-1,-1,MAX(BD365:BF367))</f>
        <v>-1</v>
      </c>
      <c r="BY69" s="40">
        <f>IF(AU69=-1,-1,MAX(BG365:BI367))</f>
        <v>-1</v>
      </c>
      <c r="BZ69" s="39">
        <f>IF(AV69=-1,-1,MAX(BJ365:BL367))</f>
        <v>-1</v>
      </c>
      <c r="CA69" s="42">
        <f>IF(AW69=-1,-1,MAX(BM365:BO367))</f>
        <v>-1</v>
      </c>
      <c r="CB69" s="43">
        <f>IF(AX69=-1,-1,MAX(BP365:BR367))</f>
        <v>-1</v>
      </c>
      <c r="CC69" s="39">
        <f>IF(AY69=-1,-1,MAX(BS365:BU367))</f>
        <v>-1</v>
      </c>
      <c r="CD69" s="41">
        <f>IF(AZ69=-1,-1,MAX(BV365:BX367))</f>
        <v>-1</v>
      </c>
      <c r="CE69" s="40">
        <f>IF(BA69=-1,-1,MAX(BY365:CA367))</f>
        <v>-1</v>
      </c>
      <c r="CF69" s="39">
        <f>IF(BB69=-1,-1,MAX(CB365:CD367))</f>
        <v>-1</v>
      </c>
      <c r="CG69" s="41">
        <f>IF(BC69=-1,-1,MAX(CE365:CG367))</f>
        <v>0</v>
      </c>
      <c r="CH69" s="40">
        <f>IF(BD69=-1,-1,MAX(CH365:CJ367))</f>
        <v>0</v>
      </c>
      <c r="CI69" s="39">
        <f>IF(BE69=-1,-1,MAX(CK365:CM367))</f>
        <v>0</v>
      </c>
      <c r="CJ69" s="42">
        <f>IF(BF69=-1,-1,MAX(CN365:CP367))</f>
        <v>0</v>
      </c>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row>
    <row r="70" spans="1:188" ht="15" customHeight="1" thickBot="1">
      <c r="A70" s="142"/>
      <c r="B70" s="21">
        <v>3</v>
      </c>
      <c r="C70" s="22">
        <v>4</v>
      </c>
      <c r="D70" s="223">
        <v>2</v>
      </c>
      <c r="E70" s="24">
        <v>1</v>
      </c>
      <c r="F70" s="22" t="s">
        <v>32</v>
      </c>
      <c r="G70" s="23" t="s">
        <v>32</v>
      </c>
      <c r="H70" s="24" t="s">
        <v>32</v>
      </c>
      <c r="I70" s="22" t="s">
        <v>32</v>
      </c>
      <c r="J70" s="25" t="s">
        <v>32</v>
      </c>
      <c r="K70" s="21" t="s">
        <v>32</v>
      </c>
      <c r="L70" s="22" t="s">
        <v>32</v>
      </c>
      <c r="M70" s="23" t="s">
        <v>32</v>
      </c>
      <c r="N70" s="24" t="s">
        <v>32</v>
      </c>
      <c r="O70" s="22" t="s">
        <v>32</v>
      </c>
      <c r="P70" s="23" t="s">
        <v>32</v>
      </c>
      <c r="Q70" s="24" t="s">
        <v>32</v>
      </c>
      <c r="R70" s="22" t="s">
        <v>32</v>
      </c>
      <c r="S70" s="25" t="s">
        <v>32</v>
      </c>
      <c r="T70" s="21" t="s">
        <v>32</v>
      </c>
      <c r="U70" s="22" t="s">
        <v>32</v>
      </c>
      <c r="V70" s="23" t="s">
        <v>32</v>
      </c>
      <c r="W70" s="24" t="s">
        <v>32</v>
      </c>
      <c r="X70" s="219">
        <v>5</v>
      </c>
      <c r="Y70" s="23">
        <v>6</v>
      </c>
      <c r="Z70" s="24">
        <v>7</v>
      </c>
      <c r="AA70" s="22">
        <v>9</v>
      </c>
      <c r="AB70" s="25">
        <v>8</v>
      </c>
      <c r="AC70" s="142"/>
      <c r="AF70" s="54">
        <f>IF(COUNTIF(N185:P187,0)=8,SUM(N185:P187),IF(B103="x",-1,0))</f>
        <v>0</v>
      </c>
      <c r="AG70" s="55">
        <f>IF(COUNTIF(Q185:S187,0)=8,SUM(Q185:S187),IF(C103="x",-1,0))</f>
        <v>0</v>
      </c>
      <c r="AH70" s="56">
        <f>IF(COUNTIF(T185:V187,0)=8,SUM(T185:V187),IF(D103="x",-1,0))</f>
        <v>0</v>
      </c>
      <c r="AI70" s="57">
        <f>IF(COUNTIF(W185:Y187,0)=8,SUM(W185:Y187),IF(E103="x",-1,0))</f>
        <v>0</v>
      </c>
      <c r="AJ70" s="55">
        <f>IF(COUNTIF(Z185:AB187,0)=8,SUM(Z185:AB187),IF(F103="x",-1,0))</f>
        <v>-1</v>
      </c>
      <c r="AK70" s="56">
        <f>IF(COUNTIF(AC185:AE187,0)=8,SUM(AC185:AE187),IF(G103="x",-1,0))</f>
        <v>-1</v>
      </c>
      <c r="AL70" s="57">
        <f>IF(COUNTIF(AF185:AH187,0)=8,SUM(AF185:AH187),IF(H103="x",-1,0))</f>
        <v>-1</v>
      </c>
      <c r="AM70" s="55">
        <f>IF(COUNTIF(AI185:AK187,0)=8,SUM(AI185:AK187),IF(I103="x",-1,0))</f>
        <v>-1</v>
      </c>
      <c r="AN70" s="58">
        <f>IF(COUNTIF(AL185:AN187,0)=8,SUM(AL185:AN187),IF(J103="x",-1,0))</f>
        <v>-1</v>
      </c>
      <c r="AO70" s="54">
        <f>IF(COUNTIF(AO185:AQ187,0)=8,SUM(AO185:AQ187),IF(K103="x",-1,0))</f>
        <v>-1</v>
      </c>
      <c r="AP70" s="55">
        <f>IF(COUNTIF(AR185:AT187,0)=8,SUM(AR185:AT187),IF(L103="x",-1,0))</f>
        <v>-1</v>
      </c>
      <c r="AQ70" s="56">
        <f>IF(COUNTIF(AU185:AW187,0)=8,SUM(AU185:AW187),IF(M103="x",-1,0))</f>
        <v>-1</v>
      </c>
      <c r="AR70" s="57">
        <f>IF(COUNTIF(AX185:AZ187,0)=8,SUM(AX185:AZ187),IF(N103="x",-1,0))</f>
        <v>-1</v>
      </c>
      <c r="AS70" s="55">
        <f>IF(COUNTIF(BA185:BC187,0)=8,SUM(BA185:BC187),IF(O103="x",-1,0))</f>
        <v>-1</v>
      </c>
      <c r="AT70" s="56">
        <f>IF(COUNTIF(BD185:BF187,0)=8,SUM(BD185:BF187),IF(P103="x",-1,0))</f>
        <v>-1</v>
      </c>
      <c r="AU70" s="57">
        <f>IF(COUNTIF(BG185:BI187,0)=8,SUM(BG185:BI187),IF(Q103="x",-1,0))</f>
        <v>-1</v>
      </c>
      <c r="AV70" s="55">
        <f>IF(COUNTIF(BJ185:BL187,0)=8,SUM(BJ185:BL187),IF(R103="x",-1,0))</f>
        <v>-1</v>
      </c>
      <c r="AW70" s="58">
        <f>IF(COUNTIF(BM185:BO187,0)=8,SUM(BM185:BO187),IF(S103="x",-1,0))</f>
        <v>-1</v>
      </c>
      <c r="AX70" s="54">
        <f>IF(COUNTIF(BP185:BR187,0)=8,SUM(BP185:BR187),IF(T103="x",-1,0))</f>
        <v>-1</v>
      </c>
      <c r="AY70" s="55">
        <f>IF(COUNTIF(BS185:BU187,0)=8,SUM(BS185:BU187),IF(U103="x",-1,0))</f>
        <v>-1</v>
      </c>
      <c r="AZ70" s="56">
        <f>IF(COUNTIF(BV185:BX187,0)=8,SUM(BV185:BX187),IF(V103="x",-1,0))</f>
        <v>-1</v>
      </c>
      <c r="BA70" s="57">
        <f>IF(COUNTIF(BY185:CA187,0)=8,SUM(BY185:CA187),IF(W103="x",-1,0))</f>
        <v>-1</v>
      </c>
      <c r="BB70" s="55">
        <f>IF(COUNTIF(CB185:CD187,0)=8,SUM(CB185:CD187),IF(X103="x",-1,0))</f>
        <v>0</v>
      </c>
      <c r="BC70" s="56">
        <f>IF(COUNTIF(CE185:CG187,0)=8,SUM(CE185:CG187),IF(Y103="x",-1,0))</f>
        <v>0</v>
      </c>
      <c r="BD70" s="57">
        <f>IF(COUNTIF(CH185:CJ187,0)=8,SUM(CH185:CJ187),IF(Z103="x",-1,0))</f>
        <v>0</v>
      </c>
      <c r="BE70" s="55">
        <f>IF(COUNTIF(CK185:CM187,0)=8,SUM(CK185:CM187),IF(AA103="x",-1,0))</f>
        <v>0</v>
      </c>
      <c r="BF70" s="58">
        <f>IF(COUNTIF(CN185:CP187,0)=8,SUM(CN185:CP187),IF(AB103="x",-1,0))</f>
        <v>0</v>
      </c>
      <c r="BJ70" s="54">
        <f>IF(AF70=-1,-1,MAX(N368:P370))</f>
        <v>0</v>
      </c>
      <c r="BK70" s="55">
        <f>IF(AG70=-1,-1,MAX(Q368:S370))</f>
        <v>0</v>
      </c>
      <c r="BL70" s="56">
        <f>IF(AH70=-1,-1,MAX(T368:V370))</f>
        <v>0</v>
      </c>
      <c r="BM70" s="57">
        <f>IF(AI70=-1,-1,MAX(W368:Y370))</f>
        <v>0</v>
      </c>
      <c r="BN70" s="55">
        <f>IF(AJ70=-1,-1,MAX(Z368:AB370))</f>
        <v>-1</v>
      </c>
      <c r="BO70" s="56">
        <f>IF(AK70=-1,-1,MAX(AC368:AE370))</f>
        <v>-1</v>
      </c>
      <c r="BP70" s="57">
        <f>IF(AL70=-1,-1,MAX(AF368:AH370))</f>
        <v>-1</v>
      </c>
      <c r="BQ70" s="55">
        <f>IF(AM70=-1,-1,MAX(AI368:AK370))</f>
        <v>-1</v>
      </c>
      <c r="BR70" s="58">
        <f>IF(AN70=-1,-1,MAX(AL368:AN370))</f>
        <v>-1</v>
      </c>
      <c r="BS70" s="54">
        <f>IF(AO70=-1,-1,MAX(AO368:AQ370))</f>
        <v>-1</v>
      </c>
      <c r="BT70" s="55">
        <f>IF(AP70=-1,-1,MAX(AR368:AT370))</f>
        <v>-1</v>
      </c>
      <c r="BU70" s="56">
        <f>IF(AQ70=-1,-1,MAX(AU368:AW370))</f>
        <v>-1</v>
      </c>
      <c r="BV70" s="57">
        <f>IF(AR70=-1,-1,MAX(AX368:AZ370))</f>
        <v>-1</v>
      </c>
      <c r="BW70" s="55">
        <f>IF(AS70=-1,-1,MAX(BA368:BC370))</f>
        <v>-1</v>
      </c>
      <c r="BX70" s="56">
        <f>IF(AT70=-1,-1,MAX(BD368:BF370))</f>
        <v>-1</v>
      </c>
      <c r="BY70" s="57">
        <f>IF(AU70=-1,-1,MAX(BG368:BI370))</f>
        <v>-1</v>
      </c>
      <c r="BZ70" s="55">
        <f>IF(AV70=-1,-1,MAX(BJ368:BL370))</f>
        <v>-1</v>
      </c>
      <c r="CA70" s="58">
        <f>IF(AW70=-1,-1,MAX(BM368:BO370))</f>
        <v>-1</v>
      </c>
      <c r="CB70" s="54">
        <f>IF(AX70=-1,-1,MAX(BP368:BR370))</f>
        <v>-1</v>
      </c>
      <c r="CC70" s="55">
        <f>IF(AY70=-1,-1,MAX(BS368:BU370))</f>
        <v>-1</v>
      </c>
      <c r="CD70" s="56">
        <f>IF(AZ70=-1,-1,MAX(BV368:BX370))</f>
        <v>-1</v>
      </c>
      <c r="CE70" s="57">
        <f>IF(BA70=-1,-1,MAX(BY368:CA370))</f>
        <v>-1</v>
      </c>
      <c r="CF70" s="55">
        <f>IF(BB70=-1,-1,MAX(CB368:CD370))</f>
        <v>0</v>
      </c>
      <c r="CG70" s="56">
        <f>IF(BC70=-1,-1,MAX(CE368:CG370))</f>
        <v>0</v>
      </c>
      <c r="CH70" s="57">
        <f>IF(BD70=-1,-1,MAX(CH368:CJ370))</f>
        <v>0</v>
      </c>
      <c r="CI70" s="55">
        <f>IF(BE70=-1,-1,MAX(CK368:CM370))</f>
        <v>0</v>
      </c>
      <c r="CJ70" s="58">
        <f>IF(BF70=-1,-1,MAX(CN368:CP370))</f>
        <v>0</v>
      </c>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row>
    <row r="71" spans="1:188" ht="15" customHeight="1" thickBot="1">
      <c r="A71" s="145" t="s">
        <v>80</v>
      </c>
      <c r="B71" s="142"/>
      <c r="C71" s="142"/>
      <c r="D71" s="142"/>
      <c r="E71" s="548">
        <f>SUM(Spielfeld)</f>
        <v>405</v>
      </c>
      <c r="F71" s="546"/>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F71" s="410" t="s">
        <v>70</v>
      </c>
      <c r="AG71" s="411"/>
      <c r="AH71" s="411"/>
      <c r="AI71" s="411"/>
      <c r="AJ71" s="411"/>
      <c r="AK71" s="411"/>
      <c r="AL71" s="412"/>
      <c r="AM71" s="413"/>
      <c r="AN71" s="550">
        <f>81-COUNTIF(AF44:BF70,0)</f>
        <v>0</v>
      </c>
      <c r="AO71" s="551"/>
      <c r="BJ71" s="410" t="s">
        <v>71</v>
      </c>
      <c r="BK71" s="411"/>
      <c r="BL71" s="411"/>
      <c r="BM71" s="411"/>
      <c r="BN71" s="411"/>
      <c r="BO71" s="411"/>
      <c r="BP71" s="411"/>
      <c r="BQ71" s="411"/>
      <c r="BR71" s="550">
        <f>81-COUNTIF(BJ44:CJ70,0)</f>
        <v>0</v>
      </c>
      <c r="BS71" s="55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row>
    <row r="72" spans="1:188" ht="15" customHeight="1">
      <c r="B72" s="545" t="s">
        <v>13</v>
      </c>
      <c r="C72" s="546"/>
      <c r="D72" s="546"/>
      <c r="E72" s="547"/>
      <c r="G72" s="540" t="str">
        <f>IF(AND(B73="OK",SUM(Spielfeld)=405),"Hurra Lösung gefunden!","")</f>
        <v>Hurra Lösung gefunden!</v>
      </c>
      <c r="H72" s="541"/>
      <c r="I72" s="541"/>
      <c r="J72" s="541"/>
      <c r="K72" s="541"/>
      <c r="L72" s="541"/>
      <c r="M72" s="541"/>
      <c r="N72" s="541"/>
      <c r="O72" s="541"/>
    </row>
    <row r="73" spans="1:188" ht="15" customHeight="1" thickBot="1">
      <c r="B73" s="542" t="str">
        <f>IF(Test&lt;=1,"OK","Fehler")</f>
        <v>OK</v>
      </c>
      <c r="C73" s="543"/>
      <c r="D73" s="543"/>
      <c r="E73" s="544"/>
    </row>
    <row r="74" spans="1:188" ht="15" customHeight="1" thickBot="1"/>
    <row r="75" spans="1:188" ht="15" customHeight="1" thickBot="1">
      <c r="AT75" s="537"/>
      <c r="AU75" s="538"/>
      <c r="AV75" s="538"/>
      <c r="AW75" s="538"/>
      <c r="AX75" s="538"/>
      <c r="AY75" s="538"/>
      <c r="AZ75" s="538"/>
      <c r="BA75" s="538"/>
      <c r="BB75" s="538"/>
      <c r="BC75" s="538"/>
      <c r="BD75" s="538"/>
      <c r="BE75" s="538"/>
      <c r="BF75" s="539"/>
    </row>
    <row r="76" spans="1:188" ht="15" customHeight="1" thickBot="1">
      <c r="CH76" s="59" t="s">
        <v>36</v>
      </c>
      <c r="CI76" s="60"/>
      <c r="CJ76" s="60"/>
      <c r="CK76" s="60">
        <v>1</v>
      </c>
      <c r="CL76" s="60">
        <v>2</v>
      </c>
      <c r="CM76" s="60">
        <v>3</v>
      </c>
      <c r="CN76" s="60">
        <v>4</v>
      </c>
      <c r="CO76" s="60">
        <v>5</v>
      </c>
      <c r="CP76" s="60">
        <v>6</v>
      </c>
      <c r="CQ76" s="60">
        <v>7</v>
      </c>
      <c r="CR76" s="60">
        <v>8</v>
      </c>
      <c r="CS76" s="60">
        <v>9</v>
      </c>
      <c r="CT76" s="61"/>
      <c r="CU76" s="61"/>
      <c r="CV76" s="61"/>
      <c r="CW76" s="61"/>
      <c r="CX76" s="60" t="s">
        <v>37</v>
      </c>
      <c r="EB76" s="32" t="s">
        <v>74</v>
      </c>
      <c r="FF76" s="32" t="s">
        <v>75</v>
      </c>
    </row>
    <row r="77" spans="1:188" ht="15" customHeight="1" thickBot="1">
      <c r="B77" s="34">
        <f>B44</f>
        <v>7</v>
      </c>
      <c r="C77" s="37">
        <f t="shared" ref="C77:AB77" si="0">C44</f>
        <v>1</v>
      </c>
      <c r="D77" s="35">
        <f t="shared" si="0"/>
        <v>4</v>
      </c>
      <c r="E77" s="36" t="str">
        <f t="shared" si="0"/>
        <v>x</v>
      </c>
      <c r="F77" s="37" t="str">
        <f t="shared" si="0"/>
        <v>x</v>
      </c>
      <c r="G77" s="35" t="str">
        <f t="shared" si="0"/>
        <v>x</v>
      </c>
      <c r="H77" s="36" t="str">
        <f t="shared" si="0"/>
        <v>x</v>
      </c>
      <c r="I77" s="37" t="str">
        <f t="shared" si="0"/>
        <v>x</v>
      </c>
      <c r="J77" s="38" t="str">
        <f t="shared" si="0"/>
        <v>x</v>
      </c>
      <c r="K77" s="34" t="str">
        <f t="shared" si="0"/>
        <v>x</v>
      </c>
      <c r="L77" s="37" t="str">
        <f t="shared" si="0"/>
        <v>x</v>
      </c>
      <c r="M77" s="35" t="str">
        <f t="shared" si="0"/>
        <v>x</v>
      </c>
      <c r="N77" s="36">
        <f t="shared" si="0"/>
        <v>3</v>
      </c>
      <c r="O77" s="37">
        <f t="shared" si="0"/>
        <v>6</v>
      </c>
      <c r="P77" s="35">
        <f t="shared" si="0"/>
        <v>2</v>
      </c>
      <c r="Q77" s="36" t="str">
        <f t="shared" si="0"/>
        <v>x</v>
      </c>
      <c r="R77" s="37" t="str">
        <f t="shared" si="0"/>
        <v>x</v>
      </c>
      <c r="S77" s="38" t="str">
        <f t="shared" si="0"/>
        <v>x</v>
      </c>
      <c r="T77" s="34" t="str">
        <f t="shared" si="0"/>
        <v>x</v>
      </c>
      <c r="U77" s="37" t="str">
        <f t="shared" si="0"/>
        <v>x</v>
      </c>
      <c r="V77" s="35" t="str">
        <f t="shared" si="0"/>
        <v>x</v>
      </c>
      <c r="W77" s="36" t="str">
        <f t="shared" si="0"/>
        <v>x</v>
      </c>
      <c r="X77" s="37" t="str">
        <f t="shared" si="0"/>
        <v>x</v>
      </c>
      <c r="Y77" s="35" t="str">
        <f t="shared" si="0"/>
        <v>x</v>
      </c>
      <c r="Z77" s="36" t="str">
        <f t="shared" si="0"/>
        <v>x</v>
      </c>
      <c r="AA77" s="37">
        <f t="shared" si="0"/>
        <v>8</v>
      </c>
      <c r="AB77" s="38" t="str">
        <f t="shared" si="0"/>
        <v>x</v>
      </c>
      <c r="AC77" s="62" t="str">
        <f>B86</f>
        <v>x</v>
      </c>
      <c r="AD77" s="63" t="str">
        <f t="shared" ref="AD77:BC77" si="1">C86</f>
        <v>x</v>
      </c>
      <c r="AE77" s="63" t="str">
        <f t="shared" si="1"/>
        <v>x</v>
      </c>
      <c r="AF77" s="63" t="str">
        <f t="shared" si="1"/>
        <v>x</v>
      </c>
      <c r="AG77" s="63" t="str">
        <f t="shared" si="1"/>
        <v>x</v>
      </c>
      <c r="AH77" s="63" t="str">
        <f t="shared" si="1"/>
        <v>x</v>
      </c>
      <c r="AI77" s="63" t="str">
        <f t="shared" si="1"/>
        <v>x</v>
      </c>
      <c r="AJ77" s="63" t="str">
        <f t="shared" si="1"/>
        <v>x</v>
      </c>
      <c r="AK77" s="64" t="str">
        <f t="shared" si="1"/>
        <v>x</v>
      </c>
      <c r="AL77" s="62" t="str">
        <f t="shared" si="1"/>
        <v>x</v>
      </c>
      <c r="AM77" s="63" t="str">
        <f t="shared" si="1"/>
        <v>x</v>
      </c>
      <c r="AN77" s="63" t="str">
        <f t="shared" si="1"/>
        <v>x</v>
      </c>
      <c r="AO77" s="63" t="str">
        <f t="shared" si="1"/>
        <v>x</v>
      </c>
      <c r="AP77" s="63" t="str">
        <f t="shared" si="1"/>
        <v>x</v>
      </c>
      <c r="AQ77" s="63" t="str">
        <f t="shared" si="1"/>
        <v>x</v>
      </c>
      <c r="AR77" s="63" t="str">
        <f t="shared" si="1"/>
        <v>x</v>
      </c>
      <c r="AS77" s="63" t="str">
        <f t="shared" si="1"/>
        <v>x</v>
      </c>
      <c r="AT77" s="64" t="str">
        <f t="shared" si="1"/>
        <v>x</v>
      </c>
      <c r="AU77" s="62" t="str">
        <f t="shared" si="1"/>
        <v>x</v>
      </c>
      <c r="AV77" s="63" t="str">
        <f t="shared" si="1"/>
        <v>x</v>
      </c>
      <c r="AW77" s="63" t="str">
        <f t="shared" si="1"/>
        <v>x</v>
      </c>
      <c r="AX77" s="63" t="str">
        <f t="shared" si="1"/>
        <v>x</v>
      </c>
      <c r="AY77" s="63" t="str">
        <f t="shared" si="1"/>
        <v>x</v>
      </c>
      <c r="AZ77" s="63" t="str">
        <f t="shared" si="1"/>
        <v>x</v>
      </c>
      <c r="BA77" s="63">
        <f t="shared" si="1"/>
        <v>9</v>
      </c>
      <c r="BB77" s="63" t="str">
        <f t="shared" si="1"/>
        <v>x</v>
      </c>
      <c r="BC77" s="64">
        <f t="shared" si="1"/>
        <v>5</v>
      </c>
      <c r="BD77" s="65" t="str">
        <f>B95</f>
        <v>x</v>
      </c>
      <c r="BE77" s="66" t="str">
        <f t="shared" ref="BE77:CD77" si="2">C95</f>
        <v>x</v>
      </c>
      <c r="BF77" s="66" t="str">
        <f t="shared" si="2"/>
        <v>x</v>
      </c>
      <c r="BG77" s="66" t="str">
        <f t="shared" si="2"/>
        <v>x</v>
      </c>
      <c r="BH77" s="66" t="str">
        <f t="shared" si="2"/>
        <v>x</v>
      </c>
      <c r="BI77" s="66" t="str">
        <f t="shared" si="2"/>
        <v>x</v>
      </c>
      <c r="BJ77" s="66" t="str">
        <f t="shared" si="2"/>
        <v>x</v>
      </c>
      <c r="BK77" s="66" t="str">
        <f t="shared" si="2"/>
        <v>x</v>
      </c>
      <c r="BL77" s="67" t="str">
        <f t="shared" si="2"/>
        <v>x</v>
      </c>
      <c r="BM77" s="65" t="str">
        <f t="shared" si="2"/>
        <v>x</v>
      </c>
      <c r="BN77" s="66" t="str">
        <f t="shared" si="2"/>
        <v>x</v>
      </c>
      <c r="BO77" s="66" t="str">
        <f t="shared" si="2"/>
        <v>x</v>
      </c>
      <c r="BP77" s="66" t="str">
        <f t="shared" si="2"/>
        <v>x</v>
      </c>
      <c r="BQ77" s="66" t="str">
        <f t="shared" si="2"/>
        <v>x</v>
      </c>
      <c r="BR77" s="66" t="str">
        <f t="shared" si="2"/>
        <v>x</v>
      </c>
      <c r="BS77" s="66" t="str">
        <f t="shared" si="2"/>
        <v>x</v>
      </c>
      <c r="BT77" s="66" t="str">
        <f t="shared" si="2"/>
        <v>x</v>
      </c>
      <c r="BU77" s="67" t="str">
        <f t="shared" si="2"/>
        <v>x</v>
      </c>
      <c r="BV77" s="65" t="str">
        <f t="shared" si="2"/>
        <v>x</v>
      </c>
      <c r="BW77" s="66" t="str">
        <f t="shared" si="2"/>
        <v>x</v>
      </c>
      <c r="BX77" s="66" t="str">
        <f t="shared" si="2"/>
        <v>x</v>
      </c>
      <c r="BY77" s="66" t="str">
        <f t="shared" si="2"/>
        <v>x</v>
      </c>
      <c r="BZ77" s="66" t="str">
        <f t="shared" si="2"/>
        <v>x</v>
      </c>
      <c r="CA77" s="66" t="str">
        <f t="shared" si="2"/>
        <v>x</v>
      </c>
      <c r="CB77" s="66" t="str">
        <f t="shared" si="2"/>
        <v>x</v>
      </c>
      <c r="CC77" s="66" t="str">
        <f t="shared" si="2"/>
        <v>x</v>
      </c>
      <c r="CD77" s="67" t="str">
        <f t="shared" si="2"/>
        <v>x</v>
      </c>
      <c r="CH77" s="59" t="s">
        <v>33</v>
      </c>
      <c r="CI77" s="61"/>
      <c r="CJ77" s="61"/>
      <c r="CK77" s="61">
        <f>COUNTIF(Zeile1,1)</f>
        <v>1</v>
      </c>
      <c r="CL77" s="61">
        <f>COUNTIF(Zeile1,2)</f>
        <v>1</v>
      </c>
      <c r="CM77" s="61">
        <f>COUNTIF(Zeile1,3)</f>
        <v>1</v>
      </c>
      <c r="CN77" s="61">
        <f>COUNTIF(Zeile1,4)</f>
        <v>1</v>
      </c>
      <c r="CO77" s="61">
        <f>COUNTIF(Zeile1,5)</f>
        <v>1</v>
      </c>
      <c r="CP77" s="61">
        <f>COUNTIF(Zeile1,6)</f>
        <v>1</v>
      </c>
      <c r="CQ77" s="61">
        <f>COUNTIF(Zeile1,7)</f>
        <v>1</v>
      </c>
      <c r="CR77" s="61">
        <f>COUNTIF(Zeile1,8)</f>
        <v>1</v>
      </c>
      <c r="CS77" s="61">
        <f>COUNTIF(Zeile1,9)</f>
        <v>1</v>
      </c>
      <c r="CT77" s="61"/>
      <c r="CU77" s="61"/>
      <c r="CV77" s="61"/>
      <c r="CW77" s="61"/>
      <c r="CX77" s="68">
        <f>MAX(Kontrolle)</f>
        <v>1</v>
      </c>
      <c r="EB77" s="416">
        <f>IF(COUNTIF(DJ140:DL142,0)=8,SUM(DJ140:DL142),IF(B77="x",-1,0))</f>
        <v>0</v>
      </c>
      <c r="EC77" s="37">
        <f>IF(COUNTIF(DM140:DO142,0)=8,SUM(DM140:DO142),IF(C77="x",-1,0))</f>
        <v>0</v>
      </c>
      <c r="ED77" s="35">
        <f>IF(COUNTIF(DP140:DR142,0)=8,SUM(DP140:DR142),IF(D77="x",-1,0))</f>
        <v>0</v>
      </c>
      <c r="EE77" s="36">
        <f>IF(COUNTIF(DS140:DU142,0)=8,SUM(DS140:DU142),IF(E77="x",-1,0))</f>
        <v>-1</v>
      </c>
      <c r="EF77" s="37">
        <f>IF(COUNTIF(DV140:DX142,0)=8,SUM(DV140:DX142),IF(F77="x",-1,0))</f>
        <v>-1</v>
      </c>
      <c r="EG77" s="35">
        <f>IF(COUNTIF(DY140:EA142,0)=8,SUM(DY140:EA142),IF(G77="x",-1,0))</f>
        <v>-1</v>
      </c>
      <c r="EH77" s="36">
        <f>IF(COUNTIF(EB140:ED142,0)=8,SUM(EB140:ED142),IF(H77="x",-1,0))</f>
        <v>-1</v>
      </c>
      <c r="EI77" s="37">
        <f>IF(COUNTIF(EE140:EG142,0)=8,SUM(EE140:EG142),IF(I77="x",-1,0))</f>
        <v>-1</v>
      </c>
      <c r="EJ77" s="38">
        <f>IF(COUNTIF(EH140:EJ142,0)=8,SUM(EH140:EJ142),IF(J77="x",-1,0))</f>
        <v>-1</v>
      </c>
      <c r="EK77" s="416">
        <f>IF(COUNTIF(EK140:EM142,0)=8,SUM(EK140:EM142),IF(K77="x",-1,0))</f>
        <v>-1</v>
      </c>
      <c r="EL77" s="37">
        <f>IF(COUNTIF(EN140:EP142,0)=8,SUM(EN140:EP142),IF(L77="x",-1,0))</f>
        <v>-1</v>
      </c>
      <c r="EM77" s="35">
        <f>IF(COUNTIF(EQ140:ES142,0)=8,SUM(EQ140:ES142),IF(M77="x",-1,0))</f>
        <v>-1</v>
      </c>
      <c r="EN77" s="36">
        <f>IF(COUNTIF(ET140:EV142,0)=8,SUM(ET140:EV142),IF(N77="x",-1,0))</f>
        <v>0</v>
      </c>
      <c r="EO77" s="37">
        <f>IF(COUNTIF(EW140:EY142,0)=8,SUM(EW140:EY142),IF(O77="x",-1,0))</f>
        <v>0</v>
      </c>
      <c r="EP77" s="35">
        <f>IF(COUNTIF(EZ140:FB142,0)=8,SUM(EZ140:FB142),IF(P77="x",-1,0))</f>
        <v>0</v>
      </c>
      <c r="EQ77" s="36">
        <f>IF(COUNTIF(FC140:FE142,0)=8,SUM(FC140:FE142),IF(Q77="x",-1,0))</f>
        <v>-1</v>
      </c>
      <c r="ER77" s="37">
        <f>IF(COUNTIF(FF140:FH142,0)=8,SUM(FF140:FH142),IF(R77="x",-1,0))</f>
        <v>-1</v>
      </c>
      <c r="ES77" s="38">
        <f>IF(COUNTIF(FI140:FK142,0)=8,SUM(FI140:FK142),IF(S77="x",-1,0))</f>
        <v>-1</v>
      </c>
      <c r="ET77" s="416">
        <f>IF(COUNTIF(FL140:FN142,0)=8,SUM(FL140:FN142),IF(T77="x",-1,0))</f>
        <v>-1</v>
      </c>
      <c r="EU77" s="37">
        <f>IF(COUNTIF(FO140:FQ142,0)=8,SUM(FO140:FQ142),IF(U77="x",-1,0))</f>
        <v>-1</v>
      </c>
      <c r="EV77" s="35">
        <f>IF(COUNTIF(FR140:FT142,0)=8,SUM(FR140:FT142),IF(V77="x",-1,0))</f>
        <v>-1</v>
      </c>
      <c r="EW77" s="36">
        <f>IF(COUNTIF(FU140:FW142,0)=8,SUM(FU140:FW142),IF(W77="x",-1,0))</f>
        <v>-1</v>
      </c>
      <c r="EX77" s="37">
        <f>IF(COUNTIF(FX140:FZ142,0)=8,SUM(FX140:FZ142),IF(X77="x",-1,0))</f>
        <v>-1</v>
      </c>
      <c r="EY77" s="35">
        <f>IF(COUNTIF(GA140:GC142,0)=8,SUM(GA140:GC142),IF(Y77="x",-1,0))</f>
        <v>-1</v>
      </c>
      <c r="EZ77" s="36">
        <f>IF(COUNTIF(GD140:GF142,0)=8,SUM(GD140:GF142),IF(Z77="x",-1,0))</f>
        <v>-1</v>
      </c>
      <c r="FA77" s="37">
        <f>IF(COUNTIF(GG140:GI142,0)=8,SUM(GG140:GI142),IF(AA77="x",-1,0))</f>
        <v>0</v>
      </c>
      <c r="FB77" s="38">
        <f>IF(COUNTIF(GJ140:GL142,0)=8,SUM(GJ140:GL142),IF(AB77="x",-1,0))</f>
        <v>-1</v>
      </c>
      <c r="FF77" s="416">
        <f>IF(EB77=-1,-1,MAX(DJ323:DL325))</f>
        <v>7</v>
      </c>
      <c r="FG77" s="37">
        <f>IF(EC77=-1,-1,MAX(DM323:DO325))</f>
        <v>0</v>
      </c>
      <c r="FH77" s="35">
        <f>IF(ED77=-1,-1,MAX(DP323:DR325))</f>
        <v>0</v>
      </c>
      <c r="FI77" s="36">
        <f>IF(EE77=-1,-1,MAX(DS323:DU325))</f>
        <v>-1</v>
      </c>
      <c r="FJ77" s="37">
        <f>IF(EF77=-1,-1,MAX(DV323:DX325))</f>
        <v>-1</v>
      </c>
      <c r="FK77" s="35">
        <f>IF(EG77=-1,-1,MAX(DY323:EA325))</f>
        <v>-1</v>
      </c>
      <c r="FL77" s="36">
        <f>IF(EH77=-1,-1,MAX(EB323:ED325))</f>
        <v>-1</v>
      </c>
      <c r="FM77" s="37">
        <f>IF(EI77=-1,-1,MAX(EE323:EG325))</f>
        <v>-1</v>
      </c>
      <c r="FN77" s="38">
        <f>IF(EJ77=-1,-1,MAX(EH323:EJ325))</f>
        <v>-1</v>
      </c>
      <c r="FO77" s="416">
        <f>IF(EK77=-1,-1,MAX(EK323:EM325))</f>
        <v>-1</v>
      </c>
      <c r="FP77" s="37">
        <f>IF(EL77=-1,-1,MAX(EN323:EP325))</f>
        <v>-1</v>
      </c>
      <c r="FQ77" s="35">
        <f>IF(EM77=-1,-1,MAX(EQ323:ES325))</f>
        <v>-1</v>
      </c>
      <c r="FR77" s="36">
        <f>IF(EN77=-1,-1,MAX(ET323:EV325))</f>
        <v>0</v>
      </c>
      <c r="FS77" s="37">
        <f>IF(EO77=-1,-1,MAX(EW323:EY325))</f>
        <v>0</v>
      </c>
      <c r="FT77" s="35">
        <f>IF(EP77=-1,-1,MAX(EZ323:FB325))</f>
        <v>0</v>
      </c>
      <c r="FU77" s="36">
        <f>IF(EQ77=-1,-1,MAX(FC323:FE325))</f>
        <v>-1</v>
      </c>
      <c r="FV77" s="37">
        <f>IF(ER77=-1,-1,MAX(FF323:FH325))</f>
        <v>-1</v>
      </c>
      <c r="FW77" s="38">
        <f>IF(ES77=-1,-1,MAX(FI323:FK325))</f>
        <v>-1</v>
      </c>
      <c r="FX77" s="416">
        <f>IF(ET77=-1,-1,MAX(FL323:FN325))</f>
        <v>-1</v>
      </c>
      <c r="FY77" s="37">
        <f>IF(EU77=-1,-1,MAX(FO323:FQ325))</f>
        <v>-1</v>
      </c>
      <c r="FZ77" s="35">
        <f>IF(EV77=-1,-1,MAX(FR323:FT325))</f>
        <v>-1</v>
      </c>
      <c r="GA77" s="36">
        <f>IF(EW77=-1,-1,MAX(FU323:FW325))</f>
        <v>-1</v>
      </c>
      <c r="GB77" s="37">
        <f>IF(EX77=-1,-1,MAX(FX323:FZ325))</f>
        <v>-1</v>
      </c>
      <c r="GC77" s="35">
        <f>IF(EY77=-1,-1,MAX(GA323:GC325))</f>
        <v>-1</v>
      </c>
      <c r="GD77" s="36">
        <f>IF(EZ77=-1,-1,MAX(GD323:GF325))</f>
        <v>-1</v>
      </c>
      <c r="GE77" s="37">
        <f>IF(FA77=-1,-1,MAX(GG323:GI325))</f>
        <v>0</v>
      </c>
      <c r="GF77" s="38">
        <f>IF(FB77=-1,-1,MAX(GJ323:GL325))</f>
        <v>-1</v>
      </c>
    </row>
    <row r="78" spans="1:188" ht="15" customHeight="1">
      <c r="B78" s="43">
        <f t="shared" ref="B78:AB78" si="3">B45</f>
        <v>2</v>
      </c>
      <c r="C78" s="39" t="str">
        <f t="shared" si="3"/>
        <v>x</v>
      </c>
      <c r="D78" s="41" t="str">
        <f t="shared" si="3"/>
        <v>x</v>
      </c>
      <c r="E78" s="40" t="str">
        <f t="shared" si="3"/>
        <v>x</v>
      </c>
      <c r="F78" s="39" t="str">
        <f t="shared" si="3"/>
        <v>x</v>
      </c>
      <c r="G78" s="41" t="str">
        <f t="shared" si="3"/>
        <v>x</v>
      </c>
      <c r="H78" s="40" t="str">
        <f t="shared" si="3"/>
        <v>x</v>
      </c>
      <c r="I78" s="39" t="str">
        <f t="shared" si="3"/>
        <v>x</v>
      </c>
      <c r="J78" s="42" t="str">
        <f t="shared" si="3"/>
        <v>x</v>
      </c>
      <c r="K78" s="43" t="str">
        <f t="shared" si="3"/>
        <v>x</v>
      </c>
      <c r="L78" s="39" t="str">
        <f t="shared" si="3"/>
        <v>x</v>
      </c>
      <c r="M78" s="41" t="str">
        <f t="shared" si="3"/>
        <v>x</v>
      </c>
      <c r="N78" s="40">
        <f t="shared" si="3"/>
        <v>4</v>
      </c>
      <c r="O78" s="39">
        <f t="shared" si="3"/>
        <v>9</v>
      </c>
      <c r="P78" s="41" t="str">
        <f t="shared" si="3"/>
        <v>x</v>
      </c>
      <c r="Q78" s="40" t="str">
        <f t="shared" si="3"/>
        <v>x</v>
      </c>
      <c r="R78" s="39" t="str">
        <f t="shared" si="3"/>
        <v>x</v>
      </c>
      <c r="S78" s="42" t="str">
        <f t="shared" si="3"/>
        <v>x</v>
      </c>
      <c r="T78" s="43" t="str">
        <f t="shared" si="3"/>
        <v>x</v>
      </c>
      <c r="U78" s="39" t="str">
        <f t="shared" si="3"/>
        <v>x</v>
      </c>
      <c r="V78" s="41" t="str">
        <f t="shared" si="3"/>
        <v>x</v>
      </c>
      <c r="W78" s="40" t="str">
        <f t="shared" si="3"/>
        <v>x</v>
      </c>
      <c r="X78" s="39" t="str">
        <f t="shared" si="3"/>
        <v>x</v>
      </c>
      <c r="Y78" s="41" t="str">
        <f t="shared" si="3"/>
        <v>x</v>
      </c>
      <c r="Z78" s="40" t="str">
        <f t="shared" si="3"/>
        <v>x</v>
      </c>
      <c r="AA78" s="39" t="str">
        <f t="shared" si="3"/>
        <v>x</v>
      </c>
      <c r="AB78" s="42">
        <f t="shared" si="3"/>
        <v>6</v>
      </c>
      <c r="AC78" s="69" t="str">
        <f t="shared" ref="AC78:AC85" si="4">B87</f>
        <v>x</v>
      </c>
      <c r="AD78" s="70" t="str">
        <f t="shared" ref="AD78:AD85" si="5">C87</f>
        <v>x</v>
      </c>
      <c r="AE78" s="70" t="str">
        <f t="shared" ref="AE78:AE85" si="6">D87</f>
        <v>x</v>
      </c>
      <c r="AF78" s="70" t="str">
        <f t="shared" ref="AF78:AF85" si="7">E87</f>
        <v>x</v>
      </c>
      <c r="AG78" s="70" t="str">
        <f t="shared" ref="AG78:AG85" si="8">F87</f>
        <v>x</v>
      </c>
      <c r="AH78" s="70" t="str">
        <f t="shared" ref="AH78:AH85" si="9">G87</f>
        <v>x</v>
      </c>
      <c r="AI78" s="70" t="str">
        <f t="shared" ref="AI78:AI85" si="10">H87</f>
        <v>x</v>
      </c>
      <c r="AJ78" s="70" t="str">
        <f t="shared" ref="AJ78:AJ85" si="11">I87</f>
        <v>x</v>
      </c>
      <c r="AK78" s="71" t="str">
        <f t="shared" ref="AK78:AK85" si="12">J87</f>
        <v>x</v>
      </c>
      <c r="AL78" s="69" t="str">
        <f t="shared" ref="AL78:AL85" si="13">K87</f>
        <v>x</v>
      </c>
      <c r="AM78" s="70">
        <f t="shared" ref="AM78:AM85" si="14">L87</f>
        <v>7</v>
      </c>
      <c r="AN78" s="70">
        <f t="shared" ref="AN78:AN85" si="15">M87</f>
        <v>8</v>
      </c>
      <c r="AO78" s="70" t="str">
        <f t="shared" ref="AO78:AO85" si="16">N87</f>
        <v>x</v>
      </c>
      <c r="AP78" s="70" t="str">
        <f t="shared" ref="AP78:AP85" si="17">O87</f>
        <v>x</v>
      </c>
      <c r="AQ78" s="70">
        <f t="shared" ref="AQ78:AQ85" si="18">P87</f>
        <v>1</v>
      </c>
      <c r="AR78" s="70">
        <f t="shared" ref="AR78:AR85" si="19">Q87</f>
        <v>5</v>
      </c>
      <c r="AS78" s="70" t="str">
        <f t="shared" ref="AS78:AS85" si="20">R87</f>
        <v>x</v>
      </c>
      <c r="AT78" s="71" t="str">
        <f t="shared" ref="AT78:AT85" si="21">S87</f>
        <v>x</v>
      </c>
      <c r="AU78" s="69" t="str">
        <f t="shared" ref="AU78:AU85" si="22">T87</f>
        <v>x</v>
      </c>
      <c r="AV78" s="70" t="str">
        <f t="shared" ref="AV78:AV85" si="23">U87</f>
        <v>x</v>
      </c>
      <c r="AW78" s="70" t="str">
        <f t="shared" ref="AW78:AW85" si="24">V87</f>
        <v>x</v>
      </c>
      <c r="AX78" s="70" t="str">
        <f t="shared" ref="AX78:AX85" si="25">W87</f>
        <v>x</v>
      </c>
      <c r="AY78" s="70" t="str">
        <f t="shared" ref="AY78:AY85" si="26">X87</f>
        <v>x</v>
      </c>
      <c r="AZ78" s="70" t="str">
        <f t="shared" ref="AZ78:AZ85" si="27">Y87</f>
        <v>x</v>
      </c>
      <c r="BA78" s="70" t="str">
        <f t="shared" ref="BA78:BA85" si="28">Z87</f>
        <v>x</v>
      </c>
      <c r="BB78" s="70">
        <f t="shared" ref="BB78:BB85" si="29">AA87</f>
        <v>3</v>
      </c>
      <c r="BC78" s="71" t="str">
        <f t="shared" ref="BC78:BC85" si="30">AB87</f>
        <v>x</v>
      </c>
      <c r="BD78" s="72" t="str">
        <f t="shared" ref="BD78:BD85" si="31">B96</f>
        <v>x</v>
      </c>
      <c r="BE78" s="73" t="str">
        <f t="shared" ref="BE78:BE85" si="32">C96</f>
        <v>x</v>
      </c>
      <c r="BF78" s="73" t="str">
        <f t="shared" ref="BF78:BF85" si="33">D96</f>
        <v>x</v>
      </c>
      <c r="BG78" s="73" t="str">
        <f t="shared" ref="BG78:BG85" si="34">E96</f>
        <v>x</v>
      </c>
      <c r="BH78" s="73" t="str">
        <f t="shared" ref="BH78:BH85" si="35">F96</f>
        <v>x</v>
      </c>
      <c r="BI78" s="73" t="str">
        <f t="shared" ref="BI78:BI85" si="36">G96</f>
        <v>x</v>
      </c>
      <c r="BJ78" s="73" t="str">
        <f t="shared" ref="BJ78:BJ85" si="37">H96</f>
        <v>x</v>
      </c>
      <c r="BK78" s="73" t="str">
        <f t="shared" ref="BK78:BK85" si="38">I96</f>
        <v>x</v>
      </c>
      <c r="BL78" s="74" t="str">
        <f t="shared" ref="BL78:BL85" si="39">J96</f>
        <v>x</v>
      </c>
      <c r="BM78" s="72" t="str">
        <f t="shared" ref="BM78:BM85" si="40">K96</f>
        <v>x</v>
      </c>
      <c r="BN78" s="73" t="str">
        <f t="shared" ref="BN78:BN85" si="41">L96</f>
        <v>x</v>
      </c>
      <c r="BO78" s="73" t="str">
        <f t="shared" ref="BO78:BO85" si="42">M96</f>
        <v>x</v>
      </c>
      <c r="BP78" s="73" t="str">
        <f t="shared" ref="BP78:BP85" si="43">N96</f>
        <v>x</v>
      </c>
      <c r="BQ78" s="73" t="str">
        <f t="shared" ref="BQ78:BQ85" si="44">O96</f>
        <v>x</v>
      </c>
      <c r="BR78" s="73" t="str">
        <f t="shared" ref="BR78:BR85" si="45">P96</f>
        <v>x</v>
      </c>
      <c r="BS78" s="73" t="str">
        <f t="shared" ref="BS78:BS85" si="46">Q96</f>
        <v>x</v>
      </c>
      <c r="BT78" s="73" t="str">
        <f t="shared" ref="BT78:BT85" si="47">R96</f>
        <v>x</v>
      </c>
      <c r="BU78" s="74" t="str">
        <f t="shared" ref="BU78:BU85" si="48">S96</f>
        <v>x</v>
      </c>
      <c r="BV78" s="72" t="str">
        <f t="shared" ref="BV78:BV85" si="49">T96</f>
        <v>x</v>
      </c>
      <c r="BW78" s="73" t="str">
        <f t="shared" ref="BW78:BW85" si="50">U96</f>
        <v>x</v>
      </c>
      <c r="BX78" s="73" t="str">
        <f t="shared" ref="BX78:BX85" si="51">V96</f>
        <v>x</v>
      </c>
      <c r="BY78" s="73" t="str">
        <f t="shared" ref="BY78:BY85" si="52">W96</f>
        <v>x</v>
      </c>
      <c r="BZ78" s="73" t="str">
        <f t="shared" ref="BZ78:BZ85" si="53">X96</f>
        <v>x</v>
      </c>
      <c r="CA78" s="73" t="str">
        <f t="shared" ref="CA78:CA85" si="54">Y96</f>
        <v>x</v>
      </c>
      <c r="CB78" s="73" t="str">
        <f t="shared" ref="CB78:CB85" si="55">Z96</f>
        <v>x</v>
      </c>
      <c r="CC78" s="73" t="str">
        <f t="shared" ref="CC78:CC85" si="56">AA96</f>
        <v>x</v>
      </c>
      <c r="CD78" s="74" t="str">
        <f t="shared" ref="CD78:CD85" si="57">AB96</f>
        <v>x</v>
      </c>
      <c r="CH78" s="59" t="s">
        <v>34</v>
      </c>
      <c r="CI78" s="61"/>
      <c r="CJ78" s="61"/>
      <c r="CK78" s="61">
        <f>COUNTIF(Zeile2,1)</f>
        <v>1</v>
      </c>
      <c r="CL78" s="61">
        <f>COUNTIF(Zeile2,2)</f>
        <v>1</v>
      </c>
      <c r="CM78" s="61">
        <f>COUNTIF(Zeile2,3)</f>
        <v>1</v>
      </c>
      <c r="CN78" s="61">
        <f>COUNTIF(Zeile2,4)</f>
        <v>1</v>
      </c>
      <c r="CO78" s="61">
        <f>COUNTIF(Zeile2,5)</f>
        <v>1</v>
      </c>
      <c r="CP78" s="61">
        <f>COUNTIF(Zeile2,6)</f>
        <v>1</v>
      </c>
      <c r="CQ78" s="61">
        <f>COUNTIF(Zeile2,7)</f>
        <v>1</v>
      </c>
      <c r="CR78" s="61">
        <f>COUNTIF(Zeile2,8)</f>
        <v>1</v>
      </c>
      <c r="CS78" s="61">
        <f>COUNTIF(Zeile2,9)</f>
        <v>1</v>
      </c>
      <c r="CT78" s="61"/>
      <c r="CU78" s="61"/>
      <c r="CV78" s="61"/>
      <c r="CW78" s="61"/>
      <c r="CX78" s="61"/>
      <c r="EB78" s="43">
        <f>IF(COUNTIF(DJ143:DL145,0)=8,SUM(DJ143:DL145),IF(B78="x",-1,0))</f>
        <v>0</v>
      </c>
      <c r="EC78" s="39">
        <f>IF(COUNTIF(DM143:DO145,0)=8,SUM(DM143:DO145),IF(C78="x",-1,0))</f>
        <v>-1</v>
      </c>
      <c r="ED78" s="41">
        <f>IF(COUNTIF(DP143:DR145,0)=8,SUM(DP143:DR145),IF(D78="x",-1,0))</f>
        <v>-1</v>
      </c>
      <c r="EE78" s="40">
        <f>IF(COUNTIF(DS143:DU145,0)=8,SUM(DS143:DU145),IF(E78="x",-1,0))</f>
        <v>-1</v>
      </c>
      <c r="EF78" s="39">
        <f>IF(COUNTIF(DV143:DX145,0)=8,SUM(DV143:DX145),IF(F78="x",-1,0))</f>
        <v>-1</v>
      </c>
      <c r="EG78" s="41">
        <f>IF(COUNTIF(DY143:EA145,0)=8,SUM(DY143:EA145),IF(G78="x",-1,0))</f>
        <v>-1</v>
      </c>
      <c r="EH78" s="40">
        <f>IF(COUNTIF(EB143:ED145,0)=8,SUM(EB143:ED145),IF(H78="x",-1,0))</f>
        <v>-1</v>
      </c>
      <c r="EI78" s="39">
        <f>IF(COUNTIF(EE143:EG145,0)=8,SUM(EE143:EG145),IF(I78="x",-1,0))</f>
        <v>-1</v>
      </c>
      <c r="EJ78" s="42">
        <f>IF(COUNTIF(EH143:EJ145,0)=8,SUM(EH143:EJ145),IF(J78="x",-1,0))</f>
        <v>-1</v>
      </c>
      <c r="EK78" s="43">
        <f>IF(COUNTIF(EK143:EM145,0)=8,SUM(EK143:EM145),IF(K78="x",-1,0))</f>
        <v>-1</v>
      </c>
      <c r="EL78" s="39">
        <f>IF(COUNTIF(EN143:EP145,0)=8,SUM(EN143:EP145),IF(L78="x",-1,0))</f>
        <v>-1</v>
      </c>
      <c r="EM78" s="41">
        <f>IF(COUNTIF(EQ143:ES145,0)=8,SUM(EQ143:ES145),IF(M78="x",-1,0))</f>
        <v>-1</v>
      </c>
      <c r="EN78" s="40">
        <f>IF(COUNTIF(ET143:EV145,0)=8,SUM(ET143:EV145),IF(N78="x",-1,0))</f>
        <v>0</v>
      </c>
      <c r="EO78" s="39">
        <f>IF(COUNTIF(EW143:EY145,0)=8,SUM(EW143:EY145),IF(O78="x",-1,0))</f>
        <v>0</v>
      </c>
      <c r="EP78" s="41">
        <f>IF(COUNTIF(EZ143:FB145,0)=8,SUM(EZ143:FB145),IF(P78="x",-1,0))</f>
        <v>-1</v>
      </c>
      <c r="EQ78" s="40">
        <f>IF(COUNTIF(FC143:FE145,0)=8,SUM(FC143:FE145),IF(Q78="x",-1,0))</f>
        <v>-1</v>
      </c>
      <c r="ER78" s="39">
        <f>IF(COUNTIF(FF143:FH145,0)=8,SUM(FF143:FH145),IF(R78="x",-1,0))</f>
        <v>-1</v>
      </c>
      <c r="ES78" s="42">
        <f>IF(COUNTIF(FI143:FK145,0)=8,SUM(FI143:FK145),IF(S78="x",-1,0))</f>
        <v>-1</v>
      </c>
      <c r="ET78" s="43">
        <f>IF(COUNTIF(FL143:FN145,0)=8,SUM(FL143:FN145),IF(T78="x",-1,0))</f>
        <v>-1</v>
      </c>
      <c r="EU78" s="39">
        <f>IF(COUNTIF(FO143:FQ145,0)=8,SUM(FO143:FQ145),IF(U78="x",-1,0))</f>
        <v>-1</v>
      </c>
      <c r="EV78" s="41">
        <f>IF(COUNTIF(FR143:FT145,0)=8,SUM(FR143:FT145),IF(V78="x",-1,0))</f>
        <v>-1</v>
      </c>
      <c r="EW78" s="40">
        <f>IF(COUNTIF(FU143:FW145,0)=8,SUM(FU143:FW145),IF(W78="x",-1,0))</f>
        <v>-1</v>
      </c>
      <c r="EX78" s="39">
        <f>IF(COUNTIF(FX143:FZ145,0)=8,SUM(FX143:FZ145),IF(X78="x",-1,0))</f>
        <v>-1</v>
      </c>
      <c r="EY78" s="41">
        <f>IF(COUNTIF(GA143:GC145,0)=8,SUM(GA143:GC145),IF(Y78="x",-1,0))</f>
        <v>-1</v>
      </c>
      <c r="EZ78" s="40">
        <f>IF(COUNTIF(GD143:GF145,0)=8,SUM(GD143:GF145),IF(Z78="x",-1,0))</f>
        <v>-1</v>
      </c>
      <c r="FA78" s="39">
        <f>IF(COUNTIF(GG143:GI145,0)=8,SUM(GG143:GI145),IF(AA78="x",-1,0))</f>
        <v>-1</v>
      </c>
      <c r="FB78" s="42">
        <f>IF(COUNTIF(GJ143:GL145,0)=8,SUM(GJ143:GL145),IF(AB78="x",-1,0))</f>
        <v>0</v>
      </c>
      <c r="FF78" s="43">
        <f>IF(EB78=-1,-1,MAX(DJ326:DL328))</f>
        <v>0</v>
      </c>
      <c r="FG78" s="39">
        <f>IF(EC78=-1,-1,MAX(DM326:DO328))</f>
        <v>-1</v>
      </c>
      <c r="FH78" s="41">
        <f>IF(ED78=-1,-1,MAX(DP326:DR328))</f>
        <v>-1</v>
      </c>
      <c r="FI78" s="40">
        <f>IF(EE78=-1,-1,MAX(DS326:DU328))</f>
        <v>-1</v>
      </c>
      <c r="FJ78" s="39">
        <f>IF(EF78=-1,-1,MAX(DV326:DX328))</f>
        <v>-1</v>
      </c>
      <c r="FK78" s="41">
        <f>IF(EG78=-1,-1,MAX(DY326:EA328))</f>
        <v>-1</v>
      </c>
      <c r="FL78" s="40">
        <f>IF(EH78=-1,-1,MAX(EB326:ED328))</f>
        <v>-1</v>
      </c>
      <c r="FM78" s="39">
        <f>IF(EI78=-1,-1,MAX(EE326:EG328))</f>
        <v>-1</v>
      </c>
      <c r="FN78" s="42">
        <f>IF(EJ78=-1,-1,MAX(EH326:EJ328))</f>
        <v>-1</v>
      </c>
      <c r="FO78" s="43">
        <f>IF(EK78=-1,-1,MAX(EK326:EM328))</f>
        <v>-1</v>
      </c>
      <c r="FP78" s="39">
        <f>IF(EL78=-1,-1,MAX(EN326:EP328))</f>
        <v>-1</v>
      </c>
      <c r="FQ78" s="41">
        <f>IF(EM78=-1,-1,MAX(EQ326:ES328))</f>
        <v>-1</v>
      </c>
      <c r="FR78" s="40">
        <f>IF(EN78=-1,-1,MAX(ET326:EV328))</f>
        <v>0</v>
      </c>
      <c r="FS78" s="39">
        <f>IF(EO78=-1,-1,MAX(EW326:EY328))</f>
        <v>0</v>
      </c>
      <c r="FT78" s="41">
        <f>IF(EP78=-1,-1,MAX(EZ326:FB328))</f>
        <v>-1</v>
      </c>
      <c r="FU78" s="40">
        <f>IF(EQ78=-1,-1,MAX(FC326:FE328))</f>
        <v>-1</v>
      </c>
      <c r="FV78" s="39">
        <f>IF(ER78=-1,-1,MAX(FF326:FH328))</f>
        <v>-1</v>
      </c>
      <c r="FW78" s="42">
        <f>IF(ES78=-1,-1,MAX(FI326:FK328))</f>
        <v>-1</v>
      </c>
      <c r="FX78" s="43">
        <f>IF(ET78=-1,-1,MAX(FL326:FN328))</f>
        <v>-1</v>
      </c>
      <c r="FY78" s="39">
        <f>IF(EU78=-1,-1,MAX(FO326:FQ328))</f>
        <v>-1</v>
      </c>
      <c r="FZ78" s="41">
        <f>IF(EV78=-1,-1,MAX(FR326:FT328))</f>
        <v>-1</v>
      </c>
      <c r="GA78" s="40">
        <f>IF(EW78=-1,-1,MAX(FU326:FW328))</f>
        <v>-1</v>
      </c>
      <c r="GB78" s="39">
        <f>IF(EX78=-1,-1,MAX(FX326:FZ328))</f>
        <v>-1</v>
      </c>
      <c r="GC78" s="41">
        <f>IF(EY78=-1,-1,MAX(GA326:GC328))</f>
        <v>-1</v>
      </c>
      <c r="GD78" s="40">
        <f>IF(EZ78=-1,-1,MAX(GD326:GF328))</f>
        <v>-1</v>
      </c>
      <c r="GE78" s="39">
        <f>IF(FA78=-1,-1,MAX(GG326:GI328))</f>
        <v>-1</v>
      </c>
      <c r="GF78" s="42">
        <f>IF(FB78=-1,-1,MAX(GJ326:GL328))</f>
        <v>0</v>
      </c>
    </row>
    <row r="79" spans="1:188" ht="15" customHeight="1">
      <c r="B79" s="44">
        <f t="shared" ref="B79:AB79" si="58">B46</f>
        <v>8</v>
      </c>
      <c r="C79" s="45" t="str">
        <f t="shared" si="58"/>
        <v>x</v>
      </c>
      <c r="D79" s="47" t="str">
        <f t="shared" si="58"/>
        <v>x</v>
      </c>
      <c r="E79" s="46" t="str">
        <f t="shared" si="58"/>
        <v>x</v>
      </c>
      <c r="F79" s="45" t="str">
        <f t="shared" si="58"/>
        <v>x</v>
      </c>
      <c r="G79" s="47" t="str">
        <f t="shared" si="58"/>
        <v>x</v>
      </c>
      <c r="H79" s="46" t="str">
        <f t="shared" si="58"/>
        <v>x</v>
      </c>
      <c r="I79" s="45" t="str">
        <f t="shared" si="58"/>
        <v>x</v>
      </c>
      <c r="J79" s="48" t="str">
        <f t="shared" si="58"/>
        <v>x</v>
      </c>
      <c r="K79" s="44" t="str">
        <f t="shared" si="58"/>
        <v>x</v>
      </c>
      <c r="L79" s="45" t="str">
        <f t="shared" si="58"/>
        <v>x</v>
      </c>
      <c r="M79" s="47">
        <f t="shared" si="58"/>
        <v>1</v>
      </c>
      <c r="N79" s="46" t="str">
        <f t="shared" si="58"/>
        <v>x</v>
      </c>
      <c r="O79" s="45" t="str">
        <f t="shared" si="58"/>
        <v>x</v>
      </c>
      <c r="P79" s="47" t="str">
        <f t="shared" si="58"/>
        <v>x</v>
      </c>
      <c r="Q79" s="46" t="str">
        <f t="shared" si="58"/>
        <v>x</v>
      </c>
      <c r="R79" s="45" t="str">
        <f t="shared" si="58"/>
        <v>x</v>
      </c>
      <c r="S79" s="48" t="str">
        <f t="shared" si="58"/>
        <v>x</v>
      </c>
      <c r="T79" s="44" t="str">
        <f t="shared" si="58"/>
        <v>x</v>
      </c>
      <c r="U79" s="45" t="str">
        <f t="shared" si="58"/>
        <v>x</v>
      </c>
      <c r="V79" s="47" t="str">
        <f t="shared" si="58"/>
        <v>x</v>
      </c>
      <c r="W79" s="46" t="str">
        <f t="shared" si="58"/>
        <v>x</v>
      </c>
      <c r="X79" s="45" t="str">
        <f t="shared" si="58"/>
        <v>x</v>
      </c>
      <c r="Y79" s="47" t="str">
        <f t="shared" si="58"/>
        <v>x</v>
      </c>
      <c r="Z79" s="46" t="str">
        <f t="shared" si="58"/>
        <v>x</v>
      </c>
      <c r="AA79" s="45">
        <f t="shared" si="58"/>
        <v>5</v>
      </c>
      <c r="AB79" s="48">
        <f t="shared" si="58"/>
        <v>4</v>
      </c>
      <c r="AC79" s="69" t="str">
        <f t="shared" si="4"/>
        <v>x</v>
      </c>
      <c r="AD79" s="70" t="str">
        <f t="shared" si="5"/>
        <v>x</v>
      </c>
      <c r="AE79" s="70" t="str">
        <f t="shared" si="6"/>
        <v>x</v>
      </c>
      <c r="AF79" s="70" t="str">
        <f t="shared" si="7"/>
        <v>x</v>
      </c>
      <c r="AG79" s="70" t="str">
        <f t="shared" si="8"/>
        <v>x</v>
      </c>
      <c r="AH79" s="70" t="str">
        <f t="shared" si="9"/>
        <v>x</v>
      </c>
      <c r="AI79" s="70" t="str">
        <f t="shared" si="10"/>
        <v>x</v>
      </c>
      <c r="AJ79" s="70" t="str">
        <f t="shared" si="11"/>
        <v>x</v>
      </c>
      <c r="AK79" s="71" t="str">
        <f t="shared" si="12"/>
        <v>x</v>
      </c>
      <c r="AL79" s="69" t="str">
        <f t="shared" si="13"/>
        <v>x</v>
      </c>
      <c r="AM79" s="70">
        <f t="shared" si="14"/>
        <v>9</v>
      </c>
      <c r="AN79" s="70" t="str">
        <f t="shared" si="15"/>
        <v>x</v>
      </c>
      <c r="AO79" s="70">
        <f t="shared" si="16"/>
        <v>2</v>
      </c>
      <c r="AP79" s="70">
        <f t="shared" si="17"/>
        <v>3</v>
      </c>
      <c r="AQ79" s="70" t="str">
        <f t="shared" si="18"/>
        <v>x</v>
      </c>
      <c r="AR79" s="70" t="str">
        <f t="shared" si="19"/>
        <v>x</v>
      </c>
      <c r="AS79" s="70" t="str">
        <f t="shared" si="20"/>
        <v>x</v>
      </c>
      <c r="AT79" s="71" t="str">
        <f t="shared" si="21"/>
        <v>x</v>
      </c>
      <c r="AU79" s="69" t="str">
        <f t="shared" si="22"/>
        <v>x</v>
      </c>
      <c r="AV79" s="70" t="str">
        <f t="shared" si="23"/>
        <v>x</v>
      </c>
      <c r="AW79" s="70" t="str">
        <f t="shared" si="24"/>
        <v>x</v>
      </c>
      <c r="AX79" s="70" t="str">
        <f t="shared" si="25"/>
        <v>x</v>
      </c>
      <c r="AY79" s="70" t="str">
        <f t="shared" si="26"/>
        <v>x</v>
      </c>
      <c r="AZ79" s="70" t="str">
        <f t="shared" si="27"/>
        <v>x</v>
      </c>
      <c r="BA79" s="70">
        <f t="shared" si="28"/>
        <v>6</v>
      </c>
      <c r="BB79" s="70" t="str">
        <f t="shared" si="29"/>
        <v>x</v>
      </c>
      <c r="BC79" s="71" t="str">
        <f t="shared" si="30"/>
        <v>x</v>
      </c>
      <c r="BD79" s="72" t="str">
        <f t="shared" si="31"/>
        <v>x</v>
      </c>
      <c r="BE79" s="73" t="str">
        <f t="shared" si="32"/>
        <v>x</v>
      </c>
      <c r="BF79" s="73" t="str">
        <f t="shared" si="33"/>
        <v>x</v>
      </c>
      <c r="BG79" s="73" t="str">
        <f t="shared" si="34"/>
        <v>x</v>
      </c>
      <c r="BH79" s="73" t="str">
        <f t="shared" si="35"/>
        <v>x</v>
      </c>
      <c r="BI79" s="73" t="str">
        <f t="shared" si="36"/>
        <v>x</v>
      </c>
      <c r="BJ79" s="73" t="str">
        <f t="shared" si="37"/>
        <v>x</v>
      </c>
      <c r="BK79" s="73" t="str">
        <f t="shared" si="38"/>
        <v>x</v>
      </c>
      <c r="BL79" s="74" t="str">
        <f t="shared" si="39"/>
        <v>x</v>
      </c>
      <c r="BM79" s="72" t="str">
        <f t="shared" si="40"/>
        <v>x</v>
      </c>
      <c r="BN79" s="73" t="str">
        <f t="shared" si="41"/>
        <v>x</v>
      </c>
      <c r="BO79" s="73" t="str">
        <f t="shared" si="42"/>
        <v>x</v>
      </c>
      <c r="BP79" s="73" t="str">
        <f t="shared" si="43"/>
        <v>x</v>
      </c>
      <c r="BQ79" s="73" t="str">
        <f t="shared" si="44"/>
        <v>x</v>
      </c>
      <c r="BR79" s="73">
        <f t="shared" si="45"/>
        <v>7</v>
      </c>
      <c r="BS79" s="73" t="str">
        <f t="shared" si="46"/>
        <v>x</v>
      </c>
      <c r="BT79" s="73" t="str">
        <f t="shared" si="47"/>
        <v>x</v>
      </c>
      <c r="BU79" s="74" t="str">
        <f t="shared" si="48"/>
        <v>x</v>
      </c>
      <c r="BV79" s="72" t="str">
        <f t="shared" si="49"/>
        <v>x</v>
      </c>
      <c r="BW79" s="73" t="str">
        <f t="shared" si="50"/>
        <v>x</v>
      </c>
      <c r="BX79" s="73" t="str">
        <f t="shared" si="51"/>
        <v>x</v>
      </c>
      <c r="BY79" s="73" t="str">
        <f t="shared" si="52"/>
        <v>x</v>
      </c>
      <c r="BZ79" s="73" t="str">
        <f t="shared" si="53"/>
        <v>x</v>
      </c>
      <c r="CA79" s="73" t="str">
        <f t="shared" si="54"/>
        <v>x</v>
      </c>
      <c r="CB79" s="73" t="str">
        <f t="shared" si="55"/>
        <v>x</v>
      </c>
      <c r="CC79" s="73" t="str">
        <f t="shared" si="56"/>
        <v>x</v>
      </c>
      <c r="CD79" s="74" t="str">
        <f t="shared" si="57"/>
        <v>x</v>
      </c>
      <c r="CH79" s="59" t="s">
        <v>35</v>
      </c>
      <c r="CI79" s="61"/>
      <c r="CJ79" s="61"/>
      <c r="CK79" s="61">
        <f>COUNTIF(Zeile3,1)</f>
        <v>1</v>
      </c>
      <c r="CL79" s="61">
        <f>COUNTIF(Zeile3,2)</f>
        <v>1</v>
      </c>
      <c r="CM79" s="61">
        <f>COUNTIF(Zeile3,3)</f>
        <v>1</v>
      </c>
      <c r="CN79" s="61">
        <f>COUNTIF(Zeile3,4)</f>
        <v>1</v>
      </c>
      <c r="CO79" s="61">
        <f>COUNTIF(Zeile3,5)</f>
        <v>1</v>
      </c>
      <c r="CP79" s="61">
        <f>COUNTIF(Zeile3,6)</f>
        <v>1</v>
      </c>
      <c r="CQ79" s="61">
        <f>COUNTIF(Zeile3,7)</f>
        <v>1</v>
      </c>
      <c r="CR79" s="61">
        <f>COUNTIF(Zeile3,8)</f>
        <v>1</v>
      </c>
      <c r="CS79" s="61">
        <f>COUNTIF(Zeile3,9)</f>
        <v>1</v>
      </c>
      <c r="CT79" s="61"/>
      <c r="CU79" s="61"/>
      <c r="CV79" s="61"/>
      <c r="CW79" s="61"/>
      <c r="CX79" s="61"/>
      <c r="EB79" s="44">
        <f>IF(COUNTIF(DJ146:DL148,0)=8,SUM(DJ146:DL148),IF(B79="x",-1,0))</f>
        <v>0</v>
      </c>
      <c r="EC79" s="45">
        <f>IF(COUNTIF(DM146:DO148,0)=8,SUM(DM146:DO148),IF(C79="x",-1,0))</f>
        <v>-1</v>
      </c>
      <c r="ED79" s="47">
        <f>IF(COUNTIF(DP146:DR148,0)=8,SUM(DP146:DR148),IF(D79="x",-1,0))</f>
        <v>-1</v>
      </c>
      <c r="EE79" s="46">
        <f>IF(COUNTIF(DS146:DU148,0)=8,SUM(DS146:DU148),IF(E79="x",-1,0))</f>
        <v>-1</v>
      </c>
      <c r="EF79" s="45">
        <f>IF(COUNTIF(DV146:DX148,0)=8,SUM(DV146:DX148),IF(F79="x",-1,0))</f>
        <v>-1</v>
      </c>
      <c r="EG79" s="47">
        <f>IF(COUNTIF(DY146:EA148,0)=8,SUM(DY146:EA148),IF(G79="x",-1,0))</f>
        <v>-1</v>
      </c>
      <c r="EH79" s="46">
        <f>IF(COUNTIF(EB146:ED148,0)=8,SUM(EB146:ED148),IF(H79="x",-1,0))</f>
        <v>-1</v>
      </c>
      <c r="EI79" s="45">
        <f>IF(COUNTIF(EE146:EG148,0)=8,SUM(EE146:EG148),IF(I79="x",-1,0))</f>
        <v>-1</v>
      </c>
      <c r="EJ79" s="48">
        <f>IF(COUNTIF(EH146:EJ148,0)=8,SUM(EH146:EJ148),IF(J79="x",-1,0))</f>
        <v>-1</v>
      </c>
      <c r="EK79" s="44">
        <f>IF(COUNTIF(EK146:EM148,0)=8,SUM(EK146:EM148),IF(K79="x",-1,0))</f>
        <v>-1</v>
      </c>
      <c r="EL79" s="45">
        <f>IF(COUNTIF(EN146:EP148,0)=8,SUM(EN146:EP148),IF(L79="x",-1,0))</f>
        <v>-1</v>
      </c>
      <c r="EM79" s="47">
        <f>IF(COUNTIF(EQ146:ES148,0)=8,SUM(EQ146:ES148),IF(M79="x",-1,0))</f>
        <v>0</v>
      </c>
      <c r="EN79" s="46">
        <f>IF(COUNTIF(ET146:EV148,0)=8,SUM(ET146:EV148),IF(N79="x",-1,0))</f>
        <v>-1</v>
      </c>
      <c r="EO79" s="45">
        <f>IF(COUNTIF(EW146:EY148,0)=8,SUM(EW146:EY148),IF(O79="x",-1,0))</f>
        <v>-1</v>
      </c>
      <c r="EP79" s="47">
        <f>IF(COUNTIF(EZ146:FB148,0)=8,SUM(EZ146:FB148),IF(P79="x",-1,0))</f>
        <v>-1</v>
      </c>
      <c r="EQ79" s="46">
        <f>IF(COUNTIF(FC146:FE148,0)=8,SUM(FC146:FE148),IF(Q79="x",-1,0))</f>
        <v>-1</v>
      </c>
      <c r="ER79" s="45">
        <f>IF(COUNTIF(FF146:FH148,0)=8,SUM(FF146:FH148),IF(R79="x",-1,0))</f>
        <v>-1</v>
      </c>
      <c r="ES79" s="48">
        <f>IF(COUNTIF(FI146:FK148,0)=8,SUM(FI146:FK148),IF(S79="x",-1,0))</f>
        <v>-1</v>
      </c>
      <c r="ET79" s="44">
        <f>IF(COUNTIF(FL146:FN148,0)=8,SUM(FL146:FN148),IF(T79="x",-1,0))</f>
        <v>-1</v>
      </c>
      <c r="EU79" s="45">
        <f>IF(COUNTIF(FO146:FQ148,0)=8,SUM(FO146:FQ148),IF(U79="x",-1,0))</f>
        <v>-1</v>
      </c>
      <c r="EV79" s="47">
        <f>IF(COUNTIF(FR146:FT148,0)=8,SUM(FR146:FT148),IF(V79="x",-1,0))</f>
        <v>-1</v>
      </c>
      <c r="EW79" s="46">
        <f>IF(COUNTIF(FU146:FW148,0)=8,SUM(FU146:FW148),IF(W79="x",-1,0))</f>
        <v>-1</v>
      </c>
      <c r="EX79" s="45">
        <f>IF(COUNTIF(FX146:FZ148,0)=8,SUM(FX146:FZ148),IF(X79="x",-1,0))</f>
        <v>-1</v>
      </c>
      <c r="EY79" s="47">
        <f>IF(COUNTIF(GA146:GC148,0)=8,SUM(GA146:GC148),IF(Y79="x",-1,0))</f>
        <v>-1</v>
      </c>
      <c r="EZ79" s="46">
        <f>IF(COUNTIF(GD146:GF148,0)=8,SUM(GD146:GF148),IF(Z79="x",-1,0))</f>
        <v>-1</v>
      </c>
      <c r="FA79" s="45">
        <f>IF(COUNTIF(GG146:GI148,0)=8,SUM(GG146:GI148),IF(AA79="x",-1,0))</f>
        <v>0</v>
      </c>
      <c r="FB79" s="48">
        <f>IF(COUNTIF(GJ146:GL148,0)=8,SUM(GJ146:GL148),IF(AB79="x",-1,0))</f>
        <v>0</v>
      </c>
      <c r="FF79" s="44">
        <f>IF(EB79=-1,-1,MAX(DJ329:DL331))</f>
        <v>0</v>
      </c>
      <c r="FG79" s="45">
        <f>IF(EC79=-1,-1,MAX(DM329:DO331))</f>
        <v>-1</v>
      </c>
      <c r="FH79" s="47">
        <f>IF(ED79=-1,-1,MAX(DP329:DR331))</f>
        <v>-1</v>
      </c>
      <c r="FI79" s="46">
        <f>IF(EE79=-1,-1,MAX(DS329:DU331))</f>
        <v>-1</v>
      </c>
      <c r="FJ79" s="45">
        <f>IF(EF79=-1,-1,MAX(DV329:DX331))</f>
        <v>-1</v>
      </c>
      <c r="FK79" s="47">
        <f>IF(EG79=-1,-1,MAX(DY329:EA331))</f>
        <v>-1</v>
      </c>
      <c r="FL79" s="46">
        <f>IF(EH79=-1,-1,MAX(EB329:ED331))</f>
        <v>-1</v>
      </c>
      <c r="FM79" s="45">
        <f>IF(EI79=-1,-1,MAX(EE329:EG331))</f>
        <v>-1</v>
      </c>
      <c r="FN79" s="48">
        <f>IF(EJ79=-1,-1,MAX(EH329:EJ331))</f>
        <v>-1</v>
      </c>
      <c r="FO79" s="44">
        <f>IF(EK79=-1,-1,MAX(EK329:EM331))</f>
        <v>-1</v>
      </c>
      <c r="FP79" s="45">
        <f>IF(EL79=-1,-1,MAX(EN329:EP331))</f>
        <v>-1</v>
      </c>
      <c r="FQ79" s="47">
        <f>IF(EM79=-1,-1,MAX(EQ329:ES331))</f>
        <v>0</v>
      </c>
      <c r="FR79" s="46">
        <f>IF(EN79=-1,-1,MAX(ET329:EV331))</f>
        <v>-1</v>
      </c>
      <c r="FS79" s="45">
        <f>IF(EO79=-1,-1,MAX(EW329:EY331))</f>
        <v>-1</v>
      </c>
      <c r="FT79" s="47">
        <f>IF(EP79=-1,-1,MAX(EZ329:FB331))</f>
        <v>-1</v>
      </c>
      <c r="FU79" s="46">
        <f>IF(EQ79=-1,-1,MAX(FC329:FE331))</f>
        <v>-1</v>
      </c>
      <c r="FV79" s="45">
        <f>IF(ER79=-1,-1,MAX(FF329:FH331))</f>
        <v>-1</v>
      </c>
      <c r="FW79" s="48">
        <f>IF(ES79=-1,-1,MAX(FI329:FK331))</f>
        <v>-1</v>
      </c>
      <c r="FX79" s="44">
        <f>IF(ET79=-1,-1,MAX(FL329:FN331))</f>
        <v>-1</v>
      </c>
      <c r="FY79" s="45">
        <f>IF(EU79=-1,-1,MAX(FO329:FQ331))</f>
        <v>-1</v>
      </c>
      <c r="FZ79" s="47">
        <f>IF(EV79=-1,-1,MAX(FR329:FT331))</f>
        <v>-1</v>
      </c>
      <c r="GA79" s="46">
        <f>IF(EW79=-1,-1,MAX(FU329:FW331))</f>
        <v>-1</v>
      </c>
      <c r="GB79" s="45">
        <f>IF(EX79=-1,-1,MAX(FX329:FZ331))</f>
        <v>-1</v>
      </c>
      <c r="GC79" s="47">
        <f>IF(EY79=-1,-1,MAX(GA329:GC331))</f>
        <v>-1</v>
      </c>
      <c r="GD79" s="46">
        <f>IF(EZ79=-1,-1,MAX(GD329:GF331))</f>
        <v>-1</v>
      </c>
      <c r="GE79" s="45">
        <f>IF(FA79=-1,-1,MAX(GG329:GI331))</f>
        <v>5</v>
      </c>
      <c r="GF79" s="48">
        <f>IF(FB79=-1,-1,MAX(GJ329:GL331))</f>
        <v>0</v>
      </c>
    </row>
    <row r="80" spans="1:188" ht="15" customHeight="1">
      <c r="B80" s="49">
        <f t="shared" ref="B80:AB80" si="59">B47</f>
        <v>9</v>
      </c>
      <c r="C80" s="50">
        <f t="shared" si="59"/>
        <v>5</v>
      </c>
      <c r="D80" s="51" t="str">
        <f t="shared" si="59"/>
        <v>x</v>
      </c>
      <c r="E80" s="52" t="str">
        <f t="shared" si="59"/>
        <v>x</v>
      </c>
      <c r="F80" s="50" t="str">
        <f t="shared" si="59"/>
        <v>x</v>
      </c>
      <c r="G80" s="51" t="str">
        <f t="shared" si="59"/>
        <v>x</v>
      </c>
      <c r="H80" s="52" t="str">
        <f t="shared" si="59"/>
        <v>x</v>
      </c>
      <c r="I80" s="50" t="str">
        <f t="shared" si="59"/>
        <v>x</v>
      </c>
      <c r="J80" s="53" t="str">
        <f t="shared" si="59"/>
        <v>x</v>
      </c>
      <c r="K80" s="49" t="str">
        <f t="shared" si="59"/>
        <v>x</v>
      </c>
      <c r="L80" s="50" t="str">
        <f t="shared" si="59"/>
        <v>x</v>
      </c>
      <c r="M80" s="51" t="str">
        <f t="shared" si="59"/>
        <v>x</v>
      </c>
      <c r="N80" s="52">
        <f t="shared" si="59"/>
        <v>7</v>
      </c>
      <c r="O80" s="50" t="str">
        <f t="shared" si="59"/>
        <v>x</v>
      </c>
      <c r="P80" s="51" t="str">
        <f t="shared" si="59"/>
        <v>x</v>
      </c>
      <c r="Q80" s="52" t="str">
        <f t="shared" si="59"/>
        <v>x</v>
      </c>
      <c r="R80" s="50" t="str">
        <f t="shared" si="59"/>
        <v>x</v>
      </c>
      <c r="S80" s="53" t="str">
        <f t="shared" si="59"/>
        <v>x</v>
      </c>
      <c r="T80" s="49" t="str">
        <f t="shared" si="59"/>
        <v>x</v>
      </c>
      <c r="U80" s="50" t="str">
        <f t="shared" si="59"/>
        <v>x</v>
      </c>
      <c r="V80" s="51" t="str">
        <f t="shared" si="59"/>
        <v>x</v>
      </c>
      <c r="W80" s="52" t="str">
        <f t="shared" si="59"/>
        <v>x</v>
      </c>
      <c r="X80" s="50" t="str">
        <f t="shared" si="59"/>
        <v>x</v>
      </c>
      <c r="Y80" s="51" t="str">
        <f t="shared" si="59"/>
        <v>x</v>
      </c>
      <c r="Z80" s="52" t="str">
        <f t="shared" si="59"/>
        <v>x</v>
      </c>
      <c r="AA80" s="50">
        <f t="shared" si="59"/>
        <v>2</v>
      </c>
      <c r="AB80" s="53">
        <f t="shared" si="59"/>
        <v>3</v>
      </c>
      <c r="AC80" s="69" t="str">
        <f t="shared" si="4"/>
        <v>x</v>
      </c>
      <c r="AD80" s="70" t="str">
        <f t="shared" si="5"/>
        <v>x</v>
      </c>
      <c r="AE80" s="70" t="str">
        <f t="shared" si="6"/>
        <v>x</v>
      </c>
      <c r="AF80" s="70" t="str">
        <f t="shared" si="7"/>
        <v>x</v>
      </c>
      <c r="AG80" s="70" t="str">
        <f t="shared" si="8"/>
        <v>x</v>
      </c>
      <c r="AH80" s="70" t="str">
        <f t="shared" si="9"/>
        <v>x</v>
      </c>
      <c r="AI80" s="70" t="str">
        <f t="shared" si="10"/>
        <v>x</v>
      </c>
      <c r="AJ80" s="70" t="str">
        <f t="shared" si="11"/>
        <v>x</v>
      </c>
      <c r="AK80" s="71" t="str">
        <f t="shared" si="12"/>
        <v>x</v>
      </c>
      <c r="AL80" s="69" t="str">
        <f t="shared" si="13"/>
        <v>x</v>
      </c>
      <c r="AM80" s="70" t="str">
        <f t="shared" si="14"/>
        <v>x</v>
      </c>
      <c r="AN80" s="70">
        <f t="shared" si="15"/>
        <v>6</v>
      </c>
      <c r="AO80" s="70" t="str">
        <f t="shared" si="16"/>
        <v>x</v>
      </c>
      <c r="AP80" s="70" t="str">
        <f t="shared" si="17"/>
        <v>x</v>
      </c>
      <c r="AQ80" s="70">
        <f t="shared" si="18"/>
        <v>4</v>
      </c>
      <c r="AR80" s="70" t="str">
        <f t="shared" si="19"/>
        <v>x</v>
      </c>
      <c r="AS80" s="70" t="str">
        <f t="shared" si="20"/>
        <v>x</v>
      </c>
      <c r="AT80" s="71" t="str">
        <f t="shared" si="21"/>
        <v>x</v>
      </c>
      <c r="AU80" s="69" t="str">
        <f t="shared" si="22"/>
        <v>x</v>
      </c>
      <c r="AV80" s="70" t="str">
        <f t="shared" si="23"/>
        <v>x</v>
      </c>
      <c r="AW80" s="70" t="str">
        <f t="shared" si="24"/>
        <v>x</v>
      </c>
      <c r="AX80" s="70" t="str">
        <f t="shared" si="25"/>
        <v>x</v>
      </c>
      <c r="AY80" s="70" t="str">
        <f t="shared" si="26"/>
        <v>x</v>
      </c>
      <c r="AZ80" s="70" t="str">
        <f t="shared" si="27"/>
        <v>x</v>
      </c>
      <c r="BA80" s="70">
        <f t="shared" si="28"/>
        <v>8</v>
      </c>
      <c r="BB80" s="70" t="str">
        <f t="shared" si="29"/>
        <v>x</v>
      </c>
      <c r="BC80" s="71" t="str">
        <f t="shared" si="30"/>
        <v>x</v>
      </c>
      <c r="BD80" s="72" t="str">
        <f t="shared" si="31"/>
        <v>x</v>
      </c>
      <c r="BE80" s="73" t="str">
        <f t="shared" si="32"/>
        <v>x</v>
      </c>
      <c r="BF80" s="73" t="str">
        <f t="shared" si="33"/>
        <v>x</v>
      </c>
      <c r="BG80" s="73" t="str">
        <f t="shared" si="34"/>
        <v>x</v>
      </c>
      <c r="BH80" s="73" t="str">
        <f t="shared" si="35"/>
        <v>x</v>
      </c>
      <c r="BI80" s="73" t="str">
        <f t="shared" si="36"/>
        <v>x</v>
      </c>
      <c r="BJ80" s="73" t="str">
        <f t="shared" si="37"/>
        <v>x</v>
      </c>
      <c r="BK80" s="73" t="str">
        <f t="shared" si="38"/>
        <v>x</v>
      </c>
      <c r="BL80" s="74" t="str">
        <f t="shared" si="39"/>
        <v>x</v>
      </c>
      <c r="BM80" s="72" t="str">
        <f t="shared" si="40"/>
        <v>x</v>
      </c>
      <c r="BN80" s="73" t="str">
        <f t="shared" si="41"/>
        <v>x</v>
      </c>
      <c r="BO80" s="73" t="str">
        <f t="shared" si="42"/>
        <v>x</v>
      </c>
      <c r="BP80" s="73" t="str">
        <f t="shared" si="43"/>
        <v>x</v>
      </c>
      <c r="BQ80" s="73">
        <f t="shared" si="44"/>
        <v>1</v>
      </c>
      <c r="BR80" s="73" t="str">
        <f t="shared" si="45"/>
        <v>x</v>
      </c>
      <c r="BS80" s="73" t="str">
        <f t="shared" si="46"/>
        <v>x</v>
      </c>
      <c r="BT80" s="73" t="str">
        <f t="shared" si="47"/>
        <v>x</v>
      </c>
      <c r="BU80" s="74" t="str">
        <f t="shared" si="48"/>
        <v>x</v>
      </c>
      <c r="BV80" s="72" t="str">
        <f t="shared" si="49"/>
        <v>x</v>
      </c>
      <c r="BW80" s="73" t="str">
        <f t="shared" si="50"/>
        <v>x</v>
      </c>
      <c r="BX80" s="73" t="str">
        <f t="shared" si="51"/>
        <v>x</v>
      </c>
      <c r="BY80" s="73" t="str">
        <f t="shared" si="52"/>
        <v>x</v>
      </c>
      <c r="BZ80" s="73" t="str">
        <f t="shared" si="53"/>
        <v>x</v>
      </c>
      <c r="CA80" s="73" t="str">
        <f t="shared" si="54"/>
        <v>x</v>
      </c>
      <c r="CB80" s="73" t="str">
        <f t="shared" si="55"/>
        <v>x</v>
      </c>
      <c r="CC80" s="73" t="str">
        <f t="shared" si="56"/>
        <v>x</v>
      </c>
      <c r="CD80" s="74" t="str">
        <f t="shared" si="57"/>
        <v>x</v>
      </c>
      <c r="CH80" s="59" t="s">
        <v>38</v>
      </c>
      <c r="CI80" s="61"/>
      <c r="CJ80" s="61"/>
      <c r="CK80" s="61">
        <f>COUNTIF(Zeile4,1)</f>
        <v>1</v>
      </c>
      <c r="CL80" s="61">
        <f>COUNTIF(Zeile4,2)</f>
        <v>1</v>
      </c>
      <c r="CM80" s="61">
        <f>COUNTIF(Zeile4,3)</f>
        <v>1</v>
      </c>
      <c r="CN80" s="61">
        <f>COUNTIF(Zeile4,4)</f>
        <v>1</v>
      </c>
      <c r="CO80" s="61">
        <f>COUNTIF(Zeile4,5)</f>
        <v>1</v>
      </c>
      <c r="CP80" s="61">
        <f>COUNTIF(Zeile4,6)</f>
        <v>1</v>
      </c>
      <c r="CQ80" s="61">
        <f>COUNTIF(Zeile4,7)</f>
        <v>1</v>
      </c>
      <c r="CR80" s="61">
        <f>COUNTIF(Zeile4,8)</f>
        <v>1</v>
      </c>
      <c r="CS80" s="61">
        <f>COUNTIF(Zeile4,9)</f>
        <v>1</v>
      </c>
      <c r="CT80" s="61"/>
      <c r="CU80" s="61"/>
      <c r="CV80" s="61"/>
      <c r="CW80" s="61"/>
      <c r="CX80" s="61"/>
      <c r="EB80" s="49">
        <f>IF(COUNTIF(DJ149:DL151,0)=8,SUM(DJ149:DL151),IF(B80="x",-1,0))</f>
        <v>0</v>
      </c>
      <c r="EC80" s="50">
        <f>IF(COUNTIF(DM149:DO151,0)=8,SUM(DM149:DO151),IF(C80="x",-1,0))</f>
        <v>0</v>
      </c>
      <c r="ED80" s="51">
        <f>IF(COUNTIF(DP149:DR151,0)=8,SUM(DP149:DR151),IF(D80="x",-1,0))</f>
        <v>-1</v>
      </c>
      <c r="EE80" s="52">
        <f>IF(COUNTIF(DS149:DU151,0)=8,SUM(DS149:DU151),IF(E80="x",-1,0))</f>
        <v>-1</v>
      </c>
      <c r="EF80" s="50">
        <f>IF(COUNTIF(DV149:DX151,0)=8,SUM(DV149:DX151),IF(F80="x",-1,0))</f>
        <v>-1</v>
      </c>
      <c r="EG80" s="51">
        <f>IF(COUNTIF(DY149:EA151,0)=8,SUM(DY149:EA151),IF(G80="x",-1,0))</f>
        <v>-1</v>
      </c>
      <c r="EH80" s="52">
        <f>IF(COUNTIF(EB149:ED151,0)=8,SUM(EB149:ED151),IF(H80="x",-1,0))</f>
        <v>-1</v>
      </c>
      <c r="EI80" s="50">
        <f>IF(COUNTIF(EE149:EG151,0)=8,SUM(EE149:EG151),IF(I80="x",-1,0))</f>
        <v>-1</v>
      </c>
      <c r="EJ80" s="53">
        <f>IF(COUNTIF(EH149:EJ151,0)=8,SUM(EH149:EJ151),IF(J80="x",-1,0))</f>
        <v>-1</v>
      </c>
      <c r="EK80" s="49">
        <f>IF(COUNTIF(EK149:EM151,0)=8,SUM(EK149:EM151),IF(K80="x",-1,0))</f>
        <v>-1</v>
      </c>
      <c r="EL80" s="50">
        <f>IF(COUNTIF(EN149:EP151,0)=8,SUM(EN149:EP151),IF(L80="x",-1,0))</f>
        <v>-1</v>
      </c>
      <c r="EM80" s="51">
        <f>IF(COUNTIF(EQ149:ES151,0)=8,SUM(EQ149:ES151),IF(M80="x",-1,0))</f>
        <v>-1</v>
      </c>
      <c r="EN80" s="52">
        <f>IF(COUNTIF(ET149:EV151,0)=8,SUM(ET149:EV151),IF(N80="x",-1,0))</f>
        <v>0</v>
      </c>
      <c r="EO80" s="50">
        <f>IF(COUNTIF(EW149:EY151,0)=8,SUM(EW149:EY151),IF(O80="x",-1,0))</f>
        <v>-1</v>
      </c>
      <c r="EP80" s="51">
        <f>IF(COUNTIF(EZ149:FB151,0)=8,SUM(EZ149:FB151),IF(P80="x",-1,0))</f>
        <v>-1</v>
      </c>
      <c r="EQ80" s="52">
        <f>IF(COUNTIF(FC149:FE151,0)=8,SUM(FC149:FE151),IF(Q80="x",-1,0))</f>
        <v>-1</v>
      </c>
      <c r="ER80" s="50">
        <f>IF(COUNTIF(FF149:FH151,0)=8,SUM(FF149:FH151),IF(R80="x",-1,0))</f>
        <v>-1</v>
      </c>
      <c r="ES80" s="53">
        <f>IF(COUNTIF(FI149:FK151,0)=8,SUM(FI149:FK151),IF(S80="x",-1,0))</f>
        <v>-1</v>
      </c>
      <c r="ET80" s="49">
        <f>IF(COUNTIF(FL149:FN151,0)=8,SUM(FL149:FN151),IF(T80="x",-1,0))</f>
        <v>-1</v>
      </c>
      <c r="EU80" s="50">
        <f>IF(COUNTIF(FO149:FQ151,0)=8,SUM(FO149:FQ151),IF(U80="x",-1,0))</f>
        <v>-1</v>
      </c>
      <c r="EV80" s="51">
        <f>IF(COUNTIF(FR149:FT151,0)=8,SUM(FR149:FT151),IF(V80="x",-1,0))</f>
        <v>-1</v>
      </c>
      <c r="EW80" s="52">
        <f>IF(COUNTIF(FU149:FW151,0)=8,SUM(FU149:FW151),IF(W80="x",-1,0))</f>
        <v>-1</v>
      </c>
      <c r="EX80" s="50">
        <f>IF(COUNTIF(FX149:FZ151,0)=8,SUM(FX149:FZ151),IF(X80="x",-1,0))</f>
        <v>-1</v>
      </c>
      <c r="EY80" s="51">
        <f>IF(COUNTIF(GA149:GC151,0)=8,SUM(GA149:GC151),IF(Y80="x",-1,0))</f>
        <v>-1</v>
      </c>
      <c r="EZ80" s="52">
        <f>IF(COUNTIF(GD149:GF151,0)=8,SUM(GD149:GF151),IF(Z80="x",-1,0))</f>
        <v>-1</v>
      </c>
      <c r="FA80" s="50">
        <f>IF(COUNTIF(GG149:GI151,0)=8,SUM(GG149:GI151),IF(AA80="x",-1,0))</f>
        <v>0</v>
      </c>
      <c r="FB80" s="53">
        <f>IF(COUNTIF(GJ149:GL151,0)=8,SUM(GJ149:GL151),IF(AB80="x",-1,0))</f>
        <v>0</v>
      </c>
      <c r="FF80" s="49">
        <f>IF(EB80=-1,-1,MAX(DJ332:DL334))</f>
        <v>0</v>
      </c>
      <c r="FG80" s="50">
        <f>IF(EC80=-1,-1,MAX(DM332:DO334))</f>
        <v>5</v>
      </c>
      <c r="FH80" s="51">
        <f>IF(ED80=-1,-1,MAX(DP332:DR334))</f>
        <v>-1</v>
      </c>
      <c r="FI80" s="52">
        <f>IF(EE80=-1,-1,MAX(DS332:DU334))</f>
        <v>-1</v>
      </c>
      <c r="FJ80" s="50">
        <f>IF(EF80=-1,-1,MAX(DV332:DX334))</f>
        <v>-1</v>
      </c>
      <c r="FK80" s="51">
        <f>IF(EG80=-1,-1,MAX(DY332:EA334))</f>
        <v>-1</v>
      </c>
      <c r="FL80" s="52">
        <f>IF(EH80=-1,-1,MAX(EB332:ED334))</f>
        <v>-1</v>
      </c>
      <c r="FM80" s="50">
        <f>IF(EI80=-1,-1,MAX(EE332:EG334))</f>
        <v>-1</v>
      </c>
      <c r="FN80" s="53">
        <f>IF(EJ80=-1,-1,MAX(EH332:EJ334))</f>
        <v>-1</v>
      </c>
      <c r="FO80" s="49">
        <f>IF(EK80=-1,-1,MAX(EK332:EM334))</f>
        <v>-1</v>
      </c>
      <c r="FP80" s="50">
        <f>IF(EL80=-1,-1,MAX(EN332:EP334))</f>
        <v>-1</v>
      </c>
      <c r="FQ80" s="51">
        <f>IF(EM80=-1,-1,MAX(EQ332:ES334))</f>
        <v>-1</v>
      </c>
      <c r="FR80" s="52">
        <f>IF(EN80=-1,-1,MAX(ET332:EV334))</f>
        <v>7</v>
      </c>
      <c r="FS80" s="50">
        <f>IF(EO80=-1,-1,MAX(EW332:EY334))</f>
        <v>-1</v>
      </c>
      <c r="FT80" s="51">
        <f>IF(EP80=-1,-1,MAX(EZ332:FB334))</f>
        <v>-1</v>
      </c>
      <c r="FU80" s="52">
        <f>IF(EQ80=-1,-1,MAX(FC332:FE334))</f>
        <v>-1</v>
      </c>
      <c r="FV80" s="50">
        <f>IF(ER80=-1,-1,MAX(FF332:FH334))</f>
        <v>-1</v>
      </c>
      <c r="FW80" s="53">
        <f>IF(ES80=-1,-1,MAX(FI332:FK334))</f>
        <v>-1</v>
      </c>
      <c r="FX80" s="49">
        <f>IF(ET80=-1,-1,MAX(FL332:FN334))</f>
        <v>-1</v>
      </c>
      <c r="FY80" s="50">
        <f>IF(EU80=-1,-1,MAX(FO332:FQ334))</f>
        <v>-1</v>
      </c>
      <c r="FZ80" s="51">
        <f>IF(EV80=-1,-1,MAX(FR332:FT334))</f>
        <v>-1</v>
      </c>
      <c r="GA80" s="52">
        <f>IF(EW80=-1,-1,MAX(FU332:FW334))</f>
        <v>-1</v>
      </c>
      <c r="GB80" s="50">
        <f>IF(EX80=-1,-1,MAX(FX332:FZ334))</f>
        <v>-1</v>
      </c>
      <c r="GC80" s="51">
        <f>IF(EY80=-1,-1,MAX(GA332:GC334))</f>
        <v>-1</v>
      </c>
      <c r="GD80" s="52">
        <f>IF(EZ80=-1,-1,MAX(GD332:GF334))</f>
        <v>-1</v>
      </c>
      <c r="GE80" s="50">
        <f>IF(FA80=-1,-1,MAX(GG332:GI334))</f>
        <v>0</v>
      </c>
      <c r="GF80" s="53">
        <f>IF(FB80=-1,-1,MAX(GJ332:GL334))</f>
        <v>0</v>
      </c>
    </row>
    <row r="81" spans="2:188" ht="15" customHeight="1">
      <c r="B81" s="43">
        <f t="shared" ref="B81:AB81" si="60">B48</f>
        <v>6</v>
      </c>
      <c r="C81" s="39">
        <f t="shared" si="60"/>
        <v>3</v>
      </c>
      <c r="D81" s="41" t="str">
        <f t="shared" si="60"/>
        <v>x</v>
      </c>
      <c r="E81" s="40" t="str">
        <f t="shared" si="60"/>
        <v>x</v>
      </c>
      <c r="F81" s="39" t="str">
        <f t="shared" si="60"/>
        <v>x</v>
      </c>
      <c r="G81" s="41" t="str">
        <f t="shared" si="60"/>
        <v>x</v>
      </c>
      <c r="H81" s="40" t="str">
        <f t="shared" si="60"/>
        <v>x</v>
      </c>
      <c r="I81" s="39" t="str">
        <f t="shared" si="60"/>
        <v>x</v>
      </c>
      <c r="J81" s="42" t="str">
        <f t="shared" si="60"/>
        <v>x</v>
      </c>
      <c r="K81" s="43" t="str">
        <f t="shared" si="60"/>
        <v>x</v>
      </c>
      <c r="L81" s="39" t="str">
        <f t="shared" si="60"/>
        <v>x</v>
      </c>
      <c r="M81" s="41" t="str">
        <f t="shared" si="60"/>
        <v>x</v>
      </c>
      <c r="N81" s="40" t="str">
        <f t="shared" si="60"/>
        <v>x</v>
      </c>
      <c r="O81" s="39">
        <f t="shared" si="60"/>
        <v>8</v>
      </c>
      <c r="P81" s="41">
        <f t="shared" si="60"/>
        <v>5</v>
      </c>
      <c r="Q81" s="40" t="str">
        <f t="shared" si="60"/>
        <v>x</v>
      </c>
      <c r="R81" s="39" t="str">
        <f t="shared" si="60"/>
        <v>x</v>
      </c>
      <c r="S81" s="42" t="str">
        <f t="shared" si="60"/>
        <v>x</v>
      </c>
      <c r="T81" s="43" t="str">
        <f t="shared" si="60"/>
        <v>x</v>
      </c>
      <c r="U81" s="39" t="str">
        <f t="shared" si="60"/>
        <v>x</v>
      </c>
      <c r="V81" s="41" t="str">
        <f t="shared" si="60"/>
        <v>x</v>
      </c>
      <c r="W81" s="40" t="str">
        <f t="shared" si="60"/>
        <v>x</v>
      </c>
      <c r="X81" s="39" t="str">
        <f t="shared" si="60"/>
        <v>x</v>
      </c>
      <c r="Y81" s="41" t="str">
        <f t="shared" si="60"/>
        <v>x</v>
      </c>
      <c r="Z81" s="40" t="str">
        <f t="shared" si="60"/>
        <v>x</v>
      </c>
      <c r="AA81" s="39" t="str">
        <f t="shared" si="60"/>
        <v>x</v>
      </c>
      <c r="AB81" s="42">
        <f t="shared" si="60"/>
        <v>1</v>
      </c>
      <c r="AC81" s="69" t="str">
        <f t="shared" si="4"/>
        <v>x</v>
      </c>
      <c r="AD81" s="70" t="str">
        <f t="shared" si="5"/>
        <v>x</v>
      </c>
      <c r="AE81" s="70">
        <f t="shared" si="6"/>
        <v>7</v>
      </c>
      <c r="AF81" s="70" t="str">
        <f t="shared" si="7"/>
        <v>x</v>
      </c>
      <c r="AG81" s="70" t="str">
        <f t="shared" si="8"/>
        <v>x</v>
      </c>
      <c r="AH81" s="70" t="str">
        <f t="shared" si="9"/>
        <v>x</v>
      </c>
      <c r="AI81" s="70" t="str">
        <f t="shared" si="10"/>
        <v>x</v>
      </c>
      <c r="AJ81" s="70" t="str">
        <f t="shared" si="11"/>
        <v>x</v>
      </c>
      <c r="AK81" s="71" t="str">
        <f t="shared" si="12"/>
        <v>x</v>
      </c>
      <c r="AL81" s="69" t="str">
        <f t="shared" si="13"/>
        <v>x</v>
      </c>
      <c r="AM81" s="70" t="str">
        <f t="shared" si="14"/>
        <v>x</v>
      </c>
      <c r="AN81" s="70" t="str">
        <f t="shared" si="15"/>
        <v>x</v>
      </c>
      <c r="AO81" s="70" t="str">
        <f t="shared" si="16"/>
        <v>x</v>
      </c>
      <c r="AP81" s="70" t="str">
        <f t="shared" si="17"/>
        <v>x</v>
      </c>
      <c r="AQ81" s="70" t="str">
        <f t="shared" si="18"/>
        <v>x</v>
      </c>
      <c r="AR81" s="70" t="str">
        <f t="shared" si="19"/>
        <v>x</v>
      </c>
      <c r="AS81" s="70" t="str">
        <f t="shared" si="20"/>
        <v>x</v>
      </c>
      <c r="AT81" s="71" t="str">
        <f t="shared" si="21"/>
        <v>x</v>
      </c>
      <c r="AU81" s="69" t="str">
        <f t="shared" si="22"/>
        <v>x</v>
      </c>
      <c r="AV81" s="70" t="str">
        <f t="shared" si="23"/>
        <v>x</v>
      </c>
      <c r="AW81" s="70" t="str">
        <f t="shared" si="24"/>
        <v>x</v>
      </c>
      <c r="AX81" s="70" t="str">
        <f t="shared" si="25"/>
        <v>x</v>
      </c>
      <c r="AY81" s="70" t="str">
        <f t="shared" si="26"/>
        <v>x</v>
      </c>
      <c r="AZ81" s="70" t="str">
        <f t="shared" si="27"/>
        <v>x</v>
      </c>
      <c r="BA81" s="70">
        <f t="shared" si="28"/>
        <v>2</v>
      </c>
      <c r="BB81" s="70">
        <f t="shared" si="29"/>
        <v>4</v>
      </c>
      <c r="BC81" s="71" t="str">
        <f t="shared" si="30"/>
        <v>x</v>
      </c>
      <c r="BD81" s="72" t="str">
        <f t="shared" si="31"/>
        <v>x</v>
      </c>
      <c r="BE81" s="73" t="str">
        <f t="shared" si="32"/>
        <v>x</v>
      </c>
      <c r="BF81" s="73" t="str">
        <f t="shared" si="33"/>
        <v>x</v>
      </c>
      <c r="BG81" s="73" t="str">
        <f t="shared" si="34"/>
        <v>x</v>
      </c>
      <c r="BH81" s="73" t="str">
        <f t="shared" si="35"/>
        <v>x</v>
      </c>
      <c r="BI81" s="73" t="str">
        <f t="shared" si="36"/>
        <v>x</v>
      </c>
      <c r="BJ81" s="73" t="str">
        <f t="shared" si="37"/>
        <v>x</v>
      </c>
      <c r="BK81" s="73" t="str">
        <f t="shared" si="38"/>
        <v>x</v>
      </c>
      <c r="BL81" s="74" t="str">
        <f t="shared" si="39"/>
        <v>x</v>
      </c>
      <c r="BM81" s="72" t="str">
        <f t="shared" si="40"/>
        <v>x</v>
      </c>
      <c r="BN81" s="73" t="str">
        <f t="shared" si="41"/>
        <v>x</v>
      </c>
      <c r="BO81" s="73" t="str">
        <f t="shared" si="42"/>
        <v>x</v>
      </c>
      <c r="BP81" s="73">
        <f t="shared" si="43"/>
        <v>9</v>
      </c>
      <c r="BQ81" s="73" t="str">
        <f t="shared" si="44"/>
        <v>x</v>
      </c>
      <c r="BR81" s="73" t="str">
        <f t="shared" si="45"/>
        <v>x</v>
      </c>
      <c r="BS81" s="73" t="str">
        <f t="shared" si="46"/>
        <v>x</v>
      </c>
      <c r="BT81" s="73" t="str">
        <f t="shared" si="47"/>
        <v>x</v>
      </c>
      <c r="BU81" s="74" t="str">
        <f t="shared" si="48"/>
        <v>x</v>
      </c>
      <c r="BV81" s="72" t="str">
        <f t="shared" si="49"/>
        <v>x</v>
      </c>
      <c r="BW81" s="73" t="str">
        <f t="shared" si="50"/>
        <v>x</v>
      </c>
      <c r="BX81" s="73" t="str">
        <f t="shared" si="51"/>
        <v>x</v>
      </c>
      <c r="BY81" s="73" t="str">
        <f t="shared" si="52"/>
        <v>x</v>
      </c>
      <c r="BZ81" s="73" t="str">
        <f t="shared" si="53"/>
        <v>x</v>
      </c>
      <c r="CA81" s="73" t="str">
        <f t="shared" si="54"/>
        <v>x</v>
      </c>
      <c r="CB81" s="73" t="str">
        <f t="shared" si="55"/>
        <v>x</v>
      </c>
      <c r="CC81" s="73" t="str">
        <f t="shared" si="56"/>
        <v>x</v>
      </c>
      <c r="CD81" s="74" t="str">
        <f t="shared" si="57"/>
        <v>x</v>
      </c>
      <c r="CH81" s="59" t="s">
        <v>39</v>
      </c>
      <c r="CI81" s="61"/>
      <c r="CJ81" s="61"/>
      <c r="CK81" s="61">
        <f>COUNTIF(Zeile5,1)</f>
        <v>1</v>
      </c>
      <c r="CL81" s="61">
        <f>COUNTIF(Zeile5,2)</f>
        <v>1</v>
      </c>
      <c r="CM81" s="61">
        <f>COUNTIF(Zeile5,3)</f>
        <v>1</v>
      </c>
      <c r="CN81" s="61">
        <f>COUNTIF(Zeile5,4)</f>
        <v>1</v>
      </c>
      <c r="CO81" s="61">
        <f>COUNTIF(Zeile5,5)</f>
        <v>1</v>
      </c>
      <c r="CP81" s="61">
        <f>COUNTIF(Zeile5,6)</f>
        <v>1</v>
      </c>
      <c r="CQ81" s="61">
        <f>COUNTIF(Zeile5,7)</f>
        <v>1</v>
      </c>
      <c r="CR81" s="61">
        <f>COUNTIF(Zeile5,8)</f>
        <v>1</v>
      </c>
      <c r="CS81" s="61">
        <f>COUNTIF(Zeile5,9)</f>
        <v>1</v>
      </c>
      <c r="CT81" s="61"/>
      <c r="CU81" s="61"/>
      <c r="CV81" s="61"/>
      <c r="CW81" s="61"/>
      <c r="CX81" s="61"/>
      <c r="EB81" s="43">
        <f>IF(COUNTIF(DJ152:DL154,0)=8,SUM(DJ152:DL154),IF(B81="x",-1,0))</f>
        <v>0</v>
      </c>
      <c r="EC81" s="39">
        <f>IF(COUNTIF(DM152:DO154,0)=8,SUM(DM152:DO154),IF(C81="x",-1,0))</f>
        <v>0</v>
      </c>
      <c r="ED81" s="41">
        <f>IF(COUNTIF(DP152:DR154,0)=8,SUM(DP152:DR154),IF(D81="x",-1,0))</f>
        <v>-1</v>
      </c>
      <c r="EE81" s="40">
        <f>IF(COUNTIF(DS152:DU154,0)=8,SUM(DS152:DU154),IF(E81="x",-1,0))</f>
        <v>-1</v>
      </c>
      <c r="EF81" s="39">
        <f>IF(COUNTIF(DV152:DX154,0)=8,SUM(DV152:DX154),IF(F81="x",-1,0))</f>
        <v>-1</v>
      </c>
      <c r="EG81" s="41">
        <f>IF(COUNTIF(DY152:EA154,0)=8,SUM(DY152:EA154),IF(G81="x",-1,0))</f>
        <v>-1</v>
      </c>
      <c r="EH81" s="40">
        <f>IF(COUNTIF(EB152:ED154,0)=8,SUM(EB152:ED154),IF(H81="x",-1,0))</f>
        <v>-1</v>
      </c>
      <c r="EI81" s="39">
        <f>IF(COUNTIF(EE152:EG154,0)=8,SUM(EE152:EG154),IF(I81="x",-1,0))</f>
        <v>-1</v>
      </c>
      <c r="EJ81" s="42">
        <f>IF(COUNTIF(EH152:EJ154,0)=8,SUM(EH152:EJ154),IF(J81="x",-1,0))</f>
        <v>-1</v>
      </c>
      <c r="EK81" s="43">
        <f>IF(COUNTIF(EK152:EM154,0)=8,SUM(EK152:EM154),IF(K81="x",-1,0))</f>
        <v>-1</v>
      </c>
      <c r="EL81" s="39">
        <f>IF(COUNTIF(EN152:EP154,0)=8,SUM(EN152:EP154),IF(L81="x",-1,0))</f>
        <v>-1</v>
      </c>
      <c r="EM81" s="41">
        <f>IF(COUNTIF(EQ152:ES154,0)=8,SUM(EQ152:ES154),IF(M81="x",-1,0))</f>
        <v>-1</v>
      </c>
      <c r="EN81" s="40">
        <f>IF(COUNTIF(ET152:EV154,0)=8,SUM(ET152:EV154),IF(N81="x",-1,0))</f>
        <v>-1</v>
      </c>
      <c r="EO81" s="39">
        <f>IF(COUNTIF(EW152:EY154,0)=8,SUM(EW152:EY154),IF(O81="x",-1,0))</f>
        <v>0</v>
      </c>
      <c r="EP81" s="41">
        <f>IF(COUNTIF(EZ152:FB154,0)=8,SUM(EZ152:FB154),IF(P81="x",-1,0))</f>
        <v>0</v>
      </c>
      <c r="EQ81" s="40">
        <f>IF(COUNTIF(FC152:FE154,0)=8,SUM(FC152:FE154),IF(Q81="x",-1,0))</f>
        <v>-1</v>
      </c>
      <c r="ER81" s="39">
        <f>IF(COUNTIF(FF152:FH154,0)=8,SUM(FF152:FH154),IF(R81="x",-1,0))</f>
        <v>-1</v>
      </c>
      <c r="ES81" s="42">
        <f>IF(COUNTIF(FI152:FK154,0)=8,SUM(FI152:FK154),IF(S81="x",-1,0))</f>
        <v>-1</v>
      </c>
      <c r="ET81" s="43">
        <f>IF(COUNTIF(FL152:FN154,0)=8,SUM(FL152:FN154),IF(T81="x",-1,0))</f>
        <v>-1</v>
      </c>
      <c r="EU81" s="39">
        <f>IF(COUNTIF(FO152:FQ154,0)=8,SUM(FO152:FQ154),IF(U81="x",-1,0))</f>
        <v>-1</v>
      </c>
      <c r="EV81" s="41">
        <f>IF(COUNTIF(FR152:FT154,0)=8,SUM(FR152:FT154),IF(V81="x",-1,0))</f>
        <v>-1</v>
      </c>
      <c r="EW81" s="40">
        <f>IF(COUNTIF(FU152:FW154,0)=8,SUM(FU152:FW154),IF(W81="x",-1,0))</f>
        <v>-1</v>
      </c>
      <c r="EX81" s="39">
        <f>IF(COUNTIF(FX152:FZ154,0)=8,SUM(FX152:FZ154),IF(X81="x",-1,0))</f>
        <v>-1</v>
      </c>
      <c r="EY81" s="41">
        <f>IF(COUNTIF(GA152:GC154,0)=8,SUM(GA152:GC154),IF(Y81="x",-1,0))</f>
        <v>-1</v>
      </c>
      <c r="EZ81" s="40">
        <f>IF(COUNTIF(GD152:GF154,0)=8,SUM(GD152:GF154),IF(Z81="x",-1,0))</f>
        <v>-1</v>
      </c>
      <c r="FA81" s="39">
        <f>IF(COUNTIF(GG152:GI154,0)=8,SUM(GG152:GI154),IF(AA81="x",-1,0))</f>
        <v>-1</v>
      </c>
      <c r="FB81" s="42">
        <f>IF(COUNTIF(GJ152:GL154,0)=8,SUM(GJ152:GL154),IF(AB81="x",-1,0))</f>
        <v>0</v>
      </c>
      <c r="FF81" s="43">
        <f>IF(EB81=-1,-1,MAX(DJ335:DL337))</f>
        <v>0</v>
      </c>
      <c r="FG81" s="39">
        <f>IF(EC81=-1,-1,MAX(DM335:DO337))</f>
        <v>0</v>
      </c>
      <c r="FH81" s="41">
        <f>IF(ED81=-1,-1,MAX(DP335:DR337))</f>
        <v>-1</v>
      </c>
      <c r="FI81" s="40">
        <f>IF(EE81=-1,-1,MAX(DS335:DU337))</f>
        <v>-1</v>
      </c>
      <c r="FJ81" s="39">
        <f>IF(EF81=-1,-1,MAX(DV335:DX337))</f>
        <v>-1</v>
      </c>
      <c r="FK81" s="41">
        <f>IF(EG81=-1,-1,MAX(DY335:EA337))</f>
        <v>-1</v>
      </c>
      <c r="FL81" s="40">
        <f>IF(EH81=-1,-1,MAX(EB335:ED337))</f>
        <v>-1</v>
      </c>
      <c r="FM81" s="39">
        <f>IF(EI81=-1,-1,MAX(EE335:EG337))</f>
        <v>-1</v>
      </c>
      <c r="FN81" s="42">
        <f>IF(EJ81=-1,-1,MAX(EH335:EJ337))</f>
        <v>-1</v>
      </c>
      <c r="FO81" s="43">
        <f>IF(EK81=-1,-1,MAX(EK335:EM337))</f>
        <v>-1</v>
      </c>
      <c r="FP81" s="39">
        <f>IF(EL81=-1,-1,MAX(EN335:EP337))</f>
        <v>-1</v>
      </c>
      <c r="FQ81" s="41">
        <f>IF(EM81=-1,-1,MAX(EQ335:ES337))</f>
        <v>-1</v>
      </c>
      <c r="FR81" s="40">
        <f>IF(EN81=-1,-1,MAX(ET335:EV337))</f>
        <v>-1</v>
      </c>
      <c r="FS81" s="39">
        <f>IF(EO81=-1,-1,MAX(EW335:EY337))</f>
        <v>0</v>
      </c>
      <c r="FT81" s="41">
        <f>IF(EP81=-1,-1,MAX(EZ335:FB337))</f>
        <v>0</v>
      </c>
      <c r="FU81" s="40">
        <f>IF(EQ81=-1,-1,MAX(FC335:FE337))</f>
        <v>-1</v>
      </c>
      <c r="FV81" s="39">
        <f>IF(ER81=-1,-1,MAX(FF335:FH337))</f>
        <v>-1</v>
      </c>
      <c r="FW81" s="42">
        <f>IF(ES81=-1,-1,MAX(FI335:FK337))</f>
        <v>-1</v>
      </c>
      <c r="FX81" s="43">
        <f>IF(ET81=-1,-1,MAX(FL335:FN337))</f>
        <v>-1</v>
      </c>
      <c r="FY81" s="39">
        <f>IF(EU81=-1,-1,MAX(FO335:FQ337))</f>
        <v>-1</v>
      </c>
      <c r="FZ81" s="41">
        <f>IF(EV81=-1,-1,MAX(FR335:FT337))</f>
        <v>-1</v>
      </c>
      <c r="GA81" s="40">
        <f>IF(EW81=-1,-1,MAX(FU335:FW337))</f>
        <v>-1</v>
      </c>
      <c r="GB81" s="39">
        <f>IF(EX81=-1,-1,MAX(FX335:FZ337))</f>
        <v>-1</v>
      </c>
      <c r="GC81" s="41">
        <f>IF(EY81=-1,-1,MAX(GA335:GC337))</f>
        <v>-1</v>
      </c>
      <c r="GD81" s="40">
        <f>IF(EZ81=-1,-1,MAX(GD335:GF337))</f>
        <v>-1</v>
      </c>
      <c r="GE81" s="39">
        <f>IF(FA81=-1,-1,MAX(GG335:GI337))</f>
        <v>-1</v>
      </c>
      <c r="GF81" s="42">
        <f>IF(FB81=-1,-1,MAX(GJ335:GL337))</f>
        <v>0</v>
      </c>
    </row>
    <row r="82" spans="2:188" ht="15" customHeight="1">
      <c r="B82" s="44" t="str">
        <f t="shared" ref="B82:AB82" si="61">B49</f>
        <v>x</v>
      </c>
      <c r="C82" s="45" t="str">
        <f t="shared" si="61"/>
        <v>x</v>
      </c>
      <c r="D82" s="47" t="str">
        <f t="shared" si="61"/>
        <v>x</v>
      </c>
      <c r="E82" s="46" t="str">
        <f t="shared" si="61"/>
        <v>x</v>
      </c>
      <c r="F82" s="45" t="str">
        <f t="shared" si="61"/>
        <v>x</v>
      </c>
      <c r="G82" s="47" t="str">
        <f t="shared" si="61"/>
        <v>x</v>
      </c>
      <c r="H82" s="46" t="str">
        <f t="shared" si="61"/>
        <v>x</v>
      </c>
      <c r="I82" s="45" t="str">
        <f t="shared" si="61"/>
        <v>x</v>
      </c>
      <c r="J82" s="48" t="str">
        <f t="shared" si="61"/>
        <v>x</v>
      </c>
      <c r="K82" s="44" t="str">
        <f t="shared" si="61"/>
        <v>x</v>
      </c>
      <c r="L82" s="45" t="str">
        <f t="shared" si="61"/>
        <v>x</v>
      </c>
      <c r="M82" s="47" t="str">
        <f t="shared" si="61"/>
        <v>x</v>
      </c>
      <c r="N82" s="46" t="str">
        <f t="shared" si="61"/>
        <v>x</v>
      </c>
      <c r="O82" s="45" t="str">
        <f t="shared" si="61"/>
        <v>x</v>
      </c>
      <c r="P82" s="47" t="str">
        <f t="shared" si="61"/>
        <v>x</v>
      </c>
      <c r="Q82" s="46" t="str">
        <f t="shared" si="61"/>
        <v>x</v>
      </c>
      <c r="R82" s="45" t="str">
        <f t="shared" si="61"/>
        <v>x</v>
      </c>
      <c r="S82" s="48" t="str">
        <f t="shared" si="61"/>
        <v>x</v>
      </c>
      <c r="T82" s="44" t="str">
        <f t="shared" si="61"/>
        <v>x</v>
      </c>
      <c r="U82" s="45" t="str">
        <f t="shared" si="61"/>
        <v>x</v>
      </c>
      <c r="V82" s="47" t="str">
        <f t="shared" si="61"/>
        <v>x</v>
      </c>
      <c r="W82" s="46" t="str">
        <f t="shared" si="61"/>
        <v>x</v>
      </c>
      <c r="X82" s="45" t="str">
        <f t="shared" si="61"/>
        <v>x</v>
      </c>
      <c r="Y82" s="47" t="str">
        <f t="shared" si="61"/>
        <v>x</v>
      </c>
      <c r="Z82" s="46" t="str">
        <f t="shared" si="61"/>
        <v>x</v>
      </c>
      <c r="AA82" s="45" t="str">
        <f t="shared" si="61"/>
        <v>x</v>
      </c>
      <c r="AB82" s="48">
        <f t="shared" si="61"/>
        <v>9</v>
      </c>
      <c r="AC82" s="69">
        <f t="shared" si="4"/>
        <v>1</v>
      </c>
      <c r="AD82" s="70">
        <f t="shared" si="5"/>
        <v>2</v>
      </c>
      <c r="AE82" s="70">
        <f t="shared" si="6"/>
        <v>5</v>
      </c>
      <c r="AF82" s="70">
        <f t="shared" si="7"/>
        <v>6</v>
      </c>
      <c r="AG82" s="70" t="str">
        <f t="shared" si="8"/>
        <v>x</v>
      </c>
      <c r="AH82" s="70" t="str">
        <f t="shared" si="9"/>
        <v>x</v>
      </c>
      <c r="AI82" s="70" t="str">
        <f t="shared" si="10"/>
        <v>x</v>
      </c>
      <c r="AJ82" s="70" t="str">
        <f t="shared" si="11"/>
        <v>x</v>
      </c>
      <c r="AK82" s="71" t="str">
        <f t="shared" si="12"/>
        <v>x</v>
      </c>
      <c r="AL82" s="69" t="str">
        <f t="shared" si="13"/>
        <v>x</v>
      </c>
      <c r="AM82" s="70" t="str">
        <f t="shared" si="14"/>
        <v>x</v>
      </c>
      <c r="AN82" s="70" t="str">
        <f t="shared" si="15"/>
        <v>x</v>
      </c>
      <c r="AO82" s="70" t="str">
        <f t="shared" si="16"/>
        <v>x</v>
      </c>
      <c r="AP82" s="70" t="str">
        <f t="shared" si="17"/>
        <v>x</v>
      </c>
      <c r="AQ82" s="70" t="str">
        <f t="shared" si="18"/>
        <v>x</v>
      </c>
      <c r="AR82" s="70" t="str">
        <f t="shared" si="19"/>
        <v>x</v>
      </c>
      <c r="AS82" s="70" t="str">
        <f t="shared" si="20"/>
        <v>x</v>
      </c>
      <c r="AT82" s="71" t="str">
        <f t="shared" si="21"/>
        <v>x</v>
      </c>
      <c r="AU82" s="69" t="str">
        <f t="shared" si="22"/>
        <v>x</v>
      </c>
      <c r="AV82" s="70" t="str">
        <f t="shared" si="23"/>
        <v>x</v>
      </c>
      <c r="AW82" s="70" t="str">
        <f t="shared" si="24"/>
        <v>x</v>
      </c>
      <c r="AX82" s="70" t="str">
        <f t="shared" si="25"/>
        <v>x</v>
      </c>
      <c r="AY82" s="70" t="str">
        <f t="shared" si="26"/>
        <v>x</v>
      </c>
      <c r="AZ82" s="70" t="str">
        <f t="shared" si="27"/>
        <v>x</v>
      </c>
      <c r="BA82" s="70" t="str">
        <f t="shared" si="28"/>
        <v>x</v>
      </c>
      <c r="BB82" s="70">
        <f t="shared" si="29"/>
        <v>7</v>
      </c>
      <c r="BC82" s="71" t="str">
        <f t="shared" si="30"/>
        <v>x</v>
      </c>
      <c r="BD82" s="72" t="str">
        <f t="shared" si="31"/>
        <v>x</v>
      </c>
      <c r="BE82" s="73" t="str">
        <f t="shared" si="32"/>
        <v>x</v>
      </c>
      <c r="BF82" s="73" t="str">
        <f t="shared" si="33"/>
        <v>x</v>
      </c>
      <c r="BG82" s="73" t="str">
        <f t="shared" si="34"/>
        <v>x</v>
      </c>
      <c r="BH82" s="73" t="str">
        <f t="shared" si="35"/>
        <v>x</v>
      </c>
      <c r="BI82" s="73" t="str">
        <f t="shared" si="36"/>
        <v>x</v>
      </c>
      <c r="BJ82" s="73" t="str">
        <f t="shared" si="37"/>
        <v>x</v>
      </c>
      <c r="BK82" s="73" t="str">
        <f t="shared" si="38"/>
        <v>x</v>
      </c>
      <c r="BL82" s="74" t="str">
        <f t="shared" si="39"/>
        <v>x</v>
      </c>
      <c r="BM82" s="72" t="str">
        <f t="shared" si="40"/>
        <v>x</v>
      </c>
      <c r="BN82" s="73" t="str">
        <f t="shared" si="41"/>
        <v>x</v>
      </c>
      <c r="BO82" s="73" t="str">
        <f t="shared" si="42"/>
        <v>x</v>
      </c>
      <c r="BP82" s="73" t="str">
        <f t="shared" si="43"/>
        <v>x</v>
      </c>
      <c r="BQ82" s="73">
        <f t="shared" si="44"/>
        <v>4</v>
      </c>
      <c r="BR82" s="73">
        <f t="shared" si="45"/>
        <v>8</v>
      </c>
      <c r="BS82" s="73">
        <f t="shared" si="46"/>
        <v>3</v>
      </c>
      <c r="BT82" s="73" t="str">
        <f t="shared" si="47"/>
        <v>x</v>
      </c>
      <c r="BU82" s="74" t="str">
        <f t="shared" si="48"/>
        <v>x</v>
      </c>
      <c r="BV82" s="72" t="str">
        <f t="shared" si="49"/>
        <v>x</v>
      </c>
      <c r="BW82" s="73" t="str">
        <f t="shared" si="50"/>
        <v>x</v>
      </c>
      <c r="BX82" s="73" t="str">
        <f t="shared" si="51"/>
        <v>x</v>
      </c>
      <c r="BY82" s="73" t="str">
        <f t="shared" si="52"/>
        <v>x</v>
      </c>
      <c r="BZ82" s="73" t="str">
        <f t="shared" si="53"/>
        <v>x</v>
      </c>
      <c r="CA82" s="73" t="str">
        <f t="shared" si="54"/>
        <v>x</v>
      </c>
      <c r="CB82" s="73" t="str">
        <f t="shared" si="55"/>
        <v>x</v>
      </c>
      <c r="CC82" s="73" t="str">
        <f t="shared" si="56"/>
        <v>x</v>
      </c>
      <c r="CD82" s="74" t="str">
        <f t="shared" si="57"/>
        <v>x</v>
      </c>
      <c r="CH82" s="59" t="s">
        <v>40</v>
      </c>
      <c r="CI82" s="61"/>
      <c r="CJ82" s="61"/>
      <c r="CK82" s="61">
        <f>COUNTIF(Zeile6,1)</f>
        <v>1</v>
      </c>
      <c r="CL82" s="61">
        <f>COUNTIF(Zeile6,2)</f>
        <v>1</v>
      </c>
      <c r="CM82" s="61">
        <f>COUNTIF(Zeile6,3)</f>
        <v>1</v>
      </c>
      <c r="CN82" s="61">
        <f>COUNTIF(Zeile6,4)</f>
        <v>1</v>
      </c>
      <c r="CO82" s="61">
        <f>COUNTIF(Zeile6,5)</f>
        <v>1</v>
      </c>
      <c r="CP82" s="61">
        <f>COUNTIF(Zeile6,6)</f>
        <v>1</v>
      </c>
      <c r="CQ82" s="61">
        <f>COUNTIF(Zeile6,7)</f>
        <v>1</v>
      </c>
      <c r="CR82" s="61">
        <f>COUNTIF(Zeile6,8)</f>
        <v>1</v>
      </c>
      <c r="CS82" s="61">
        <f>COUNTIF(Zeile6,9)</f>
        <v>1</v>
      </c>
      <c r="CT82" s="61"/>
      <c r="CU82" s="61"/>
      <c r="CV82" s="61"/>
      <c r="CW82" s="61"/>
      <c r="CX82" s="61"/>
      <c r="EB82" s="44">
        <f>IF(COUNTIF(DJ155:DL157,0)=8,SUM(DJ155:DL157),IF(B82="x",-1,0))</f>
        <v>-1</v>
      </c>
      <c r="EC82" s="45">
        <f>IF(COUNTIF(DM155:DO157,0)=8,SUM(DM155:DO157),IF(C82="x",-1,0))</f>
        <v>-1</v>
      </c>
      <c r="ED82" s="47">
        <f>IF(COUNTIF(DP155:DR157,0)=8,SUM(DP155:DR157),IF(D82="x",-1,0))</f>
        <v>-1</v>
      </c>
      <c r="EE82" s="46">
        <f>IF(COUNTIF(DS155:DU157,0)=8,SUM(DS155:DU157),IF(E82="x",-1,0))</f>
        <v>-1</v>
      </c>
      <c r="EF82" s="45">
        <f>IF(COUNTIF(DV155:DX157,0)=8,SUM(DV155:DX157),IF(F82="x",-1,0))</f>
        <v>-1</v>
      </c>
      <c r="EG82" s="47">
        <f>IF(COUNTIF(DY155:EA157,0)=8,SUM(DY155:EA157),IF(G82="x",-1,0))</f>
        <v>-1</v>
      </c>
      <c r="EH82" s="46">
        <f>IF(COUNTIF(EB155:ED157,0)=8,SUM(EB155:ED157),IF(H82="x",-1,0))</f>
        <v>-1</v>
      </c>
      <c r="EI82" s="45">
        <f>IF(COUNTIF(EE155:EG157,0)=8,SUM(EE155:EG157),IF(I82="x",-1,0))</f>
        <v>-1</v>
      </c>
      <c r="EJ82" s="48">
        <f>IF(COUNTIF(EH155:EJ157,0)=8,SUM(EH155:EJ157),IF(J82="x",-1,0))</f>
        <v>-1</v>
      </c>
      <c r="EK82" s="44">
        <f>IF(COUNTIF(EK155:EM157,0)=8,SUM(EK155:EM157),IF(K82="x",-1,0))</f>
        <v>-1</v>
      </c>
      <c r="EL82" s="45">
        <f>IF(COUNTIF(EN155:EP157,0)=8,SUM(EN155:EP157),IF(L82="x",-1,0))</f>
        <v>-1</v>
      </c>
      <c r="EM82" s="47">
        <f>IF(COUNTIF(EQ155:ES157,0)=8,SUM(EQ155:ES157),IF(M82="x",-1,0))</f>
        <v>-1</v>
      </c>
      <c r="EN82" s="46">
        <f>IF(COUNTIF(ET155:EV157,0)=8,SUM(ET155:EV157),IF(N82="x",-1,0))</f>
        <v>-1</v>
      </c>
      <c r="EO82" s="45">
        <f>IF(COUNTIF(EW155:EY157,0)=8,SUM(EW155:EY157),IF(O82="x",-1,0))</f>
        <v>-1</v>
      </c>
      <c r="EP82" s="47">
        <f>IF(COUNTIF(EZ155:FB157,0)=8,SUM(EZ155:FB157),IF(P82="x",-1,0))</f>
        <v>-1</v>
      </c>
      <c r="EQ82" s="46">
        <f>IF(COUNTIF(FC155:FE157,0)=8,SUM(FC155:FE157),IF(Q82="x",-1,0))</f>
        <v>-1</v>
      </c>
      <c r="ER82" s="45">
        <f>IF(COUNTIF(FF155:FH157,0)=8,SUM(FF155:FH157),IF(R82="x",-1,0))</f>
        <v>-1</v>
      </c>
      <c r="ES82" s="48">
        <f>IF(COUNTIF(FI155:FK157,0)=8,SUM(FI155:FK157),IF(S82="x",-1,0))</f>
        <v>-1</v>
      </c>
      <c r="ET82" s="44">
        <f>IF(COUNTIF(FL155:FN157,0)=8,SUM(FL155:FN157),IF(T82="x",-1,0))</f>
        <v>-1</v>
      </c>
      <c r="EU82" s="45">
        <f>IF(COUNTIF(FO155:FQ157,0)=8,SUM(FO155:FQ157),IF(U82="x",-1,0))</f>
        <v>-1</v>
      </c>
      <c r="EV82" s="47">
        <f>IF(COUNTIF(FR155:FT157,0)=8,SUM(FR155:FT157),IF(V82="x",-1,0))</f>
        <v>-1</v>
      </c>
      <c r="EW82" s="46">
        <f>IF(COUNTIF(FU155:FW157,0)=8,SUM(FU155:FW157),IF(W82="x",-1,0))</f>
        <v>-1</v>
      </c>
      <c r="EX82" s="45">
        <f>IF(COUNTIF(FX155:FZ157,0)=8,SUM(FX155:FZ157),IF(X82="x",-1,0))</f>
        <v>-1</v>
      </c>
      <c r="EY82" s="47">
        <f>IF(COUNTIF(GA155:GC157,0)=8,SUM(GA155:GC157),IF(Y82="x",-1,0))</f>
        <v>-1</v>
      </c>
      <c r="EZ82" s="46">
        <f>IF(COUNTIF(GD155:GF157,0)=8,SUM(GD155:GF157),IF(Z82="x",-1,0))</f>
        <v>-1</v>
      </c>
      <c r="FA82" s="45">
        <f>IF(COUNTIF(GG155:GI157,0)=8,SUM(GG155:GI157),IF(AA82="x",-1,0))</f>
        <v>-1</v>
      </c>
      <c r="FB82" s="48">
        <f>IF(COUNTIF(GJ155:GL157,0)=8,SUM(GJ155:GL157),IF(AB82="x",-1,0))</f>
        <v>0</v>
      </c>
      <c r="FF82" s="44">
        <f>IF(EB82=-1,-1,MAX(DJ338:DL340))</f>
        <v>-1</v>
      </c>
      <c r="FG82" s="45">
        <f>IF(EC82=-1,-1,MAX(DM338:DO340))</f>
        <v>-1</v>
      </c>
      <c r="FH82" s="47">
        <f>IF(ED82=-1,-1,MAX(DP338:DR340))</f>
        <v>-1</v>
      </c>
      <c r="FI82" s="46">
        <f>IF(EE82=-1,-1,MAX(DS338:DU340))</f>
        <v>-1</v>
      </c>
      <c r="FJ82" s="45">
        <f>IF(EF82=-1,-1,MAX(DV338:DX340))</f>
        <v>-1</v>
      </c>
      <c r="FK82" s="47">
        <f>IF(EG82=-1,-1,MAX(DY338:EA340))</f>
        <v>-1</v>
      </c>
      <c r="FL82" s="46">
        <f>IF(EH82=-1,-1,MAX(EB338:ED340))</f>
        <v>-1</v>
      </c>
      <c r="FM82" s="45">
        <f>IF(EI82=-1,-1,MAX(EE338:EG340))</f>
        <v>-1</v>
      </c>
      <c r="FN82" s="48">
        <f>IF(EJ82=-1,-1,MAX(EH338:EJ340))</f>
        <v>-1</v>
      </c>
      <c r="FO82" s="44">
        <f>IF(EK82=-1,-1,MAX(EK338:EM340))</f>
        <v>-1</v>
      </c>
      <c r="FP82" s="45">
        <f>IF(EL82=-1,-1,MAX(EN338:EP340))</f>
        <v>-1</v>
      </c>
      <c r="FQ82" s="47">
        <f>IF(EM82=-1,-1,MAX(EQ338:ES340))</f>
        <v>-1</v>
      </c>
      <c r="FR82" s="46">
        <f>IF(EN82=-1,-1,MAX(ET338:EV340))</f>
        <v>-1</v>
      </c>
      <c r="FS82" s="45">
        <f>IF(EO82=-1,-1,MAX(EW338:EY340))</f>
        <v>-1</v>
      </c>
      <c r="FT82" s="47">
        <f>IF(EP82=-1,-1,MAX(EZ338:FB340))</f>
        <v>-1</v>
      </c>
      <c r="FU82" s="46">
        <f>IF(EQ82=-1,-1,MAX(FC338:FE340))</f>
        <v>-1</v>
      </c>
      <c r="FV82" s="45">
        <f>IF(ER82=-1,-1,MAX(FF338:FH340))</f>
        <v>-1</v>
      </c>
      <c r="FW82" s="48">
        <f>IF(ES82=-1,-1,MAX(FI338:FK340))</f>
        <v>-1</v>
      </c>
      <c r="FX82" s="44">
        <f>IF(ET82=-1,-1,MAX(FL338:FN340))</f>
        <v>-1</v>
      </c>
      <c r="FY82" s="45">
        <f>IF(EU82=-1,-1,MAX(FO338:FQ340))</f>
        <v>-1</v>
      </c>
      <c r="FZ82" s="47">
        <f>IF(EV82=-1,-1,MAX(FR338:FT340))</f>
        <v>-1</v>
      </c>
      <c r="GA82" s="46">
        <f>IF(EW82=-1,-1,MAX(FU338:FW340))</f>
        <v>-1</v>
      </c>
      <c r="GB82" s="45">
        <f>IF(EX82=-1,-1,MAX(FX338:FZ340))</f>
        <v>-1</v>
      </c>
      <c r="GC82" s="47">
        <f>IF(EY82=-1,-1,MAX(GA338:GC340))</f>
        <v>-1</v>
      </c>
      <c r="GD82" s="46">
        <f>IF(EZ82=-1,-1,MAX(GD338:GF340))</f>
        <v>-1</v>
      </c>
      <c r="GE82" s="45">
        <f>IF(FA82=-1,-1,MAX(GG338:GI340))</f>
        <v>-1</v>
      </c>
      <c r="GF82" s="48">
        <f>IF(FB82=-1,-1,MAX(GJ338:GL340))</f>
        <v>0</v>
      </c>
    </row>
    <row r="83" spans="2:188" ht="15" customHeight="1">
      <c r="B83" s="49" t="str">
        <f t="shared" ref="B83:AB83" si="62">B50</f>
        <v>x</v>
      </c>
      <c r="C83" s="50" t="str">
        <f t="shared" si="62"/>
        <v>x</v>
      </c>
      <c r="D83" s="51" t="str">
        <f t="shared" si="62"/>
        <v>x</v>
      </c>
      <c r="E83" s="52" t="str">
        <f t="shared" si="62"/>
        <v>x</v>
      </c>
      <c r="F83" s="50" t="str">
        <f t="shared" si="62"/>
        <v>x</v>
      </c>
      <c r="G83" s="51" t="str">
        <f t="shared" si="62"/>
        <v>x</v>
      </c>
      <c r="H83" s="52" t="str">
        <f t="shared" si="62"/>
        <v>x</v>
      </c>
      <c r="I83" s="50" t="str">
        <f t="shared" si="62"/>
        <v>x</v>
      </c>
      <c r="J83" s="53" t="str">
        <f t="shared" si="62"/>
        <v>x</v>
      </c>
      <c r="K83" s="49" t="str">
        <f t="shared" si="62"/>
        <v>x</v>
      </c>
      <c r="L83" s="50" t="str">
        <f t="shared" si="62"/>
        <v>x</v>
      </c>
      <c r="M83" s="51" t="str">
        <f t="shared" si="62"/>
        <v>x</v>
      </c>
      <c r="N83" s="52" t="str">
        <f t="shared" si="62"/>
        <v>x</v>
      </c>
      <c r="O83" s="50" t="str">
        <f t="shared" si="62"/>
        <v>x</v>
      </c>
      <c r="P83" s="51" t="str">
        <f t="shared" si="62"/>
        <v>x</v>
      </c>
      <c r="Q83" s="52" t="str">
        <f t="shared" si="62"/>
        <v>x</v>
      </c>
      <c r="R83" s="50" t="str">
        <f t="shared" si="62"/>
        <v>x</v>
      </c>
      <c r="S83" s="53" t="str">
        <f t="shared" si="62"/>
        <v>x</v>
      </c>
      <c r="T83" s="49" t="str">
        <f t="shared" si="62"/>
        <v>x</v>
      </c>
      <c r="U83" s="50" t="str">
        <f t="shared" si="62"/>
        <v>x</v>
      </c>
      <c r="V83" s="51" t="str">
        <f t="shared" si="62"/>
        <v>x</v>
      </c>
      <c r="W83" s="52" t="str">
        <f t="shared" si="62"/>
        <v>x</v>
      </c>
      <c r="X83" s="50" t="str">
        <f t="shared" si="62"/>
        <v>x</v>
      </c>
      <c r="Y83" s="51" t="str">
        <f t="shared" si="62"/>
        <v>x</v>
      </c>
      <c r="Z83" s="52" t="str">
        <f t="shared" si="62"/>
        <v>x</v>
      </c>
      <c r="AA83" s="50" t="str">
        <f t="shared" si="62"/>
        <v>x</v>
      </c>
      <c r="AB83" s="53">
        <f t="shared" si="62"/>
        <v>7</v>
      </c>
      <c r="AC83" s="69">
        <f t="shared" si="4"/>
        <v>4</v>
      </c>
      <c r="AD83" s="70">
        <f t="shared" si="5"/>
        <v>8</v>
      </c>
      <c r="AE83" s="70">
        <f t="shared" si="6"/>
        <v>3</v>
      </c>
      <c r="AF83" s="70" t="str">
        <f t="shared" si="7"/>
        <v>x</v>
      </c>
      <c r="AG83" s="70" t="str">
        <f t="shared" si="8"/>
        <v>x</v>
      </c>
      <c r="AH83" s="70" t="str">
        <f t="shared" si="9"/>
        <v>x</v>
      </c>
      <c r="AI83" s="70" t="str">
        <f t="shared" si="10"/>
        <v>x</v>
      </c>
      <c r="AJ83" s="70" t="str">
        <f t="shared" si="11"/>
        <v>x</v>
      </c>
      <c r="AK83" s="71" t="str">
        <f t="shared" si="12"/>
        <v>x</v>
      </c>
      <c r="AL83" s="69" t="str">
        <f t="shared" si="13"/>
        <v>x</v>
      </c>
      <c r="AM83" s="70" t="str">
        <f t="shared" si="14"/>
        <v>x</v>
      </c>
      <c r="AN83" s="70" t="str">
        <f t="shared" si="15"/>
        <v>x</v>
      </c>
      <c r="AO83" s="70" t="str">
        <f t="shared" si="16"/>
        <v>x</v>
      </c>
      <c r="AP83" s="70" t="str">
        <f t="shared" si="17"/>
        <v>x</v>
      </c>
      <c r="AQ83" s="70" t="str">
        <f t="shared" si="18"/>
        <v>x</v>
      </c>
      <c r="AR83" s="70" t="str">
        <f t="shared" si="19"/>
        <v>x</v>
      </c>
      <c r="AS83" s="70" t="str">
        <f t="shared" si="20"/>
        <v>x</v>
      </c>
      <c r="AT83" s="71" t="str">
        <f t="shared" si="21"/>
        <v>x</v>
      </c>
      <c r="AU83" s="69" t="str">
        <f t="shared" si="22"/>
        <v>x</v>
      </c>
      <c r="AV83" s="70" t="str">
        <f t="shared" si="23"/>
        <v>x</v>
      </c>
      <c r="AW83" s="70" t="str">
        <f t="shared" si="24"/>
        <v>x</v>
      </c>
      <c r="AX83" s="70" t="str">
        <f t="shared" si="25"/>
        <v>x</v>
      </c>
      <c r="AY83" s="70" t="str">
        <f t="shared" si="26"/>
        <v>x</v>
      </c>
      <c r="AZ83" s="70" t="str">
        <f t="shared" si="27"/>
        <v>x</v>
      </c>
      <c r="BA83" s="70">
        <f t="shared" si="28"/>
        <v>1</v>
      </c>
      <c r="BB83" s="70" t="str">
        <f t="shared" si="29"/>
        <v>x</v>
      </c>
      <c r="BC83" s="71" t="str">
        <f t="shared" si="30"/>
        <v>x</v>
      </c>
      <c r="BD83" s="72" t="str">
        <f t="shared" si="31"/>
        <v>x</v>
      </c>
      <c r="BE83" s="73" t="str">
        <f t="shared" si="32"/>
        <v>x</v>
      </c>
      <c r="BF83" s="73" t="str">
        <f t="shared" si="33"/>
        <v>x</v>
      </c>
      <c r="BG83" s="73" t="str">
        <f t="shared" si="34"/>
        <v>x</v>
      </c>
      <c r="BH83" s="73" t="str">
        <f t="shared" si="35"/>
        <v>x</v>
      </c>
      <c r="BI83" s="73">
        <f t="shared" si="36"/>
        <v>9</v>
      </c>
      <c r="BJ83" s="73" t="str">
        <f t="shared" si="37"/>
        <v>x</v>
      </c>
      <c r="BK83" s="73" t="str">
        <f t="shared" si="38"/>
        <v>x</v>
      </c>
      <c r="BL83" s="74" t="str">
        <f t="shared" si="39"/>
        <v>x</v>
      </c>
      <c r="BM83" s="72" t="str">
        <f t="shared" si="40"/>
        <v>x</v>
      </c>
      <c r="BN83" s="73" t="str">
        <f t="shared" si="41"/>
        <v>x</v>
      </c>
      <c r="BO83" s="73" t="str">
        <f t="shared" si="42"/>
        <v>x</v>
      </c>
      <c r="BP83" s="73">
        <f t="shared" si="43"/>
        <v>5</v>
      </c>
      <c r="BQ83" s="73">
        <f t="shared" si="44"/>
        <v>2</v>
      </c>
      <c r="BR83" s="73" t="str">
        <f t="shared" si="45"/>
        <v>x</v>
      </c>
      <c r="BS83" s="73" t="str">
        <f t="shared" si="46"/>
        <v>x</v>
      </c>
      <c r="BT83" s="73">
        <f t="shared" si="47"/>
        <v>6</v>
      </c>
      <c r="BU83" s="74" t="str">
        <f t="shared" si="48"/>
        <v>x</v>
      </c>
      <c r="BV83" s="72" t="str">
        <f t="shared" si="49"/>
        <v>x</v>
      </c>
      <c r="BW83" s="73" t="str">
        <f t="shared" si="50"/>
        <v>x</v>
      </c>
      <c r="BX83" s="73" t="str">
        <f t="shared" si="51"/>
        <v>x</v>
      </c>
      <c r="BY83" s="73" t="str">
        <f t="shared" si="52"/>
        <v>x</v>
      </c>
      <c r="BZ83" s="73" t="str">
        <f t="shared" si="53"/>
        <v>x</v>
      </c>
      <c r="CA83" s="73" t="str">
        <f t="shared" si="54"/>
        <v>x</v>
      </c>
      <c r="CB83" s="73" t="str">
        <f t="shared" si="55"/>
        <v>x</v>
      </c>
      <c r="CC83" s="73" t="str">
        <f t="shared" si="56"/>
        <v>x</v>
      </c>
      <c r="CD83" s="74" t="str">
        <f t="shared" si="57"/>
        <v>x</v>
      </c>
      <c r="CH83" s="59" t="s">
        <v>41</v>
      </c>
      <c r="CI83" s="61"/>
      <c r="CJ83" s="61"/>
      <c r="CK83" s="61">
        <f>COUNTIF(Zeile7,1)</f>
        <v>1</v>
      </c>
      <c r="CL83" s="61">
        <f>COUNTIF(Zeile7,2)</f>
        <v>1</v>
      </c>
      <c r="CM83" s="61">
        <f>COUNTIF(Zeile7,3)</f>
        <v>1</v>
      </c>
      <c r="CN83" s="61">
        <f>COUNTIF(Zeile7,4)</f>
        <v>1</v>
      </c>
      <c r="CO83" s="61">
        <f>COUNTIF(Zeile7,5)</f>
        <v>1</v>
      </c>
      <c r="CP83" s="61">
        <f>COUNTIF(Zeile7,6)</f>
        <v>1</v>
      </c>
      <c r="CQ83" s="61">
        <f>COUNTIF(Zeile7,7)</f>
        <v>1</v>
      </c>
      <c r="CR83" s="61">
        <f>COUNTIF(Zeile7,8)</f>
        <v>1</v>
      </c>
      <c r="CS83" s="61">
        <f>COUNTIF(Zeile7,9)</f>
        <v>1</v>
      </c>
      <c r="CT83" s="61"/>
      <c r="CU83" s="61"/>
      <c r="CV83" s="61"/>
      <c r="CW83" s="61"/>
      <c r="CX83" s="61"/>
      <c r="EB83" s="49">
        <f>IF(COUNTIF(DJ158:DL160,0)=8,SUM(DJ158:DL160),IF(B83="x",-1,0))</f>
        <v>-1</v>
      </c>
      <c r="EC83" s="50">
        <f>IF(COUNTIF(DM158:DO160,0)=8,SUM(DM158:DO160),IF(C83="x",-1,0))</f>
        <v>-1</v>
      </c>
      <c r="ED83" s="51">
        <f>IF(COUNTIF(DP158:DR160,0)=8,SUM(DP158:DR160),IF(D83="x",-1,0))</f>
        <v>-1</v>
      </c>
      <c r="EE83" s="52">
        <f>IF(COUNTIF(DS158:DU160,0)=8,SUM(DS158:DU160),IF(E83="x",-1,0))</f>
        <v>-1</v>
      </c>
      <c r="EF83" s="50">
        <f>IF(COUNTIF(DV158:DX160,0)=8,SUM(DV158:DX160),IF(F83="x",-1,0))</f>
        <v>-1</v>
      </c>
      <c r="EG83" s="51">
        <f>IF(COUNTIF(DY158:EA160,0)=8,SUM(DY158:EA160),IF(G83="x",-1,0))</f>
        <v>-1</v>
      </c>
      <c r="EH83" s="52">
        <f>IF(COUNTIF(EB158:ED160,0)=8,SUM(EB158:ED160),IF(H83="x",-1,0))</f>
        <v>-1</v>
      </c>
      <c r="EI83" s="50">
        <f>IF(COUNTIF(EE158:EG160,0)=8,SUM(EE158:EG160),IF(I83="x",-1,0))</f>
        <v>-1</v>
      </c>
      <c r="EJ83" s="53">
        <f>IF(COUNTIF(EH158:EJ160,0)=8,SUM(EH158:EJ160),IF(J83="x",-1,0))</f>
        <v>-1</v>
      </c>
      <c r="EK83" s="49">
        <f>IF(COUNTIF(EK158:EM160,0)=8,SUM(EK158:EM160),IF(K83="x",-1,0))</f>
        <v>-1</v>
      </c>
      <c r="EL83" s="50">
        <f>IF(COUNTIF(EN158:EP160,0)=8,SUM(EN158:EP160),IF(L83="x",-1,0))</f>
        <v>-1</v>
      </c>
      <c r="EM83" s="51">
        <f>IF(COUNTIF(EQ158:ES160,0)=8,SUM(EQ158:ES160),IF(M83="x",-1,0))</f>
        <v>-1</v>
      </c>
      <c r="EN83" s="52">
        <f>IF(COUNTIF(ET158:EV160,0)=8,SUM(ET158:EV160),IF(N83="x",-1,0))</f>
        <v>-1</v>
      </c>
      <c r="EO83" s="50">
        <f>IF(COUNTIF(EW158:EY160,0)=8,SUM(EW158:EY160),IF(O83="x",-1,0))</f>
        <v>-1</v>
      </c>
      <c r="EP83" s="51">
        <f>IF(COUNTIF(EZ158:FB160,0)=8,SUM(EZ158:FB160),IF(P83="x",-1,0))</f>
        <v>-1</v>
      </c>
      <c r="EQ83" s="52">
        <f>IF(COUNTIF(FC158:FE160,0)=8,SUM(FC158:FE160),IF(Q83="x",-1,0))</f>
        <v>-1</v>
      </c>
      <c r="ER83" s="50">
        <f>IF(COUNTIF(FF158:FH160,0)=8,SUM(FF158:FH160),IF(R83="x",-1,0))</f>
        <v>-1</v>
      </c>
      <c r="ES83" s="53">
        <f>IF(COUNTIF(FI158:FK160,0)=8,SUM(FI158:FK160),IF(S83="x",-1,0))</f>
        <v>-1</v>
      </c>
      <c r="ET83" s="49">
        <f>IF(COUNTIF(FL158:FN160,0)=8,SUM(FL158:FN160),IF(T83="x",-1,0))</f>
        <v>-1</v>
      </c>
      <c r="EU83" s="50">
        <f>IF(COUNTIF(FO158:FQ160,0)=8,SUM(FO158:FQ160),IF(U83="x",-1,0))</f>
        <v>-1</v>
      </c>
      <c r="EV83" s="51">
        <f>IF(COUNTIF(FR158:FT160,0)=8,SUM(FR158:FT160),IF(V83="x",-1,0))</f>
        <v>-1</v>
      </c>
      <c r="EW83" s="52">
        <f>IF(COUNTIF(FU158:FW160,0)=8,SUM(FU158:FW160),IF(W83="x",-1,0))</f>
        <v>-1</v>
      </c>
      <c r="EX83" s="50">
        <f>IF(COUNTIF(FX158:FZ160,0)=8,SUM(FX158:FZ160),IF(X83="x",-1,0))</f>
        <v>-1</v>
      </c>
      <c r="EY83" s="51">
        <f>IF(COUNTIF(GA158:GC160,0)=8,SUM(GA158:GC160),IF(Y83="x",-1,0))</f>
        <v>-1</v>
      </c>
      <c r="EZ83" s="52">
        <f>IF(COUNTIF(GD158:GF160,0)=8,SUM(GD158:GF160),IF(Z83="x",-1,0))</f>
        <v>-1</v>
      </c>
      <c r="FA83" s="50">
        <f>IF(COUNTIF(GG158:GI160,0)=8,SUM(GG158:GI160),IF(AA83="x",-1,0))</f>
        <v>-1</v>
      </c>
      <c r="FB83" s="53">
        <f>IF(COUNTIF(GJ158:GL160,0)=8,SUM(GJ158:GL160),IF(AB83="x",-1,0))</f>
        <v>0</v>
      </c>
      <c r="FF83" s="49">
        <f>IF(EB83=-1,-1,MAX(DJ341:DL343))</f>
        <v>-1</v>
      </c>
      <c r="FG83" s="50">
        <f>IF(EC83=-1,-1,MAX(DM341:DO343))</f>
        <v>-1</v>
      </c>
      <c r="FH83" s="51">
        <f>IF(ED83=-1,-1,MAX(DP341:DR343))</f>
        <v>-1</v>
      </c>
      <c r="FI83" s="52">
        <f>IF(EE83=-1,-1,MAX(DS341:DU343))</f>
        <v>-1</v>
      </c>
      <c r="FJ83" s="50">
        <f>IF(EF83=-1,-1,MAX(DV341:DX343))</f>
        <v>-1</v>
      </c>
      <c r="FK83" s="51">
        <f>IF(EG83=-1,-1,MAX(DY341:EA343))</f>
        <v>-1</v>
      </c>
      <c r="FL83" s="52">
        <f>IF(EH83=-1,-1,MAX(EB341:ED343))</f>
        <v>-1</v>
      </c>
      <c r="FM83" s="50">
        <f>IF(EI83=-1,-1,MAX(EE341:EG343))</f>
        <v>-1</v>
      </c>
      <c r="FN83" s="53">
        <f>IF(EJ83=-1,-1,MAX(EH341:EJ343))</f>
        <v>-1</v>
      </c>
      <c r="FO83" s="49">
        <f>IF(EK83=-1,-1,MAX(EK341:EM343))</f>
        <v>-1</v>
      </c>
      <c r="FP83" s="50">
        <f>IF(EL83=-1,-1,MAX(EN341:EP343))</f>
        <v>-1</v>
      </c>
      <c r="FQ83" s="51">
        <f>IF(EM83=-1,-1,MAX(EQ341:ES343))</f>
        <v>-1</v>
      </c>
      <c r="FR83" s="52">
        <f>IF(EN83=-1,-1,MAX(ET341:EV343))</f>
        <v>-1</v>
      </c>
      <c r="FS83" s="50">
        <f>IF(EO83=-1,-1,MAX(EW341:EY343))</f>
        <v>-1</v>
      </c>
      <c r="FT83" s="51">
        <f>IF(EP83=-1,-1,MAX(EZ341:FB343))</f>
        <v>-1</v>
      </c>
      <c r="FU83" s="52">
        <f>IF(EQ83=-1,-1,MAX(FC341:FE343))</f>
        <v>-1</v>
      </c>
      <c r="FV83" s="50">
        <f>IF(ER83=-1,-1,MAX(FF341:FH343))</f>
        <v>-1</v>
      </c>
      <c r="FW83" s="53">
        <f>IF(ES83=-1,-1,MAX(FI341:FK343))</f>
        <v>-1</v>
      </c>
      <c r="FX83" s="49">
        <f>IF(ET83=-1,-1,MAX(FL341:FN343))</f>
        <v>-1</v>
      </c>
      <c r="FY83" s="50">
        <f>IF(EU83=-1,-1,MAX(FO341:FQ343))</f>
        <v>-1</v>
      </c>
      <c r="FZ83" s="51">
        <f>IF(EV83=-1,-1,MAX(FR341:FT343))</f>
        <v>-1</v>
      </c>
      <c r="GA83" s="52">
        <f>IF(EW83=-1,-1,MAX(FU341:FW343))</f>
        <v>-1</v>
      </c>
      <c r="GB83" s="50">
        <f>IF(EX83=-1,-1,MAX(FX341:FZ343))</f>
        <v>-1</v>
      </c>
      <c r="GC83" s="51">
        <f>IF(EY83=-1,-1,MAX(GA341:GC343))</f>
        <v>-1</v>
      </c>
      <c r="GD83" s="52">
        <f>IF(EZ83=-1,-1,MAX(GD341:GF343))</f>
        <v>-1</v>
      </c>
      <c r="GE83" s="50">
        <f>IF(FA83=-1,-1,MAX(GG341:GI343))</f>
        <v>-1</v>
      </c>
      <c r="GF83" s="53">
        <f>IF(FB83=-1,-1,MAX(GJ341:GL343))</f>
        <v>0</v>
      </c>
    </row>
    <row r="84" spans="2:188" ht="15" customHeight="1">
      <c r="B84" s="43" t="str">
        <f t="shared" ref="B84:AB84" si="63">B51</f>
        <v>x</v>
      </c>
      <c r="C84" s="39" t="str">
        <f t="shared" si="63"/>
        <v>x</v>
      </c>
      <c r="D84" s="41" t="str">
        <f t="shared" si="63"/>
        <v>x</v>
      </c>
      <c r="E84" s="40" t="str">
        <f t="shared" si="63"/>
        <v>x</v>
      </c>
      <c r="F84" s="39" t="str">
        <f t="shared" si="63"/>
        <v>x</v>
      </c>
      <c r="G84" s="41" t="str">
        <f t="shared" si="63"/>
        <v>x</v>
      </c>
      <c r="H84" s="40" t="str">
        <f t="shared" si="63"/>
        <v>x</v>
      </c>
      <c r="I84" s="39" t="str">
        <f t="shared" si="63"/>
        <v>x</v>
      </c>
      <c r="J84" s="42" t="str">
        <f t="shared" si="63"/>
        <v>x</v>
      </c>
      <c r="K84" s="43" t="str">
        <f t="shared" si="63"/>
        <v>x</v>
      </c>
      <c r="L84" s="39" t="str">
        <f t="shared" si="63"/>
        <v>x</v>
      </c>
      <c r="M84" s="41" t="str">
        <f t="shared" si="63"/>
        <v>x</v>
      </c>
      <c r="N84" s="40" t="str">
        <f t="shared" si="63"/>
        <v>x</v>
      </c>
      <c r="O84" s="39" t="str">
        <f t="shared" si="63"/>
        <v>x</v>
      </c>
      <c r="P84" s="41" t="str">
        <f t="shared" si="63"/>
        <v>x</v>
      </c>
      <c r="Q84" s="40" t="str">
        <f t="shared" si="63"/>
        <v>x</v>
      </c>
      <c r="R84" s="39" t="str">
        <f t="shared" si="63"/>
        <v>x</v>
      </c>
      <c r="S84" s="42" t="str">
        <f t="shared" si="63"/>
        <v>x</v>
      </c>
      <c r="T84" s="43" t="str">
        <f t="shared" si="63"/>
        <v>x</v>
      </c>
      <c r="U84" s="39" t="str">
        <f t="shared" si="63"/>
        <v>x</v>
      </c>
      <c r="V84" s="41" t="str">
        <f t="shared" si="63"/>
        <v>x</v>
      </c>
      <c r="W84" s="40" t="str">
        <f t="shared" si="63"/>
        <v>x</v>
      </c>
      <c r="X84" s="39" t="str">
        <f t="shared" si="63"/>
        <v>x</v>
      </c>
      <c r="Y84" s="41" t="str">
        <f t="shared" si="63"/>
        <v>x</v>
      </c>
      <c r="Z84" s="40" t="str">
        <f t="shared" si="63"/>
        <v>x</v>
      </c>
      <c r="AA84" s="39" t="str">
        <f t="shared" si="63"/>
        <v>x</v>
      </c>
      <c r="AB84" s="42" t="str">
        <f t="shared" si="63"/>
        <v>x</v>
      </c>
      <c r="AC84" s="69" t="str">
        <f t="shared" si="4"/>
        <v>x</v>
      </c>
      <c r="AD84" s="70" t="str">
        <f t="shared" si="5"/>
        <v>x</v>
      </c>
      <c r="AE84" s="70">
        <f t="shared" si="6"/>
        <v>9</v>
      </c>
      <c r="AF84" s="70" t="str">
        <f t="shared" si="7"/>
        <v>x</v>
      </c>
      <c r="AG84" s="70" t="str">
        <f t="shared" si="8"/>
        <v>x</v>
      </c>
      <c r="AH84" s="70" t="str">
        <f t="shared" si="9"/>
        <v>x</v>
      </c>
      <c r="AI84" s="70" t="str">
        <f t="shared" si="10"/>
        <v>x</v>
      </c>
      <c r="AJ84" s="70" t="str">
        <f t="shared" si="11"/>
        <v>x</v>
      </c>
      <c r="AK84" s="71" t="str">
        <f t="shared" si="12"/>
        <v>x</v>
      </c>
      <c r="AL84" s="69" t="str">
        <f t="shared" si="13"/>
        <v>x</v>
      </c>
      <c r="AM84" s="70" t="str">
        <f t="shared" si="14"/>
        <v>x</v>
      </c>
      <c r="AN84" s="70" t="str">
        <f t="shared" si="15"/>
        <v>x</v>
      </c>
      <c r="AO84" s="70" t="str">
        <f t="shared" si="16"/>
        <v>x</v>
      </c>
      <c r="AP84" s="70" t="str">
        <f t="shared" si="17"/>
        <v>x</v>
      </c>
      <c r="AQ84" s="70" t="str">
        <f t="shared" si="18"/>
        <v>x</v>
      </c>
      <c r="AR84" s="70" t="str">
        <f t="shared" si="19"/>
        <v>x</v>
      </c>
      <c r="AS84" s="70" t="str">
        <f t="shared" si="20"/>
        <v>x</v>
      </c>
      <c r="AT84" s="71" t="str">
        <f t="shared" si="21"/>
        <v>x</v>
      </c>
      <c r="AU84" s="69" t="str">
        <f t="shared" si="22"/>
        <v>x</v>
      </c>
      <c r="AV84" s="70" t="str">
        <f t="shared" si="23"/>
        <v>x</v>
      </c>
      <c r="AW84" s="70" t="str">
        <f t="shared" si="24"/>
        <v>x</v>
      </c>
      <c r="AX84" s="70" t="str">
        <f t="shared" si="25"/>
        <v>x</v>
      </c>
      <c r="AY84" s="70" t="str">
        <f t="shared" si="26"/>
        <v>x</v>
      </c>
      <c r="AZ84" s="70" t="str">
        <f t="shared" si="27"/>
        <v>x</v>
      </c>
      <c r="BA84" s="70" t="str">
        <f t="shared" si="28"/>
        <v>x</v>
      </c>
      <c r="BB84" s="70" t="str">
        <f t="shared" si="29"/>
        <v>x</v>
      </c>
      <c r="BC84" s="71" t="str">
        <f t="shared" si="30"/>
        <v>x</v>
      </c>
      <c r="BD84" s="72">
        <f t="shared" si="31"/>
        <v>5</v>
      </c>
      <c r="BE84" s="73">
        <f t="shared" si="32"/>
        <v>6</v>
      </c>
      <c r="BF84" s="73" t="str">
        <f t="shared" si="33"/>
        <v>x</v>
      </c>
      <c r="BG84" s="73">
        <f t="shared" si="34"/>
        <v>8</v>
      </c>
      <c r="BH84" s="73">
        <f t="shared" si="35"/>
        <v>7</v>
      </c>
      <c r="BI84" s="73" t="str">
        <f t="shared" si="36"/>
        <v>x</v>
      </c>
      <c r="BJ84" s="73" t="str">
        <f t="shared" si="37"/>
        <v>x</v>
      </c>
      <c r="BK84" s="73" t="str">
        <f t="shared" si="38"/>
        <v>x</v>
      </c>
      <c r="BL84" s="74" t="str">
        <f t="shared" si="39"/>
        <v>x</v>
      </c>
      <c r="BM84" s="72" t="str">
        <f t="shared" si="40"/>
        <v>x</v>
      </c>
      <c r="BN84" s="73" t="str">
        <f t="shared" si="41"/>
        <v>x</v>
      </c>
      <c r="BO84" s="73" t="str">
        <f t="shared" si="42"/>
        <v>x</v>
      </c>
      <c r="BP84" s="73" t="str">
        <f t="shared" si="43"/>
        <v>x</v>
      </c>
      <c r="BQ84" s="73" t="str">
        <f t="shared" si="44"/>
        <v>x</v>
      </c>
      <c r="BR84" s="73" t="str">
        <f t="shared" si="45"/>
        <v>x</v>
      </c>
      <c r="BS84" s="73" t="str">
        <f t="shared" si="46"/>
        <v>x</v>
      </c>
      <c r="BT84" s="73" t="str">
        <f t="shared" si="47"/>
        <v>x</v>
      </c>
      <c r="BU84" s="74" t="str">
        <f t="shared" si="48"/>
        <v>x</v>
      </c>
      <c r="BV84" s="72" t="str">
        <f t="shared" si="49"/>
        <v>x</v>
      </c>
      <c r="BW84" s="73" t="str">
        <f t="shared" si="50"/>
        <v>x</v>
      </c>
      <c r="BX84" s="73" t="str">
        <f t="shared" si="51"/>
        <v>x</v>
      </c>
      <c r="BY84" s="73" t="str">
        <f t="shared" si="52"/>
        <v>x</v>
      </c>
      <c r="BZ84" s="73" t="str">
        <f t="shared" si="53"/>
        <v>x</v>
      </c>
      <c r="CA84" s="73">
        <f t="shared" si="54"/>
        <v>3</v>
      </c>
      <c r="CB84" s="73">
        <f t="shared" si="55"/>
        <v>4</v>
      </c>
      <c r="CC84" s="73">
        <f t="shared" si="56"/>
        <v>1</v>
      </c>
      <c r="CD84" s="74">
        <f t="shared" si="57"/>
        <v>2</v>
      </c>
      <c r="CH84" s="59" t="s">
        <v>42</v>
      </c>
      <c r="CI84" s="61"/>
      <c r="CJ84" s="61"/>
      <c r="CK84" s="61">
        <f>COUNTIF(Zeile8,1)</f>
        <v>1</v>
      </c>
      <c r="CL84" s="61">
        <f>COUNTIF(Zeile8,2)</f>
        <v>1</v>
      </c>
      <c r="CM84" s="61">
        <f>COUNTIF(Zeile8,3)</f>
        <v>1</v>
      </c>
      <c r="CN84" s="61">
        <f>COUNTIF(Zeile8,4)</f>
        <v>1</v>
      </c>
      <c r="CO84" s="61">
        <f>COUNTIF(Zeile8,5)</f>
        <v>1</v>
      </c>
      <c r="CP84" s="61">
        <f>COUNTIF(Zeile8,6)</f>
        <v>1</v>
      </c>
      <c r="CQ84" s="61">
        <f>COUNTIF(Zeile8,7)</f>
        <v>1</v>
      </c>
      <c r="CR84" s="61">
        <f>COUNTIF(Zeile8,8)</f>
        <v>1</v>
      </c>
      <c r="CS84" s="61">
        <f>COUNTIF(Zeile8,9)</f>
        <v>1</v>
      </c>
      <c r="CT84" s="61"/>
      <c r="CU84" s="61"/>
      <c r="CV84" s="61"/>
      <c r="CW84" s="61"/>
      <c r="CX84" s="61"/>
      <c r="EB84" s="43">
        <f>IF(COUNTIF(DJ161:DL163,0)=8,SUM(DJ161:DL163),IF(B84="x",-1,0))</f>
        <v>-1</v>
      </c>
      <c r="EC84" s="39">
        <f>IF(COUNTIF(DM161:DO163,0)=8,SUM(DM161:DO163),IF(C84="x",-1,0))</f>
        <v>-1</v>
      </c>
      <c r="ED84" s="41">
        <f>IF(COUNTIF(DP161:DR163,0)=8,SUM(DP161:DR163),IF(D84="x",-1,0))</f>
        <v>-1</v>
      </c>
      <c r="EE84" s="40">
        <f>IF(COUNTIF(DS161:DU163,0)=8,SUM(DS161:DU163),IF(E84="x",-1,0))</f>
        <v>-1</v>
      </c>
      <c r="EF84" s="39">
        <f>IF(COUNTIF(DV161:DX163,0)=8,SUM(DV161:DX163),IF(F84="x",-1,0))</f>
        <v>-1</v>
      </c>
      <c r="EG84" s="41">
        <f>IF(COUNTIF(DY161:EA163,0)=8,SUM(DY161:EA163),IF(G84="x",-1,0))</f>
        <v>-1</v>
      </c>
      <c r="EH84" s="40">
        <f>IF(COUNTIF(EB161:ED163,0)=8,SUM(EB161:ED163),IF(H84="x",-1,0))</f>
        <v>-1</v>
      </c>
      <c r="EI84" s="39">
        <f>IF(COUNTIF(EE161:EG163,0)=8,SUM(EE161:EG163),IF(I84="x",-1,0))</f>
        <v>-1</v>
      </c>
      <c r="EJ84" s="42">
        <f>IF(COUNTIF(EH161:EJ163,0)=8,SUM(EH161:EJ163),IF(J84="x",-1,0))</f>
        <v>-1</v>
      </c>
      <c r="EK84" s="43">
        <f>IF(COUNTIF(EK161:EM163,0)=8,SUM(EK161:EM163),IF(K84="x",-1,0))</f>
        <v>-1</v>
      </c>
      <c r="EL84" s="39">
        <f>IF(COUNTIF(EN161:EP163,0)=8,SUM(EN161:EP163),IF(L84="x",-1,0))</f>
        <v>-1</v>
      </c>
      <c r="EM84" s="41">
        <f>IF(COUNTIF(EQ161:ES163,0)=8,SUM(EQ161:ES163),IF(M84="x",-1,0))</f>
        <v>-1</v>
      </c>
      <c r="EN84" s="40">
        <f>IF(COUNTIF(ET161:EV163,0)=8,SUM(ET161:EV163),IF(N84="x",-1,0))</f>
        <v>-1</v>
      </c>
      <c r="EO84" s="39">
        <f>IF(COUNTIF(EW161:EY163,0)=8,SUM(EW161:EY163),IF(O84="x",-1,0))</f>
        <v>-1</v>
      </c>
      <c r="EP84" s="41">
        <f>IF(COUNTIF(EZ161:FB163,0)=8,SUM(EZ161:FB163),IF(P84="x",-1,0))</f>
        <v>-1</v>
      </c>
      <c r="EQ84" s="40">
        <f>IF(COUNTIF(FC161:FE163,0)=8,SUM(FC161:FE163),IF(Q84="x",-1,0))</f>
        <v>-1</v>
      </c>
      <c r="ER84" s="39">
        <f>IF(COUNTIF(FF161:FH163,0)=8,SUM(FF161:FH163),IF(R84="x",-1,0))</f>
        <v>-1</v>
      </c>
      <c r="ES84" s="42">
        <f>IF(COUNTIF(FI161:FK163,0)=8,SUM(FI161:FK163),IF(S84="x",-1,0))</f>
        <v>-1</v>
      </c>
      <c r="ET84" s="43">
        <f>IF(COUNTIF(FL161:FN163,0)=8,SUM(FL161:FN163),IF(T84="x",-1,0))</f>
        <v>-1</v>
      </c>
      <c r="EU84" s="39">
        <f>IF(COUNTIF(FO161:FQ163,0)=8,SUM(FO161:FQ163),IF(U84="x",-1,0))</f>
        <v>-1</v>
      </c>
      <c r="EV84" s="41">
        <f>IF(COUNTIF(FR161:FT163,0)=8,SUM(FR161:FT163),IF(V84="x",-1,0))</f>
        <v>-1</v>
      </c>
      <c r="EW84" s="40">
        <f>IF(COUNTIF(FU161:FW163,0)=8,SUM(FU161:FW163),IF(W84="x",-1,0))</f>
        <v>-1</v>
      </c>
      <c r="EX84" s="39">
        <f>IF(COUNTIF(FX161:FZ163,0)=8,SUM(FX161:FZ163),IF(X84="x",-1,0))</f>
        <v>-1</v>
      </c>
      <c r="EY84" s="41">
        <f>IF(COUNTIF(GA161:GC163,0)=8,SUM(GA161:GC163),IF(Y84="x",-1,0))</f>
        <v>-1</v>
      </c>
      <c r="EZ84" s="40">
        <f>IF(COUNTIF(GD161:GF163,0)=8,SUM(GD161:GF163),IF(Z84="x",-1,0))</f>
        <v>-1</v>
      </c>
      <c r="FA84" s="39">
        <f>IF(COUNTIF(GG161:GI163,0)=8,SUM(GG161:GI163),IF(AA84="x",-1,0))</f>
        <v>-1</v>
      </c>
      <c r="FB84" s="42">
        <f>IF(COUNTIF(GJ161:GL163,0)=8,SUM(GJ161:GL163),IF(AB84="x",-1,0))</f>
        <v>-1</v>
      </c>
      <c r="FF84" s="43">
        <f>IF(EB84=-1,-1,MAX(DJ344:DL346))</f>
        <v>-1</v>
      </c>
      <c r="FG84" s="39">
        <f>IF(EC84=-1,-1,MAX(DM344:DO346))</f>
        <v>-1</v>
      </c>
      <c r="FH84" s="41">
        <f>IF(ED84=-1,-1,MAX(DP344:DR346))</f>
        <v>-1</v>
      </c>
      <c r="FI84" s="40">
        <f>IF(EE84=-1,-1,MAX(DS344:DU346))</f>
        <v>-1</v>
      </c>
      <c r="FJ84" s="39">
        <f>IF(EF84=-1,-1,MAX(DV344:DX346))</f>
        <v>-1</v>
      </c>
      <c r="FK84" s="41">
        <f>IF(EG84=-1,-1,MAX(DY344:EA346))</f>
        <v>-1</v>
      </c>
      <c r="FL84" s="40">
        <f>IF(EH84=-1,-1,MAX(EB344:ED346))</f>
        <v>-1</v>
      </c>
      <c r="FM84" s="39">
        <f>IF(EI84=-1,-1,MAX(EE344:EG346))</f>
        <v>-1</v>
      </c>
      <c r="FN84" s="42">
        <f>IF(EJ84=-1,-1,MAX(EH344:EJ346))</f>
        <v>-1</v>
      </c>
      <c r="FO84" s="43">
        <f>IF(EK84=-1,-1,MAX(EK344:EM346))</f>
        <v>-1</v>
      </c>
      <c r="FP84" s="39">
        <f>IF(EL84=-1,-1,MAX(EN344:EP346))</f>
        <v>-1</v>
      </c>
      <c r="FQ84" s="41">
        <f>IF(EM84=-1,-1,MAX(EQ344:ES346))</f>
        <v>-1</v>
      </c>
      <c r="FR84" s="40">
        <f>IF(EN84=-1,-1,MAX(ET344:EV346))</f>
        <v>-1</v>
      </c>
      <c r="FS84" s="39">
        <f>IF(EO84=-1,-1,MAX(EW344:EY346))</f>
        <v>-1</v>
      </c>
      <c r="FT84" s="41">
        <f>IF(EP84=-1,-1,MAX(EZ344:FB346))</f>
        <v>-1</v>
      </c>
      <c r="FU84" s="40">
        <f>IF(EQ84=-1,-1,MAX(FC344:FE346))</f>
        <v>-1</v>
      </c>
      <c r="FV84" s="39">
        <f>IF(ER84=-1,-1,MAX(FF344:FH346))</f>
        <v>-1</v>
      </c>
      <c r="FW84" s="42">
        <f>IF(ES84=-1,-1,MAX(FI344:FK346))</f>
        <v>-1</v>
      </c>
      <c r="FX84" s="43">
        <f>IF(ET84=-1,-1,MAX(FL344:FN346))</f>
        <v>-1</v>
      </c>
      <c r="FY84" s="39">
        <f>IF(EU84=-1,-1,MAX(FO344:FQ346))</f>
        <v>-1</v>
      </c>
      <c r="FZ84" s="41">
        <f>IF(EV84=-1,-1,MAX(FR344:FT346))</f>
        <v>-1</v>
      </c>
      <c r="GA84" s="40">
        <f>IF(EW84=-1,-1,MAX(FU344:FW346))</f>
        <v>-1</v>
      </c>
      <c r="GB84" s="39">
        <f>IF(EX84=-1,-1,MAX(FX344:FZ346))</f>
        <v>-1</v>
      </c>
      <c r="GC84" s="41">
        <f>IF(EY84=-1,-1,MAX(GA344:GC346))</f>
        <v>-1</v>
      </c>
      <c r="GD84" s="40">
        <f>IF(EZ84=-1,-1,MAX(GD344:GF346))</f>
        <v>-1</v>
      </c>
      <c r="GE84" s="39">
        <f>IF(FA84=-1,-1,MAX(GG344:GI346))</f>
        <v>-1</v>
      </c>
      <c r="GF84" s="42">
        <f>IF(FB84=-1,-1,MAX(GJ344:GL346))</f>
        <v>-1</v>
      </c>
    </row>
    <row r="85" spans="2:188" ht="15" customHeight="1" thickBot="1">
      <c r="B85" s="54" t="str">
        <f t="shared" ref="B85:AB85" si="64">B52</f>
        <v>x</v>
      </c>
      <c r="C85" s="55" t="str">
        <f t="shared" si="64"/>
        <v>x</v>
      </c>
      <c r="D85" s="56" t="str">
        <f t="shared" si="64"/>
        <v>x</v>
      </c>
      <c r="E85" s="57" t="str">
        <f t="shared" si="64"/>
        <v>x</v>
      </c>
      <c r="F85" s="55" t="str">
        <f t="shared" si="64"/>
        <v>x</v>
      </c>
      <c r="G85" s="56" t="str">
        <f t="shared" si="64"/>
        <v>x</v>
      </c>
      <c r="H85" s="57" t="str">
        <f t="shared" si="64"/>
        <v>x</v>
      </c>
      <c r="I85" s="55" t="str">
        <f t="shared" si="64"/>
        <v>x</v>
      </c>
      <c r="J85" s="58" t="str">
        <f t="shared" si="64"/>
        <v>x</v>
      </c>
      <c r="K85" s="54" t="str">
        <f t="shared" si="64"/>
        <v>x</v>
      </c>
      <c r="L85" s="55" t="str">
        <f t="shared" si="64"/>
        <v>x</v>
      </c>
      <c r="M85" s="56" t="str">
        <f t="shared" si="64"/>
        <v>x</v>
      </c>
      <c r="N85" s="57" t="str">
        <f t="shared" si="64"/>
        <v>x</v>
      </c>
      <c r="O85" s="55" t="str">
        <f t="shared" si="64"/>
        <v>x</v>
      </c>
      <c r="P85" s="56" t="str">
        <f t="shared" si="64"/>
        <v>x</v>
      </c>
      <c r="Q85" s="57" t="str">
        <f t="shared" si="64"/>
        <v>x</v>
      </c>
      <c r="R85" s="55" t="str">
        <f t="shared" si="64"/>
        <v>x</v>
      </c>
      <c r="S85" s="58" t="str">
        <f t="shared" si="64"/>
        <v>x</v>
      </c>
      <c r="T85" s="54" t="str">
        <f t="shared" si="64"/>
        <v>x</v>
      </c>
      <c r="U85" s="55" t="str">
        <f t="shared" si="64"/>
        <v>x</v>
      </c>
      <c r="V85" s="56" t="str">
        <f t="shared" si="64"/>
        <v>x</v>
      </c>
      <c r="W85" s="57" t="str">
        <f t="shared" si="64"/>
        <v>x</v>
      </c>
      <c r="X85" s="55" t="str">
        <f t="shared" si="64"/>
        <v>x</v>
      </c>
      <c r="Y85" s="56" t="str">
        <f t="shared" si="64"/>
        <v>x</v>
      </c>
      <c r="Z85" s="57" t="str">
        <f t="shared" si="64"/>
        <v>x</v>
      </c>
      <c r="AA85" s="55" t="str">
        <f t="shared" si="64"/>
        <v>x</v>
      </c>
      <c r="AB85" s="58" t="str">
        <f t="shared" si="64"/>
        <v>x</v>
      </c>
      <c r="AC85" s="75" t="str">
        <f t="shared" si="4"/>
        <v>x</v>
      </c>
      <c r="AD85" s="76" t="str">
        <f t="shared" si="5"/>
        <v>x</v>
      </c>
      <c r="AE85" s="76" t="str">
        <f t="shared" si="6"/>
        <v>x</v>
      </c>
      <c r="AF85" s="76" t="str">
        <f t="shared" si="7"/>
        <v>x</v>
      </c>
      <c r="AG85" s="76" t="str">
        <f t="shared" si="8"/>
        <v>x</v>
      </c>
      <c r="AH85" s="76" t="str">
        <f t="shared" si="9"/>
        <v>x</v>
      </c>
      <c r="AI85" s="76" t="str">
        <f t="shared" si="10"/>
        <v>x</v>
      </c>
      <c r="AJ85" s="76" t="str">
        <f t="shared" si="11"/>
        <v>x</v>
      </c>
      <c r="AK85" s="77" t="str">
        <f t="shared" si="12"/>
        <v>x</v>
      </c>
      <c r="AL85" s="75" t="str">
        <f t="shared" si="13"/>
        <v>x</v>
      </c>
      <c r="AM85" s="76" t="str">
        <f t="shared" si="14"/>
        <v>x</v>
      </c>
      <c r="AN85" s="76" t="str">
        <f t="shared" si="15"/>
        <v>x</v>
      </c>
      <c r="AO85" s="76" t="str">
        <f t="shared" si="16"/>
        <v>x</v>
      </c>
      <c r="AP85" s="76" t="str">
        <f t="shared" si="17"/>
        <v>x</v>
      </c>
      <c r="AQ85" s="76" t="str">
        <f t="shared" si="18"/>
        <v>x</v>
      </c>
      <c r="AR85" s="76" t="str">
        <f t="shared" si="19"/>
        <v>x</v>
      </c>
      <c r="AS85" s="76" t="str">
        <f t="shared" si="20"/>
        <v>x</v>
      </c>
      <c r="AT85" s="77" t="str">
        <f t="shared" si="21"/>
        <v>x</v>
      </c>
      <c r="AU85" s="75" t="str">
        <f t="shared" si="22"/>
        <v>x</v>
      </c>
      <c r="AV85" s="76" t="str">
        <f t="shared" si="23"/>
        <v>x</v>
      </c>
      <c r="AW85" s="76" t="str">
        <f t="shared" si="24"/>
        <v>x</v>
      </c>
      <c r="AX85" s="76" t="str">
        <f t="shared" si="25"/>
        <v>x</v>
      </c>
      <c r="AY85" s="76" t="str">
        <f t="shared" si="26"/>
        <v>x</v>
      </c>
      <c r="AZ85" s="76" t="str">
        <f t="shared" si="27"/>
        <v>x</v>
      </c>
      <c r="BA85" s="76" t="str">
        <f t="shared" si="28"/>
        <v>x</v>
      </c>
      <c r="BB85" s="76" t="str">
        <f t="shared" si="29"/>
        <v>x</v>
      </c>
      <c r="BC85" s="77" t="str">
        <f t="shared" si="30"/>
        <v>x</v>
      </c>
      <c r="BD85" s="78">
        <f t="shared" si="31"/>
        <v>3</v>
      </c>
      <c r="BE85" s="79">
        <f t="shared" si="32"/>
        <v>4</v>
      </c>
      <c r="BF85" s="79">
        <f t="shared" si="33"/>
        <v>2</v>
      </c>
      <c r="BG85" s="79">
        <f t="shared" si="34"/>
        <v>1</v>
      </c>
      <c r="BH85" s="79" t="str">
        <f t="shared" si="35"/>
        <v>x</v>
      </c>
      <c r="BI85" s="79" t="str">
        <f t="shared" si="36"/>
        <v>x</v>
      </c>
      <c r="BJ85" s="79" t="str">
        <f t="shared" si="37"/>
        <v>x</v>
      </c>
      <c r="BK85" s="79" t="str">
        <f t="shared" si="38"/>
        <v>x</v>
      </c>
      <c r="BL85" s="80" t="str">
        <f t="shared" si="39"/>
        <v>x</v>
      </c>
      <c r="BM85" s="78" t="str">
        <f t="shared" si="40"/>
        <v>x</v>
      </c>
      <c r="BN85" s="79" t="str">
        <f t="shared" si="41"/>
        <v>x</v>
      </c>
      <c r="BO85" s="79" t="str">
        <f t="shared" si="42"/>
        <v>x</v>
      </c>
      <c r="BP85" s="79" t="str">
        <f t="shared" si="43"/>
        <v>x</v>
      </c>
      <c r="BQ85" s="79" t="str">
        <f t="shared" si="44"/>
        <v>x</v>
      </c>
      <c r="BR85" s="79" t="str">
        <f t="shared" si="45"/>
        <v>x</v>
      </c>
      <c r="BS85" s="79" t="str">
        <f t="shared" si="46"/>
        <v>x</v>
      </c>
      <c r="BT85" s="79" t="str">
        <f t="shared" si="47"/>
        <v>x</v>
      </c>
      <c r="BU85" s="80" t="str">
        <f t="shared" si="48"/>
        <v>x</v>
      </c>
      <c r="BV85" s="78" t="str">
        <f t="shared" si="49"/>
        <v>x</v>
      </c>
      <c r="BW85" s="79" t="str">
        <f t="shared" si="50"/>
        <v>x</v>
      </c>
      <c r="BX85" s="79" t="str">
        <f t="shared" si="51"/>
        <v>x</v>
      </c>
      <c r="BY85" s="79" t="str">
        <f t="shared" si="52"/>
        <v>x</v>
      </c>
      <c r="BZ85" s="79">
        <f t="shared" si="53"/>
        <v>5</v>
      </c>
      <c r="CA85" s="79">
        <f t="shared" si="54"/>
        <v>6</v>
      </c>
      <c r="CB85" s="79">
        <f t="shared" si="55"/>
        <v>7</v>
      </c>
      <c r="CC85" s="79">
        <f t="shared" si="56"/>
        <v>9</v>
      </c>
      <c r="CD85" s="80">
        <f t="shared" si="57"/>
        <v>8</v>
      </c>
      <c r="CH85" s="59" t="s">
        <v>43</v>
      </c>
      <c r="CI85" s="61"/>
      <c r="CJ85" s="61"/>
      <c r="CK85" s="61">
        <f>COUNTIF(Zeile9,1)</f>
        <v>1</v>
      </c>
      <c r="CL85" s="61">
        <f>COUNTIF(Zeile9,2)</f>
        <v>1</v>
      </c>
      <c r="CM85" s="61">
        <f>COUNTIF(Zeile9,3)</f>
        <v>1</v>
      </c>
      <c r="CN85" s="61">
        <f>COUNTIF(Zeile9,4)</f>
        <v>1</v>
      </c>
      <c r="CO85" s="61">
        <f>COUNTIF(Zeile9,5)</f>
        <v>1</v>
      </c>
      <c r="CP85" s="61">
        <f>COUNTIF(Zeile9,6)</f>
        <v>1</v>
      </c>
      <c r="CQ85" s="61">
        <f>COUNTIF(Zeile9,7)</f>
        <v>1</v>
      </c>
      <c r="CR85" s="61">
        <f>COUNTIF(Zeile9,8)</f>
        <v>1</v>
      </c>
      <c r="CS85" s="61">
        <f>COUNTIF(Zeile9,9)</f>
        <v>1</v>
      </c>
      <c r="CT85" s="61"/>
      <c r="CU85" s="61"/>
      <c r="CV85" s="61"/>
      <c r="CW85" s="61"/>
      <c r="CX85" s="61"/>
      <c r="EB85" s="54">
        <f>IF(COUNTIF(DJ164:DL166,0)=8,SUM(DJ164:DL166),IF(B85="x",-1,0))</f>
        <v>-1</v>
      </c>
      <c r="EC85" s="55">
        <f>IF(COUNTIF(DM164:DO166,0)=8,SUM(DM164:DO166),IF(C85="x",-1,0))</f>
        <v>-1</v>
      </c>
      <c r="ED85" s="56">
        <f>IF(COUNTIF(DP164:DR166,0)=8,SUM(DP164:DR166),IF(D85="x",-1,0))</f>
        <v>-1</v>
      </c>
      <c r="EE85" s="57">
        <f>IF(COUNTIF(DS164:DU166,0)=8,SUM(DS164:DU166),IF(E85="x",-1,0))</f>
        <v>-1</v>
      </c>
      <c r="EF85" s="55">
        <f>IF(COUNTIF(DV164:DX166,0)=8,SUM(DV164:DX166),IF(F85="x",-1,0))</f>
        <v>-1</v>
      </c>
      <c r="EG85" s="56">
        <f>IF(COUNTIF(DY164:EA166,0)=8,SUM(DY164:EA166),IF(G85="x",-1,0))</f>
        <v>-1</v>
      </c>
      <c r="EH85" s="57">
        <f>IF(COUNTIF(EB164:ED166,0)=8,SUM(EB164:ED166),IF(H85="x",-1,0))</f>
        <v>-1</v>
      </c>
      <c r="EI85" s="55">
        <f>IF(COUNTIF(EE164:EG166,0)=8,SUM(EE164:EG166),IF(I85="x",-1,0))</f>
        <v>-1</v>
      </c>
      <c r="EJ85" s="58">
        <f>IF(COUNTIF(EH164:EJ166,0)=8,SUM(EH164:EJ166),IF(J85="x",-1,0))</f>
        <v>-1</v>
      </c>
      <c r="EK85" s="54">
        <f>IF(COUNTIF(EK164:EM166,0)=8,SUM(EK164:EM166),IF(K85="x",-1,0))</f>
        <v>-1</v>
      </c>
      <c r="EL85" s="55">
        <f>IF(COUNTIF(EN164:EP166,0)=8,SUM(EN164:EP166),IF(L85="x",-1,0))</f>
        <v>-1</v>
      </c>
      <c r="EM85" s="56">
        <f>IF(COUNTIF(EQ164:ES166,0)=8,SUM(EQ164:ES166),IF(M85="x",-1,0))</f>
        <v>-1</v>
      </c>
      <c r="EN85" s="57">
        <f>IF(COUNTIF(ET164:EV166,0)=8,SUM(ET164:EV166),IF(N85="x",-1,0))</f>
        <v>-1</v>
      </c>
      <c r="EO85" s="55">
        <f>IF(COUNTIF(EW164:EY166,0)=8,SUM(EW164:EY166),IF(O85="x",-1,0))</f>
        <v>-1</v>
      </c>
      <c r="EP85" s="56">
        <f>IF(COUNTIF(EZ164:FB166,0)=8,SUM(EZ164:FB166),IF(P85="x",-1,0))</f>
        <v>-1</v>
      </c>
      <c r="EQ85" s="57">
        <f>IF(COUNTIF(FC164:FE166,0)=8,SUM(FC164:FE166),IF(Q85="x",-1,0))</f>
        <v>-1</v>
      </c>
      <c r="ER85" s="55">
        <f>IF(COUNTIF(FF164:FH166,0)=8,SUM(FF164:FH166),IF(R85="x",-1,0))</f>
        <v>-1</v>
      </c>
      <c r="ES85" s="58">
        <f>IF(COUNTIF(FI164:FK166,0)=8,SUM(FI164:FK166),IF(S85="x",-1,0))</f>
        <v>-1</v>
      </c>
      <c r="ET85" s="54">
        <f>IF(COUNTIF(FL164:FN166,0)=8,SUM(FL164:FN166),IF(T85="x",-1,0))</f>
        <v>-1</v>
      </c>
      <c r="EU85" s="55">
        <f>IF(COUNTIF(FO164:FQ166,0)=8,SUM(FO164:FQ166),IF(U85="x",-1,0))</f>
        <v>-1</v>
      </c>
      <c r="EV85" s="56">
        <f>IF(COUNTIF(FR164:FT166,0)=8,SUM(FR164:FT166),IF(V85="x",-1,0))</f>
        <v>-1</v>
      </c>
      <c r="EW85" s="57">
        <f>IF(COUNTIF(FU164:FW166,0)=8,SUM(FU164:FW166),IF(W85="x",-1,0))</f>
        <v>-1</v>
      </c>
      <c r="EX85" s="55">
        <f>IF(COUNTIF(FX164:FZ166,0)=8,SUM(FX164:FZ166),IF(X85="x",-1,0))</f>
        <v>-1</v>
      </c>
      <c r="EY85" s="56">
        <f>IF(COUNTIF(GA164:GC166,0)=8,SUM(GA164:GC166),IF(Y85="x",-1,0))</f>
        <v>-1</v>
      </c>
      <c r="EZ85" s="57">
        <f>IF(COUNTIF(GD164:GF166,0)=8,SUM(GD164:GF166),IF(Z85="x",-1,0))</f>
        <v>-1</v>
      </c>
      <c r="FA85" s="55">
        <f>IF(COUNTIF(GG164:GI166,0)=8,SUM(GG164:GI166),IF(AA85="x",-1,0))</f>
        <v>-1</v>
      </c>
      <c r="FB85" s="58">
        <f>IF(COUNTIF(GJ164:GL166,0)=8,SUM(GJ164:GL166),IF(AB85="x",-1,0))</f>
        <v>-1</v>
      </c>
      <c r="FF85" s="54">
        <f>IF(EB85=-1,-1,MAX(DJ347:DL349))</f>
        <v>-1</v>
      </c>
      <c r="FG85" s="55">
        <f>IF(EC85=-1,-1,MAX(DM347:DO349))</f>
        <v>-1</v>
      </c>
      <c r="FH85" s="56">
        <f>IF(ED85=-1,-1,MAX(DP347:DR349))</f>
        <v>-1</v>
      </c>
      <c r="FI85" s="57">
        <f>IF(EE85=-1,-1,MAX(DS347:DU349))</f>
        <v>-1</v>
      </c>
      <c r="FJ85" s="55">
        <f>IF(EF85=-1,-1,MAX(DV347:DX349))</f>
        <v>-1</v>
      </c>
      <c r="FK85" s="56">
        <f>IF(EG85=-1,-1,MAX(DY347:EA349))</f>
        <v>-1</v>
      </c>
      <c r="FL85" s="57">
        <f>IF(EH85=-1,-1,MAX(EB347:ED349))</f>
        <v>-1</v>
      </c>
      <c r="FM85" s="55">
        <f>IF(EI85=-1,-1,MAX(EE347:EG349))</f>
        <v>-1</v>
      </c>
      <c r="FN85" s="58">
        <f>IF(EJ85=-1,-1,MAX(EH347:EJ349))</f>
        <v>-1</v>
      </c>
      <c r="FO85" s="54">
        <f>IF(EK85=-1,-1,MAX(EK347:EM349))</f>
        <v>-1</v>
      </c>
      <c r="FP85" s="55">
        <f>IF(EL85=-1,-1,MAX(EN347:EP349))</f>
        <v>-1</v>
      </c>
      <c r="FQ85" s="56">
        <f>IF(EM85=-1,-1,MAX(EQ347:ES349))</f>
        <v>-1</v>
      </c>
      <c r="FR85" s="57">
        <f>IF(EN85=-1,-1,MAX(ET347:EV349))</f>
        <v>-1</v>
      </c>
      <c r="FS85" s="55">
        <f>IF(EO85=-1,-1,MAX(EW347:EY349))</f>
        <v>-1</v>
      </c>
      <c r="FT85" s="56">
        <f>IF(EP85=-1,-1,MAX(EZ347:FB349))</f>
        <v>-1</v>
      </c>
      <c r="FU85" s="57">
        <f>IF(EQ85=-1,-1,MAX(FC347:FE349))</f>
        <v>-1</v>
      </c>
      <c r="FV85" s="55">
        <f>IF(ER85=-1,-1,MAX(FF347:FH349))</f>
        <v>-1</v>
      </c>
      <c r="FW85" s="58">
        <f>IF(ES85=-1,-1,MAX(FI347:FK349))</f>
        <v>-1</v>
      </c>
      <c r="FX85" s="54">
        <f>IF(ET85=-1,-1,MAX(FL347:FN349))</f>
        <v>-1</v>
      </c>
      <c r="FY85" s="55">
        <f>IF(EU85=-1,-1,MAX(FO347:FQ349))</f>
        <v>-1</v>
      </c>
      <c r="FZ85" s="56">
        <f>IF(EV85=-1,-1,MAX(FR347:FT349))</f>
        <v>-1</v>
      </c>
      <c r="GA85" s="57">
        <f>IF(EW85=-1,-1,MAX(FU347:FW349))</f>
        <v>-1</v>
      </c>
      <c r="GB85" s="55">
        <f>IF(EX85=-1,-1,MAX(FX347:FZ349))</f>
        <v>-1</v>
      </c>
      <c r="GC85" s="56">
        <f>IF(EY85=-1,-1,MAX(GA347:GC349))</f>
        <v>-1</v>
      </c>
      <c r="GD85" s="57">
        <f>IF(EZ85=-1,-1,MAX(GD347:GF349))</f>
        <v>-1</v>
      </c>
      <c r="GE85" s="55">
        <f>IF(FA85=-1,-1,MAX(GG347:GI349))</f>
        <v>-1</v>
      </c>
      <c r="GF85" s="58">
        <f>IF(FB85=-1,-1,MAX(GJ347:GL349))</f>
        <v>-1</v>
      </c>
    </row>
    <row r="86" spans="2:188" ht="15" customHeight="1">
      <c r="B86" s="34" t="str">
        <f t="shared" ref="B86:AB86" si="65">B53</f>
        <v>x</v>
      </c>
      <c r="C86" s="37" t="str">
        <f t="shared" si="65"/>
        <v>x</v>
      </c>
      <c r="D86" s="35" t="str">
        <f t="shared" si="65"/>
        <v>x</v>
      </c>
      <c r="E86" s="36" t="str">
        <f t="shared" si="65"/>
        <v>x</v>
      </c>
      <c r="F86" s="37" t="str">
        <f t="shared" si="65"/>
        <v>x</v>
      </c>
      <c r="G86" s="35" t="str">
        <f t="shared" si="65"/>
        <v>x</v>
      </c>
      <c r="H86" s="36" t="str">
        <f t="shared" si="65"/>
        <v>x</v>
      </c>
      <c r="I86" s="37" t="str">
        <f t="shared" si="65"/>
        <v>x</v>
      </c>
      <c r="J86" s="38" t="str">
        <f t="shared" si="65"/>
        <v>x</v>
      </c>
      <c r="K86" s="34" t="str">
        <f t="shared" si="65"/>
        <v>x</v>
      </c>
      <c r="L86" s="37" t="str">
        <f t="shared" si="65"/>
        <v>x</v>
      </c>
      <c r="M86" s="35" t="str">
        <f t="shared" si="65"/>
        <v>x</v>
      </c>
      <c r="N86" s="36" t="str">
        <f t="shared" si="65"/>
        <v>x</v>
      </c>
      <c r="O86" s="37" t="str">
        <f t="shared" si="65"/>
        <v>x</v>
      </c>
      <c r="P86" s="35" t="str">
        <f t="shared" si="65"/>
        <v>x</v>
      </c>
      <c r="Q86" s="36" t="str">
        <f t="shared" si="65"/>
        <v>x</v>
      </c>
      <c r="R86" s="37" t="str">
        <f t="shared" si="65"/>
        <v>x</v>
      </c>
      <c r="S86" s="38" t="str">
        <f t="shared" si="65"/>
        <v>x</v>
      </c>
      <c r="T86" s="34" t="str">
        <f t="shared" si="65"/>
        <v>x</v>
      </c>
      <c r="U86" s="37" t="str">
        <f t="shared" si="65"/>
        <v>x</v>
      </c>
      <c r="V86" s="35" t="str">
        <f t="shared" si="65"/>
        <v>x</v>
      </c>
      <c r="W86" s="36" t="str">
        <f t="shared" si="65"/>
        <v>x</v>
      </c>
      <c r="X86" s="37" t="str">
        <f t="shared" si="65"/>
        <v>x</v>
      </c>
      <c r="Y86" s="35" t="str">
        <f t="shared" si="65"/>
        <v>x</v>
      </c>
      <c r="Z86" s="36">
        <f t="shared" si="65"/>
        <v>9</v>
      </c>
      <c r="AA86" s="37" t="str">
        <f t="shared" si="65"/>
        <v>x</v>
      </c>
      <c r="AB86" s="38">
        <f t="shared" si="65"/>
        <v>5</v>
      </c>
      <c r="CH86" s="59" t="s">
        <v>44</v>
      </c>
      <c r="CI86" s="61"/>
      <c r="CJ86" s="61"/>
      <c r="CK86" s="61">
        <f>COUNTIF(Spalte1,1)</f>
        <v>1</v>
      </c>
      <c r="CL86" s="61">
        <f>COUNTIF(Spalte1,2)</f>
        <v>1</v>
      </c>
      <c r="CM86" s="61">
        <f>COUNTIF(Spalte1,3)</f>
        <v>1</v>
      </c>
      <c r="CN86" s="61">
        <f>COUNTIF(Spalte1,4)</f>
        <v>1</v>
      </c>
      <c r="CO86" s="61">
        <f>COUNTIF(Spalte1,5)</f>
        <v>1</v>
      </c>
      <c r="CP86" s="61">
        <f>COUNTIF(Spalte1,6)</f>
        <v>1</v>
      </c>
      <c r="CQ86" s="61">
        <f>COUNTIF(Spalte1,7)</f>
        <v>1</v>
      </c>
      <c r="CR86" s="61">
        <f>COUNTIF(Spalte1,8)</f>
        <v>1</v>
      </c>
      <c r="CS86" s="61">
        <f>COUNTIF(Spalte1,9)</f>
        <v>1</v>
      </c>
      <c r="CT86" s="61"/>
      <c r="CU86" s="61"/>
      <c r="CV86" s="61"/>
      <c r="CW86" s="61"/>
      <c r="CX86" s="61"/>
      <c r="EB86" s="416">
        <f>IF(COUNTIF(DJ167:DL169,0)=8,SUM(DJ167:DL169),IF(B86="x",-1,0))</f>
        <v>-1</v>
      </c>
      <c r="EC86" s="37">
        <f>IF(COUNTIF(DM167:DO169,0)=8,SUM(DM167:DO169),IF(C86="x",-1,0))</f>
        <v>-1</v>
      </c>
      <c r="ED86" s="35">
        <f>IF(COUNTIF(DP167:DR169,0)=8,SUM(DP167:DR169),IF(D86="x",-1,0))</f>
        <v>-1</v>
      </c>
      <c r="EE86" s="36">
        <f>IF(COUNTIF(DS167:DU169,0)=8,SUM(DS167:DU169),IF(E86="x",-1,0))</f>
        <v>-1</v>
      </c>
      <c r="EF86" s="37">
        <f>IF(COUNTIF(DV167:DX169,0)=8,SUM(DV167:DX169),IF(F86="x",-1,0))</f>
        <v>-1</v>
      </c>
      <c r="EG86" s="35">
        <f>IF(COUNTIF(DY167:EA169,0)=8,SUM(DY167:EA169),IF(G86="x",-1,0))</f>
        <v>-1</v>
      </c>
      <c r="EH86" s="36">
        <f>IF(COUNTIF(EB167:ED169,0)=8,SUM(EB167:ED169),IF(H86="x",-1,0))</f>
        <v>-1</v>
      </c>
      <c r="EI86" s="37">
        <f>IF(COUNTIF(EE167:EG169,0)=8,SUM(EE167:EG169),IF(I86="x",-1,0))</f>
        <v>-1</v>
      </c>
      <c r="EJ86" s="38">
        <f>IF(COUNTIF(EH167:EJ169,0)=8,SUM(EH167:EJ169),IF(J86="x",-1,0))</f>
        <v>-1</v>
      </c>
      <c r="EK86" s="416">
        <f>IF(COUNTIF(EK167:EM169,0)=8,SUM(EK167:EM169),IF(K86="x",-1,0))</f>
        <v>-1</v>
      </c>
      <c r="EL86" s="37">
        <f>IF(COUNTIF(EN167:EP169,0)=8,SUM(EN167:EP169),IF(L86="x",-1,0))</f>
        <v>-1</v>
      </c>
      <c r="EM86" s="35">
        <f>IF(COUNTIF(EQ167:ES169,0)=8,SUM(EQ167:ES169),IF(M86="x",-1,0))</f>
        <v>-1</v>
      </c>
      <c r="EN86" s="36">
        <f>IF(COUNTIF(ET167:EV169,0)=8,SUM(ET167:EV169),IF(N86="x",-1,0))</f>
        <v>-1</v>
      </c>
      <c r="EO86" s="37">
        <f>IF(COUNTIF(EW167:EY169,0)=8,SUM(EW167:EY169),IF(O86="x",-1,0))</f>
        <v>-1</v>
      </c>
      <c r="EP86" s="35">
        <f>IF(COUNTIF(EZ167:FB169,0)=8,SUM(EZ167:FB169),IF(P86="x",-1,0))</f>
        <v>-1</v>
      </c>
      <c r="EQ86" s="36">
        <f>IF(COUNTIF(FC167:FE169,0)=8,SUM(FC167:FE169),IF(Q86="x",-1,0))</f>
        <v>-1</v>
      </c>
      <c r="ER86" s="37">
        <f>IF(COUNTIF(FF167:FH169,0)=8,SUM(FF167:FH169),IF(R86="x",-1,0))</f>
        <v>-1</v>
      </c>
      <c r="ES86" s="38">
        <f>IF(COUNTIF(FI167:FK169,0)=8,SUM(FI167:FK169),IF(S86="x",-1,0))</f>
        <v>-1</v>
      </c>
      <c r="ET86" s="416">
        <f>IF(COUNTIF(FL167:FN169,0)=8,SUM(FL167:FN169),IF(T86="x",-1,0))</f>
        <v>-1</v>
      </c>
      <c r="EU86" s="37">
        <f>IF(COUNTIF(FO167:FQ169,0)=8,SUM(FO167:FQ169),IF(U86="x",-1,0))</f>
        <v>-1</v>
      </c>
      <c r="EV86" s="35">
        <f>IF(COUNTIF(FR167:FT169,0)=8,SUM(FR167:FT169),IF(V86="x",-1,0))</f>
        <v>-1</v>
      </c>
      <c r="EW86" s="36">
        <f>IF(COUNTIF(FU167:FW169,0)=8,SUM(FU167:FW169),IF(W86="x",-1,0))</f>
        <v>-1</v>
      </c>
      <c r="EX86" s="37">
        <f>IF(COUNTIF(FX167:FZ169,0)=8,SUM(FX167:FZ169),IF(X86="x",-1,0))</f>
        <v>-1</v>
      </c>
      <c r="EY86" s="35">
        <f>IF(COUNTIF(GA167:GC169,0)=8,SUM(GA167:GC169),IF(Y86="x",-1,0))</f>
        <v>-1</v>
      </c>
      <c r="EZ86" s="36">
        <f>IF(COUNTIF(GD167:GF169,0)=8,SUM(GD167:GF169),IF(Z86="x",-1,0))</f>
        <v>0</v>
      </c>
      <c r="FA86" s="37">
        <f>IF(COUNTIF(GG167:GI169,0)=8,SUM(GG167:GI169),IF(AA86="x",-1,0))</f>
        <v>-1</v>
      </c>
      <c r="FB86" s="38">
        <f>IF(COUNTIF(GJ167:GL169,0)=8,SUM(GJ167:GL169),IF(AB86="x",-1,0))</f>
        <v>0</v>
      </c>
      <c r="FF86" s="416">
        <f>IF(EB86=-1,-1,MAX(DJ350:DL352))</f>
        <v>-1</v>
      </c>
      <c r="FG86" s="37">
        <f>IF(EC86=-1,-1,MAX(DM350:DO352))</f>
        <v>-1</v>
      </c>
      <c r="FH86" s="35">
        <f>IF(ED86=-1,-1,MAX(DP350:DR352))</f>
        <v>-1</v>
      </c>
      <c r="FI86" s="36">
        <f>IF(EE86=-1,-1,MAX(DS350:DU352))</f>
        <v>-1</v>
      </c>
      <c r="FJ86" s="37">
        <f>IF(EF86=-1,-1,MAX(DV350:DX352))</f>
        <v>-1</v>
      </c>
      <c r="FK86" s="35">
        <f>IF(EG86=-1,-1,MAX(DY350:EA352))</f>
        <v>-1</v>
      </c>
      <c r="FL86" s="36">
        <f>IF(EH86=-1,-1,MAX(EB350:ED352))</f>
        <v>-1</v>
      </c>
      <c r="FM86" s="37">
        <f>IF(EI86=-1,-1,MAX(EE350:EG352))</f>
        <v>-1</v>
      </c>
      <c r="FN86" s="38">
        <f>IF(EJ86=-1,-1,MAX(EH350:EJ352))</f>
        <v>-1</v>
      </c>
      <c r="FO86" s="416">
        <f>IF(EK86=-1,-1,MAX(EK350:EM352))</f>
        <v>-1</v>
      </c>
      <c r="FP86" s="37">
        <f>IF(EL86=-1,-1,MAX(EN350:EP352))</f>
        <v>-1</v>
      </c>
      <c r="FQ86" s="35">
        <f>IF(EM86=-1,-1,MAX(EQ350:ES352))</f>
        <v>-1</v>
      </c>
      <c r="FR86" s="36">
        <f>IF(EN86=-1,-1,MAX(ET350:EV352))</f>
        <v>-1</v>
      </c>
      <c r="FS86" s="37">
        <f>IF(EO86=-1,-1,MAX(EW350:EY352))</f>
        <v>-1</v>
      </c>
      <c r="FT86" s="35">
        <f>IF(EP86=-1,-1,MAX(EZ350:FB352))</f>
        <v>-1</v>
      </c>
      <c r="FU86" s="36">
        <f>IF(EQ86=-1,-1,MAX(FC350:FE352))</f>
        <v>-1</v>
      </c>
      <c r="FV86" s="37">
        <f>IF(ER86=-1,-1,MAX(FF350:FH352))</f>
        <v>-1</v>
      </c>
      <c r="FW86" s="38">
        <f>IF(ES86=-1,-1,MAX(FI350:FK352))</f>
        <v>-1</v>
      </c>
      <c r="FX86" s="416">
        <f>IF(ET86=-1,-1,MAX(FL350:FN352))</f>
        <v>-1</v>
      </c>
      <c r="FY86" s="37">
        <f>IF(EU86=-1,-1,MAX(FO350:FQ352))</f>
        <v>-1</v>
      </c>
      <c r="FZ86" s="35">
        <f>IF(EV86=-1,-1,MAX(FR350:FT352))</f>
        <v>-1</v>
      </c>
      <c r="GA86" s="36">
        <f>IF(EW86=-1,-1,MAX(FU350:FW352))</f>
        <v>-1</v>
      </c>
      <c r="GB86" s="37">
        <f>IF(EX86=-1,-1,MAX(FX350:FZ352))</f>
        <v>-1</v>
      </c>
      <c r="GC86" s="35">
        <f>IF(EY86=-1,-1,MAX(GA350:GC352))</f>
        <v>-1</v>
      </c>
      <c r="GD86" s="36">
        <f>IF(EZ86=-1,-1,MAX(GD350:GF352))</f>
        <v>0</v>
      </c>
      <c r="GE86" s="37">
        <f>IF(FA86=-1,-1,MAX(GG350:GI352))</f>
        <v>-1</v>
      </c>
      <c r="GF86" s="38">
        <f>IF(FB86=-1,-1,MAX(GJ350:GL352))</f>
        <v>5</v>
      </c>
    </row>
    <row r="87" spans="2:188" ht="15" customHeight="1">
      <c r="B87" s="43" t="str">
        <f t="shared" ref="B87:AB87" si="66">B54</f>
        <v>x</v>
      </c>
      <c r="C87" s="39" t="str">
        <f t="shared" si="66"/>
        <v>x</v>
      </c>
      <c r="D87" s="41" t="str">
        <f t="shared" si="66"/>
        <v>x</v>
      </c>
      <c r="E87" s="40" t="str">
        <f t="shared" si="66"/>
        <v>x</v>
      </c>
      <c r="F87" s="39" t="str">
        <f t="shared" si="66"/>
        <v>x</v>
      </c>
      <c r="G87" s="41" t="str">
        <f t="shared" si="66"/>
        <v>x</v>
      </c>
      <c r="H87" s="40" t="str">
        <f t="shared" si="66"/>
        <v>x</v>
      </c>
      <c r="I87" s="39" t="str">
        <f t="shared" si="66"/>
        <v>x</v>
      </c>
      <c r="J87" s="42" t="str">
        <f t="shared" si="66"/>
        <v>x</v>
      </c>
      <c r="K87" s="43" t="str">
        <f t="shared" si="66"/>
        <v>x</v>
      </c>
      <c r="L87" s="39">
        <f t="shared" si="66"/>
        <v>7</v>
      </c>
      <c r="M87" s="41">
        <f t="shared" si="66"/>
        <v>8</v>
      </c>
      <c r="N87" s="40" t="str">
        <f t="shared" si="66"/>
        <v>x</v>
      </c>
      <c r="O87" s="39" t="str">
        <f t="shared" si="66"/>
        <v>x</v>
      </c>
      <c r="P87" s="41">
        <f t="shared" si="66"/>
        <v>1</v>
      </c>
      <c r="Q87" s="40">
        <f t="shared" si="66"/>
        <v>5</v>
      </c>
      <c r="R87" s="39" t="str">
        <f t="shared" si="66"/>
        <v>x</v>
      </c>
      <c r="S87" s="42" t="str">
        <f t="shared" si="66"/>
        <v>x</v>
      </c>
      <c r="T87" s="43" t="str">
        <f t="shared" si="66"/>
        <v>x</v>
      </c>
      <c r="U87" s="39" t="str">
        <f t="shared" si="66"/>
        <v>x</v>
      </c>
      <c r="V87" s="41" t="str">
        <f t="shared" si="66"/>
        <v>x</v>
      </c>
      <c r="W87" s="40" t="str">
        <f t="shared" si="66"/>
        <v>x</v>
      </c>
      <c r="X87" s="39" t="str">
        <f t="shared" si="66"/>
        <v>x</v>
      </c>
      <c r="Y87" s="41" t="str">
        <f t="shared" si="66"/>
        <v>x</v>
      </c>
      <c r="Z87" s="40" t="str">
        <f t="shared" si="66"/>
        <v>x</v>
      </c>
      <c r="AA87" s="39">
        <f t="shared" si="66"/>
        <v>3</v>
      </c>
      <c r="AB87" s="42" t="str">
        <f t="shared" si="66"/>
        <v>x</v>
      </c>
      <c r="CH87" s="59" t="s">
        <v>45</v>
      </c>
      <c r="CI87" s="61"/>
      <c r="CJ87" s="61"/>
      <c r="CK87" s="61">
        <f>COUNTIF(Spalte2,1)</f>
        <v>1</v>
      </c>
      <c r="CL87" s="61">
        <f>COUNTIF(Spalte2,2)</f>
        <v>1</v>
      </c>
      <c r="CM87" s="61">
        <f>COUNTIF(Spalte2,3)</f>
        <v>1</v>
      </c>
      <c r="CN87" s="61">
        <f>COUNTIF(Spalte2,4)</f>
        <v>1</v>
      </c>
      <c r="CO87" s="61">
        <f>COUNTIF(Spalte2,5)</f>
        <v>1</v>
      </c>
      <c r="CP87" s="61">
        <f>COUNTIF(Spalte2,6)</f>
        <v>1</v>
      </c>
      <c r="CQ87" s="61">
        <f>COUNTIF(Spalte2,7)</f>
        <v>1</v>
      </c>
      <c r="CR87" s="61">
        <f>COUNTIF(Spalte2,8)</f>
        <v>1</v>
      </c>
      <c r="CS87" s="61">
        <f>COUNTIF(Spalte2,9)</f>
        <v>1</v>
      </c>
      <c r="CT87" s="61"/>
      <c r="CU87" s="61"/>
      <c r="CV87" s="61"/>
      <c r="CW87" s="61"/>
      <c r="CX87" s="61"/>
      <c r="EB87" s="43">
        <f>IF(COUNTIF(DJ170:DL172,0)=8,SUM(DJ170:DL172),IF(B87="x",-1,0))</f>
        <v>-1</v>
      </c>
      <c r="EC87" s="39">
        <f>IF(COUNTIF(DM170:DO172,0)=8,SUM(DM170:DO172),IF(C87="x",-1,0))</f>
        <v>-1</v>
      </c>
      <c r="ED87" s="41">
        <f>IF(COUNTIF(DP170:DR172,0)=8,SUM(DP170:DR172),IF(D87="x",-1,0))</f>
        <v>-1</v>
      </c>
      <c r="EE87" s="40">
        <f>IF(COUNTIF(DS170:DU172,0)=8,SUM(DS170:DU172),IF(E87="x",-1,0))</f>
        <v>-1</v>
      </c>
      <c r="EF87" s="39">
        <f>IF(COUNTIF(DV170:DX172,0)=8,SUM(DV170:DX172),IF(F87="x",-1,0))</f>
        <v>-1</v>
      </c>
      <c r="EG87" s="41">
        <f>IF(COUNTIF(DY170:EA172,0)=8,SUM(DY170:EA172),IF(G87="x",-1,0))</f>
        <v>-1</v>
      </c>
      <c r="EH87" s="40">
        <f>IF(COUNTIF(EB170:ED172,0)=8,SUM(EB170:ED172),IF(H87="x",-1,0))</f>
        <v>-1</v>
      </c>
      <c r="EI87" s="39">
        <f>IF(COUNTIF(EE170:EG172,0)=8,SUM(EE170:EG172),IF(I87="x",-1,0))</f>
        <v>-1</v>
      </c>
      <c r="EJ87" s="42">
        <f>IF(COUNTIF(EH170:EJ172,0)=8,SUM(EH170:EJ172),IF(J87="x",-1,0))</f>
        <v>-1</v>
      </c>
      <c r="EK87" s="43">
        <f>IF(COUNTIF(EK170:EM172,0)=8,SUM(EK170:EM172),IF(K87="x",-1,0))</f>
        <v>-1</v>
      </c>
      <c r="EL87" s="39">
        <f>IF(COUNTIF(EN170:EP172,0)=8,SUM(EN170:EP172),IF(L87="x",-1,0))</f>
        <v>0</v>
      </c>
      <c r="EM87" s="41">
        <f>IF(COUNTIF(EQ170:ES172,0)=8,SUM(EQ170:ES172),IF(M87="x",-1,0))</f>
        <v>0</v>
      </c>
      <c r="EN87" s="40">
        <f>IF(COUNTIF(ET170:EV172,0)=8,SUM(ET170:EV172),IF(N87="x",-1,0))</f>
        <v>-1</v>
      </c>
      <c r="EO87" s="39">
        <f>IF(COUNTIF(EW170:EY172,0)=8,SUM(EW170:EY172),IF(O87="x",-1,0))</f>
        <v>-1</v>
      </c>
      <c r="EP87" s="41">
        <f>IF(COUNTIF(EZ170:FB172,0)=8,SUM(EZ170:FB172),IF(P87="x",-1,0))</f>
        <v>0</v>
      </c>
      <c r="EQ87" s="40">
        <f>IF(COUNTIF(FC170:FE172,0)=8,SUM(FC170:FE172),IF(Q87="x",-1,0))</f>
        <v>0</v>
      </c>
      <c r="ER87" s="39">
        <f>IF(COUNTIF(FF170:FH172,0)=8,SUM(FF170:FH172),IF(R87="x",-1,0))</f>
        <v>-1</v>
      </c>
      <c r="ES87" s="42">
        <f>IF(COUNTIF(FI170:FK172,0)=8,SUM(FI170:FK172),IF(S87="x",-1,0))</f>
        <v>-1</v>
      </c>
      <c r="ET87" s="43">
        <f>IF(COUNTIF(FL170:FN172,0)=8,SUM(FL170:FN172),IF(T87="x",-1,0))</f>
        <v>-1</v>
      </c>
      <c r="EU87" s="39">
        <f>IF(COUNTIF(FO170:FQ172,0)=8,SUM(FO170:FQ172),IF(U87="x",-1,0))</f>
        <v>-1</v>
      </c>
      <c r="EV87" s="41">
        <f>IF(COUNTIF(FR170:FT172,0)=8,SUM(FR170:FT172),IF(V87="x",-1,0))</f>
        <v>-1</v>
      </c>
      <c r="EW87" s="40">
        <f>IF(COUNTIF(FU170:FW172,0)=8,SUM(FU170:FW172),IF(W87="x",-1,0))</f>
        <v>-1</v>
      </c>
      <c r="EX87" s="39">
        <f>IF(COUNTIF(FX170:FZ172,0)=8,SUM(FX170:FZ172),IF(X87="x",-1,0))</f>
        <v>-1</v>
      </c>
      <c r="EY87" s="41">
        <f>IF(COUNTIF(GA170:GC172,0)=8,SUM(GA170:GC172),IF(Y87="x",-1,0))</f>
        <v>-1</v>
      </c>
      <c r="EZ87" s="40">
        <f>IF(COUNTIF(GD170:GF172,0)=8,SUM(GD170:GF172),IF(Z87="x",-1,0))</f>
        <v>-1</v>
      </c>
      <c r="FA87" s="39">
        <f>IF(COUNTIF(GG170:GI172,0)=8,SUM(GG170:GI172),IF(AA87="x",-1,0))</f>
        <v>0</v>
      </c>
      <c r="FB87" s="42">
        <f>IF(COUNTIF(GJ170:GL172,0)=8,SUM(GJ170:GL172),IF(AB87="x",-1,0))</f>
        <v>-1</v>
      </c>
      <c r="FF87" s="43">
        <f>IF(EB87=-1,-1,MAX(DJ353:DL355))</f>
        <v>-1</v>
      </c>
      <c r="FG87" s="39">
        <f>IF(EC87=-1,-1,MAX(DM353:DO355))</f>
        <v>-1</v>
      </c>
      <c r="FH87" s="41">
        <f>IF(ED87=-1,-1,MAX(DP353:DR355))</f>
        <v>-1</v>
      </c>
      <c r="FI87" s="40">
        <f>IF(EE87=-1,-1,MAX(DS353:DU355))</f>
        <v>-1</v>
      </c>
      <c r="FJ87" s="39">
        <f>IF(EF87=-1,-1,MAX(DV353:DX355))</f>
        <v>-1</v>
      </c>
      <c r="FK87" s="41">
        <f>IF(EG87=-1,-1,MAX(DY353:EA355))</f>
        <v>-1</v>
      </c>
      <c r="FL87" s="40">
        <f>IF(EH87=-1,-1,MAX(EB353:ED355))</f>
        <v>-1</v>
      </c>
      <c r="FM87" s="39">
        <f>IF(EI87=-1,-1,MAX(EE353:EG355))</f>
        <v>-1</v>
      </c>
      <c r="FN87" s="42">
        <f>IF(EJ87=-1,-1,MAX(EH353:EJ355))</f>
        <v>-1</v>
      </c>
      <c r="FO87" s="43">
        <f>IF(EK87=-1,-1,MAX(EK353:EM355))</f>
        <v>-1</v>
      </c>
      <c r="FP87" s="39">
        <f>IF(EL87=-1,-1,MAX(EN353:EP355))</f>
        <v>7</v>
      </c>
      <c r="FQ87" s="41">
        <f>IF(EM87=-1,-1,MAX(EQ353:ES355))</f>
        <v>0</v>
      </c>
      <c r="FR87" s="40">
        <f>IF(EN87=-1,-1,MAX(ET353:EV355))</f>
        <v>-1</v>
      </c>
      <c r="FS87" s="39">
        <f>IF(EO87=-1,-1,MAX(EW353:EY355))</f>
        <v>-1</v>
      </c>
      <c r="FT87" s="41">
        <f>IF(EP87=-1,-1,MAX(EZ353:FB355))</f>
        <v>0</v>
      </c>
      <c r="FU87" s="40">
        <f>IF(EQ87=-1,-1,MAX(FC353:FE355))</f>
        <v>0</v>
      </c>
      <c r="FV87" s="39">
        <f>IF(ER87=-1,-1,MAX(FF353:FH355))</f>
        <v>-1</v>
      </c>
      <c r="FW87" s="42">
        <f>IF(ES87=-1,-1,MAX(FI353:FK355))</f>
        <v>-1</v>
      </c>
      <c r="FX87" s="43">
        <f>IF(ET87=-1,-1,MAX(FL353:FN355))</f>
        <v>-1</v>
      </c>
      <c r="FY87" s="39">
        <f>IF(EU87=-1,-1,MAX(FO353:FQ355))</f>
        <v>-1</v>
      </c>
      <c r="FZ87" s="41">
        <f>IF(EV87=-1,-1,MAX(FR353:FT355))</f>
        <v>-1</v>
      </c>
      <c r="GA87" s="40">
        <f>IF(EW87=-1,-1,MAX(FU353:FW355))</f>
        <v>-1</v>
      </c>
      <c r="GB87" s="39">
        <f>IF(EX87=-1,-1,MAX(FX353:FZ355))</f>
        <v>-1</v>
      </c>
      <c r="GC87" s="41">
        <f>IF(EY87=-1,-1,MAX(GA353:GC355))</f>
        <v>-1</v>
      </c>
      <c r="GD87" s="40">
        <f>IF(EZ87=-1,-1,MAX(GD353:GF355))</f>
        <v>-1</v>
      </c>
      <c r="GE87" s="39">
        <f>IF(FA87=-1,-1,MAX(GG353:GI355))</f>
        <v>0</v>
      </c>
      <c r="GF87" s="42">
        <f>IF(FB87=-1,-1,MAX(GJ353:GL355))</f>
        <v>-1</v>
      </c>
    </row>
    <row r="88" spans="2:188" ht="15" customHeight="1">
      <c r="B88" s="44" t="str">
        <f t="shared" ref="B88:AB88" si="67">B55</f>
        <v>x</v>
      </c>
      <c r="C88" s="45" t="str">
        <f t="shared" si="67"/>
        <v>x</v>
      </c>
      <c r="D88" s="47" t="str">
        <f t="shared" si="67"/>
        <v>x</v>
      </c>
      <c r="E88" s="46" t="str">
        <f t="shared" si="67"/>
        <v>x</v>
      </c>
      <c r="F88" s="45" t="str">
        <f t="shared" si="67"/>
        <v>x</v>
      </c>
      <c r="G88" s="47" t="str">
        <f t="shared" si="67"/>
        <v>x</v>
      </c>
      <c r="H88" s="46" t="str">
        <f t="shared" si="67"/>
        <v>x</v>
      </c>
      <c r="I88" s="45" t="str">
        <f t="shared" si="67"/>
        <v>x</v>
      </c>
      <c r="J88" s="48" t="str">
        <f t="shared" si="67"/>
        <v>x</v>
      </c>
      <c r="K88" s="44" t="str">
        <f t="shared" si="67"/>
        <v>x</v>
      </c>
      <c r="L88" s="45">
        <f t="shared" si="67"/>
        <v>9</v>
      </c>
      <c r="M88" s="47" t="str">
        <f t="shared" si="67"/>
        <v>x</v>
      </c>
      <c r="N88" s="46">
        <f t="shared" si="67"/>
        <v>2</v>
      </c>
      <c r="O88" s="45">
        <f t="shared" si="67"/>
        <v>3</v>
      </c>
      <c r="P88" s="47" t="str">
        <f t="shared" si="67"/>
        <v>x</v>
      </c>
      <c r="Q88" s="46" t="str">
        <f t="shared" si="67"/>
        <v>x</v>
      </c>
      <c r="R88" s="45" t="str">
        <f t="shared" si="67"/>
        <v>x</v>
      </c>
      <c r="S88" s="48" t="str">
        <f t="shared" si="67"/>
        <v>x</v>
      </c>
      <c r="T88" s="44" t="str">
        <f t="shared" si="67"/>
        <v>x</v>
      </c>
      <c r="U88" s="45" t="str">
        <f t="shared" si="67"/>
        <v>x</v>
      </c>
      <c r="V88" s="47" t="str">
        <f t="shared" si="67"/>
        <v>x</v>
      </c>
      <c r="W88" s="46" t="str">
        <f t="shared" si="67"/>
        <v>x</v>
      </c>
      <c r="X88" s="45" t="str">
        <f t="shared" si="67"/>
        <v>x</v>
      </c>
      <c r="Y88" s="47" t="str">
        <f t="shared" si="67"/>
        <v>x</v>
      </c>
      <c r="Z88" s="46">
        <f t="shared" si="67"/>
        <v>6</v>
      </c>
      <c r="AA88" s="45" t="str">
        <f t="shared" si="67"/>
        <v>x</v>
      </c>
      <c r="AB88" s="48" t="str">
        <f t="shared" si="67"/>
        <v>x</v>
      </c>
      <c r="AS88" s="33"/>
      <c r="CH88" s="59" t="s">
        <v>46</v>
      </c>
      <c r="CI88" s="61"/>
      <c r="CJ88" s="61"/>
      <c r="CK88" s="61">
        <f>COUNTIF(Spalte3,1)</f>
        <v>1</v>
      </c>
      <c r="CL88" s="61">
        <f>COUNTIF(Spalte3,2)</f>
        <v>1</v>
      </c>
      <c r="CM88" s="61">
        <f>COUNTIF(Spalte3,3)</f>
        <v>1</v>
      </c>
      <c r="CN88" s="61">
        <f>COUNTIF(Spalte3,4)</f>
        <v>1</v>
      </c>
      <c r="CO88" s="61">
        <f>COUNTIF(Spalte3,5)</f>
        <v>1</v>
      </c>
      <c r="CP88" s="61">
        <f>COUNTIF(Spalte3,6)</f>
        <v>1</v>
      </c>
      <c r="CQ88" s="61">
        <f>COUNTIF(Spalte3,7)</f>
        <v>1</v>
      </c>
      <c r="CR88" s="61">
        <f>COUNTIF(Spalte3,8)</f>
        <v>1</v>
      </c>
      <c r="CS88" s="61">
        <f>COUNTIF(Spalte3,9)</f>
        <v>1</v>
      </c>
      <c r="CT88" s="61"/>
      <c r="CU88" s="61"/>
      <c r="CV88" s="61"/>
      <c r="CW88" s="61"/>
      <c r="CX88" s="61"/>
      <c r="EB88" s="44">
        <f>IF(COUNTIF(DJ173:DL175,0)=8,SUM(DJ173:DL175),IF(B88="x",-1,0))</f>
        <v>-1</v>
      </c>
      <c r="EC88" s="45">
        <f>IF(COUNTIF(DM173:DO175,0)=8,SUM(DM173:DO175),IF(C88="x",-1,0))</f>
        <v>-1</v>
      </c>
      <c r="ED88" s="47">
        <f>IF(COUNTIF(DP173:DR175,0)=8,SUM(DP173:DR175),IF(D88="x",-1,0))</f>
        <v>-1</v>
      </c>
      <c r="EE88" s="46">
        <f>IF(COUNTIF(DS173:DU175,0)=8,SUM(DS173:DU175),IF(E88="x",-1,0))</f>
        <v>-1</v>
      </c>
      <c r="EF88" s="45">
        <f>IF(COUNTIF(DV173:DX175,0)=8,SUM(DV173:DX175),IF(F88="x",-1,0))</f>
        <v>-1</v>
      </c>
      <c r="EG88" s="47">
        <f>IF(COUNTIF(DY173:EA175,0)=8,SUM(DY173:EA175),IF(G88="x",-1,0))</f>
        <v>-1</v>
      </c>
      <c r="EH88" s="46">
        <f>IF(COUNTIF(EB173:ED175,0)=8,SUM(EB173:ED175),IF(H88="x",-1,0))</f>
        <v>-1</v>
      </c>
      <c r="EI88" s="45">
        <f>IF(COUNTIF(EE173:EG175,0)=8,SUM(EE173:EG175),IF(I88="x",-1,0))</f>
        <v>-1</v>
      </c>
      <c r="EJ88" s="48">
        <f>IF(COUNTIF(EH173:EJ175,0)=8,SUM(EH173:EJ175),IF(J88="x",-1,0))</f>
        <v>-1</v>
      </c>
      <c r="EK88" s="44">
        <f>IF(COUNTIF(EK173:EM175,0)=8,SUM(EK173:EM175),IF(K88="x",-1,0))</f>
        <v>-1</v>
      </c>
      <c r="EL88" s="45">
        <f>IF(COUNTIF(EN173:EP175,0)=8,SUM(EN173:EP175),IF(L88="x",-1,0))</f>
        <v>0</v>
      </c>
      <c r="EM88" s="47">
        <f>IF(COUNTIF(EQ173:ES175,0)=8,SUM(EQ173:ES175),IF(M88="x",-1,0))</f>
        <v>-1</v>
      </c>
      <c r="EN88" s="46">
        <f>IF(COUNTIF(ET173:EV175,0)=8,SUM(ET173:EV175),IF(N88="x",-1,0))</f>
        <v>0</v>
      </c>
      <c r="EO88" s="45">
        <f>IF(COUNTIF(EW173:EY175,0)=8,SUM(EW173:EY175),IF(O88="x",-1,0))</f>
        <v>0</v>
      </c>
      <c r="EP88" s="47">
        <f>IF(COUNTIF(EZ173:FB175,0)=8,SUM(EZ173:FB175),IF(P88="x",-1,0))</f>
        <v>-1</v>
      </c>
      <c r="EQ88" s="46">
        <f>IF(COUNTIF(FC173:FE175,0)=8,SUM(FC173:FE175),IF(Q88="x",-1,0))</f>
        <v>-1</v>
      </c>
      <c r="ER88" s="45">
        <f>IF(COUNTIF(FF173:FH175,0)=8,SUM(FF173:FH175),IF(R88="x",-1,0))</f>
        <v>-1</v>
      </c>
      <c r="ES88" s="48">
        <f>IF(COUNTIF(FI173:FK175,0)=8,SUM(FI173:FK175),IF(S88="x",-1,0))</f>
        <v>-1</v>
      </c>
      <c r="ET88" s="44">
        <f>IF(COUNTIF(FL173:FN175,0)=8,SUM(FL173:FN175),IF(T88="x",-1,0))</f>
        <v>-1</v>
      </c>
      <c r="EU88" s="45">
        <f>IF(COUNTIF(FO173:FQ175,0)=8,SUM(FO173:FQ175),IF(U88="x",-1,0))</f>
        <v>-1</v>
      </c>
      <c r="EV88" s="47">
        <f>IF(COUNTIF(FR173:FT175,0)=8,SUM(FR173:FT175),IF(V88="x",-1,0))</f>
        <v>-1</v>
      </c>
      <c r="EW88" s="46">
        <f>IF(COUNTIF(FU173:FW175,0)=8,SUM(FU173:FW175),IF(W88="x",-1,0))</f>
        <v>-1</v>
      </c>
      <c r="EX88" s="45">
        <f>IF(COUNTIF(FX173:FZ175,0)=8,SUM(FX173:FZ175),IF(X88="x",-1,0))</f>
        <v>-1</v>
      </c>
      <c r="EY88" s="47">
        <f>IF(COUNTIF(GA173:GC175,0)=8,SUM(GA173:GC175),IF(Y88="x",-1,0))</f>
        <v>-1</v>
      </c>
      <c r="EZ88" s="46">
        <f>IF(COUNTIF(GD173:GF175,0)=8,SUM(GD173:GF175),IF(Z88="x",-1,0))</f>
        <v>0</v>
      </c>
      <c r="FA88" s="45">
        <f>IF(COUNTIF(GG173:GI175,0)=8,SUM(GG173:GI175),IF(AA88="x",-1,0))</f>
        <v>-1</v>
      </c>
      <c r="FB88" s="48">
        <f>IF(COUNTIF(GJ173:GL175,0)=8,SUM(GJ173:GL175),IF(AB88="x",-1,0))</f>
        <v>-1</v>
      </c>
      <c r="FF88" s="44">
        <f>IF(EB88=-1,-1,MAX(DJ356:DL358))</f>
        <v>-1</v>
      </c>
      <c r="FG88" s="45">
        <f>IF(EC88=-1,-1,MAX(DM356:DO358))</f>
        <v>-1</v>
      </c>
      <c r="FH88" s="47">
        <f>IF(ED88=-1,-1,MAX(DP356:DR358))</f>
        <v>-1</v>
      </c>
      <c r="FI88" s="46">
        <f>IF(EE88=-1,-1,MAX(DS356:DU358))</f>
        <v>-1</v>
      </c>
      <c r="FJ88" s="45">
        <f>IF(EF88=-1,-1,MAX(DV356:DX358))</f>
        <v>-1</v>
      </c>
      <c r="FK88" s="47">
        <f>IF(EG88=-1,-1,MAX(DY356:EA358))</f>
        <v>-1</v>
      </c>
      <c r="FL88" s="46">
        <f>IF(EH88=-1,-1,MAX(EB356:ED358))</f>
        <v>-1</v>
      </c>
      <c r="FM88" s="45">
        <f>IF(EI88=-1,-1,MAX(EE356:EG358))</f>
        <v>-1</v>
      </c>
      <c r="FN88" s="48">
        <f>IF(EJ88=-1,-1,MAX(EH356:EJ358))</f>
        <v>-1</v>
      </c>
      <c r="FO88" s="44">
        <f>IF(EK88=-1,-1,MAX(EK356:EM358))</f>
        <v>-1</v>
      </c>
      <c r="FP88" s="45">
        <f>IF(EL88=-1,-1,MAX(EN356:EP358))</f>
        <v>0</v>
      </c>
      <c r="FQ88" s="47">
        <f>IF(EM88=-1,-1,MAX(EQ356:ES358))</f>
        <v>-1</v>
      </c>
      <c r="FR88" s="46">
        <f>IF(EN88=-1,-1,MAX(ET356:EV358))</f>
        <v>0</v>
      </c>
      <c r="FS88" s="45">
        <f>IF(EO88=-1,-1,MAX(EW356:EY358))</f>
        <v>0</v>
      </c>
      <c r="FT88" s="47">
        <f>IF(EP88=-1,-1,MAX(EZ356:FB358))</f>
        <v>-1</v>
      </c>
      <c r="FU88" s="46">
        <f>IF(EQ88=-1,-1,MAX(FC356:FE358))</f>
        <v>-1</v>
      </c>
      <c r="FV88" s="45">
        <f>IF(ER88=-1,-1,MAX(FF356:FH358))</f>
        <v>-1</v>
      </c>
      <c r="FW88" s="48">
        <f>IF(ES88=-1,-1,MAX(FI356:FK358))</f>
        <v>-1</v>
      </c>
      <c r="FX88" s="44">
        <f>IF(ET88=-1,-1,MAX(FL356:FN358))</f>
        <v>-1</v>
      </c>
      <c r="FY88" s="45">
        <f>IF(EU88=-1,-1,MAX(FO356:FQ358))</f>
        <v>-1</v>
      </c>
      <c r="FZ88" s="47">
        <f>IF(EV88=-1,-1,MAX(FR356:FT358))</f>
        <v>-1</v>
      </c>
      <c r="GA88" s="46">
        <f>IF(EW88=-1,-1,MAX(FU356:FW358))</f>
        <v>-1</v>
      </c>
      <c r="GB88" s="45">
        <f>IF(EX88=-1,-1,MAX(FX356:FZ358))</f>
        <v>-1</v>
      </c>
      <c r="GC88" s="47">
        <f>IF(EY88=-1,-1,MAX(GA356:GC358))</f>
        <v>-1</v>
      </c>
      <c r="GD88" s="46">
        <f>IF(EZ88=-1,-1,MAX(GD356:GF358))</f>
        <v>0</v>
      </c>
      <c r="GE88" s="45">
        <f>IF(FA88=-1,-1,MAX(GG356:GI358))</f>
        <v>-1</v>
      </c>
      <c r="GF88" s="48">
        <f>IF(FB88=-1,-1,MAX(GJ356:GL358))</f>
        <v>-1</v>
      </c>
    </row>
    <row r="89" spans="2:188" ht="15" customHeight="1">
      <c r="B89" s="49" t="str">
        <f t="shared" ref="B89:AB89" si="68">B56</f>
        <v>x</v>
      </c>
      <c r="C89" s="50" t="str">
        <f t="shared" si="68"/>
        <v>x</v>
      </c>
      <c r="D89" s="51" t="str">
        <f t="shared" si="68"/>
        <v>x</v>
      </c>
      <c r="E89" s="52" t="str">
        <f t="shared" si="68"/>
        <v>x</v>
      </c>
      <c r="F89" s="50" t="str">
        <f t="shared" si="68"/>
        <v>x</v>
      </c>
      <c r="G89" s="51" t="str">
        <f t="shared" si="68"/>
        <v>x</v>
      </c>
      <c r="H89" s="52" t="str">
        <f t="shared" si="68"/>
        <v>x</v>
      </c>
      <c r="I89" s="50" t="str">
        <f t="shared" si="68"/>
        <v>x</v>
      </c>
      <c r="J89" s="53" t="str">
        <f t="shared" si="68"/>
        <v>x</v>
      </c>
      <c r="K89" s="49" t="str">
        <f t="shared" si="68"/>
        <v>x</v>
      </c>
      <c r="L89" s="50" t="str">
        <f t="shared" si="68"/>
        <v>x</v>
      </c>
      <c r="M89" s="51">
        <f t="shared" si="68"/>
        <v>6</v>
      </c>
      <c r="N89" s="52" t="str">
        <f t="shared" si="68"/>
        <v>x</v>
      </c>
      <c r="O89" s="50" t="str">
        <f t="shared" si="68"/>
        <v>x</v>
      </c>
      <c r="P89" s="51">
        <f t="shared" si="68"/>
        <v>4</v>
      </c>
      <c r="Q89" s="52" t="str">
        <f t="shared" si="68"/>
        <v>x</v>
      </c>
      <c r="R89" s="50" t="str">
        <f t="shared" si="68"/>
        <v>x</v>
      </c>
      <c r="S89" s="53" t="str">
        <f t="shared" si="68"/>
        <v>x</v>
      </c>
      <c r="T89" s="49" t="str">
        <f t="shared" si="68"/>
        <v>x</v>
      </c>
      <c r="U89" s="50" t="str">
        <f t="shared" si="68"/>
        <v>x</v>
      </c>
      <c r="V89" s="51" t="str">
        <f t="shared" si="68"/>
        <v>x</v>
      </c>
      <c r="W89" s="52" t="str">
        <f t="shared" si="68"/>
        <v>x</v>
      </c>
      <c r="X89" s="50" t="str">
        <f t="shared" si="68"/>
        <v>x</v>
      </c>
      <c r="Y89" s="51" t="str">
        <f t="shared" si="68"/>
        <v>x</v>
      </c>
      <c r="Z89" s="52">
        <f t="shared" si="68"/>
        <v>8</v>
      </c>
      <c r="AA89" s="50" t="str">
        <f t="shared" si="68"/>
        <v>x</v>
      </c>
      <c r="AB89" s="53" t="str">
        <f t="shared" si="68"/>
        <v>x</v>
      </c>
      <c r="AS89" s="33"/>
      <c r="CH89" s="59" t="s">
        <v>47</v>
      </c>
      <c r="CI89" s="61"/>
      <c r="CJ89" s="61"/>
      <c r="CK89" s="61">
        <f>COUNTIF(Spalte4,1)</f>
        <v>1</v>
      </c>
      <c r="CL89" s="61">
        <f>COUNTIF(Spalte4,2)</f>
        <v>1</v>
      </c>
      <c r="CM89" s="61">
        <f>COUNTIF(Spalte4,3)</f>
        <v>1</v>
      </c>
      <c r="CN89" s="61">
        <f>COUNTIF(Spalte4,4)</f>
        <v>1</v>
      </c>
      <c r="CO89" s="61">
        <f>COUNTIF(Spalte4,5)</f>
        <v>1</v>
      </c>
      <c r="CP89" s="61">
        <f>COUNTIF(Spalte4,6)</f>
        <v>1</v>
      </c>
      <c r="CQ89" s="61">
        <f>COUNTIF(Spalte4,7)</f>
        <v>1</v>
      </c>
      <c r="CR89" s="61">
        <f>COUNTIF(Spalte4,8)</f>
        <v>1</v>
      </c>
      <c r="CS89" s="61">
        <f>COUNTIF(Spalte4,9)</f>
        <v>1</v>
      </c>
      <c r="CT89" s="61"/>
      <c r="CU89" s="61"/>
      <c r="CV89" s="61"/>
      <c r="CW89" s="61"/>
      <c r="CX89" s="61"/>
      <c r="EB89" s="49">
        <f>IF(COUNTIF(DJ176:DL178,0)=8,SUM(DJ176:DL178),IF(B89="x",-1,0))</f>
        <v>-1</v>
      </c>
      <c r="EC89" s="50">
        <f>IF(COUNTIF(DM176:DO178,0)=8,SUM(DM176:DO178),IF(C89="x",-1,0))</f>
        <v>-1</v>
      </c>
      <c r="ED89" s="51">
        <f>IF(COUNTIF(DP176:DR178,0)=8,SUM(DP176:DR178),IF(D89="x",-1,0))</f>
        <v>-1</v>
      </c>
      <c r="EE89" s="52">
        <f>IF(COUNTIF(DS176:DU178,0)=8,SUM(DS176:DU178),IF(E89="x",-1,0))</f>
        <v>-1</v>
      </c>
      <c r="EF89" s="50">
        <f>IF(COUNTIF(DV176:DX178,0)=8,SUM(DV176:DX178),IF(F89="x",-1,0))</f>
        <v>-1</v>
      </c>
      <c r="EG89" s="51">
        <f>IF(COUNTIF(DY176:EA178,0)=8,SUM(DY176:EA178),IF(G89="x",-1,0))</f>
        <v>-1</v>
      </c>
      <c r="EH89" s="52">
        <f>IF(COUNTIF(EB176:ED178,0)=8,SUM(EB176:ED178),IF(H89="x",-1,0))</f>
        <v>-1</v>
      </c>
      <c r="EI89" s="50">
        <f>IF(COUNTIF(EE176:EG178,0)=8,SUM(EE176:EG178),IF(I89="x",-1,0))</f>
        <v>-1</v>
      </c>
      <c r="EJ89" s="53">
        <f>IF(COUNTIF(EH176:EJ178,0)=8,SUM(EH176:EJ178),IF(J89="x",-1,0))</f>
        <v>-1</v>
      </c>
      <c r="EK89" s="49">
        <f>IF(COUNTIF(EK176:EM178,0)=8,SUM(EK176:EM178),IF(K89="x",-1,0))</f>
        <v>-1</v>
      </c>
      <c r="EL89" s="50">
        <f>IF(COUNTIF(EN176:EP178,0)=8,SUM(EN176:EP178),IF(L89="x",-1,0))</f>
        <v>-1</v>
      </c>
      <c r="EM89" s="51">
        <f>IF(COUNTIF(EQ176:ES178,0)=8,SUM(EQ176:ES178),IF(M89="x",-1,0))</f>
        <v>0</v>
      </c>
      <c r="EN89" s="52">
        <f>IF(COUNTIF(ET176:EV178,0)=8,SUM(ET176:EV178),IF(N89="x",-1,0))</f>
        <v>-1</v>
      </c>
      <c r="EO89" s="50">
        <f>IF(COUNTIF(EW176:EY178,0)=8,SUM(EW176:EY178),IF(O89="x",-1,0))</f>
        <v>-1</v>
      </c>
      <c r="EP89" s="51">
        <f>IF(COUNTIF(EZ176:FB178,0)=8,SUM(EZ176:FB178),IF(P89="x",-1,0))</f>
        <v>0</v>
      </c>
      <c r="EQ89" s="52">
        <f>IF(COUNTIF(FC176:FE178,0)=8,SUM(FC176:FE178),IF(Q89="x",-1,0))</f>
        <v>-1</v>
      </c>
      <c r="ER89" s="50">
        <f>IF(COUNTIF(FF176:FH178,0)=8,SUM(FF176:FH178),IF(R89="x",-1,0))</f>
        <v>-1</v>
      </c>
      <c r="ES89" s="53">
        <f>IF(COUNTIF(FI176:FK178,0)=8,SUM(FI176:FK178),IF(S89="x",-1,0))</f>
        <v>-1</v>
      </c>
      <c r="ET89" s="49">
        <f>IF(COUNTIF(FL176:FN178,0)=8,SUM(FL176:FN178),IF(T89="x",-1,0))</f>
        <v>-1</v>
      </c>
      <c r="EU89" s="50">
        <f>IF(COUNTIF(FO176:FQ178,0)=8,SUM(FO176:FQ178),IF(U89="x",-1,0))</f>
        <v>-1</v>
      </c>
      <c r="EV89" s="51">
        <f>IF(COUNTIF(FR176:FT178,0)=8,SUM(FR176:FT178),IF(V89="x",-1,0))</f>
        <v>-1</v>
      </c>
      <c r="EW89" s="52">
        <f>IF(COUNTIF(FU176:FW178,0)=8,SUM(FU176:FW178),IF(W89="x",-1,0))</f>
        <v>-1</v>
      </c>
      <c r="EX89" s="50">
        <f>IF(COUNTIF(FX176:FZ178,0)=8,SUM(FX176:FZ178),IF(X89="x",-1,0))</f>
        <v>-1</v>
      </c>
      <c r="EY89" s="51">
        <f>IF(COUNTIF(GA176:GC178,0)=8,SUM(GA176:GC178),IF(Y89="x",-1,0))</f>
        <v>-1</v>
      </c>
      <c r="EZ89" s="52">
        <f>IF(COUNTIF(GD176:GF178,0)=8,SUM(GD176:GF178),IF(Z89="x",-1,0))</f>
        <v>0</v>
      </c>
      <c r="FA89" s="50">
        <f>IF(COUNTIF(GG176:GI178,0)=8,SUM(GG176:GI178),IF(AA89="x",-1,0))</f>
        <v>-1</v>
      </c>
      <c r="FB89" s="53">
        <f>IF(COUNTIF(GJ176:GL178,0)=8,SUM(GJ176:GL178),IF(AB89="x",-1,0))</f>
        <v>-1</v>
      </c>
      <c r="FF89" s="49">
        <f>IF(EB89=-1,-1,MAX(DJ359:DL361))</f>
        <v>-1</v>
      </c>
      <c r="FG89" s="50">
        <f>IF(EC89=-1,-1,MAX(DM359:DO361))</f>
        <v>-1</v>
      </c>
      <c r="FH89" s="51">
        <f>IF(ED89=-1,-1,MAX(DP359:DR361))</f>
        <v>-1</v>
      </c>
      <c r="FI89" s="52">
        <f>IF(EE89=-1,-1,MAX(DS359:DU361))</f>
        <v>-1</v>
      </c>
      <c r="FJ89" s="50">
        <f>IF(EF89=-1,-1,MAX(DV359:DX361))</f>
        <v>-1</v>
      </c>
      <c r="FK89" s="51">
        <f>IF(EG89=-1,-1,MAX(DY359:EA361))</f>
        <v>-1</v>
      </c>
      <c r="FL89" s="52">
        <f>IF(EH89=-1,-1,MAX(EB359:ED361))</f>
        <v>-1</v>
      </c>
      <c r="FM89" s="50">
        <f>IF(EI89=-1,-1,MAX(EE359:EG361))</f>
        <v>-1</v>
      </c>
      <c r="FN89" s="53">
        <f>IF(EJ89=-1,-1,MAX(EH359:EJ361))</f>
        <v>-1</v>
      </c>
      <c r="FO89" s="49">
        <f>IF(EK89=-1,-1,MAX(EK359:EM361))</f>
        <v>-1</v>
      </c>
      <c r="FP89" s="50">
        <f>IF(EL89=-1,-1,MAX(EN359:EP361))</f>
        <v>-1</v>
      </c>
      <c r="FQ89" s="51">
        <f>IF(EM89=-1,-1,MAX(EQ359:ES361))</f>
        <v>0</v>
      </c>
      <c r="FR89" s="52">
        <f>IF(EN89=-1,-1,MAX(ET359:EV361))</f>
        <v>-1</v>
      </c>
      <c r="FS89" s="50">
        <f>IF(EO89=-1,-1,MAX(EW359:EY361))</f>
        <v>-1</v>
      </c>
      <c r="FT89" s="51">
        <f>IF(EP89=-1,-1,MAX(EZ359:FB361))</f>
        <v>0</v>
      </c>
      <c r="FU89" s="52">
        <f>IF(EQ89=-1,-1,MAX(FC359:FE361))</f>
        <v>-1</v>
      </c>
      <c r="FV89" s="50">
        <f>IF(ER89=-1,-1,MAX(FF359:FH361))</f>
        <v>-1</v>
      </c>
      <c r="FW89" s="53">
        <f>IF(ES89=-1,-1,MAX(FI359:FK361))</f>
        <v>-1</v>
      </c>
      <c r="FX89" s="49">
        <f>IF(ET89=-1,-1,MAX(FL359:FN361))</f>
        <v>-1</v>
      </c>
      <c r="FY89" s="50">
        <f>IF(EU89=-1,-1,MAX(FO359:FQ361))</f>
        <v>-1</v>
      </c>
      <c r="FZ89" s="51">
        <f>IF(EV89=-1,-1,MAX(FR359:FT361))</f>
        <v>-1</v>
      </c>
      <c r="GA89" s="52">
        <f>IF(EW89=-1,-1,MAX(FU359:FW361))</f>
        <v>-1</v>
      </c>
      <c r="GB89" s="50">
        <f>IF(EX89=-1,-1,MAX(FX359:FZ361))</f>
        <v>-1</v>
      </c>
      <c r="GC89" s="51">
        <f>IF(EY89=-1,-1,MAX(GA359:GC361))</f>
        <v>-1</v>
      </c>
      <c r="GD89" s="52">
        <f>IF(EZ89=-1,-1,MAX(GD359:GF361))</f>
        <v>0</v>
      </c>
      <c r="GE89" s="50">
        <f>IF(FA89=-1,-1,MAX(GG359:GI361))</f>
        <v>-1</v>
      </c>
      <c r="GF89" s="53">
        <f>IF(FB89=-1,-1,MAX(GJ359:GL361))</f>
        <v>-1</v>
      </c>
    </row>
    <row r="90" spans="2:188" ht="15" customHeight="1">
      <c r="B90" s="43" t="str">
        <f t="shared" ref="B90:AB90" si="69">B57</f>
        <v>x</v>
      </c>
      <c r="C90" s="39" t="str">
        <f t="shared" si="69"/>
        <v>x</v>
      </c>
      <c r="D90" s="41">
        <f t="shared" si="69"/>
        <v>7</v>
      </c>
      <c r="E90" s="40" t="str">
        <f t="shared" si="69"/>
        <v>x</v>
      </c>
      <c r="F90" s="39" t="str">
        <f t="shared" si="69"/>
        <v>x</v>
      </c>
      <c r="G90" s="41" t="str">
        <f t="shared" si="69"/>
        <v>x</v>
      </c>
      <c r="H90" s="40" t="str">
        <f t="shared" si="69"/>
        <v>x</v>
      </c>
      <c r="I90" s="39" t="str">
        <f t="shared" si="69"/>
        <v>x</v>
      </c>
      <c r="J90" s="42" t="str">
        <f t="shared" si="69"/>
        <v>x</v>
      </c>
      <c r="K90" s="43" t="str">
        <f t="shared" si="69"/>
        <v>x</v>
      </c>
      <c r="L90" s="39" t="str">
        <f t="shared" si="69"/>
        <v>x</v>
      </c>
      <c r="M90" s="41" t="str">
        <f t="shared" si="69"/>
        <v>x</v>
      </c>
      <c r="N90" s="40" t="str">
        <f t="shared" si="69"/>
        <v>x</v>
      </c>
      <c r="O90" s="39" t="str">
        <f t="shared" si="69"/>
        <v>x</v>
      </c>
      <c r="P90" s="41" t="str">
        <f t="shared" si="69"/>
        <v>x</v>
      </c>
      <c r="Q90" s="40" t="str">
        <f t="shared" si="69"/>
        <v>x</v>
      </c>
      <c r="R90" s="39" t="str">
        <f t="shared" si="69"/>
        <v>x</v>
      </c>
      <c r="S90" s="42" t="str">
        <f t="shared" si="69"/>
        <v>x</v>
      </c>
      <c r="T90" s="43" t="str">
        <f t="shared" si="69"/>
        <v>x</v>
      </c>
      <c r="U90" s="39" t="str">
        <f t="shared" si="69"/>
        <v>x</v>
      </c>
      <c r="V90" s="41" t="str">
        <f t="shared" si="69"/>
        <v>x</v>
      </c>
      <c r="W90" s="40" t="str">
        <f t="shared" si="69"/>
        <v>x</v>
      </c>
      <c r="X90" s="39" t="str">
        <f t="shared" si="69"/>
        <v>x</v>
      </c>
      <c r="Y90" s="41" t="str">
        <f t="shared" si="69"/>
        <v>x</v>
      </c>
      <c r="Z90" s="40">
        <f t="shared" si="69"/>
        <v>2</v>
      </c>
      <c r="AA90" s="39">
        <f t="shared" si="69"/>
        <v>4</v>
      </c>
      <c r="AB90" s="42" t="str">
        <f t="shared" si="69"/>
        <v>x</v>
      </c>
      <c r="AS90" s="33"/>
      <c r="CH90" s="59" t="s">
        <v>48</v>
      </c>
      <c r="CI90" s="61"/>
      <c r="CJ90" s="61"/>
      <c r="CK90" s="61">
        <f>COUNTIF(Spalte5,1)</f>
        <v>1</v>
      </c>
      <c r="CL90" s="61">
        <f>COUNTIF(Spalte5,2)</f>
        <v>1</v>
      </c>
      <c r="CM90" s="61">
        <f>COUNTIF(Spalte5,3)</f>
        <v>1</v>
      </c>
      <c r="CN90" s="61">
        <f>COUNTIF(Spalte5,4)</f>
        <v>1</v>
      </c>
      <c r="CO90" s="61">
        <f>COUNTIF(Spalte5,5)</f>
        <v>1</v>
      </c>
      <c r="CP90" s="61">
        <f>COUNTIF(Spalte5,6)</f>
        <v>1</v>
      </c>
      <c r="CQ90" s="61">
        <f>COUNTIF(Spalte5,7)</f>
        <v>1</v>
      </c>
      <c r="CR90" s="61">
        <f>COUNTIF(Spalte5,8)</f>
        <v>1</v>
      </c>
      <c r="CS90" s="61">
        <f>COUNTIF(Spalte5,9)</f>
        <v>1</v>
      </c>
      <c r="CT90" s="61"/>
      <c r="CU90" s="61"/>
      <c r="CV90" s="61"/>
      <c r="CW90" s="61"/>
      <c r="CX90" s="61"/>
      <c r="EB90" s="43">
        <f>IF(COUNTIF(DJ179:DL181,0)=8,SUM(DJ179:DL181),IF(B90="x",-1,0))</f>
        <v>-1</v>
      </c>
      <c r="EC90" s="39">
        <f>IF(COUNTIF(DM179:DO181,0)=8,SUM(DM179:DO181),IF(C90="x",-1,0))</f>
        <v>-1</v>
      </c>
      <c r="ED90" s="41">
        <f>IF(COUNTIF(DP179:DR181,0)=8,SUM(DP179:DR181),IF(D90="x",-1,0))</f>
        <v>0</v>
      </c>
      <c r="EE90" s="40">
        <f>IF(COUNTIF(DS179:DU181,0)=8,SUM(DS179:DU181),IF(E90="x",-1,0))</f>
        <v>-1</v>
      </c>
      <c r="EF90" s="39">
        <f>IF(COUNTIF(DV179:DX181,0)=8,SUM(DV179:DX181),IF(F90="x",-1,0))</f>
        <v>-1</v>
      </c>
      <c r="EG90" s="41">
        <f>IF(COUNTIF(DY179:EA181,0)=8,SUM(DY179:EA181),IF(G90="x",-1,0))</f>
        <v>-1</v>
      </c>
      <c r="EH90" s="40">
        <f>IF(COUNTIF(EB179:ED181,0)=8,SUM(EB179:ED181),IF(H90="x",-1,0))</f>
        <v>-1</v>
      </c>
      <c r="EI90" s="39">
        <f>IF(COUNTIF(EE179:EG181,0)=8,SUM(EE179:EG181),IF(I90="x",-1,0))</f>
        <v>-1</v>
      </c>
      <c r="EJ90" s="42">
        <f>IF(COUNTIF(EH179:EJ181,0)=8,SUM(EH179:EJ181),IF(J90="x",-1,0))</f>
        <v>-1</v>
      </c>
      <c r="EK90" s="43">
        <f>IF(COUNTIF(EK179:EM181,0)=8,SUM(EK179:EM181),IF(K90="x",-1,0))</f>
        <v>-1</v>
      </c>
      <c r="EL90" s="39">
        <f>IF(COUNTIF(EN179:EP181,0)=8,SUM(EN179:EP181),IF(L90="x",-1,0))</f>
        <v>-1</v>
      </c>
      <c r="EM90" s="41">
        <f>IF(COUNTIF(EQ179:ES181,0)=8,SUM(EQ179:ES181),IF(M90="x",-1,0))</f>
        <v>-1</v>
      </c>
      <c r="EN90" s="40">
        <f>IF(COUNTIF(ET179:EV181,0)=8,SUM(ET179:EV181),IF(N90="x",-1,0))</f>
        <v>-1</v>
      </c>
      <c r="EO90" s="39">
        <f>IF(COUNTIF(EW179:EY181,0)=8,SUM(EW179:EY181),IF(O90="x",-1,0))</f>
        <v>-1</v>
      </c>
      <c r="EP90" s="41">
        <f>IF(COUNTIF(EZ179:FB181,0)=8,SUM(EZ179:FB181),IF(P90="x",-1,0))</f>
        <v>-1</v>
      </c>
      <c r="EQ90" s="40">
        <f>IF(COUNTIF(FC179:FE181,0)=8,SUM(FC179:FE181),IF(Q90="x",-1,0))</f>
        <v>-1</v>
      </c>
      <c r="ER90" s="39">
        <f>IF(COUNTIF(FF179:FH181,0)=8,SUM(FF179:FH181),IF(R90="x",-1,0))</f>
        <v>-1</v>
      </c>
      <c r="ES90" s="42">
        <f>IF(COUNTIF(FI179:FK181,0)=8,SUM(FI179:FK181),IF(S90="x",-1,0))</f>
        <v>-1</v>
      </c>
      <c r="ET90" s="43">
        <f>IF(COUNTIF(FL179:FN181,0)=8,SUM(FL179:FN181),IF(T90="x",-1,0))</f>
        <v>-1</v>
      </c>
      <c r="EU90" s="39">
        <f>IF(COUNTIF(FO179:FQ181,0)=8,SUM(FO179:FQ181),IF(U90="x",-1,0))</f>
        <v>-1</v>
      </c>
      <c r="EV90" s="41">
        <f>IF(COUNTIF(FR179:FT181,0)=8,SUM(FR179:FT181),IF(V90="x",-1,0))</f>
        <v>-1</v>
      </c>
      <c r="EW90" s="40">
        <f>IF(COUNTIF(FU179:FW181,0)=8,SUM(FU179:FW181),IF(W90="x",-1,0))</f>
        <v>-1</v>
      </c>
      <c r="EX90" s="39">
        <f>IF(COUNTIF(FX179:FZ181,0)=8,SUM(FX179:FZ181),IF(X90="x",-1,0))</f>
        <v>-1</v>
      </c>
      <c r="EY90" s="41">
        <f>IF(COUNTIF(GA179:GC181,0)=8,SUM(GA179:GC181),IF(Y90="x",-1,0))</f>
        <v>-1</v>
      </c>
      <c r="EZ90" s="40">
        <f>IF(COUNTIF(GD179:GF181,0)=8,SUM(GD179:GF181),IF(Z90="x",-1,0))</f>
        <v>0</v>
      </c>
      <c r="FA90" s="39">
        <f>IF(COUNTIF(GG179:GI181,0)=8,SUM(GG179:GI181),IF(AA90="x",-1,0))</f>
        <v>0</v>
      </c>
      <c r="FB90" s="42">
        <f>IF(COUNTIF(GJ179:GL181,0)=8,SUM(GJ179:GL181),IF(AB90="x",-1,0))</f>
        <v>-1</v>
      </c>
      <c r="FF90" s="43">
        <f>IF(EB90=-1,-1,MAX(DJ362:DL364))</f>
        <v>-1</v>
      </c>
      <c r="FG90" s="39">
        <f>IF(EC90=-1,-1,MAX(DM362:DO364))</f>
        <v>-1</v>
      </c>
      <c r="FH90" s="41">
        <f>IF(ED90=-1,-1,MAX(DP362:DR364))</f>
        <v>0</v>
      </c>
      <c r="FI90" s="40">
        <f>IF(EE90=-1,-1,MAX(DS362:DU364))</f>
        <v>-1</v>
      </c>
      <c r="FJ90" s="39">
        <f>IF(EF90=-1,-1,MAX(DV362:DX364))</f>
        <v>-1</v>
      </c>
      <c r="FK90" s="41">
        <f>IF(EG90=-1,-1,MAX(DY362:EA364))</f>
        <v>-1</v>
      </c>
      <c r="FL90" s="40">
        <f>IF(EH90=-1,-1,MAX(EB362:ED364))</f>
        <v>-1</v>
      </c>
      <c r="FM90" s="39">
        <f>IF(EI90=-1,-1,MAX(EE362:EG364))</f>
        <v>-1</v>
      </c>
      <c r="FN90" s="42">
        <f>IF(EJ90=-1,-1,MAX(EH362:EJ364))</f>
        <v>-1</v>
      </c>
      <c r="FO90" s="43">
        <f>IF(EK90=-1,-1,MAX(EK362:EM364))</f>
        <v>-1</v>
      </c>
      <c r="FP90" s="39">
        <f>IF(EL90=-1,-1,MAX(EN362:EP364))</f>
        <v>-1</v>
      </c>
      <c r="FQ90" s="41">
        <f>IF(EM90=-1,-1,MAX(EQ362:ES364))</f>
        <v>-1</v>
      </c>
      <c r="FR90" s="40">
        <f>IF(EN90=-1,-1,MAX(ET362:EV364))</f>
        <v>-1</v>
      </c>
      <c r="FS90" s="39">
        <f>IF(EO90=-1,-1,MAX(EW362:EY364))</f>
        <v>-1</v>
      </c>
      <c r="FT90" s="41">
        <f>IF(EP90=-1,-1,MAX(EZ362:FB364))</f>
        <v>-1</v>
      </c>
      <c r="FU90" s="40">
        <f>IF(EQ90=-1,-1,MAX(FC362:FE364))</f>
        <v>-1</v>
      </c>
      <c r="FV90" s="39">
        <f>IF(ER90=-1,-1,MAX(FF362:FH364))</f>
        <v>-1</v>
      </c>
      <c r="FW90" s="42">
        <f>IF(ES90=-1,-1,MAX(FI362:FK364))</f>
        <v>-1</v>
      </c>
      <c r="FX90" s="43">
        <f>IF(ET90=-1,-1,MAX(FL362:FN364))</f>
        <v>-1</v>
      </c>
      <c r="FY90" s="39">
        <f>IF(EU90=-1,-1,MAX(FO362:FQ364))</f>
        <v>-1</v>
      </c>
      <c r="FZ90" s="41">
        <f>IF(EV90=-1,-1,MAX(FR362:FT364))</f>
        <v>-1</v>
      </c>
      <c r="GA90" s="40">
        <f>IF(EW90=-1,-1,MAX(FU362:FW364))</f>
        <v>-1</v>
      </c>
      <c r="GB90" s="39">
        <f>IF(EX90=-1,-1,MAX(FX362:FZ364))</f>
        <v>-1</v>
      </c>
      <c r="GC90" s="41">
        <f>IF(EY90=-1,-1,MAX(GA362:GC364))</f>
        <v>-1</v>
      </c>
      <c r="GD90" s="40">
        <f>IF(EZ90=-1,-1,MAX(GD362:GF364))</f>
        <v>0</v>
      </c>
      <c r="GE90" s="39">
        <f>IF(FA90=-1,-1,MAX(GG362:GI364))</f>
        <v>0</v>
      </c>
      <c r="GF90" s="42">
        <f>IF(FB90=-1,-1,MAX(GJ362:GL364))</f>
        <v>-1</v>
      </c>
    </row>
    <row r="91" spans="2:188" ht="15" customHeight="1">
      <c r="B91" s="44">
        <f t="shared" ref="B91:AB91" si="70">B58</f>
        <v>1</v>
      </c>
      <c r="C91" s="45">
        <f t="shared" si="70"/>
        <v>2</v>
      </c>
      <c r="D91" s="47">
        <f t="shared" si="70"/>
        <v>5</v>
      </c>
      <c r="E91" s="46">
        <f t="shared" si="70"/>
        <v>6</v>
      </c>
      <c r="F91" s="45" t="str">
        <f t="shared" si="70"/>
        <v>x</v>
      </c>
      <c r="G91" s="47" t="str">
        <f t="shared" si="70"/>
        <v>x</v>
      </c>
      <c r="H91" s="46" t="str">
        <f t="shared" si="70"/>
        <v>x</v>
      </c>
      <c r="I91" s="45" t="str">
        <f t="shared" si="70"/>
        <v>x</v>
      </c>
      <c r="J91" s="48" t="str">
        <f t="shared" si="70"/>
        <v>x</v>
      </c>
      <c r="K91" s="44" t="str">
        <f t="shared" si="70"/>
        <v>x</v>
      </c>
      <c r="L91" s="45" t="str">
        <f t="shared" si="70"/>
        <v>x</v>
      </c>
      <c r="M91" s="47" t="str">
        <f t="shared" si="70"/>
        <v>x</v>
      </c>
      <c r="N91" s="46" t="str">
        <f t="shared" si="70"/>
        <v>x</v>
      </c>
      <c r="O91" s="45" t="str">
        <f t="shared" si="70"/>
        <v>x</v>
      </c>
      <c r="P91" s="47" t="str">
        <f t="shared" si="70"/>
        <v>x</v>
      </c>
      <c r="Q91" s="46" t="str">
        <f t="shared" si="70"/>
        <v>x</v>
      </c>
      <c r="R91" s="45" t="str">
        <f t="shared" si="70"/>
        <v>x</v>
      </c>
      <c r="S91" s="48" t="str">
        <f t="shared" si="70"/>
        <v>x</v>
      </c>
      <c r="T91" s="44" t="str">
        <f t="shared" si="70"/>
        <v>x</v>
      </c>
      <c r="U91" s="45" t="str">
        <f t="shared" si="70"/>
        <v>x</v>
      </c>
      <c r="V91" s="47" t="str">
        <f t="shared" si="70"/>
        <v>x</v>
      </c>
      <c r="W91" s="46" t="str">
        <f t="shared" si="70"/>
        <v>x</v>
      </c>
      <c r="X91" s="45" t="str">
        <f t="shared" si="70"/>
        <v>x</v>
      </c>
      <c r="Y91" s="47" t="str">
        <f t="shared" si="70"/>
        <v>x</v>
      </c>
      <c r="Z91" s="46" t="str">
        <f t="shared" si="70"/>
        <v>x</v>
      </c>
      <c r="AA91" s="45">
        <f t="shared" si="70"/>
        <v>7</v>
      </c>
      <c r="AB91" s="48" t="str">
        <f t="shared" si="70"/>
        <v>x</v>
      </c>
      <c r="AS91" s="33"/>
      <c r="CH91" s="59" t="s">
        <v>49</v>
      </c>
      <c r="CI91" s="61"/>
      <c r="CJ91" s="61"/>
      <c r="CK91" s="61">
        <f>COUNTIF(Spalte6,1)</f>
        <v>1</v>
      </c>
      <c r="CL91" s="61">
        <f>COUNTIF(Spalte6,2)</f>
        <v>1</v>
      </c>
      <c r="CM91" s="61">
        <f>COUNTIF(Spalte6,3)</f>
        <v>1</v>
      </c>
      <c r="CN91" s="61">
        <f>COUNTIF(Spalte6,4)</f>
        <v>1</v>
      </c>
      <c r="CO91" s="61">
        <f>COUNTIF(Spalte6,5)</f>
        <v>1</v>
      </c>
      <c r="CP91" s="61">
        <f>COUNTIF(Spalte6,6)</f>
        <v>1</v>
      </c>
      <c r="CQ91" s="61">
        <f>COUNTIF(Spalte6,7)</f>
        <v>1</v>
      </c>
      <c r="CR91" s="61">
        <f>COUNTIF(Spalte6,8)</f>
        <v>1</v>
      </c>
      <c r="CS91" s="61">
        <f>COUNTIF(Spalte6,9)</f>
        <v>1</v>
      </c>
      <c r="CT91" s="61"/>
      <c r="CU91" s="61"/>
      <c r="CV91" s="61"/>
      <c r="CW91" s="61"/>
      <c r="CX91" s="61"/>
      <c r="EB91" s="44">
        <f>IF(COUNTIF(DJ182:DL184,0)=8,SUM(DJ182:DL184),IF(B91="x",-1,0))</f>
        <v>0</v>
      </c>
      <c r="EC91" s="45">
        <f>IF(COUNTIF(DM182:DO184,0)=8,SUM(DM182:DO184),IF(C91="x",-1,0))</f>
        <v>0</v>
      </c>
      <c r="ED91" s="47">
        <f>IF(COUNTIF(DP182:DR184,0)=8,SUM(DP182:DR184),IF(D91="x",-1,0))</f>
        <v>5</v>
      </c>
      <c r="EE91" s="46">
        <f>IF(COUNTIF(DS182:DU184,0)=8,SUM(DS182:DU184),IF(E91="x",-1,0))</f>
        <v>0</v>
      </c>
      <c r="EF91" s="45">
        <f>IF(COUNTIF(DV182:DX184,0)=8,SUM(DV182:DX184),IF(F91="x",-1,0))</f>
        <v>-1</v>
      </c>
      <c r="EG91" s="47">
        <f>IF(COUNTIF(DY182:EA184,0)=8,SUM(DY182:EA184),IF(G91="x",-1,0))</f>
        <v>-1</v>
      </c>
      <c r="EH91" s="46">
        <f>IF(COUNTIF(EB182:ED184,0)=8,SUM(EB182:ED184),IF(H91="x",-1,0))</f>
        <v>-1</v>
      </c>
      <c r="EI91" s="45">
        <f>IF(COUNTIF(EE182:EG184,0)=8,SUM(EE182:EG184),IF(I91="x",-1,0))</f>
        <v>-1</v>
      </c>
      <c r="EJ91" s="48">
        <f>IF(COUNTIF(EH182:EJ184,0)=8,SUM(EH182:EJ184),IF(J91="x",-1,0))</f>
        <v>-1</v>
      </c>
      <c r="EK91" s="44">
        <f>IF(COUNTIF(EK182:EM184,0)=8,SUM(EK182:EM184),IF(K91="x",-1,0))</f>
        <v>-1</v>
      </c>
      <c r="EL91" s="45">
        <f>IF(COUNTIF(EN182:EP184,0)=8,SUM(EN182:EP184),IF(L91="x",-1,0))</f>
        <v>-1</v>
      </c>
      <c r="EM91" s="47">
        <f>IF(COUNTIF(EQ182:ES184,0)=8,SUM(EQ182:ES184),IF(M91="x",-1,0))</f>
        <v>-1</v>
      </c>
      <c r="EN91" s="46">
        <f>IF(COUNTIF(ET182:EV184,0)=8,SUM(ET182:EV184),IF(N91="x",-1,0))</f>
        <v>-1</v>
      </c>
      <c r="EO91" s="45">
        <f>IF(COUNTIF(EW182:EY184,0)=8,SUM(EW182:EY184),IF(O91="x",-1,0))</f>
        <v>-1</v>
      </c>
      <c r="EP91" s="47">
        <f>IF(COUNTIF(EZ182:FB184,0)=8,SUM(EZ182:FB184),IF(P91="x",-1,0))</f>
        <v>-1</v>
      </c>
      <c r="EQ91" s="46">
        <f>IF(COUNTIF(FC182:FE184,0)=8,SUM(FC182:FE184),IF(Q91="x",-1,0))</f>
        <v>-1</v>
      </c>
      <c r="ER91" s="45">
        <f>IF(COUNTIF(FF182:FH184,0)=8,SUM(FF182:FH184),IF(R91="x",-1,0))</f>
        <v>-1</v>
      </c>
      <c r="ES91" s="48">
        <f>IF(COUNTIF(FI182:FK184,0)=8,SUM(FI182:FK184),IF(S91="x",-1,0))</f>
        <v>-1</v>
      </c>
      <c r="ET91" s="44">
        <f>IF(COUNTIF(FL182:FN184,0)=8,SUM(FL182:FN184),IF(T91="x",-1,0))</f>
        <v>-1</v>
      </c>
      <c r="EU91" s="45">
        <f>IF(COUNTIF(FO182:FQ184,0)=8,SUM(FO182:FQ184),IF(U91="x",-1,0))</f>
        <v>-1</v>
      </c>
      <c r="EV91" s="47">
        <f>IF(COUNTIF(FR182:FT184,0)=8,SUM(FR182:FT184),IF(V91="x",-1,0))</f>
        <v>-1</v>
      </c>
      <c r="EW91" s="46">
        <f>IF(COUNTIF(FU182:FW184,0)=8,SUM(FU182:FW184),IF(W91="x",-1,0))</f>
        <v>-1</v>
      </c>
      <c r="EX91" s="45">
        <f>IF(COUNTIF(FX182:FZ184,0)=8,SUM(FX182:FZ184),IF(X91="x",-1,0))</f>
        <v>-1</v>
      </c>
      <c r="EY91" s="47">
        <f>IF(COUNTIF(GA182:GC184,0)=8,SUM(GA182:GC184),IF(Y91="x",-1,0))</f>
        <v>-1</v>
      </c>
      <c r="EZ91" s="46">
        <f>IF(COUNTIF(GD182:GF184,0)=8,SUM(GD182:GF184),IF(Z91="x",-1,0))</f>
        <v>-1</v>
      </c>
      <c r="FA91" s="45">
        <f>IF(COUNTIF(GG182:GI184,0)=8,SUM(GG182:GI184),IF(AA91="x",-1,0))</f>
        <v>0</v>
      </c>
      <c r="FB91" s="48">
        <f>IF(COUNTIF(GJ182:GL184,0)=8,SUM(GJ182:GL184),IF(AB91="x",-1,0))</f>
        <v>-1</v>
      </c>
      <c r="FF91" s="44">
        <f>IF(EB91=-1,-1,MAX(DJ365:DL367))</f>
        <v>0</v>
      </c>
      <c r="FG91" s="45">
        <f>IF(EC91=-1,-1,MAX(DM365:DO367))</f>
        <v>0</v>
      </c>
      <c r="FH91" s="47">
        <f>IF(ED91=-1,-1,MAX(DP365:DR367))</f>
        <v>5</v>
      </c>
      <c r="FI91" s="46">
        <f>IF(EE91=-1,-1,MAX(DS365:DU367))</f>
        <v>0</v>
      </c>
      <c r="FJ91" s="45">
        <f>IF(EF91=-1,-1,MAX(DV365:DX367))</f>
        <v>-1</v>
      </c>
      <c r="FK91" s="47">
        <f>IF(EG91=-1,-1,MAX(DY365:EA367))</f>
        <v>-1</v>
      </c>
      <c r="FL91" s="46">
        <f>IF(EH91=-1,-1,MAX(EB365:ED367))</f>
        <v>-1</v>
      </c>
      <c r="FM91" s="45">
        <f>IF(EI91=-1,-1,MAX(EE365:EG367))</f>
        <v>-1</v>
      </c>
      <c r="FN91" s="48">
        <f>IF(EJ91=-1,-1,MAX(EH365:EJ367))</f>
        <v>-1</v>
      </c>
      <c r="FO91" s="44">
        <f>IF(EK91=-1,-1,MAX(EK365:EM367))</f>
        <v>-1</v>
      </c>
      <c r="FP91" s="45">
        <f>IF(EL91=-1,-1,MAX(EN365:EP367))</f>
        <v>-1</v>
      </c>
      <c r="FQ91" s="47">
        <f>IF(EM91=-1,-1,MAX(EQ365:ES367))</f>
        <v>-1</v>
      </c>
      <c r="FR91" s="46">
        <f>IF(EN91=-1,-1,MAX(ET365:EV367))</f>
        <v>-1</v>
      </c>
      <c r="FS91" s="45">
        <f>IF(EO91=-1,-1,MAX(EW365:EY367))</f>
        <v>-1</v>
      </c>
      <c r="FT91" s="47">
        <f>IF(EP91=-1,-1,MAX(EZ365:FB367))</f>
        <v>-1</v>
      </c>
      <c r="FU91" s="46">
        <f>IF(EQ91=-1,-1,MAX(FC365:FE367))</f>
        <v>-1</v>
      </c>
      <c r="FV91" s="45">
        <f>IF(ER91=-1,-1,MAX(FF365:FH367))</f>
        <v>-1</v>
      </c>
      <c r="FW91" s="48">
        <f>IF(ES91=-1,-1,MAX(FI365:FK367))</f>
        <v>-1</v>
      </c>
      <c r="FX91" s="44">
        <f>IF(ET91=-1,-1,MAX(FL365:FN367))</f>
        <v>-1</v>
      </c>
      <c r="FY91" s="45">
        <f>IF(EU91=-1,-1,MAX(FO365:FQ367))</f>
        <v>-1</v>
      </c>
      <c r="FZ91" s="47">
        <f>IF(EV91=-1,-1,MAX(FR365:FT367))</f>
        <v>-1</v>
      </c>
      <c r="GA91" s="46">
        <f>IF(EW91=-1,-1,MAX(FU365:FW367))</f>
        <v>-1</v>
      </c>
      <c r="GB91" s="45">
        <f>IF(EX91=-1,-1,MAX(FX365:FZ367))</f>
        <v>-1</v>
      </c>
      <c r="GC91" s="47">
        <f>IF(EY91=-1,-1,MAX(GA365:GC367))</f>
        <v>-1</v>
      </c>
      <c r="GD91" s="46">
        <f>IF(EZ91=-1,-1,MAX(GD365:GF367))</f>
        <v>-1</v>
      </c>
      <c r="GE91" s="45">
        <f>IF(FA91=-1,-1,MAX(GG365:GI367))</f>
        <v>7</v>
      </c>
      <c r="GF91" s="48">
        <f>IF(FB91=-1,-1,MAX(GJ365:GL367))</f>
        <v>-1</v>
      </c>
    </row>
    <row r="92" spans="2:188" ht="15" customHeight="1">
      <c r="B92" s="49">
        <f t="shared" ref="B92:AB92" si="71">B59</f>
        <v>4</v>
      </c>
      <c r="C92" s="50">
        <f t="shared" si="71"/>
        <v>8</v>
      </c>
      <c r="D92" s="51">
        <f t="shared" si="71"/>
        <v>3</v>
      </c>
      <c r="E92" s="52" t="str">
        <f t="shared" si="71"/>
        <v>x</v>
      </c>
      <c r="F92" s="50" t="str">
        <f t="shared" si="71"/>
        <v>x</v>
      </c>
      <c r="G92" s="51" t="str">
        <f t="shared" si="71"/>
        <v>x</v>
      </c>
      <c r="H92" s="52" t="str">
        <f t="shared" si="71"/>
        <v>x</v>
      </c>
      <c r="I92" s="50" t="str">
        <f t="shared" si="71"/>
        <v>x</v>
      </c>
      <c r="J92" s="53" t="str">
        <f t="shared" si="71"/>
        <v>x</v>
      </c>
      <c r="K92" s="49" t="str">
        <f t="shared" si="71"/>
        <v>x</v>
      </c>
      <c r="L92" s="50" t="str">
        <f t="shared" si="71"/>
        <v>x</v>
      </c>
      <c r="M92" s="51" t="str">
        <f t="shared" si="71"/>
        <v>x</v>
      </c>
      <c r="N92" s="52" t="str">
        <f t="shared" si="71"/>
        <v>x</v>
      </c>
      <c r="O92" s="50" t="str">
        <f t="shared" si="71"/>
        <v>x</v>
      </c>
      <c r="P92" s="51" t="str">
        <f t="shared" si="71"/>
        <v>x</v>
      </c>
      <c r="Q92" s="52" t="str">
        <f t="shared" si="71"/>
        <v>x</v>
      </c>
      <c r="R92" s="50" t="str">
        <f t="shared" si="71"/>
        <v>x</v>
      </c>
      <c r="S92" s="53" t="str">
        <f t="shared" si="71"/>
        <v>x</v>
      </c>
      <c r="T92" s="49" t="str">
        <f t="shared" si="71"/>
        <v>x</v>
      </c>
      <c r="U92" s="50" t="str">
        <f t="shared" si="71"/>
        <v>x</v>
      </c>
      <c r="V92" s="51" t="str">
        <f t="shared" si="71"/>
        <v>x</v>
      </c>
      <c r="W92" s="52" t="str">
        <f t="shared" si="71"/>
        <v>x</v>
      </c>
      <c r="X92" s="50" t="str">
        <f t="shared" si="71"/>
        <v>x</v>
      </c>
      <c r="Y92" s="51" t="str">
        <f t="shared" si="71"/>
        <v>x</v>
      </c>
      <c r="Z92" s="52">
        <f t="shared" si="71"/>
        <v>1</v>
      </c>
      <c r="AA92" s="50" t="str">
        <f t="shared" si="71"/>
        <v>x</v>
      </c>
      <c r="AB92" s="53" t="str">
        <f t="shared" si="71"/>
        <v>x</v>
      </c>
      <c r="AS92" s="33"/>
      <c r="CH92" s="59" t="s">
        <v>50</v>
      </c>
      <c r="CI92" s="61"/>
      <c r="CJ92" s="61"/>
      <c r="CK92" s="61">
        <f>COUNTIF(Spalte7,1)</f>
        <v>1</v>
      </c>
      <c r="CL92" s="61">
        <f>COUNTIF(Spalte7,2)</f>
        <v>1</v>
      </c>
      <c r="CM92" s="61">
        <f>COUNTIF(Spalte7,3)</f>
        <v>1</v>
      </c>
      <c r="CN92" s="61">
        <f>COUNTIF(Spalte7,4)</f>
        <v>1</v>
      </c>
      <c r="CO92" s="61">
        <f>COUNTIF(Spalte7,5)</f>
        <v>1</v>
      </c>
      <c r="CP92" s="61">
        <f>COUNTIF(Spalte7,6)</f>
        <v>1</v>
      </c>
      <c r="CQ92" s="61">
        <f>COUNTIF(Spalte7,7)</f>
        <v>1</v>
      </c>
      <c r="CR92" s="61">
        <f>COUNTIF(Spalte7,8)</f>
        <v>1</v>
      </c>
      <c r="CS92" s="61">
        <f>COUNTIF(Spalte7,9)</f>
        <v>1</v>
      </c>
      <c r="CT92" s="61"/>
      <c r="CU92" s="61"/>
      <c r="CV92" s="61"/>
      <c r="CW92" s="61"/>
      <c r="CX92" s="61"/>
      <c r="EB92" s="49">
        <f>IF(COUNTIF(DJ185:DL187,0)=8,SUM(DJ185:DL187),IF(B92="x",-1,0))</f>
        <v>0</v>
      </c>
      <c r="EC92" s="50">
        <f>IF(COUNTIF(DM185:DO187,0)=8,SUM(DM185:DO187),IF(C92="x",-1,0))</f>
        <v>0</v>
      </c>
      <c r="ED92" s="51">
        <f>IF(COUNTIF(DP185:DR187,0)=8,SUM(DP185:DR187),IF(D92="x",-1,0))</f>
        <v>3</v>
      </c>
      <c r="EE92" s="52">
        <f>IF(COUNTIF(DS185:DU187,0)=8,SUM(DS185:DU187),IF(E92="x",-1,0))</f>
        <v>-1</v>
      </c>
      <c r="EF92" s="50">
        <f>IF(COUNTIF(DV185:DX187,0)=8,SUM(DV185:DX187),IF(F92="x",-1,0))</f>
        <v>-1</v>
      </c>
      <c r="EG92" s="51">
        <f>IF(COUNTIF(DY185:EA187,0)=8,SUM(DY185:EA187),IF(G92="x",-1,0))</f>
        <v>-1</v>
      </c>
      <c r="EH92" s="52">
        <f>IF(COUNTIF(EB185:ED187,0)=8,SUM(EB185:ED187),IF(H92="x",-1,0))</f>
        <v>-1</v>
      </c>
      <c r="EI92" s="50">
        <f>IF(COUNTIF(EE185:EG187,0)=8,SUM(EE185:EG187),IF(I92="x",-1,0))</f>
        <v>-1</v>
      </c>
      <c r="EJ92" s="53">
        <f>IF(COUNTIF(EH185:EJ187,0)=8,SUM(EH185:EJ187),IF(J92="x",-1,0))</f>
        <v>-1</v>
      </c>
      <c r="EK92" s="49">
        <f>IF(COUNTIF(EK185:EM187,0)=8,SUM(EK185:EM187),IF(K92="x",-1,0))</f>
        <v>-1</v>
      </c>
      <c r="EL92" s="50">
        <f>IF(COUNTIF(EN185:EP187,0)=8,SUM(EN185:EP187),IF(L92="x",-1,0))</f>
        <v>-1</v>
      </c>
      <c r="EM92" s="51">
        <f>IF(COUNTIF(EQ185:ES187,0)=8,SUM(EQ185:ES187),IF(M92="x",-1,0))</f>
        <v>-1</v>
      </c>
      <c r="EN92" s="52">
        <f>IF(COUNTIF(ET185:EV187,0)=8,SUM(ET185:EV187),IF(N92="x",-1,0))</f>
        <v>-1</v>
      </c>
      <c r="EO92" s="50">
        <f>IF(COUNTIF(EW185:EY187,0)=8,SUM(EW185:EY187),IF(O92="x",-1,0))</f>
        <v>-1</v>
      </c>
      <c r="EP92" s="51">
        <f>IF(COUNTIF(EZ185:FB187,0)=8,SUM(EZ185:FB187),IF(P92="x",-1,0))</f>
        <v>-1</v>
      </c>
      <c r="EQ92" s="52">
        <f>IF(COUNTIF(FC185:FE187,0)=8,SUM(FC185:FE187),IF(Q92="x",-1,0))</f>
        <v>-1</v>
      </c>
      <c r="ER92" s="50">
        <f>IF(COUNTIF(FF185:FH187,0)=8,SUM(FF185:FH187),IF(R92="x",-1,0))</f>
        <v>-1</v>
      </c>
      <c r="ES92" s="53">
        <f>IF(COUNTIF(FI185:FK187,0)=8,SUM(FI185:FK187),IF(S92="x",-1,0))</f>
        <v>-1</v>
      </c>
      <c r="ET92" s="49">
        <f>IF(COUNTIF(FL185:FN187,0)=8,SUM(FL185:FN187),IF(T92="x",-1,0))</f>
        <v>-1</v>
      </c>
      <c r="EU92" s="50">
        <f>IF(COUNTIF(FO185:FQ187,0)=8,SUM(FO185:FQ187),IF(U92="x",-1,0))</f>
        <v>-1</v>
      </c>
      <c r="EV92" s="51">
        <f>IF(COUNTIF(FR185:FT187,0)=8,SUM(FR185:FT187),IF(V92="x",-1,0))</f>
        <v>-1</v>
      </c>
      <c r="EW92" s="52">
        <f>IF(COUNTIF(FU185:FW187,0)=8,SUM(FU185:FW187),IF(W92="x",-1,0))</f>
        <v>-1</v>
      </c>
      <c r="EX92" s="50">
        <f>IF(COUNTIF(FX185:FZ187,0)=8,SUM(FX185:FZ187),IF(X92="x",-1,0))</f>
        <v>-1</v>
      </c>
      <c r="EY92" s="51">
        <f>IF(COUNTIF(GA185:GC187,0)=8,SUM(GA185:GC187),IF(Y92="x",-1,0))</f>
        <v>-1</v>
      </c>
      <c r="EZ92" s="52">
        <f>IF(COUNTIF(GD185:GF187,0)=8,SUM(GD185:GF187),IF(Z92="x",-1,0))</f>
        <v>1</v>
      </c>
      <c r="FA92" s="50">
        <f>IF(COUNTIF(GG185:GI187,0)=8,SUM(GG185:GI187),IF(AA92="x",-1,0))</f>
        <v>-1</v>
      </c>
      <c r="FB92" s="53">
        <f>IF(COUNTIF(GJ185:GL187,0)=8,SUM(GJ185:GL187),IF(AB92="x",-1,0))</f>
        <v>-1</v>
      </c>
      <c r="FF92" s="49">
        <f>IF(EB92=-1,-1,MAX(DJ368:DL370))</f>
        <v>0</v>
      </c>
      <c r="FG92" s="50">
        <f>IF(EC92=-1,-1,MAX(DM368:DO370))</f>
        <v>8</v>
      </c>
      <c r="FH92" s="51">
        <f>IF(ED92=-1,-1,MAX(DP368:DR370))</f>
        <v>3</v>
      </c>
      <c r="FI92" s="52">
        <f>IF(EE92=-1,-1,MAX(DS368:DU370))</f>
        <v>-1</v>
      </c>
      <c r="FJ92" s="50">
        <f>IF(EF92=-1,-1,MAX(DV368:DX370))</f>
        <v>-1</v>
      </c>
      <c r="FK92" s="51">
        <f>IF(EG92=-1,-1,MAX(DY368:EA370))</f>
        <v>-1</v>
      </c>
      <c r="FL92" s="52">
        <f>IF(EH92=-1,-1,MAX(EB368:ED370))</f>
        <v>-1</v>
      </c>
      <c r="FM92" s="50">
        <f>IF(EI92=-1,-1,MAX(EE368:EG370))</f>
        <v>-1</v>
      </c>
      <c r="FN92" s="53">
        <f>IF(EJ92=-1,-1,MAX(EH368:EJ370))</f>
        <v>-1</v>
      </c>
      <c r="FO92" s="49">
        <f>IF(EK92=-1,-1,MAX(EK368:EM370))</f>
        <v>-1</v>
      </c>
      <c r="FP92" s="50">
        <f>IF(EL92=-1,-1,MAX(EN368:EP370))</f>
        <v>-1</v>
      </c>
      <c r="FQ92" s="51">
        <f>IF(EM92=-1,-1,MAX(EQ368:ES370))</f>
        <v>-1</v>
      </c>
      <c r="FR92" s="52">
        <f>IF(EN92=-1,-1,MAX(ET368:EV370))</f>
        <v>-1</v>
      </c>
      <c r="FS92" s="50">
        <f>IF(EO92=-1,-1,MAX(EW368:EY370))</f>
        <v>-1</v>
      </c>
      <c r="FT92" s="51">
        <f>IF(EP92=-1,-1,MAX(EZ368:FB370))</f>
        <v>-1</v>
      </c>
      <c r="FU92" s="52">
        <f>IF(EQ92=-1,-1,MAX(FC368:FE370))</f>
        <v>-1</v>
      </c>
      <c r="FV92" s="50">
        <f>IF(ER92=-1,-1,MAX(FF368:FH370))</f>
        <v>-1</v>
      </c>
      <c r="FW92" s="53">
        <f>IF(ES92=-1,-1,MAX(FI368:FK370))</f>
        <v>-1</v>
      </c>
      <c r="FX92" s="49">
        <f>IF(ET92=-1,-1,MAX(FL368:FN370))</f>
        <v>-1</v>
      </c>
      <c r="FY92" s="50">
        <f>IF(EU92=-1,-1,MAX(FO368:FQ370))</f>
        <v>-1</v>
      </c>
      <c r="FZ92" s="51">
        <f>IF(EV92=-1,-1,MAX(FR368:FT370))</f>
        <v>-1</v>
      </c>
      <c r="GA92" s="52">
        <f>IF(EW92=-1,-1,MAX(FU368:FW370))</f>
        <v>-1</v>
      </c>
      <c r="GB92" s="50">
        <f>IF(EX92=-1,-1,MAX(FX368:FZ370))</f>
        <v>-1</v>
      </c>
      <c r="GC92" s="51">
        <f>IF(EY92=-1,-1,MAX(GA368:GC370))</f>
        <v>-1</v>
      </c>
      <c r="GD92" s="52">
        <f>IF(EZ92=-1,-1,MAX(GD368:GF370))</f>
        <v>0</v>
      </c>
      <c r="GE92" s="50">
        <f>IF(FA92=-1,-1,MAX(GG368:GI370))</f>
        <v>-1</v>
      </c>
      <c r="GF92" s="53">
        <f>IF(FB92=-1,-1,MAX(GJ368:GL370))</f>
        <v>-1</v>
      </c>
    </row>
    <row r="93" spans="2:188" ht="15" customHeight="1">
      <c r="B93" s="43" t="str">
        <f t="shared" ref="B93:AB93" si="72">B60</f>
        <v>x</v>
      </c>
      <c r="C93" s="39" t="str">
        <f t="shared" si="72"/>
        <v>x</v>
      </c>
      <c r="D93" s="41">
        <f t="shared" si="72"/>
        <v>9</v>
      </c>
      <c r="E93" s="40" t="str">
        <f t="shared" si="72"/>
        <v>x</v>
      </c>
      <c r="F93" s="39" t="str">
        <f t="shared" si="72"/>
        <v>x</v>
      </c>
      <c r="G93" s="41" t="str">
        <f t="shared" si="72"/>
        <v>x</v>
      </c>
      <c r="H93" s="40" t="str">
        <f t="shared" si="72"/>
        <v>x</v>
      </c>
      <c r="I93" s="39" t="str">
        <f t="shared" si="72"/>
        <v>x</v>
      </c>
      <c r="J93" s="42" t="str">
        <f t="shared" si="72"/>
        <v>x</v>
      </c>
      <c r="K93" s="43" t="str">
        <f t="shared" si="72"/>
        <v>x</v>
      </c>
      <c r="L93" s="39" t="str">
        <f t="shared" si="72"/>
        <v>x</v>
      </c>
      <c r="M93" s="41" t="str">
        <f t="shared" si="72"/>
        <v>x</v>
      </c>
      <c r="N93" s="40" t="str">
        <f t="shared" si="72"/>
        <v>x</v>
      </c>
      <c r="O93" s="39" t="str">
        <f t="shared" si="72"/>
        <v>x</v>
      </c>
      <c r="P93" s="41" t="str">
        <f t="shared" si="72"/>
        <v>x</v>
      </c>
      <c r="Q93" s="40" t="str">
        <f t="shared" si="72"/>
        <v>x</v>
      </c>
      <c r="R93" s="39" t="str">
        <f t="shared" si="72"/>
        <v>x</v>
      </c>
      <c r="S93" s="42" t="str">
        <f t="shared" si="72"/>
        <v>x</v>
      </c>
      <c r="T93" s="43" t="str">
        <f t="shared" si="72"/>
        <v>x</v>
      </c>
      <c r="U93" s="39" t="str">
        <f t="shared" si="72"/>
        <v>x</v>
      </c>
      <c r="V93" s="41" t="str">
        <f t="shared" si="72"/>
        <v>x</v>
      </c>
      <c r="W93" s="40" t="str">
        <f t="shared" si="72"/>
        <v>x</v>
      </c>
      <c r="X93" s="39" t="str">
        <f t="shared" si="72"/>
        <v>x</v>
      </c>
      <c r="Y93" s="41" t="str">
        <f t="shared" si="72"/>
        <v>x</v>
      </c>
      <c r="Z93" s="40" t="str">
        <f t="shared" si="72"/>
        <v>x</v>
      </c>
      <c r="AA93" s="39" t="str">
        <f t="shared" si="72"/>
        <v>x</v>
      </c>
      <c r="AB93" s="42" t="str">
        <f t="shared" si="72"/>
        <v>x</v>
      </c>
      <c r="AS93" s="33"/>
      <c r="CH93" s="59" t="s">
        <v>51</v>
      </c>
      <c r="CI93" s="61"/>
      <c r="CJ93" s="61"/>
      <c r="CK93" s="61">
        <f>COUNTIF(Spalte8,1)</f>
        <v>1</v>
      </c>
      <c r="CL93" s="61">
        <f>COUNTIF(Spalte8,2)</f>
        <v>1</v>
      </c>
      <c r="CM93" s="61">
        <f>COUNTIF(Spalte8,3)</f>
        <v>1</v>
      </c>
      <c r="CN93" s="61">
        <f>COUNTIF(Spalte8,4)</f>
        <v>1</v>
      </c>
      <c r="CO93" s="61">
        <f>COUNTIF(Spalte8,5)</f>
        <v>1</v>
      </c>
      <c r="CP93" s="61">
        <f>COUNTIF(Spalte8,6)</f>
        <v>1</v>
      </c>
      <c r="CQ93" s="61">
        <f>COUNTIF(Spalte8,7)</f>
        <v>1</v>
      </c>
      <c r="CR93" s="61">
        <f>COUNTIF(Spalte8,8)</f>
        <v>1</v>
      </c>
      <c r="CS93" s="61">
        <f>COUNTIF(Spalte8,9)</f>
        <v>1</v>
      </c>
      <c r="CT93" s="61"/>
      <c r="CU93" s="61"/>
      <c r="CV93" s="61"/>
      <c r="CW93" s="61"/>
      <c r="CX93" s="61"/>
      <c r="EB93" s="43">
        <f>IF(COUNTIF(DJ188:DL190,0)=8,SUM(DJ188:DL190),IF(B93="x",-1,0))</f>
        <v>-1</v>
      </c>
      <c r="EC93" s="39">
        <f>IF(COUNTIF(DM188:DO190,0)=8,SUM(DM188:DO190),IF(C93="x",-1,0))</f>
        <v>-1</v>
      </c>
      <c r="ED93" s="41">
        <f>IF(COUNTIF(DP188:DR190,0)=8,SUM(DP188:DR190),IF(D93="x",-1,0))</f>
        <v>0</v>
      </c>
      <c r="EE93" s="40">
        <f>IF(COUNTIF(DS188:DU190,0)=8,SUM(DS188:DU190),IF(E93="x",-1,0))</f>
        <v>-1</v>
      </c>
      <c r="EF93" s="39">
        <f>IF(COUNTIF(DV188:DX190,0)=8,SUM(DV188:DX190),IF(F93="x",-1,0))</f>
        <v>-1</v>
      </c>
      <c r="EG93" s="41">
        <f>IF(COUNTIF(DY188:EA190,0)=8,SUM(DY188:EA190),IF(G93="x",-1,0))</f>
        <v>-1</v>
      </c>
      <c r="EH93" s="40">
        <f>IF(COUNTIF(EB188:ED190,0)=8,SUM(EB188:ED190),IF(H93="x",-1,0))</f>
        <v>-1</v>
      </c>
      <c r="EI93" s="39">
        <f>IF(COUNTIF(EE188:EG190,0)=8,SUM(EE188:EG190),IF(I93="x",-1,0))</f>
        <v>-1</v>
      </c>
      <c r="EJ93" s="42">
        <f>IF(COUNTIF(EH188:EJ190,0)=8,SUM(EH188:EJ190),IF(J93="x",-1,0))</f>
        <v>-1</v>
      </c>
      <c r="EK93" s="43">
        <f>IF(COUNTIF(EK188:EM190,0)=8,SUM(EK188:EM190),IF(K93="x",-1,0))</f>
        <v>-1</v>
      </c>
      <c r="EL93" s="39">
        <f>IF(COUNTIF(EN188:EP190,0)=8,SUM(EN188:EP190),IF(L93="x",-1,0))</f>
        <v>-1</v>
      </c>
      <c r="EM93" s="41">
        <f>IF(COUNTIF(EQ188:ES190,0)=8,SUM(EQ188:ES190),IF(M93="x",-1,0))</f>
        <v>-1</v>
      </c>
      <c r="EN93" s="40">
        <f>IF(COUNTIF(ET188:EV190,0)=8,SUM(ET188:EV190),IF(N93="x",-1,0))</f>
        <v>-1</v>
      </c>
      <c r="EO93" s="39">
        <f>IF(COUNTIF(EW188:EY190,0)=8,SUM(EW188:EY190),IF(O93="x",-1,0))</f>
        <v>-1</v>
      </c>
      <c r="EP93" s="41">
        <f>IF(COUNTIF(EZ188:FB190,0)=8,SUM(EZ188:FB190),IF(P93="x",-1,0))</f>
        <v>-1</v>
      </c>
      <c r="EQ93" s="40">
        <f>IF(COUNTIF(FC188:FE190,0)=8,SUM(FC188:FE190),IF(Q93="x",-1,0))</f>
        <v>-1</v>
      </c>
      <c r="ER93" s="39">
        <f>IF(COUNTIF(FF188:FH190,0)=8,SUM(FF188:FH190),IF(R93="x",-1,0))</f>
        <v>-1</v>
      </c>
      <c r="ES93" s="42">
        <f>IF(COUNTIF(FI188:FK190,0)=8,SUM(FI188:FK190),IF(S93="x",-1,0))</f>
        <v>-1</v>
      </c>
      <c r="ET93" s="43">
        <f>IF(COUNTIF(FL188:FN190,0)=8,SUM(FL188:FN190),IF(T93="x",-1,0))</f>
        <v>-1</v>
      </c>
      <c r="EU93" s="39">
        <f>IF(COUNTIF(FO188:FQ190,0)=8,SUM(FO188:FQ190),IF(U93="x",-1,0))</f>
        <v>-1</v>
      </c>
      <c r="EV93" s="41">
        <f>IF(COUNTIF(FR188:FT190,0)=8,SUM(FR188:FT190),IF(V93="x",-1,0))</f>
        <v>-1</v>
      </c>
      <c r="EW93" s="40">
        <f>IF(COUNTIF(FU188:FW190,0)=8,SUM(FU188:FW190),IF(W93="x",-1,0))</f>
        <v>-1</v>
      </c>
      <c r="EX93" s="39">
        <f>IF(COUNTIF(FX188:FZ190,0)=8,SUM(FX188:FZ190),IF(X93="x",-1,0))</f>
        <v>-1</v>
      </c>
      <c r="EY93" s="41">
        <f>IF(COUNTIF(GA188:GC190,0)=8,SUM(GA188:GC190),IF(Y93="x",-1,0))</f>
        <v>-1</v>
      </c>
      <c r="EZ93" s="40">
        <f>IF(COUNTIF(GD188:GF190,0)=8,SUM(GD188:GF190),IF(Z93="x",-1,0))</f>
        <v>-1</v>
      </c>
      <c r="FA93" s="39">
        <f>IF(COUNTIF(GG188:GI190,0)=8,SUM(GG188:GI190),IF(AA93="x",-1,0))</f>
        <v>-1</v>
      </c>
      <c r="FB93" s="42">
        <f>IF(COUNTIF(GJ188:GL190,0)=8,SUM(GJ188:GL190),IF(AB93="x",-1,0))</f>
        <v>-1</v>
      </c>
      <c r="FF93" s="43">
        <f>IF(EB93=-1,-1,MAX(DJ371:DL373))</f>
        <v>-1</v>
      </c>
      <c r="FG93" s="39">
        <f>IF(EC93=-1,-1,MAX(DM371:DO373))</f>
        <v>-1</v>
      </c>
      <c r="FH93" s="41">
        <f>IF(ED93=-1,-1,MAX(DP371:DR373))</f>
        <v>0</v>
      </c>
      <c r="FI93" s="40">
        <f>IF(EE93=-1,-1,MAX(DS371:DU373))</f>
        <v>-1</v>
      </c>
      <c r="FJ93" s="39">
        <f>IF(EF93=-1,-1,MAX(DV371:DX373))</f>
        <v>-1</v>
      </c>
      <c r="FK93" s="41">
        <f>IF(EG93=-1,-1,MAX(DY371:EA373))</f>
        <v>-1</v>
      </c>
      <c r="FL93" s="40">
        <f>IF(EH93=-1,-1,MAX(EB371:ED373))</f>
        <v>-1</v>
      </c>
      <c r="FM93" s="39">
        <f>IF(EI93=-1,-1,MAX(EE371:EG373))</f>
        <v>-1</v>
      </c>
      <c r="FN93" s="42">
        <f>IF(EJ93=-1,-1,MAX(EH371:EJ373))</f>
        <v>-1</v>
      </c>
      <c r="FO93" s="43">
        <f>IF(EK93=-1,-1,MAX(EK371:EM373))</f>
        <v>-1</v>
      </c>
      <c r="FP93" s="39">
        <f>IF(EL93=-1,-1,MAX(EN371:EP373))</f>
        <v>-1</v>
      </c>
      <c r="FQ93" s="41">
        <f>IF(EM93=-1,-1,MAX(EQ371:ES373))</f>
        <v>-1</v>
      </c>
      <c r="FR93" s="40">
        <f>IF(EN93=-1,-1,MAX(ET371:EV373))</f>
        <v>-1</v>
      </c>
      <c r="FS93" s="39">
        <f>IF(EO93=-1,-1,MAX(EW371:EY373))</f>
        <v>-1</v>
      </c>
      <c r="FT93" s="41">
        <f>IF(EP93=-1,-1,MAX(EZ371:FB373))</f>
        <v>-1</v>
      </c>
      <c r="FU93" s="40">
        <f>IF(EQ93=-1,-1,MAX(FC371:FE373))</f>
        <v>-1</v>
      </c>
      <c r="FV93" s="39">
        <f>IF(ER93=-1,-1,MAX(FF371:FH373))</f>
        <v>-1</v>
      </c>
      <c r="FW93" s="42">
        <f>IF(ES93=-1,-1,MAX(FI371:FK373))</f>
        <v>-1</v>
      </c>
      <c r="FX93" s="43">
        <f>IF(ET93=-1,-1,MAX(FL371:FN373))</f>
        <v>-1</v>
      </c>
      <c r="FY93" s="39">
        <f>IF(EU93=-1,-1,MAX(FO371:FQ373))</f>
        <v>-1</v>
      </c>
      <c r="FZ93" s="41">
        <f>IF(EV93=-1,-1,MAX(FR371:FT373))</f>
        <v>-1</v>
      </c>
      <c r="GA93" s="40">
        <f>IF(EW93=-1,-1,MAX(FU371:FW373))</f>
        <v>-1</v>
      </c>
      <c r="GB93" s="39">
        <f>IF(EX93=-1,-1,MAX(FX371:FZ373))</f>
        <v>-1</v>
      </c>
      <c r="GC93" s="41">
        <f>IF(EY93=-1,-1,MAX(GA371:GC373))</f>
        <v>-1</v>
      </c>
      <c r="GD93" s="40">
        <f>IF(EZ93=-1,-1,MAX(GD371:GF373))</f>
        <v>-1</v>
      </c>
      <c r="GE93" s="39">
        <f>IF(FA93=-1,-1,MAX(GG371:GI373))</f>
        <v>-1</v>
      </c>
      <c r="GF93" s="42">
        <f>IF(FB93=-1,-1,MAX(GJ371:GL373))</f>
        <v>-1</v>
      </c>
    </row>
    <row r="94" spans="2:188" ht="15" customHeight="1" thickBot="1">
      <c r="B94" s="54" t="str">
        <f t="shared" ref="B94:AB94" si="73">B61</f>
        <v>x</v>
      </c>
      <c r="C94" s="55" t="str">
        <f t="shared" si="73"/>
        <v>x</v>
      </c>
      <c r="D94" s="56" t="str">
        <f t="shared" si="73"/>
        <v>x</v>
      </c>
      <c r="E94" s="57" t="str">
        <f t="shared" si="73"/>
        <v>x</v>
      </c>
      <c r="F94" s="55" t="str">
        <f t="shared" si="73"/>
        <v>x</v>
      </c>
      <c r="G94" s="56" t="str">
        <f t="shared" si="73"/>
        <v>x</v>
      </c>
      <c r="H94" s="57" t="str">
        <f t="shared" si="73"/>
        <v>x</v>
      </c>
      <c r="I94" s="55" t="str">
        <f t="shared" si="73"/>
        <v>x</v>
      </c>
      <c r="J94" s="58" t="str">
        <f t="shared" si="73"/>
        <v>x</v>
      </c>
      <c r="K94" s="54" t="str">
        <f t="shared" si="73"/>
        <v>x</v>
      </c>
      <c r="L94" s="55" t="str">
        <f t="shared" si="73"/>
        <v>x</v>
      </c>
      <c r="M94" s="56" t="str">
        <f t="shared" si="73"/>
        <v>x</v>
      </c>
      <c r="N94" s="57" t="str">
        <f t="shared" si="73"/>
        <v>x</v>
      </c>
      <c r="O94" s="55" t="str">
        <f t="shared" si="73"/>
        <v>x</v>
      </c>
      <c r="P94" s="56" t="str">
        <f t="shared" si="73"/>
        <v>x</v>
      </c>
      <c r="Q94" s="57" t="str">
        <f t="shared" si="73"/>
        <v>x</v>
      </c>
      <c r="R94" s="55" t="str">
        <f t="shared" si="73"/>
        <v>x</v>
      </c>
      <c r="S94" s="58" t="str">
        <f t="shared" si="73"/>
        <v>x</v>
      </c>
      <c r="T94" s="54" t="str">
        <f t="shared" si="73"/>
        <v>x</v>
      </c>
      <c r="U94" s="55" t="str">
        <f t="shared" si="73"/>
        <v>x</v>
      </c>
      <c r="V94" s="56" t="str">
        <f t="shared" si="73"/>
        <v>x</v>
      </c>
      <c r="W94" s="57" t="str">
        <f t="shared" si="73"/>
        <v>x</v>
      </c>
      <c r="X94" s="55" t="str">
        <f t="shared" si="73"/>
        <v>x</v>
      </c>
      <c r="Y94" s="56" t="str">
        <f t="shared" si="73"/>
        <v>x</v>
      </c>
      <c r="Z94" s="57" t="str">
        <f t="shared" si="73"/>
        <v>x</v>
      </c>
      <c r="AA94" s="55" t="str">
        <f t="shared" si="73"/>
        <v>x</v>
      </c>
      <c r="AB94" s="58" t="str">
        <f t="shared" si="73"/>
        <v>x</v>
      </c>
      <c r="AI94" s="81"/>
      <c r="AS94" s="33"/>
      <c r="CH94" s="59" t="s">
        <v>52</v>
      </c>
      <c r="CI94" s="61"/>
      <c r="CJ94" s="61"/>
      <c r="CK94" s="61">
        <f>COUNTIF(Spalte9,1)</f>
        <v>1</v>
      </c>
      <c r="CL94" s="61">
        <f>COUNTIF(Spalte9,2)</f>
        <v>1</v>
      </c>
      <c r="CM94" s="61">
        <f>COUNTIF(Spalte9,3)</f>
        <v>1</v>
      </c>
      <c r="CN94" s="61">
        <f>COUNTIF(Spalte9,4)</f>
        <v>1</v>
      </c>
      <c r="CO94" s="61">
        <f>COUNTIF(Spalte9,5)</f>
        <v>1</v>
      </c>
      <c r="CP94" s="61">
        <f>COUNTIF(Spalte9,6)</f>
        <v>1</v>
      </c>
      <c r="CQ94" s="61">
        <f>COUNTIF(Spalte9,7)</f>
        <v>1</v>
      </c>
      <c r="CR94" s="61">
        <f>COUNTIF(Spalte9,8)</f>
        <v>1</v>
      </c>
      <c r="CS94" s="61">
        <f>COUNTIF(Spalte9,9)</f>
        <v>1</v>
      </c>
      <c r="CT94" s="61"/>
      <c r="CU94" s="61"/>
      <c r="CV94" s="61"/>
      <c r="CW94" s="61"/>
      <c r="CX94" s="61"/>
      <c r="EB94" s="54">
        <f>IF(COUNTIF(DJ191:DL193,0)=8,SUM(DJ191:DL193),IF(B94="x",-1,0))</f>
        <v>-1</v>
      </c>
      <c r="EC94" s="55">
        <f>IF(COUNTIF(DM191:DO193,0)=8,SUM(DM191:DO193),IF(C94="x",-1,0))</f>
        <v>-1</v>
      </c>
      <c r="ED94" s="56">
        <f>IF(COUNTIF(DP191:DR193,0)=8,SUM(DP191:DR193),IF(D94="x",-1,0))</f>
        <v>-1</v>
      </c>
      <c r="EE94" s="57">
        <f>IF(COUNTIF(DS191:DU193,0)=8,SUM(DS191:DU193),IF(E94="x",-1,0))</f>
        <v>-1</v>
      </c>
      <c r="EF94" s="55">
        <f>IF(COUNTIF(DV191:DX193,0)=8,SUM(DV191:DX193),IF(F94="x",-1,0))</f>
        <v>-1</v>
      </c>
      <c r="EG94" s="56">
        <f>IF(COUNTIF(DY191:EA193,0)=8,SUM(DY191:EA193),IF(G94="x",-1,0))</f>
        <v>-1</v>
      </c>
      <c r="EH94" s="57">
        <f>IF(COUNTIF(EB191:ED193,0)=8,SUM(EB191:ED193),IF(H94="x",-1,0))</f>
        <v>-1</v>
      </c>
      <c r="EI94" s="55">
        <f>IF(COUNTIF(EE191:EG193,0)=8,SUM(EE191:EG193),IF(I94="x",-1,0))</f>
        <v>-1</v>
      </c>
      <c r="EJ94" s="58">
        <f>IF(COUNTIF(EH191:EJ193,0)=8,SUM(EH191:EJ193),IF(J94="x",-1,0))</f>
        <v>-1</v>
      </c>
      <c r="EK94" s="54">
        <f>IF(COUNTIF(EK191:EM193,0)=8,SUM(EK191:EM193),IF(K94="x",-1,0))</f>
        <v>-1</v>
      </c>
      <c r="EL94" s="55">
        <f>IF(COUNTIF(EN191:EP193,0)=8,SUM(EN191:EP193),IF(L94="x",-1,0))</f>
        <v>-1</v>
      </c>
      <c r="EM94" s="56">
        <f>IF(COUNTIF(EQ191:ES193,0)=8,SUM(EQ191:ES193),IF(M94="x",-1,0))</f>
        <v>-1</v>
      </c>
      <c r="EN94" s="57">
        <f>IF(COUNTIF(ET191:EV193,0)=8,SUM(ET191:EV193),IF(N94="x",-1,0))</f>
        <v>-1</v>
      </c>
      <c r="EO94" s="55">
        <f>IF(COUNTIF(EW191:EY193,0)=8,SUM(EW191:EY193),IF(O94="x",-1,0))</f>
        <v>-1</v>
      </c>
      <c r="EP94" s="56">
        <f>IF(COUNTIF(EZ191:FB193,0)=8,SUM(EZ191:FB193),IF(P94="x",-1,0))</f>
        <v>-1</v>
      </c>
      <c r="EQ94" s="57">
        <f>IF(COUNTIF(FC191:FE193,0)=8,SUM(FC191:FE193),IF(Q94="x",-1,0))</f>
        <v>-1</v>
      </c>
      <c r="ER94" s="55">
        <f>IF(COUNTIF(FF191:FH193,0)=8,SUM(FF191:FH193),IF(R94="x",-1,0))</f>
        <v>-1</v>
      </c>
      <c r="ES94" s="58">
        <f>IF(COUNTIF(FI191:FK193,0)=8,SUM(FI191:FK193),IF(S94="x",-1,0))</f>
        <v>-1</v>
      </c>
      <c r="ET94" s="54">
        <f>IF(COUNTIF(FL191:FN193,0)=8,SUM(FL191:FN193),IF(T94="x",-1,0))</f>
        <v>-1</v>
      </c>
      <c r="EU94" s="55">
        <f>IF(COUNTIF(FO191:FQ193,0)=8,SUM(FO191:FQ193),IF(U94="x",-1,0))</f>
        <v>-1</v>
      </c>
      <c r="EV94" s="56">
        <f>IF(COUNTIF(FR191:FT193,0)=8,SUM(FR191:FT193),IF(V94="x",-1,0))</f>
        <v>-1</v>
      </c>
      <c r="EW94" s="57">
        <f>IF(COUNTIF(FU191:FW193,0)=8,SUM(FU191:FW193),IF(W94="x",-1,0))</f>
        <v>-1</v>
      </c>
      <c r="EX94" s="55">
        <f>IF(COUNTIF(FX191:FZ193,0)=8,SUM(FX191:FZ193),IF(X94="x",-1,0))</f>
        <v>-1</v>
      </c>
      <c r="EY94" s="56">
        <f>IF(COUNTIF(GA191:GC193,0)=8,SUM(GA191:GC193),IF(Y94="x",-1,0))</f>
        <v>-1</v>
      </c>
      <c r="EZ94" s="57">
        <f>IF(COUNTIF(GD191:GF193,0)=8,SUM(GD191:GF193),IF(Z94="x",-1,0))</f>
        <v>-1</v>
      </c>
      <c r="FA94" s="55">
        <f>IF(COUNTIF(GG191:GI193,0)=8,SUM(GG191:GI193),IF(AA94="x",-1,0))</f>
        <v>-1</v>
      </c>
      <c r="FB94" s="58">
        <f>IF(COUNTIF(GJ191:GL193,0)=8,SUM(GJ191:GL193),IF(AB94="x",-1,0))</f>
        <v>-1</v>
      </c>
      <c r="FF94" s="54">
        <f>IF(EB94=-1,-1,MAX(DJ374:DL376))</f>
        <v>-1</v>
      </c>
      <c r="FG94" s="55">
        <f>IF(EC94=-1,-1,MAX(DM374:DO376))</f>
        <v>-1</v>
      </c>
      <c r="FH94" s="56">
        <f>IF(ED94=-1,-1,MAX(DP374:DR376))</f>
        <v>-1</v>
      </c>
      <c r="FI94" s="57">
        <f>IF(EE94=-1,-1,MAX(DS374:DU376))</f>
        <v>-1</v>
      </c>
      <c r="FJ94" s="55">
        <f>IF(EF94=-1,-1,MAX(DV374:DX376))</f>
        <v>-1</v>
      </c>
      <c r="FK94" s="56">
        <f>IF(EG94=-1,-1,MAX(DY374:EA376))</f>
        <v>-1</v>
      </c>
      <c r="FL94" s="57">
        <f>IF(EH94=-1,-1,MAX(EB374:ED376))</f>
        <v>-1</v>
      </c>
      <c r="FM94" s="55">
        <f>IF(EI94=-1,-1,MAX(EE374:EG376))</f>
        <v>-1</v>
      </c>
      <c r="FN94" s="58">
        <f>IF(EJ94=-1,-1,MAX(EH374:EJ376))</f>
        <v>-1</v>
      </c>
      <c r="FO94" s="54">
        <f>IF(EK94=-1,-1,MAX(EK374:EM376))</f>
        <v>-1</v>
      </c>
      <c r="FP94" s="55">
        <f>IF(EL94=-1,-1,MAX(EN374:EP376))</f>
        <v>-1</v>
      </c>
      <c r="FQ94" s="56">
        <f>IF(EM94=-1,-1,MAX(EQ374:ES376))</f>
        <v>-1</v>
      </c>
      <c r="FR94" s="57">
        <f>IF(EN94=-1,-1,MAX(ET374:EV376))</f>
        <v>-1</v>
      </c>
      <c r="FS94" s="55">
        <f>IF(EO94=-1,-1,MAX(EW374:EY376))</f>
        <v>-1</v>
      </c>
      <c r="FT94" s="56">
        <f>IF(EP94=-1,-1,MAX(EZ374:FB376))</f>
        <v>-1</v>
      </c>
      <c r="FU94" s="57">
        <f>IF(EQ94=-1,-1,MAX(FC374:FE376))</f>
        <v>-1</v>
      </c>
      <c r="FV94" s="55">
        <f>IF(ER94=-1,-1,MAX(FF374:FH376))</f>
        <v>-1</v>
      </c>
      <c r="FW94" s="58">
        <f>IF(ES94=-1,-1,MAX(FI374:FK376))</f>
        <v>-1</v>
      </c>
      <c r="FX94" s="54">
        <f>IF(ET94=-1,-1,MAX(FL374:FN376))</f>
        <v>-1</v>
      </c>
      <c r="FY94" s="55">
        <f>IF(EU94=-1,-1,MAX(FO374:FQ376))</f>
        <v>-1</v>
      </c>
      <c r="FZ94" s="56">
        <f>IF(EV94=-1,-1,MAX(FR374:FT376))</f>
        <v>-1</v>
      </c>
      <c r="GA94" s="57">
        <f>IF(EW94=-1,-1,MAX(FU374:FW376))</f>
        <v>-1</v>
      </c>
      <c r="GB94" s="55">
        <f>IF(EX94=-1,-1,MAX(FX374:FZ376))</f>
        <v>-1</v>
      </c>
      <c r="GC94" s="56">
        <f>IF(EY94=-1,-1,MAX(GA374:GC376))</f>
        <v>-1</v>
      </c>
      <c r="GD94" s="57">
        <f>IF(EZ94=-1,-1,MAX(GD374:GF376))</f>
        <v>-1</v>
      </c>
      <c r="GE94" s="55">
        <f>IF(FA94=-1,-1,MAX(GG374:GI376))</f>
        <v>-1</v>
      </c>
      <c r="GF94" s="58">
        <f>IF(FB94=-1,-1,MAX(GJ374:GL376))</f>
        <v>-1</v>
      </c>
    </row>
    <row r="95" spans="2:188" ht="15" customHeight="1">
      <c r="B95" s="34" t="str">
        <f t="shared" ref="B95:AB95" si="74">B62</f>
        <v>x</v>
      </c>
      <c r="C95" s="37" t="str">
        <f t="shared" si="74"/>
        <v>x</v>
      </c>
      <c r="D95" s="35" t="str">
        <f t="shared" si="74"/>
        <v>x</v>
      </c>
      <c r="E95" s="36" t="str">
        <f t="shared" si="74"/>
        <v>x</v>
      </c>
      <c r="F95" s="37" t="str">
        <f t="shared" si="74"/>
        <v>x</v>
      </c>
      <c r="G95" s="35" t="str">
        <f t="shared" si="74"/>
        <v>x</v>
      </c>
      <c r="H95" s="36" t="str">
        <f t="shared" si="74"/>
        <v>x</v>
      </c>
      <c r="I95" s="37" t="str">
        <f t="shared" si="74"/>
        <v>x</v>
      </c>
      <c r="J95" s="38" t="str">
        <f t="shared" si="74"/>
        <v>x</v>
      </c>
      <c r="K95" s="34" t="str">
        <f t="shared" si="74"/>
        <v>x</v>
      </c>
      <c r="L95" s="37" t="str">
        <f t="shared" si="74"/>
        <v>x</v>
      </c>
      <c r="M95" s="35" t="str">
        <f t="shared" si="74"/>
        <v>x</v>
      </c>
      <c r="N95" s="36" t="str">
        <f t="shared" si="74"/>
        <v>x</v>
      </c>
      <c r="O95" s="37" t="str">
        <f t="shared" si="74"/>
        <v>x</v>
      </c>
      <c r="P95" s="35" t="str">
        <f t="shared" si="74"/>
        <v>x</v>
      </c>
      <c r="Q95" s="36" t="str">
        <f t="shared" si="74"/>
        <v>x</v>
      </c>
      <c r="R95" s="37" t="str">
        <f t="shared" si="74"/>
        <v>x</v>
      </c>
      <c r="S95" s="38" t="str">
        <f t="shared" si="74"/>
        <v>x</v>
      </c>
      <c r="T95" s="34" t="str">
        <f t="shared" si="74"/>
        <v>x</v>
      </c>
      <c r="U95" s="37" t="str">
        <f t="shared" si="74"/>
        <v>x</v>
      </c>
      <c r="V95" s="35" t="str">
        <f t="shared" si="74"/>
        <v>x</v>
      </c>
      <c r="W95" s="36" t="str">
        <f t="shared" si="74"/>
        <v>x</v>
      </c>
      <c r="X95" s="37" t="str">
        <f t="shared" si="74"/>
        <v>x</v>
      </c>
      <c r="Y95" s="35" t="str">
        <f t="shared" si="74"/>
        <v>x</v>
      </c>
      <c r="Z95" s="36" t="str">
        <f t="shared" si="74"/>
        <v>x</v>
      </c>
      <c r="AA95" s="37" t="str">
        <f t="shared" si="74"/>
        <v>x</v>
      </c>
      <c r="AB95" s="38" t="str">
        <f t="shared" si="74"/>
        <v>x</v>
      </c>
      <c r="AI95" s="39"/>
      <c r="AS95" s="33"/>
      <c r="CH95" s="59" t="s">
        <v>53</v>
      </c>
      <c r="CI95" s="61"/>
      <c r="CJ95" s="61"/>
      <c r="CK95" s="61">
        <f>COUNTIF(Feld1,1)</f>
        <v>1</v>
      </c>
      <c r="CL95" s="61">
        <f>COUNTIF(Feld1,2)</f>
        <v>1</v>
      </c>
      <c r="CM95" s="61">
        <f>COUNTIF(Feld1,3)</f>
        <v>1</v>
      </c>
      <c r="CN95" s="61">
        <f>COUNTIF(Feld1,4)</f>
        <v>1</v>
      </c>
      <c r="CO95" s="61">
        <f>COUNTIF(Feld1,5)</f>
        <v>1</v>
      </c>
      <c r="CP95" s="61">
        <f>COUNTIF(Feld1,6)</f>
        <v>1</v>
      </c>
      <c r="CQ95" s="61">
        <f>COUNTIF(Feld1,7)</f>
        <v>1</v>
      </c>
      <c r="CR95" s="61">
        <f>COUNTIF(Feld1,8)</f>
        <v>1</v>
      </c>
      <c r="CS95" s="61">
        <f>COUNTIF(Feld1,9)</f>
        <v>1</v>
      </c>
      <c r="CT95" s="61"/>
      <c r="CU95" s="61"/>
      <c r="CV95" s="61"/>
      <c r="CW95" s="61"/>
      <c r="CX95" s="61"/>
      <c r="EB95" s="416">
        <f>IF(COUNTIF(DJ194:DL196,0)=8,SUM(DJ194:DL196),IF(B95="x",-1,0))</f>
        <v>-1</v>
      </c>
      <c r="EC95" s="37">
        <f>IF(COUNTIF(DM194:DO196,0)=8,SUM(DM194:DO196),IF(C95="x",-1,0))</f>
        <v>-1</v>
      </c>
      <c r="ED95" s="35">
        <f>IF(COUNTIF(DP194:DR196,0)=8,SUM(DP194:DR196),IF(D95="x",-1,0))</f>
        <v>-1</v>
      </c>
      <c r="EE95" s="36">
        <f>IF(COUNTIF(DS194:DU196,0)=8,SUM(DS194:DU196),IF(E95="x",-1,0))</f>
        <v>-1</v>
      </c>
      <c r="EF95" s="37">
        <f>IF(COUNTIF(DV194:DX196,0)=8,SUM(DV194:DX196),IF(F95="x",-1,0))</f>
        <v>-1</v>
      </c>
      <c r="EG95" s="35">
        <f>IF(COUNTIF(DY194:EA196,0)=8,SUM(DY194:EA196),IF(G95="x",-1,0))</f>
        <v>-1</v>
      </c>
      <c r="EH95" s="36">
        <f>IF(COUNTIF(EB194:ED196,0)=8,SUM(EB194:ED196),IF(H95="x",-1,0))</f>
        <v>-1</v>
      </c>
      <c r="EI95" s="37">
        <f>IF(COUNTIF(EE194:EG196,0)=8,SUM(EE194:EG196),IF(I95="x",-1,0))</f>
        <v>-1</v>
      </c>
      <c r="EJ95" s="38">
        <f>IF(COUNTIF(EH194:EJ196,0)=8,SUM(EH194:EJ196),IF(J95="x",-1,0))</f>
        <v>-1</v>
      </c>
      <c r="EK95" s="416">
        <f>IF(COUNTIF(EK194:EM196,0)=8,SUM(EK194:EM196),IF(K95="x",-1,0))</f>
        <v>-1</v>
      </c>
      <c r="EL95" s="37">
        <f>IF(COUNTIF(EN194:EP196,0)=8,SUM(EN194:EP196),IF(L95="x",-1,0))</f>
        <v>-1</v>
      </c>
      <c r="EM95" s="35">
        <f>IF(COUNTIF(EQ194:ES196,0)=8,SUM(EQ194:ES196),IF(M95="x",-1,0))</f>
        <v>-1</v>
      </c>
      <c r="EN95" s="36">
        <f>IF(COUNTIF(ET194:EV196,0)=8,SUM(ET194:EV196),IF(N95="x",-1,0))</f>
        <v>-1</v>
      </c>
      <c r="EO95" s="37">
        <f>IF(COUNTIF(EW194:EY196,0)=8,SUM(EW194:EY196),IF(O95="x",-1,0))</f>
        <v>-1</v>
      </c>
      <c r="EP95" s="35">
        <f>IF(COUNTIF(EZ194:FB196,0)=8,SUM(EZ194:FB196),IF(P95="x",-1,0))</f>
        <v>-1</v>
      </c>
      <c r="EQ95" s="36">
        <f>IF(COUNTIF(FC194:FE196,0)=8,SUM(FC194:FE196),IF(Q95="x",-1,0))</f>
        <v>-1</v>
      </c>
      <c r="ER95" s="37">
        <f>IF(COUNTIF(FF194:FH196,0)=8,SUM(FF194:FH196),IF(R95="x",-1,0))</f>
        <v>-1</v>
      </c>
      <c r="ES95" s="38">
        <f>IF(COUNTIF(FI194:FK196,0)=8,SUM(FI194:FK196),IF(S95="x",-1,0))</f>
        <v>-1</v>
      </c>
      <c r="ET95" s="416">
        <f>IF(COUNTIF(FL194:FN196,0)=8,SUM(FL194:FN196),IF(T95="x",-1,0))</f>
        <v>-1</v>
      </c>
      <c r="EU95" s="37">
        <f>IF(COUNTIF(FO194:FQ196,0)=8,SUM(FO194:FQ196),IF(U95="x",-1,0))</f>
        <v>-1</v>
      </c>
      <c r="EV95" s="35">
        <f>IF(COUNTIF(FR194:FT196,0)=8,SUM(FR194:FT196),IF(V95="x",-1,0))</f>
        <v>-1</v>
      </c>
      <c r="EW95" s="36">
        <f>IF(COUNTIF(FU194:FW196,0)=8,SUM(FU194:FW196),IF(W95="x",-1,0))</f>
        <v>-1</v>
      </c>
      <c r="EX95" s="37">
        <f>IF(COUNTIF(FX194:FZ196,0)=8,SUM(FX194:FZ196),IF(X95="x",-1,0))</f>
        <v>-1</v>
      </c>
      <c r="EY95" s="35">
        <f>IF(COUNTIF(GA194:GC196,0)=8,SUM(GA194:GC196),IF(Y95="x",-1,0))</f>
        <v>-1</v>
      </c>
      <c r="EZ95" s="36">
        <f>IF(COUNTIF(GD194:GF196,0)=8,SUM(GD194:GF196),IF(Z95="x",-1,0))</f>
        <v>-1</v>
      </c>
      <c r="FA95" s="37">
        <f>IF(COUNTIF(GG194:GI196,0)=8,SUM(GG194:GI196),IF(AA95="x",-1,0))</f>
        <v>-1</v>
      </c>
      <c r="FB95" s="38">
        <f>IF(COUNTIF(GJ194:GL196,0)=8,SUM(GJ194:GL196),IF(AB95="x",-1,0))</f>
        <v>-1</v>
      </c>
      <c r="FF95" s="416">
        <f>IF(EB95=-1,-1,MAX(DJ377:DL379))</f>
        <v>-1</v>
      </c>
      <c r="FG95" s="37">
        <f>IF(EC95=-1,-1,MAX(DM377:DO379))</f>
        <v>-1</v>
      </c>
      <c r="FH95" s="35">
        <f>IF(ED95=-1,-1,MAX(DP377:DR379))</f>
        <v>-1</v>
      </c>
      <c r="FI95" s="36">
        <f>IF(EE95=-1,-1,MAX(DS377:DU379))</f>
        <v>-1</v>
      </c>
      <c r="FJ95" s="37">
        <f>IF(EF95=-1,-1,MAX(DV377:DX379))</f>
        <v>-1</v>
      </c>
      <c r="FK95" s="35">
        <f>IF(EG95=-1,-1,MAX(DY377:EA379))</f>
        <v>-1</v>
      </c>
      <c r="FL95" s="36">
        <f>IF(EH95=-1,-1,MAX(EB377:ED379))</f>
        <v>-1</v>
      </c>
      <c r="FM95" s="37">
        <f>IF(EI95=-1,-1,MAX(EE377:EG379))</f>
        <v>-1</v>
      </c>
      <c r="FN95" s="38">
        <f>IF(EJ95=-1,-1,MAX(EH377:EJ379))</f>
        <v>-1</v>
      </c>
      <c r="FO95" s="416">
        <f>IF(EK95=-1,-1,MAX(EK377:EM379))</f>
        <v>-1</v>
      </c>
      <c r="FP95" s="37">
        <f>IF(EL95=-1,-1,MAX(EN377:EP379))</f>
        <v>-1</v>
      </c>
      <c r="FQ95" s="35">
        <f>IF(EM95=-1,-1,MAX(EQ377:ES379))</f>
        <v>-1</v>
      </c>
      <c r="FR95" s="36">
        <f>IF(EN95=-1,-1,MAX(ET377:EV379))</f>
        <v>-1</v>
      </c>
      <c r="FS95" s="37">
        <f>IF(EO95=-1,-1,MAX(EW377:EY379))</f>
        <v>-1</v>
      </c>
      <c r="FT95" s="35">
        <f>IF(EP95=-1,-1,MAX(EZ377:FB379))</f>
        <v>-1</v>
      </c>
      <c r="FU95" s="36">
        <f>IF(EQ95=-1,-1,MAX(FC377:FE379))</f>
        <v>-1</v>
      </c>
      <c r="FV95" s="37">
        <f>IF(ER95=-1,-1,MAX(FF377:FH379))</f>
        <v>-1</v>
      </c>
      <c r="FW95" s="38">
        <f>IF(ES95=-1,-1,MAX(FI377:FK379))</f>
        <v>-1</v>
      </c>
      <c r="FX95" s="416">
        <f>IF(ET95=-1,-1,MAX(FL377:FN379))</f>
        <v>-1</v>
      </c>
      <c r="FY95" s="37">
        <f>IF(EU95=-1,-1,MAX(FO377:FQ379))</f>
        <v>-1</v>
      </c>
      <c r="FZ95" s="35">
        <f>IF(EV95=-1,-1,MAX(FR377:FT379))</f>
        <v>-1</v>
      </c>
      <c r="GA95" s="36">
        <f>IF(EW95=-1,-1,MAX(FU377:FW379))</f>
        <v>-1</v>
      </c>
      <c r="GB95" s="37">
        <f>IF(EX95=-1,-1,MAX(FX377:FZ379))</f>
        <v>-1</v>
      </c>
      <c r="GC95" s="35">
        <f>IF(EY95=-1,-1,MAX(GA377:GC379))</f>
        <v>-1</v>
      </c>
      <c r="GD95" s="36">
        <f>IF(EZ95=-1,-1,MAX(GD377:GF379))</f>
        <v>-1</v>
      </c>
      <c r="GE95" s="37">
        <f>IF(FA95=-1,-1,MAX(GG377:GI379))</f>
        <v>-1</v>
      </c>
      <c r="GF95" s="38">
        <f>IF(FB95=-1,-1,MAX(GJ377:GL379))</f>
        <v>-1</v>
      </c>
    </row>
    <row r="96" spans="2:188" ht="15" customHeight="1">
      <c r="B96" s="43" t="str">
        <f t="shared" ref="B96:AB96" si="75">B63</f>
        <v>x</v>
      </c>
      <c r="C96" s="39" t="str">
        <f t="shared" si="75"/>
        <v>x</v>
      </c>
      <c r="D96" s="41" t="str">
        <f t="shared" si="75"/>
        <v>x</v>
      </c>
      <c r="E96" s="40" t="str">
        <f t="shared" si="75"/>
        <v>x</v>
      </c>
      <c r="F96" s="39" t="str">
        <f t="shared" si="75"/>
        <v>x</v>
      </c>
      <c r="G96" s="41" t="str">
        <f t="shared" si="75"/>
        <v>x</v>
      </c>
      <c r="H96" s="40" t="str">
        <f t="shared" si="75"/>
        <v>x</v>
      </c>
      <c r="I96" s="39" t="str">
        <f t="shared" si="75"/>
        <v>x</v>
      </c>
      <c r="J96" s="42" t="str">
        <f t="shared" si="75"/>
        <v>x</v>
      </c>
      <c r="K96" s="43" t="str">
        <f t="shared" si="75"/>
        <v>x</v>
      </c>
      <c r="L96" s="39" t="str">
        <f t="shared" si="75"/>
        <v>x</v>
      </c>
      <c r="M96" s="41" t="str">
        <f t="shared" si="75"/>
        <v>x</v>
      </c>
      <c r="N96" s="40" t="str">
        <f t="shared" si="75"/>
        <v>x</v>
      </c>
      <c r="O96" s="39" t="str">
        <f t="shared" si="75"/>
        <v>x</v>
      </c>
      <c r="P96" s="41" t="str">
        <f t="shared" si="75"/>
        <v>x</v>
      </c>
      <c r="Q96" s="40" t="str">
        <f t="shared" si="75"/>
        <v>x</v>
      </c>
      <c r="R96" s="39" t="str">
        <f t="shared" si="75"/>
        <v>x</v>
      </c>
      <c r="S96" s="42" t="str">
        <f t="shared" si="75"/>
        <v>x</v>
      </c>
      <c r="T96" s="43" t="str">
        <f t="shared" si="75"/>
        <v>x</v>
      </c>
      <c r="U96" s="39" t="str">
        <f t="shared" si="75"/>
        <v>x</v>
      </c>
      <c r="V96" s="41" t="str">
        <f t="shared" si="75"/>
        <v>x</v>
      </c>
      <c r="W96" s="40" t="str">
        <f t="shared" si="75"/>
        <v>x</v>
      </c>
      <c r="X96" s="39" t="str">
        <f t="shared" si="75"/>
        <v>x</v>
      </c>
      <c r="Y96" s="41" t="str">
        <f t="shared" si="75"/>
        <v>x</v>
      </c>
      <c r="Z96" s="40" t="str">
        <f t="shared" si="75"/>
        <v>x</v>
      </c>
      <c r="AA96" s="39" t="str">
        <f t="shared" si="75"/>
        <v>x</v>
      </c>
      <c r="AB96" s="42" t="str">
        <f t="shared" si="75"/>
        <v>x</v>
      </c>
      <c r="AS96" s="33"/>
      <c r="CH96" s="59" t="s">
        <v>54</v>
      </c>
      <c r="CI96" s="61"/>
      <c r="CJ96" s="61"/>
      <c r="CK96" s="61">
        <f>COUNTIF(Feld2,1)</f>
        <v>1</v>
      </c>
      <c r="CL96" s="61">
        <f>COUNTIF(Feld2,2)</f>
        <v>1</v>
      </c>
      <c r="CM96" s="61">
        <f>COUNTIF(Feld2,3)</f>
        <v>1</v>
      </c>
      <c r="CN96" s="61">
        <f>COUNTIF(Feld2,4)</f>
        <v>1</v>
      </c>
      <c r="CO96" s="61">
        <f>COUNTIF(Feld2,5)</f>
        <v>1</v>
      </c>
      <c r="CP96" s="61">
        <f>COUNTIF(Feld2,6)</f>
        <v>1</v>
      </c>
      <c r="CQ96" s="61">
        <f>COUNTIF(Feld2,7)</f>
        <v>1</v>
      </c>
      <c r="CR96" s="61">
        <f>COUNTIF(Feld2,8)</f>
        <v>1</v>
      </c>
      <c r="CS96" s="61">
        <f>COUNTIF(Feld2,9)</f>
        <v>1</v>
      </c>
      <c r="CT96" s="61"/>
      <c r="CU96" s="61"/>
      <c r="CV96" s="61"/>
      <c r="CW96" s="61"/>
      <c r="CX96" s="61"/>
      <c r="EB96" s="43">
        <f>IF(COUNTIF(DJ197:DL199,0)=8,SUM(DJ197:DL199),IF(B96="x",-1,0))</f>
        <v>-1</v>
      </c>
      <c r="EC96" s="39">
        <f>IF(COUNTIF(DM197:DO199,0)=8,SUM(DM197:DO199),IF(C96="x",-1,0))</f>
        <v>-1</v>
      </c>
      <c r="ED96" s="41">
        <f>IF(COUNTIF(DP197:DR199,0)=8,SUM(DP197:DR199),IF(D96="x",-1,0))</f>
        <v>-1</v>
      </c>
      <c r="EE96" s="40">
        <f>IF(COUNTIF(DS197:DU199,0)=8,SUM(DS197:DU199),IF(E96="x",-1,0))</f>
        <v>-1</v>
      </c>
      <c r="EF96" s="39">
        <f>IF(COUNTIF(DV197:DX199,0)=8,SUM(DV197:DX199),IF(F96="x",-1,0))</f>
        <v>-1</v>
      </c>
      <c r="EG96" s="41">
        <f>IF(COUNTIF(DY197:EA199,0)=8,SUM(DY197:EA199),IF(G96="x",-1,0))</f>
        <v>-1</v>
      </c>
      <c r="EH96" s="40">
        <f>IF(COUNTIF(EB197:ED199,0)=8,SUM(EB197:ED199),IF(H96="x",-1,0))</f>
        <v>-1</v>
      </c>
      <c r="EI96" s="39">
        <f>IF(COUNTIF(EE197:EG199,0)=8,SUM(EE197:EG199),IF(I96="x",-1,0))</f>
        <v>-1</v>
      </c>
      <c r="EJ96" s="42">
        <f>IF(COUNTIF(EH197:EJ199,0)=8,SUM(EH197:EJ199),IF(J96="x",-1,0))</f>
        <v>-1</v>
      </c>
      <c r="EK96" s="43">
        <f>IF(COUNTIF(EK197:EM199,0)=8,SUM(EK197:EM199),IF(K96="x",-1,0))</f>
        <v>-1</v>
      </c>
      <c r="EL96" s="39">
        <f>IF(COUNTIF(EN197:EP199,0)=8,SUM(EN197:EP199),IF(L96="x",-1,0))</f>
        <v>-1</v>
      </c>
      <c r="EM96" s="41">
        <f>IF(COUNTIF(EQ197:ES199,0)=8,SUM(EQ197:ES199),IF(M96="x",-1,0))</f>
        <v>-1</v>
      </c>
      <c r="EN96" s="40">
        <f>IF(COUNTIF(ET197:EV199,0)=8,SUM(ET197:EV199),IF(N96="x",-1,0))</f>
        <v>-1</v>
      </c>
      <c r="EO96" s="39">
        <f>IF(COUNTIF(EW197:EY199,0)=8,SUM(EW197:EY199),IF(O96="x",-1,0))</f>
        <v>-1</v>
      </c>
      <c r="EP96" s="41">
        <f>IF(COUNTIF(EZ197:FB199,0)=8,SUM(EZ197:FB199),IF(P96="x",-1,0))</f>
        <v>-1</v>
      </c>
      <c r="EQ96" s="40">
        <f>IF(COUNTIF(FC197:FE199,0)=8,SUM(FC197:FE199),IF(Q96="x",-1,0))</f>
        <v>-1</v>
      </c>
      <c r="ER96" s="39">
        <f>IF(COUNTIF(FF197:FH199,0)=8,SUM(FF197:FH199),IF(R96="x",-1,0))</f>
        <v>-1</v>
      </c>
      <c r="ES96" s="42">
        <f>IF(COUNTIF(FI197:FK199,0)=8,SUM(FI197:FK199),IF(S96="x",-1,0))</f>
        <v>-1</v>
      </c>
      <c r="ET96" s="43">
        <f>IF(COUNTIF(FL197:FN199,0)=8,SUM(FL197:FN199),IF(T96="x",-1,0))</f>
        <v>-1</v>
      </c>
      <c r="EU96" s="39">
        <f>IF(COUNTIF(FO197:FQ199,0)=8,SUM(FO197:FQ199),IF(U96="x",-1,0))</f>
        <v>-1</v>
      </c>
      <c r="EV96" s="41">
        <f>IF(COUNTIF(FR197:FT199,0)=8,SUM(FR197:FT199),IF(V96="x",-1,0))</f>
        <v>-1</v>
      </c>
      <c r="EW96" s="40">
        <f>IF(COUNTIF(FU197:FW199,0)=8,SUM(FU197:FW199),IF(W96="x",-1,0))</f>
        <v>-1</v>
      </c>
      <c r="EX96" s="39">
        <f>IF(COUNTIF(FX197:FZ199,0)=8,SUM(FX197:FZ199),IF(X96="x",-1,0))</f>
        <v>-1</v>
      </c>
      <c r="EY96" s="41">
        <f>IF(COUNTIF(GA197:GC199,0)=8,SUM(GA197:GC199),IF(Y96="x",-1,0))</f>
        <v>-1</v>
      </c>
      <c r="EZ96" s="40">
        <f>IF(COUNTIF(GD197:GF199,0)=8,SUM(GD197:GF199),IF(Z96="x",-1,0))</f>
        <v>-1</v>
      </c>
      <c r="FA96" s="39">
        <f>IF(COUNTIF(GG197:GI199,0)=8,SUM(GG197:GI199),IF(AA96="x",-1,0))</f>
        <v>-1</v>
      </c>
      <c r="FB96" s="42">
        <f>IF(COUNTIF(GJ197:GL199,0)=8,SUM(GJ197:GL199),IF(AB96="x",-1,0))</f>
        <v>-1</v>
      </c>
      <c r="FF96" s="43">
        <f>IF(EB96=-1,-1,MAX(DJ380:DL382))</f>
        <v>-1</v>
      </c>
      <c r="FG96" s="39">
        <f>IF(EC96=-1,-1,MAX(DM380:DO382))</f>
        <v>-1</v>
      </c>
      <c r="FH96" s="41">
        <f>IF(ED96=-1,-1,MAX(DP380:DR382))</f>
        <v>-1</v>
      </c>
      <c r="FI96" s="40">
        <f>IF(EE96=-1,-1,MAX(DS380:DU382))</f>
        <v>-1</v>
      </c>
      <c r="FJ96" s="39">
        <f>IF(EF96=-1,-1,MAX(DV380:DX382))</f>
        <v>-1</v>
      </c>
      <c r="FK96" s="41">
        <f>IF(EG96=-1,-1,MAX(DY380:EA382))</f>
        <v>-1</v>
      </c>
      <c r="FL96" s="40">
        <f>IF(EH96=-1,-1,MAX(EB380:ED382))</f>
        <v>-1</v>
      </c>
      <c r="FM96" s="39">
        <f>IF(EI96=-1,-1,MAX(EE380:EG382))</f>
        <v>-1</v>
      </c>
      <c r="FN96" s="42">
        <f>IF(EJ96=-1,-1,MAX(EH380:EJ382))</f>
        <v>-1</v>
      </c>
      <c r="FO96" s="43">
        <f>IF(EK96=-1,-1,MAX(EK380:EM382))</f>
        <v>-1</v>
      </c>
      <c r="FP96" s="39">
        <f>IF(EL96=-1,-1,MAX(EN380:EP382))</f>
        <v>-1</v>
      </c>
      <c r="FQ96" s="41">
        <f>IF(EM96=-1,-1,MAX(EQ380:ES382))</f>
        <v>-1</v>
      </c>
      <c r="FR96" s="40">
        <f>IF(EN96=-1,-1,MAX(ET380:EV382))</f>
        <v>-1</v>
      </c>
      <c r="FS96" s="39">
        <f>IF(EO96=-1,-1,MAX(EW380:EY382))</f>
        <v>-1</v>
      </c>
      <c r="FT96" s="41">
        <f>IF(EP96=-1,-1,MAX(EZ380:FB382))</f>
        <v>-1</v>
      </c>
      <c r="FU96" s="40">
        <f>IF(EQ96=-1,-1,MAX(FC380:FE382))</f>
        <v>-1</v>
      </c>
      <c r="FV96" s="39">
        <f>IF(ER96=-1,-1,MAX(FF380:FH382))</f>
        <v>-1</v>
      </c>
      <c r="FW96" s="42">
        <f>IF(ES96=-1,-1,MAX(FI380:FK382))</f>
        <v>-1</v>
      </c>
      <c r="FX96" s="43">
        <f>IF(ET96=-1,-1,MAX(FL380:FN382))</f>
        <v>-1</v>
      </c>
      <c r="FY96" s="39">
        <f>IF(EU96=-1,-1,MAX(FO380:FQ382))</f>
        <v>-1</v>
      </c>
      <c r="FZ96" s="41">
        <f>IF(EV96=-1,-1,MAX(FR380:FT382))</f>
        <v>-1</v>
      </c>
      <c r="GA96" s="40">
        <f>IF(EW96=-1,-1,MAX(FU380:FW382))</f>
        <v>-1</v>
      </c>
      <c r="GB96" s="39">
        <f>IF(EX96=-1,-1,MAX(FX380:FZ382))</f>
        <v>-1</v>
      </c>
      <c r="GC96" s="41">
        <f>IF(EY96=-1,-1,MAX(GA380:GC382))</f>
        <v>-1</v>
      </c>
      <c r="GD96" s="40">
        <f>IF(EZ96=-1,-1,MAX(GD380:GF382))</f>
        <v>-1</v>
      </c>
      <c r="GE96" s="39">
        <f>IF(FA96=-1,-1,MAX(GG380:GI382))</f>
        <v>-1</v>
      </c>
      <c r="GF96" s="42">
        <f>IF(FB96=-1,-1,MAX(GJ380:GL382))</f>
        <v>-1</v>
      </c>
    </row>
    <row r="97" spans="2:235" ht="15" customHeight="1">
      <c r="B97" s="44" t="str">
        <f t="shared" ref="B97:AB97" si="76">B64</f>
        <v>x</v>
      </c>
      <c r="C97" s="45" t="str">
        <f t="shared" si="76"/>
        <v>x</v>
      </c>
      <c r="D97" s="47" t="str">
        <f t="shared" si="76"/>
        <v>x</v>
      </c>
      <c r="E97" s="46" t="str">
        <f t="shared" si="76"/>
        <v>x</v>
      </c>
      <c r="F97" s="45" t="str">
        <f t="shared" si="76"/>
        <v>x</v>
      </c>
      <c r="G97" s="47" t="str">
        <f t="shared" si="76"/>
        <v>x</v>
      </c>
      <c r="H97" s="46" t="str">
        <f t="shared" si="76"/>
        <v>x</v>
      </c>
      <c r="I97" s="45" t="str">
        <f t="shared" si="76"/>
        <v>x</v>
      </c>
      <c r="J97" s="48" t="str">
        <f t="shared" si="76"/>
        <v>x</v>
      </c>
      <c r="K97" s="44" t="str">
        <f t="shared" si="76"/>
        <v>x</v>
      </c>
      <c r="L97" s="45" t="str">
        <f t="shared" si="76"/>
        <v>x</v>
      </c>
      <c r="M97" s="47" t="str">
        <f t="shared" si="76"/>
        <v>x</v>
      </c>
      <c r="N97" s="46" t="str">
        <f t="shared" si="76"/>
        <v>x</v>
      </c>
      <c r="O97" s="45" t="str">
        <f t="shared" si="76"/>
        <v>x</v>
      </c>
      <c r="P97" s="47">
        <f t="shared" si="76"/>
        <v>7</v>
      </c>
      <c r="Q97" s="46" t="str">
        <f t="shared" si="76"/>
        <v>x</v>
      </c>
      <c r="R97" s="45" t="str">
        <f t="shared" si="76"/>
        <v>x</v>
      </c>
      <c r="S97" s="48" t="str">
        <f t="shared" si="76"/>
        <v>x</v>
      </c>
      <c r="T97" s="44" t="str">
        <f t="shared" si="76"/>
        <v>x</v>
      </c>
      <c r="U97" s="45" t="str">
        <f t="shared" si="76"/>
        <v>x</v>
      </c>
      <c r="V97" s="47" t="str">
        <f t="shared" si="76"/>
        <v>x</v>
      </c>
      <c r="W97" s="46" t="str">
        <f t="shared" si="76"/>
        <v>x</v>
      </c>
      <c r="X97" s="45" t="str">
        <f t="shared" si="76"/>
        <v>x</v>
      </c>
      <c r="Y97" s="47" t="str">
        <f t="shared" si="76"/>
        <v>x</v>
      </c>
      <c r="Z97" s="46" t="str">
        <f t="shared" si="76"/>
        <v>x</v>
      </c>
      <c r="AA97" s="45" t="str">
        <f t="shared" si="76"/>
        <v>x</v>
      </c>
      <c r="AB97" s="48" t="str">
        <f t="shared" si="76"/>
        <v>x</v>
      </c>
      <c r="AJ97" s="33"/>
      <c r="AK97" s="33"/>
      <c r="AL97" s="33"/>
      <c r="AM97" s="33"/>
      <c r="AN97" s="33"/>
      <c r="AO97" s="33"/>
      <c r="AP97" s="33"/>
      <c r="AQ97" s="33"/>
      <c r="AR97" s="33"/>
      <c r="AS97" s="33"/>
      <c r="CH97" s="59" t="s">
        <v>55</v>
      </c>
      <c r="CI97" s="61"/>
      <c r="CJ97" s="61"/>
      <c r="CK97" s="61">
        <f>COUNTIF(Feld3,1)</f>
        <v>1</v>
      </c>
      <c r="CL97" s="61">
        <f>COUNTIF(Feld3,2)</f>
        <v>1</v>
      </c>
      <c r="CM97" s="61">
        <f>COUNTIF(Feld3,3)</f>
        <v>1</v>
      </c>
      <c r="CN97" s="61">
        <f>COUNTIF(Feld3,4)</f>
        <v>1</v>
      </c>
      <c r="CO97" s="61">
        <f>COUNTIF(Feld3,5)</f>
        <v>1</v>
      </c>
      <c r="CP97" s="61">
        <f>COUNTIF(Feld3,6)</f>
        <v>1</v>
      </c>
      <c r="CQ97" s="61">
        <f>COUNTIF(Feld3,7)</f>
        <v>1</v>
      </c>
      <c r="CR97" s="61">
        <f>COUNTIF(Feld3,8)</f>
        <v>1</v>
      </c>
      <c r="CS97" s="61">
        <f>COUNTIF(Feld3,9)</f>
        <v>1</v>
      </c>
      <c r="CT97" s="61"/>
      <c r="CU97" s="61"/>
      <c r="CV97" s="61"/>
      <c r="CW97" s="61"/>
      <c r="CX97" s="61"/>
      <c r="EB97" s="44">
        <f>IF(COUNTIF(DJ200:DL202,0)=8,SUM(DJ200:DL202),IF(B97="x",-1,0))</f>
        <v>-1</v>
      </c>
      <c r="EC97" s="45">
        <f>IF(COUNTIF(DM200:DO202,0)=8,SUM(DM200:DO202),IF(C97="x",-1,0))</f>
        <v>-1</v>
      </c>
      <c r="ED97" s="47">
        <f>IF(COUNTIF(DP200:DR202,0)=8,SUM(DP200:DR202),IF(D97="x",-1,0))</f>
        <v>-1</v>
      </c>
      <c r="EE97" s="46">
        <f>IF(COUNTIF(DS200:DU202,0)=8,SUM(DS200:DU202),IF(E97="x",-1,0))</f>
        <v>-1</v>
      </c>
      <c r="EF97" s="45">
        <f>IF(COUNTIF(DV200:DX202,0)=8,SUM(DV200:DX202),IF(F97="x",-1,0))</f>
        <v>-1</v>
      </c>
      <c r="EG97" s="47">
        <f>IF(COUNTIF(DY200:EA202,0)=8,SUM(DY200:EA202),IF(G97="x",-1,0))</f>
        <v>-1</v>
      </c>
      <c r="EH97" s="46">
        <f>IF(COUNTIF(EB200:ED202,0)=8,SUM(EB200:ED202),IF(H97="x",-1,0))</f>
        <v>-1</v>
      </c>
      <c r="EI97" s="45">
        <f>IF(COUNTIF(EE200:EG202,0)=8,SUM(EE200:EG202),IF(I97="x",-1,0))</f>
        <v>-1</v>
      </c>
      <c r="EJ97" s="48">
        <f>IF(COUNTIF(EH200:EJ202,0)=8,SUM(EH200:EJ202),IF(J97="x",-1,0))</f>
        <v>-1</v>
      </c>
      <c r="EK97" s="44">
        <f>IF(COUNTIF(EK200:EM202,0)=8,SUM(EK200:EM202),IF(K97="x",-1,0))</f>
        <v>-1</v>
      </c>
      <c r="EL97" s="45">
        <f>IF(COUNTIF(EN200:EP202,0)=8,SUM(EN200:EP202),IF(L97="x",-1,0))</f>
        <v>-1</v>
      </c>
      <c r="EM97" s="47">
        <f>IF(COUNTIF(EQ200:ES202,0)=8,SUM(EQ200:ES202),IF(M97="x",-1,0))</f>
        <v>-1</v>
      </c>
      <c r="EN97" s="46">
        <f>IF(COUNTIF(ET200:EV202,0)=8,SUM(ET200:EV202),IF(N97="x",-1,0))</f>
        <v>-1</v>
      </c>
      <c r="EO97" s="45">
        <f>IF(COUNTIF(EW200:EY202,0)=8,SUM(EW200:EY202),IF(O97="x",-1,0))</f>
        <v>-1</v>
      </c>
      <c r="EP97" s="47">
        <f>IF(COUNTIF(EZ200:FB202,0)=8,SUM(EZ200:FB202),IF(P97="x",-1,0))</f>
        <v>7</v>
      </c>
      <c r="EQ97" s="46">
        <f>IF(COUNTIF(FC200:FE202,0)=8,SUM(FC200:FE202),IF(Q97="x",-1,0))</f>
        <v>-1</v>
      </c>
      <c r="ER97" s="45">
        <f>IF(COUNTIF(FF200:FH202,0)=8,SUM(FF200:FH202),IF(R97="x",-1,0))</f>
        <v>-1</v>
      </c>
      <c r="ES97" s="48">
        <f>IF(COUNTIF(FI200:FK202,0)=8,SUM(FI200:FK202),IF(S97="x",-1,0))</f>
        <v>-1</v>
      </c>
      <c r="ET97" s="44">
        <f>IF(COUNTIF(FL200:FN202,0)=8,SUM(FL200:FN202),IF(T97="x",-1,0))</f>
        <v>-1</v>
      </c>
      <c r="EU97" s="45">
        <f>IF(COUNTIF(FO200:FQ202,0)=8,SUM(FO200:FQ202),IF(U97="x",-1,0))</f>
        <v>-1</v>
      </c>
      <c r="EV97" s="47">
        <f>IF(COUNTIF(FR200:FT202,0)=8,SUM(FR200:FT202),IF(V97="x",-1,0))</f>
        <v>-1</v>
      </c>
      <c r="EW97" s="46">
        <f>IF(COUNTIF(FU200:FW202,0)=8,SUM(FU200:FW202),IF(W97="x",-1,0))</f>
        <v>-1</v>
      </c>
      <c r="EX97" s="45">
        <f>IF(COUNTIF(FX200:FZ202,0)=8,SUM(FX200:FZ202),IF(X97="x",-1,0))</f>
        <v>-1</v>
      </c>
      <c r="EY97" s="47">
        <f>IF(COUNTIF(GA200:GC202,0)=8,SUM(GA200:GC202),IF(Y97="x",-1,0))</f>
        <v>-1</v>
      </c>
      <c r="EZ97" s="46">
        <f>IF(COUNTIF(GD200:GF202,0)=8,SUM(GD200:GF202),IF(Z97="x",-1,0))</f>
        <v>-1</v>
      </c>
      <c r="FA97" s="45">
        <f>IF(COUNTIF(GG200:GI202,0)=8,SUM(GG200:GI202),IF(AA97="x",-1,0))</f>
        <v>-1</v>
      </c>
      <c r="FB97" s="48">
        <f>IF(COUNTIF(GJ200:GL202,0)=8,SUM(GJ200:GL202),IF(AB97="x",-1,0))</f>
        <v>-1</v>
      </c>
      <c r="FF97" s="44">
        <f>IF(EB97=-1,-1,MAX(DJ383:DL385))</f>
        <v>-1</v>
      </c>
      <c r="FG97" s="45">
        <f>IF(EC97=-1,-1,MAX(DM383:DO385))</f>
        <v>-1</v>
      </c>
      <c r="FH97" s="47">
        <f>IF(ED97=-1,-1,MAX(DP383:DR385))</f>
        <v>-1</v>
      </c>
      <c r="FI97" s="46">
        <f>IF(EE97=-1,-1,MAX(DS383:DU385))</f>
        <v>-1</v>
      </c>
      <c r="FJ97" s="45">
        <f>IF(EF97=-1,-1,MAX(DV383:DX385))</f>
        <v>-1</v>
      </c>
      <c r="FK97" s="47">
        <f>IF(EG97=-1,-1,MAX(DY383:EA385))</f>
        <v>-1</v>
      </c>
      <c r="FL97" s="46">
        <f>IF(EH97=-1,-1,MAX(EB383:ED385))</f>
        <v>-1</v>
      </c>
      <c r="FM97" s="45">
        <f>IF(EI97=-1,-1,MAX(EE383:EG385))</f>
        <v>-1</v>
      </c>
      <c r="FN97" s="48">
        <f>IF(EJ97=-1,-1,MAX(EH383:EJ385))</f>
        <v>-1</v>
      </c>
      <c r="FO97" s="44">
        <f>IF(EK97=-1,-1,MAX(EK383:EM385))</f>
        <v>-1</v>
      </c>
      <c r="FP97" s="45">
        <f>IF(EL97=-1,-1,MAX(EN383:EP385))</f>
        <v>-1</v>
      </c>
      <c r="FQ97" s="47">
        <f>IF(EM97=-1,-1,MAX(EQ383:ES385))</f>
        <v>-1</v>
      </c>
      <c r="FR97" s="46">
        <f>IF(EN97=-1,-1,MAX(ET383:EV385))</f>
        <v>-1</v>
      </c>
      <c r="FS97" s="45">
        <f>IF(EO97=-1,-1,MAX(EW383:EY385))</f>
        <v>-1</v>
      </c>
      <c r="FT97" s="47">
        <f>IF(EP97=-1,-1,MAX(EZ383:FB385))</f>
        <v>7</v>
      </c>
      <c r="FU97" s="46">
        <f>IF(EQ97=-1,-1,MAX(FC383:FE385))</f>
        <v>-1</v>
      </c>
      <c r="FV97" s="45">
        <f>IF(ER97=-1,-1,MAX(FF383:FH385))</f>
        <v>-1</v>
      </c>
      <c r="FW97" s="48">
        <f>IF(ES97=-1,-1,MAX(FI383:FK385))</f>
        <v>-1</v>
      </c>
      <c r="FX97" s="44">
        <f>IF(ET97=-1,-1,MAX(FL383:FN385))</f>
        <v>-1</v>
      </c>
      <c r="FY97" s="45">
        <f>IF(EU97=-1,-1,MAX(FO383:FQ385))</f>
        <v>-1</v>
      </c>
      <c r="FZ97" s="47">
        <f>IF(EV97=-1,-1,MAX(FR383:FT385))</f>
        <v>-1</v>
      </c>
      <c r="GA97" s="46">
        <f>IF(EW97=-1,-1,MAX(FU383:FW385))</f>
        <v>-1</v>
      </c>
      <c r="GB97" s="45">
        <f>IF(EX97=-1,-1,MAX(FX383:FZ385))</f>
        <v>-1</v>
      </c>
      <c r="GC97" s="47">
        <f>IF(EY97=-1,-1,MAX(GA383:GC385))</f>
        <v>-1</v>
      </c>
      <c r="GD97" s="46">
        <f>IF(EZ97=-1,-1,MAX(GD383:GF385))</f>
        <v>-1</v>
      </c>
      <c r="GE97" s="45">
        <f>IF(FA97=-1,-1,MAX(GG383:GI385))</f>
        <v>-1</v>
      </c>
      <c r="GF97" s="48">
        <f>IF(FB97=-1,-1,MAX(GJ383:GL385))</f>
        <v>-1</v>
      </c>
    </row>
    <row r="98" spans="2:235" ht="15" customHeight="1">
      <c r="B98" s="49" t="str">
        <f t="shared" ref="B98:AB98" si="77">B65</f>
        <v>x</v>
      </c>
      <c r="C98" s="50" t="str">
        <f t="shared" si="77"/>
        <v>x</v>
      </c>
      <c r="D98" s="51" t="str">
        <f t="shared" si="77"/>
        <v>x</v>
      </c>
      <c r="E98" s="52" t="str">
        <f t="shared" si="77"/>
        <v>x</v>
      </c>
      <c r="F98" s="50" t="str">
        <f t="shared" si="77"/>
        <v>x</v>
      </c>
      <c r="G98" s="51" t="str">
        <f t="shared" si="77"/>
        <v>x</v>
      </c>
      <c r="H98" s="52" t="str">
        <f t="shared" si="77"/>
        <v>x</v>
      </c>
      <c r="I98" s="50" t="str">
        <f t="shared" si="77"/>
        <v>x</v>
      </c>
      <c r="J98" s="53" t="str">
        <f t="shared" si="77"/>
        <v>x</v>
      </c>
      <c r="K98" s="49" t="str">
        <f t="shared" si="77"/>
        <v>x</v>
      </c>
      <c r="L98" s="50" t="str">
        <f t="shared" si="77"/>
        <v>x</v>
      </c>
      <c r="M98" s="51" t="str">
        <f t="shared" si="77"/>
        <v>x</v>
      </c>
      <c r="N98" s="52" t="str">
        <f t="shared" si="77"/>
        <v>x</v>
      </c>
      <c r="O98" s="50">
        <f t="shared" si="77"/>
        <v>1</v>
      </c>
      <c r="P98" s="51" t="str">
        <f t="shared" si="77"/>
        <v>x</v>
      </c>
      <c r="Q98" s="52" t="str">
        <f t="shared" si="77"/>
        <v>x</v>
      </c>
      <c r="R98" s="50" t="str">
        <f t="shared" si="77"/>
        <v>x</v>
      </c>
      <c r="S98" s="53" t="str">
        <f t="shared" si="77"/>
        <v>x</v>
      </c>
      <c r="T98" s="49" t="str">
        <f t="shared" si="77"/>
        <v>x</v>
      </c>
      <c r="U98" s="50" t="str">
        <f t="shared" si="77"/>
        <v>x</v>
      </c>
      <c r="V98" s="51" t="str">
        <f t="shared" si="77"/>
        <v>x</v>
      </c>
      <c r="W98" s="52" t="str">
        <f t="shared" si="77"/>
        <v>x</v>
      </c>
      <c r="X98" s="50" t="str">
        <f t="shared" si="77"/>
        <v>x</v>
      </c>
      <c r="Y98" s="51" t="str">
        <f t="shared" si="77"/>
        <v>x</v>
      </c>
      <c r="Z98" s="52" t="str">
        <f t="shared" si="77"/>
        <v>x</v>
      </c>
      <c r="AA98" s="50" t="str">
        <f t="shared" si="77"/>
        <v>x</v>
      </c>
      <c r="AB98" s="53" t="str">
        <f t="shared" si="77"/>
        <v>x</v>
      </c>
      <c r="CH98" s="59" t="s">
        <v>56</v>
      </c>
      <c r="CI98" s="61"/>
      <c r="CJ98" s="61"/>
      <c r="CK98" s="61">
        <f>COUNTIF(Feld4,1)</f>
        <v>1</v>
      </c>
      <c r="CL98" s="61">
        <f>COUNTIF(Feld4,2)</f>
        <v>1</v>
      </c>
      <c r="CM98" s="61">
        <f>COUNTIF(Feld4,3)</f>
        <v>1</v>
      </c>
      <c r="CN98" s="61">
        <f>COUNTIF(Feld4,4)</f>
        <v>1</v>
      </c>
      <c r="CO98" s="61">
        <f>COUNTIF(Feld4,5)</f>
        <v>1</v>
      </c>
      <c r="CP98" s="61">
        <f>COUNTIF(Feld4,6)</f>
        <v>1</v>
      </c>
      <c r="CQ98" s="61">
        <f>COUNTIF(Feld4,7)</f>
        <v>1</v>
      </c>
      <c r="CR98" s="61">
        <f>COUNTIF(Feld4,8)</f>
        <v>1</v>
      </c>
      <c r="CS98" s="61">
        <f>COUNTIF(Feld4,9)</f>
        <v>1</v>
      </c>
      <c r="CT98" s="61"/>
      <c r="CU98" s="61"/>
      <c r="CV98" s="61"/>
      <c r="CW98" s="61"/>
      <c r="CX98" s="61"/>
      <c r="EB98" s="49">
        <f>IF(COUNTIF(DJ203:DL205,0)=8,SUM(DJ203:DL205),IF(B98="x",-1,0))</f>
        <v>-1</v>
      </c>
      <c r="EC98" s="50">
        <f>IF(COUNTIF(DM203:DO205,0)=8,SUM(DM203:DO205),IF(C98="x",-1,0))</f>
        <v>-1</v>
      </c>
      <c r="ED98" s="51">
        <f>IF(COUNTIF(DP203:DR205,0)=8,SUM(DP203:DR205),IF(D98="x",-1,0))</f>
        <v>-1</v>
      </c>
      <c r="EE98" s="52">
        <f>IF(COUNTIF(DS203:DU205,0)=8,SUM(DS203:DU205),IF(E98="x",-1,0))</f>
        <v>-1</v>
      </c>
      <c r="EF98" s="50">
        <f>IF(COUNTIF(DV203:DX205,0)=8,SUM(DV203:DX205),IF(F98="x",-1,0))</f>
        <v>-1</v>
      </c>
      <c r="EG98" s="51">
        <f>IF(COUNTIF(DY203:EA205,0)=8,SUM(DY203:EA205),IF(G98="x",-1,0))</f>
        <v>-1</v>
      </c>
      <c r="EH98" s="52">
        <f>IF(COUNTIF(EB203:ED205,0)=8,SUM(EB203:ED205),IF(H98="x",-1,0))</f>
        <v>-1</v>
      </c>
      <c r="EI98" s="50">
        <f>IF(COUNTIF(EE203:EG205,0)=8,SUM(EE203:EG205),IF(I98="x",-1,0))</f>
        <v>-1</v>
      </c>
      <c r="EJ98" s="53">
        <f>IF(COUNTIF(EH203:EJ205,0)=8,SUM(EH203:EJ205),IF(J98="x",-1,0))</f>
        <v>-1</v>
      </c>
      <c r="EK98" s="49">
        <f>IF(COUNTIF(EK203:EM205,0)=8,SUM(EK203:EM205),IF(K98="x",-1,0))</f>
        <v>-1</v>
      </c>
      <c r="EL98" s="50">
        <f>IF(COUNTIF(EN203:EP205,0)=8,SUM(EN203:EP205),IF(L98="x",-1,0))</f>
        <v>-1</v>
      </c>
      <c r="EM98" s="51">
        <f>IF(COUNTIF(EQ203:ES205,0)=8,SUM(EQ203:ES205),IF(M98="x",-1,0))</f>
        <v>-1</v>
      </c>
      <c r="EN98" s="52">
        <f>IF(COUNTIF(ET203:EV205,0)=8,SUM(ET203:EV205),IF(N98="x",-1,0))</f>
        <v>-1</v>
      </c>
      <c r="EO98" s="50">
        <f>IF(COUNTIF(EW203:EY205,0)=8,SUM(EW203:EY205),IF(O98="x",-1,0))</f>
        <v>1</v>
      </c>
      <c r="EP98" s="51">
        <f>IF(COUNTIF(EZ203:FB205,0)=8,SUM(EZ203:FB205),IF(P98="x",-1,0))</f>
        <v>-1</v>
      </c>
      <c r="EQ98" s="52">
        <f>IF(COUNTIF(FC203:FE205,0)=8,SUM(FC203:FE205),IF(Q98="x",-1,0))</f>
        <v>-1</v>
      </c>
      <c r="ER98" s="50">
        <f>IF(COUNTIF(FF203:FH205,0)=8,SUM(FF203:FH205),IF(R98="x",-1,0))</f>
        <v>-1</v>
      </c>
      <c r="ES98" s="53">
        <f>IF(COUNTIF(FI203:FK205,0)=8,SUM(FI203:FK205),IF(S98="x",-1,0))</f>
        <v>-1</v>
      </c>
      <c r="ET98" s="49">
        <f>IF(COUNTIF(FL203:FN205,0)=8,SUM(FL203:FN205),IF(T98="x",-1,0))</f>
        <v>-1</v>
      </c>
      <c r="EU98" s="50">
        <f>IF(COUNTIF(FO203:FQ205,0)=8,SUM(FO203:FQ205),IF(U98="x",-1,0))</f>
        <v>-1</v>
      </c>
      <c r="EV98" s="51">
        <f>IF(COUNTIF(FR203:FT205,0)=8,SUM(FR203:FT205),IF(V98="x",-1,0))</f>
        <v>-1</v>
      </c>
      <c r="EW98" s="52">
        <f>IF(COUNTIF(FU203:FW205,0)=8,SUM(FU203:FW205),IF(W98="x",-1,0))</f>
        <v>-1</v>
      </c>
      <c r="EX98" s="50">
        <f>IF(COUNTIF(FX203:FZ205,0)=8,SUM(FX203:FZ205),IF(X98="x",-1,0))</f>
        <v>-1</v>
      </c>
      <c r="EY98" s="51">
        <f>IF(COUNTIF(GA203:GC205,0)=8,SUM(GA203:GC205),IF(Y98="x",-1,0))</f>
        <v>-1</v>
      </c>
      <c r="EZ98" s="52">
        <f>IF(COUNTIF(GD203:GF205,0)=8,SUM(GD203:GF205),IF(Z98="x",-1,0))</f>
        <v>-1</v>
      </c>
      <c r="FA98" s="50">
        <f>IF(COUNTIF(GG203:GI205,0)=8,SUM(GG203:GI205),IF(AA98="x",-1,0))</f>
        <v>-1</v>
      </c>
      <c r="FB98" s="53">
        <f>IF(COUNTIF(GJ203:GL205,0)=8,SUM(GJ203:GL205),IF(AB98="x",-1,0))</f>
        <v>-1</v>
      </c>
      <c r="FF98" s="49">
        <f>IF(EB98=-1,-1,MAX(DJ386:DL388))</f>
        <v>-1</v>
      </c>
      <c r="FG98" s="50">
        <f>IF(EC98=-1,-1,MAX(DM386:DO388))</f>
        <v>-1</v>
      </c>
      <c r="FH98" s="51">
        <f>IF(ED98=-1,-1,MAX(DP386:DR388))</f>
        <v>-1</v>
      </c>
      <c r="FI98" s="52">
        <f>IF(EE98=-1,-1,MAX(DS386:DU388))</f>
        <v>-1</v>
      </c>
      <c r="FJ98" s="50">
        <f>IF(EF98=-1,-1,MAX(DV386:DX388))</f>
        <v>-1</v>
      </c>
      <c r="FK98" s="51">
        <f>IF(EG98=-1,-1,MAX(DY386:EA388))</f>
        <v>-1</v>
      </c>
      <c r="FL98" s="52">
        <f>IF(EH98=-1,-1,MAX(EB386:ED388))</f>
        <v>-1</v>
      </c>
      <c r="FM98" s="50">
        <f>IF(EI98=-1,-1,MAX(EE386:EG388))</f>
        <v>-1</v>
      </c>
      <c r="FN98" s="53">
        <f>IF(EJ98=-1,-1,MAX(EH386:EJ388))</f>
        <v>-1</v>
      </c>
      <c r="FO98" s="49">
        <f>IF(EK98=-1,-1,MAX(EK386:EM388))</f>
        <v>-1</v>
      </c>
      <c r="FP98" s="50">
        <f>IF(EL98=-1,-1,MAX(EN386:EP388))</f>
        <v>-1</v>
      </c>
      <c r="FQ98" s="51">
        <f>IF(EM98=-1,-1,MAX(EQ386:ES388))</f>
        <v>-1</v>
      </c>
      <c r="FR98" s="52">
        <f>IF(EN98=-1,-1,MAX(ET386:EV388))</f>
        <v>-1</v>
      </c>
      <c r="FS98" s="50">
        <f>IF(EO98=-1,-1,MAX(EW386:EY388))</f>
        <v>0</v>
      </c>
      <c r="FT98" s="51">
        <f>IF(EP98=-1,-1,MAX(EZ386:FB388))</f>
        <v>-1</v>
      </c>
      <c r="FU98" s="52">
        <f>IF(EQ98=-1,-1,MAX(FC386:FE388))</f>
        <v>-1</v>
      </c>
      <c r="FV98" s="50">
        <f>IF(ER98=-1,-1,MAX(FF386:FH388))</f>
        <v>-1</v>
      </c>
      <c r="FW98" s="53">
        <f>IF(ES98=-1,-1,MAX(FI386:FK388))</f>
        <v>-1</v>
      </c>
      <c r="FX98" s="49">
        <f>IF(ET98=-1,-1,MAX(FL386:FN388))</f>
        <v>-1</v>
      </c>
      <c r="FY98" s="50">
        <f>IF(EU98=-1,-1,MAX(FO386:FQ388))</f>
        <v>-1</v>
      </c>
      <c r="FZ98" s="51">
        <f>IF(EV98=-1,-1,MAX(FR386:FT388))</f>
        <v>-1</v>
      </c>
      <c r="GA98" s="52">
        <f>IF(EW98=-1,-1,MAX(FU386:FW388))</f>
        <v>-1</v>
      </c>
      <c r="GB98" s="50">
        <f>IF(EX98=-1,-1,MAX(FX386:FZ388))</f>
        <v>-1</v>
      </c>
      <c r="GC98" s="51">
        <f>IF(EY98=-1,-1,MAX(GA386:GC388))</f>
        <v>-1</v>
      </c>
      <c r="GD98" s="52">
        <f>IF(EZ98=-1,-1,MAX(GD386:GF388))</f>
        <v>-1</v>
      </c>
      <c r="GE98" s="50">
        <f>IF(FA98=-1,-1,MAX(GG386:GI388))</f>
        <v>-1</v>
      </c>
      <c r="GF98" s="53">
        <f>IF(FB98=-1,-1,MAX(GJ386:GL388))</f>
        <v>-1</v>
      </c>
    </row>
    <row r="99" spans="2:235" ht="15" customHeight="1">
      <c r="B99" s="43" t="str">
        <f t="shared" ref="B99:AB99" si="78">B66</f>
        <v>x</v>
      </c>
      <c r="C99" s="39" t="str">
        <f t="shared" si="78"/>
        <v>x</v>
      </c>
      <c r="D99" s="41" t="str">
        <f t="shared" si="78"/>
        <v>x</v>
      </c>
      <c r="E99" s="40" t="str">
        <f t="shared" si="78"/>
        <v>x</v>
      </c>
      <c r="F99" s="39" t="str">
        <f t="shared" si="78"/>
        <v>x</v>
      </c>
      <c r="G99" s="41" t="str">
        <f t="shared" si="78"/>
        <v>x</v>
      </c>
      <c r="H99" s="40" t="str">
        <f t="shared" si="78"/>
        <v>x</v>
      </c>
      <c r="I99" s="39" t="str">
        <f t="shared" si="78"/>
        <v>x</v>
      </c>
      <c r="J99" s="42" t="str">
        <f t="shared" si="78"/>
        <v>x</v>
      </c>
      <c r="K99" s="43" t="str">
        <f t="shared" si="78"/>
        <v>x</v>
      </c>
      <c r="L99" s="39" t="str">
        <f t="shared" si="78"/>
        <v>x</v>
      </c>
      <c r="M99" s="41" t="str">
        <f t="shared" si="78"/>
        <v>x</v>
      </c>
      <c r="N99" s="40">
        <f t="shared" si="78"/>
        <v>9</v>
      </c>
      <c r="O99" s="39" t="str">
        <f t="shared" si="78"/>
        <v>x</v>
      </c>
      <c r="P99" s="41" t="str">
        <f t="shared" si="78"/>
        <v>x</v>
      </c>
      <c r="Q99" s="40" t="str">
        <f t="shared" si="78"/>
        <v>x</v>
      </c>
      <c r="R99" s="39" t="str">
        <f t="shared" si="78"/>
        <v>x</v>
      </c>
      <c r="S99" s="42" t="str">
        <f t="shared" si="78"/>
        <v>x</v>
      </c>
      <c r="T99" s="43" t="str">
        <f t="shared" si="78"/>
        <v>x</v>
      </c>
      <c r="U99" s="39" t="str">
        <f t="shared" si="78"/>
        <v>x</v>
      </c>
      <c r="V99" s="41" t="str">
        <f t="shared" si="78"/>
        <v>x</v>
      </c>
      <c r="W99" s="40" t="str">
        <f t="shared" si="78"/>
        <v>x</v>
      </c>
      <c r="X99" s="39" t="str">
        <f t="shared" si="78"/>
        <v>x</v>
      </c>
      <c r="Y99" s="41" t="str">
        <f t="shared" si="78"/>
        <v>x</v>
      </c>
      <c r="Z99" s="40" t="str">
        <f t="shared" si="78"/>
        <v>x</v>
      </c>
      <c r="AA99" s="39" t="str">
        <f t="shared" si="78"/>
        <v>x</v>
      </c>
      <c r="AB99" s="42" t="str">
        <f t="shared" si="78"/>
        <v>x</v>
      </c>
      <c r="CH99" s="59" t="s">
        <v>57</v>
      </c>
      <c r="CI99" s="61"/>
      <c r="CJ99" s="61"/>
      <c r="CK99" s="61">
        <f>COUNTIF(Feld5,1)</f>
        <v>1</v>
      </c>
      <c r="CL99" s="61">
        <f>COUNTIF(Feld5,2)</f>
        <v>1</v>
      </c>
      <c r="CM99" s="61">
        <f>COUNTIF(Feld5,3)</f>
        <v>1</v>
      </c>
      <c r="CN99" s="61">
        <f>COUNTIF(Feld5,4)</f>
        <v>1</v>
      </c>
      <c r="CO99" s="61">
        <f>COUNTIF(Feld5,5)</f>
        <v>1</v>
      </c>
      <c r="CP99" s="61">
        <f>COUNTIF(Feld5,6)</f>
        <v>1</v>
      </c>
      <c r="CQ99" s="61">
        <f>COUNTIF(Feld5,7)</f>
        <v>1</v>
      </c>
      <c r="CR99" s="61">
        <f>COUNTIF(Feld5,8)</f>
        <v>1</v>
      </c>
      <c r="CS99" s="61">
        <f>COUNTIF(Feld5,9)</f>
        <v>1</v>
      </c>
      <c r="CT99" s="61"/>
      <c r="CU99" s="61"/>
      <c r="CV99" s="61"/>
      <c r="CW99" s="61"/>
      <c r="CX99" s="61"/>
      <c r="EB99" s="43">
        <f>IF(COUNTIF(DJ206:DL208,0)=8,SUM(DJ206:DL208),IF(B99="x",-1,0))</f>
        <v>-1</v>
      </c>
      <c r="EC99" s="39">
        <f>IF(COUNTIF(DM206:DO208,0)=8,SUM(DM206:DO208),IF(C99="x",-1,0))</f>
        <v>-1</v>
      </c>
      <c r="ED99" s="41">
        <f>IF(COUNTIF(DP206:DR208,0)=8,SUM(DP206:DR208),IF(D99="x",-1,0))</f>
        <v>-1</v>
      </c>
      <c r="EE99" s="40">
        <f>IF(COUNTIF(DS206:DU208,0)=8,SUM(DS206:DU208),IF(E99="x",-1,0))</f>
        <v>-1</v>
      </c>
      <c r="EF99" s="39">
        <f>IF(COUNTIF(DV206:DX208,0)=8,SUM(DV206:DX208),IF(F99="x",-1,0))</f>
        <v>-1</v>
      </c>
      <c r="EG99" s="41">
        <f>IF(COUNTIF(DY206:EA208,0)=8,SUM(DY206:EA208),IF(G99="x",-1,0))</f>
        <v>-1</v>
      </c>
      <c r="EH99" s="40">
        <f>IF(COUNTIF(EB206:ED208,0)=8,SUM(EB206:ED208),IF(H99="x",-1,0))</f>
        <v>-1</v>
      </c>
      <c r="EI99" s="39">
        <f>IF(COUNTIF(EE206:EG208,0)=8,SUM(EE206:EG208),IF(I99="x",-1,0))</f>
        <v>-1</v>
      </c>
      <c r="EJ99" s="42">
        <f>IF(COUNTIF(EH206:EJ208,0)=8,SUM(EH206:EJ208),IF(J99="x",-1,0))</f>
        <v>-1</v>
      </c>
      <c r="EK99" s="43">
        <f>IF(COUNTIF(EK206:EM208,0)=8,SUM(EK206:EM208),IF(K99="x",-1,0))</f>
        <v>-1</v>
      </c>
      <c r="EL99" s="39">
        <f>IF(COUNTIF(EN206:EP208,0)=8,SUM(EN206:EP208),IF(L99="x",-1,0))</f>
        <v>-1</v>
      </c>
      <c r="EM99" s="41">
        <f>IF(COUNTIF(EQ206:ES208,0)=8,SUM(EQ206:ES208),IF(M99="x",-1,0))</f>
        <v>-1</v>
      </c>
      <c r="EN99" s="40">
        <f>IF(COUNTIF(ET206:EV208,0)=8,SUM(ET206:EV208),IF(N99="x",-1,0))</f>
        <v>0</v>
      </c>
      <c r="EO99" s="39">
        <f>IF(COUNTIF(EW206:EY208,0)=8,SUM(EW206:EY208),IF(O99="x",-1,0))</f>
        <v>-1</v>
      </c>
      <c r="EP99" s="41">
        <f>IF(COUNTIF(EZ206:FB208,0)=8,SUM(EZ206:FB208),IF(P99="x",-1,0))</f>
        <v>-1</v>
      </c>
      <c r="EQ99" s="40">
        <f>IF(COUNTIF(FC206:FE208,0)=8,SUM(FC206:FE208),IF(Q99="x",-1,0))</f>
        <v>-1</v>
      </c>
      <c r="ER99" s="39">
        <f>IF(COUNTIF(FF206:FH208,0)=8,SUM(FF206:FH208),IF(R99="x",-1,0))</f>
        <v>-1</v>
      </c>
      <c r="ES99" s="42">
        <f>IF(COUNTIF(FI206:FK208,0)=8,SUM(FI206:FK208),IF(S99="x",-1,0))</f>
        <v>-1</v>
      </c>
      <c r="ET99" s="43">
        <f>IF(COUNTIF(FL206:FN208,0)=8,SUM(FL206:FN208),IF(T99="x",-1,0))</f>
        <v>-1</v>
      </c>
      <c r="EU99" s="39">
        <f>IF(COUNTIF(FO206:FQ208,0)=8,SUM(FO206:FQ208),IF(U99="x",-1,0))</f>
        <v>-1</v>
      </c>
      <c r="EV99" s="41">
        <f>IF(COUNTIF(FR206:FT208,0)=8,SUM(FR206:FT208),IF(V99="x",-1,0))</f>
        <v>-1</v>
      </c>
      <c r="EW99" s="40">
        <f>IF(COUNTIF(FU206:FW208,0)=8,SUM(FU206:FW208),IF(W99="x",-1,0))</f>
        <v>-1</v>
      </c>
      <c r="EX99" s="39">
        <f>IF(COUNTIF(FX206:FZ208,0)=8,SUM(FX206:FZ208),IF(X99="x",-1,0))</f>
        <v>-1</v>
      </c>
      <c r="EY99" s="41">
        <f>IF(COUNTIF(GA206:GC208,0)=8,SUM(GA206:GC208),IF(Y99="x",-1,0))</f>
        <v>-1</v>
      </c>
      <c r="EZ99" s="40">
        <f>IF(COUNTIF(GD206:GF208,0)=8,SUM(GD206:GF208),IF(Z99="x",-1,0))</f>
        <v>-1</v>
      </c>
      <c r="FA99" s="39">
        <f>IF(COUNTIF(GG206:GI208,0)=8,SUM(GG206:GI208),IF(AA99="x",-1,0))</f>
        <v>-1</v>
      </c>
      <c r="FB99" s="42">
        <f>IF(COUNTIF(GJ206:GL208,0)=8,SUM(GJ206:GL208),IF(AB99="x",-1,0))</f>
        <v>-1</v>
      </c>
      <c r="FF99" s="43">
        <f>IF(EB99=-1,-1,MAX(DJ389:DL391))</f>
        <v>-1</v>
      </c>
      <c r="FG99" s="39">
        <f>IF(EC99=-1,-1,MAX(DM389:DO391))</f>
        <v>-1</v>
      </c>
      <c r="FH99" s="41">
        <f>IF(ED99=-1,-1,MAX(DP389:DR391))</f>
        <v>-1</v>
      </c>
      <c r="FI99" s="40">
        <f>IF(EE99=-1,-1,MAX(DS389:DU391))</f>
        <v>-1</v>
      </c>
      <c r="FJ99" s="39">
        <f>IF(EF99=-1,-1,MAX(DV389:DX391))</f>
        <v>-1</v>
      </c>
      <c r="FK99" s="41">
        <f>IF(EG99=-1,-1,MAX(DY389:EA391))</f>
        <v>-1</v>
      </c>
      <c r="FL99" s="40">
        <f>IF(EH99=-1,-1,MAX(EB389:ED391))</f>
        <v>-1</v>
      </c>
      <c r="FM99" s="39">
        <f>IF(EI99=-1,-1,MAX(EE389:EG391))</f>
        <v>-1</v>
      </c>
      <c r="FN99" s="42">
        <f>IF(EJ99=-1,-1,MAX(EH389:EJ391))</f>
        <v>-1</v>
      </c>
      <c r="FO99" s="43">
        <f>IF(EK99=-1,-1,MAX(EK389:EM391))</f>
        <v>-1</v>
      </c>
      <c r="FP99" s="39">
        <f>IF(EL99=-1,-1,MAX(EN389:EP391))</f>
        <v>-1</v>
      </c>
      <c r="FQ99" s="41">
        <f>IF(EM99=-1,-1,MAX(EQ389:ES391))</f>
        <v>-1</v>
      </c>
      <c r="FR99" s="40">
        <f>IF(EN99=-1,-1,MAX(ET389:EV391))</f>
        <v>0</v>
      </c>
      <c r="FS99" s="39">
        <f>IF(EO99=-1,-1,MAX(EW389:EY391))</f>
        <v>-1</v>
      </c>
      <c r="FT99" s="41">
        <f>IF(EP99=-1,-1,MAX(EZ389:FB391))</f>
        <v>-1</v>
      </c>
      <c r="FU99" s="40">
        <f>IF(EQ99=-1,-1,MAX(FC389:FE391))</f>
        <v>-1</v>
      </c>
      <c r="FV99" s="39">
        <f>IF(ER99=-1,-1,MAX(FF389:FH391))</f>
        <v>-1</v>
      </c>
      <c r="FW99" s="42">
        <f>IF(ES99=-1,-1,MAX(FI389:FK391))</f>
        <v>-1</v>
      </c>
      <c r="FX99" s="43">
        <f>IF(ET99=-1,-1,MAX(FL389:FN391))</f>
        <v>-1</v>
      </c>
      <c r="FY99" s="39">
        <f>IF(EU99=-1,-1,MAX(FO389:FQ391))</f>
        <v>-1</v>
      </c>
      <c r="FZ99" s="41">
        <f>IF(EV99=-1,-1,MAX(FR389:FT391))</f>
        <v>-1</v>
      </c>
      <c r="GA99" s="40">
        <f>IF(EW99=-1,-1,MAX(FU389:FW391))</f>
        <v>-1</v>
      </c>
      <c r="GB99" s="39">
        <f>IF(EX99=-1,-1,MAX(FX389:FZ391))</f>
        <v>-1</v>
      </c>
      <c r="GC99" s="41">
        <f>IF(EY99=-1,-1,MAX(GA389:GC391))</f>
        <v>-1</v>
      </c>
      <c r="GD99" s="40">
        <f>IF(EZ99=-1,-1,MAX(GD389:GF391))</f>
        <v>-1</v>
      </c>
      <c r="GE99" s="39">
        <f>IF(FA99=-1,-1,MAX(GG389:GI391))</f>
        <v>-1</v>
      </c>
      <c r="GF99" s="42">
        <f>IF(FB99=-1,-1,MAX(GJ389:GL391))</f>
        <v>-1</v>
      </c>
    </row>
    <row r="100" spans="2:235" ht="15" customHeight="1">
      <c r="B100" s="44" t="str">
        <f t="shared" ref="B100:AB100" si="79">B67</f>
        <v>x</v>
      </c>
      <c r="C100" s="45" t="str">
        <f t="shared" si="79"/>
        <v>x</v>
      </c>
      <c r="D100" s="47" t="str">
        <f t="shared" si="79"/>
        <v>x</v>
      </c>
      <c r="E100" s="46" t="str">
        <f t="shared" si="79"/>
        <v>x</v>
      </c>
      <c r="F100" s="45" t="str">
        <f t="shared" si="79"/>
        <v>x</v>
      </c>
      <c r="G100" s="47" t="str">
        <f t="shared" si="79"/>
        <v>x</v>
      </c>
      <c r="H100" s="46" t="str">
        <f t="shared" si="79"/>
        <v>x</v>
      </c>
      <c r="I100" s="45" t="str">
        <f t="shared" si="79"/>
        <v>x</v>
      </c>
      <c r="J100" s="48" t="str">
        <f t="shared" si="79"/>
        <v>x</v>
      </c>
      <c r="K100" s="44" t="str">
        <f t="shared" si="79"/>
        <v>x</v>
      </c>
      <c r="L100" s="45" t="str">
        <f t="shared" si="79"/>
        <v>x</v>
      </c>
      <c r="M100" s="47" t="str">
        <f t="shared" si="79"/>
        <v>x</v>
      </c>
      <c r="N100" s="46" t="str">
        <f t="shared" si="79"/>
        <v>x</v>
      </c>
      <c r="O100" s="45">
        <f t="shared" si="79"/>
        <v>4</v>
      </c>
      <c r="P100" s="47">
        <f t="shared" si="79"/>
        <v>8</v>
      </c>
      <c r="Q100" s="46">
        <f t="shared" si="79"/>
        <v>3</v>
      </c>
      <c r="R100" s="45" t="str">
        <f t="shared" si="79"/>
        <v>x</v>
      </c>
      <c r="S100" s="48" t="str">
        <f t="shared" si="79"/>
        <v>x</v>
      </c>
      <c r="T100" s="44" t="str">
        <f t="shared" si="79"/>
        <v>x</v>
      </c>
      <c r="U100" s="45" t="str">
        <f t="shared" si="79"/>
        <v>x</v>
      </c>
      <c r="V100" s="47" t="str">
        <f t="shared" si="79"/>
        <v>x</v>
      </c>
      <c r="W100" s="46" t="str">
        <f t="shared" si="79"/>
        <v>x</v>
      </c>
      <c r="X100" s="45" t="str">
        <f t="shared" si="79"/>
        <v>x</v>
      </c>
      <c r="Y100" s="47" t="str">
        <f t="shared" si="79"/>
        <v>x</v>
      </c>
      <c r="Z100" s="46" t="str">
        <f t="shared" si="79"/>
        <v>x</v>
      </c>
      <c r="AA100" s="45" t="str">
        <f t="shared" si="79"/>
        <v>x</v>
      </c>
      <c r="AB100" s="48" t="str">
        <f t="shared" si="79"/>
        <v>x</v>
      </c>
      <c r="CH100" s="59" t="s">
        <v>58</v>
      </c>
      <c r="CI100" s="61"/>
      <c r="CJ100" s="61"/>
      <c r="CK100" s="61">
        <f>COUNTIF(Feld6,1)</f>
        <v>1</v>
      </c>
      <c r="CL100" s="61">
        <f>COUNTIF(Feld6,2)</f>
        <v>1</v>
      </c>
      <c r="CM100" s="61">
        <f>COUNTIF(Feld6,3)</f>
        <v>1</v>
      </c>
      <c r="CN100" s="61">
        <f>COUNTIF(Feld6,4)</f>
        <v>1</v>
      </c>
      <c r="CO100" s="61">
        <f>COUNTIF(Feld6,5)</f>
        <v>1</v>
      </c>
      <c r="CP100" s="61">
        <f>COUNTIF(Feld6,6)</f>
        <v>1</v>
      </c>
      <c r="CQ100" s="61">
        <f>COUNTIF(Feld6,7)</f>
        <v>1</v>
      </c>
      <c r="CR100" s="61">
        <f>COUNTIF(Feld6,8)</f>
        <v>1</v>
      </c>
      <c r="CS100" s="61">
        <f>COUNTIF(Feld6,9)</f>
        <v>1</v>
      </c>
      <c r="CT100" s="61"/>
      <c r="CU100" s="61"/>
      <c r="CV100" s="61"/>
      <c r="CW100" s="61"/>
      <c r="CX100" s="61"/>
      <c r="EB100" s="44">
        <f>IF(COUNTIF(DJ209:DL211,0)=8,SUM(DJ209:DL211),IF(B100="x",-1,0))</f>
        <v>-1</v>
      </c>
      <c r="EC100" s="45">
        <f>IF(COUNTIF(DM209:DO211,0)=8,SUM(DM209:DO211),IF(C100="x",-1,0))</f>
        <v>-1</v>
      </c>
      <c r="ED100" s="47">
        <f>IF(COUNTIF(DP209:DR211,0)=8,SUM(DP209:DR211),IF(D100="x",-1,0))</f>
        <v>-1</v>
      </c>
      <c r="EE100" s="46">
        <f>IF(COUNTIF(DS209:DU211,0)=8,SUM(DS209:DU211),IF(E100="x",-1,0))</f>
        <v>-1</v>
      </c>
      <c r="EF100" s="45">
        <f>IF(COUNTIF(DV209:DX211,0)=8,SUM(DV209:DX211),IF(F100="x",-1,0))</f>
        <v>-1</v>
      </c>
      <c r="EG100" s="47">
        <f>IF(COUNTIF(DY209:EA211,0)=8,SUM(DY209:EA211),IF(G100="x",-1,0))</f>
        <v>-1</v>
      </c>
      <c r="EH100" s="46">
        <f>IF(COUNTIF(EB209:ED211,0)=8,SUM(EB209:ED211),IF(H100="x",-1,0))</f>
        <v>-1</v>
      </c>
      <c r="EI100" s="45">
        <f>IF(COUNTIF(EE209:EG211,0)=8,SUM(EE209:EG211),IF(I100="x",-1,0))</f>
        <v>-1</v>
      </c>
      <c r="EJ100" s="48">
        <f>IF(COUNTIF(EH209:EJ211,0)=8,SUM(EH209:EJ211),IF(J100="x",-1,0))</f>
        <v>-1</v>
      </c>
      <c r="EK100" s="44">
        <f>IF(COUNTIF(EK209:EM211,0)=8,SUM(EK209:EM211),IF(K100="x",-1,0))</f>
        <v>-1</v>
      </c>
      <c r="EL100" s="45">
        <f>IF(COUNTIF(EN209:EP211,0)=8,SUM(EN209:EP211),IF(L100="x",-1,0))</f>
        <v>-1</v>
      </c>
      <c r="EM100" s="47">
        <f>IF(COUNTIF(EQ209:ES211,0)=8,SUM(EQ209:ES211),IF(M100="x",-1,0))</f>
        <v>-1</v>
      </c>
      <c r="EN100" s="46">
        <f>IF(COUNTIF(ET209:EV211,0)=8,SUM(ET209:EV211),IF(N100="x",-1,0))</f>
        <v>-1</v>
      </c>
      <c r="EO100" s="45">
        <f>IF(COUNTIF(EW209:EY211,0)=8,SUM(EW209:EY211),IF(O100="x",-1,0))</f>
        <v>0</v>
      </c>
      <c r="EP100" s="47">
        <f>IF(COUNTIF(EZ209:FB211,0)=8,SUM(EZ209:FB211),IF(P100="x",-1,0))</f>
        <v>0</v>
      </c>
      <c r="EQ100" s="46">
        <f>IF(COUNTIF(FC209:FE211,0)=8,SUM(FC209:FE211),IF(Q100="x",-1,0))</f>
        <v>0</v>
      </c>
      <c r="ER100" s="45">
        <f>IF(COUNTIF(FF209:FH211,0)=8,SUM(FF209:FH211),IF(R100="x",-1,0))</f>
        <v>-1</v>
      </c>
      <c r="ES100" s="48">
        <f>IF(COUNTIF(FI209:FK211,0)=8,SUM(FI209:FK211),IF(S100="x",-1,0))</f>
        <v>-1</v>
      </c>
      <c r="ET100" s="44">
        <f>IF(COUNTIF(FL209:FN211,0)=8,SUM(FL209:FN211),IF(T100="x",-1,0))</f>
        <v>-1</v>
      </c>
      <c r="EU100" s="45">
        <f>IF(COUNTIF(FO209:FQ211,0)=8,SUM(FO209:FQ211),IF(U100="x",-1,0))</f>
        <v>-1</v>
      </c>
      <c r="EV100" s="47">
        <f>IF(COUNTIF(FR209:FT211,0)=8,SUM(FR209:FT211),IF(V100="x",-1,0))</f>
        <v>-1</v>
      </c>
      <c r="EW100" s="46">
        <f>IF(COUNTIF(FU209:FW211,0)=8,SUM(FU209:FW211),IF(W100="x",-1,0))</f>
        <v>-1</v>
      </c>
      <c r="EX100" s="45">
        <f>IF(COUNTIF(FX209:FZ211,0)=8,SUM(FX209:FZ211),IF(X100="x",-1,0))</f>
        <v>-1</v>
      </c>
      <c r="EY100" s="47">
        <f>IF(COUNTIF(GA209:GC211,0)=8,SUM(GA209:GC211),IF(Y100="x",-1,0))</f>
        <v>-1</v>
      </c>
      <c r="EZ100" s="46">
        <f>IF(COUNTIF(GD209:GF211,0)=8,SUM(GD209:GF211),IF(Z100="x",-1,0))</f>
        <v>-1</v>
      </c>
      <c r="FA100" s="45">
        <f>IF(COUNTIF(GG209:GI211,0)=8,SUM(GG209:GI211),IF(AA100="x",-1,0))</f>
        <v>-1</v>
      </c>
      <c r="FB100" s="48">
        <f>IF(COUNTIF(GJ209:GL211,0)=8,SUM(GJ209:GL211),IF(AB100="x",-1,0))</f>
        <v>-1</v>
      </c>
      <c r="FF100" s="44">
        <f>IF(EB100=-1,-1,MAX(DJ392:DL394))</f>
        <v>-1</v>
      </c>
      <c r="FG100" s="45">
        <f>IF(EC100=-1,-1,MAX(DM392:DO394))</f>
        <v>-1</v>
      </c>
      <c r="FH100" s="47">
        <f>IF(ED100=-1,-1,MAX(DP392:DR394))</f>
        <v>-1</v>
      </c>
      <c r="FI100" s="46">
        <f>IF(EE100=-1,-1,MAX(DS392:DU394))</f>
        <v>-1</v>
      </c>
      <c r="FJ100" s="45">
        <f>IF(EF100=-1,-1,MAX(DV392:DX394))</f>
        <v>-1</v>
      </c>
      <c r="FK100" s="47">
        <f>IF(EG100=-1,-1,MAX(DY392:EA394))</f>
        <v>-1</v>
      </c>
      <c r="FL100" s="46">
        <f>IF(EH100=-1,-1,MAX(EB392:ED394))</f>
        <v>-1</v>
      </c>
      <c r="FM100" s="45">
        <f>IF(EI100=-1,-1,MAX(EE392:EG394))</f>
        <v>-1</v>
      </c>
      <c r="FN100" s="48">
        <f>IF(EJ100=-1,-1,MAX(EH392:EJ394))</f>
        <v>-1</v>
      </c>
      <c r="FO100" s="44">
        <f>IF(EK100=-1,-1,MAX(EK392:EM394))</f>
        <v>-1</v>
      </c>
      <c r="FP100" s="45">
        <f>IF(EL100=-1,-1,MAX(EN392:EP394))</f>
        <v>-1</v>
      </c>
      <c r="FQ100" s="47">
        <f>IF(EM100=-1,-1,MAX(EQ392:ES394))</f>
        <v>-1</v>
      </c>
      <c r="FR100" s="46">
        <f>IF(EN100=-1,-1,MAX(ET392:EV394))</f>
        <v>-1</v>
      </c>
      <c r="FS100" s="45">
        <f>IF(EO100=-1,-1,MAX(EW392:EY394))</f>
        <v>4</v>
      </c>
      <c r="FT100" s="47">
        <f>IF(EP100=-1,-1,MAX(EZ392:FB394))</f>
        <v>0</v>
      </c>
      <c r="FU100" s="46">
        <f>IF(EQ100=-1,-1,MAX(FC392:FE394))</f>
        <v>0</v>
      </c>
      <c r="FV100" s="45">
        <f>IF(ER100=-1,-1,MAX(FF392:FH394))</f>
        <v>-1</v>
      </c>
      <c r="FW100" s="48">
        <f>IF(ES100=-1,-1,MAX(FI392:FK394))</f>
        <v>-1</v>
      </c>
      <c r="FX100" s="44">
        <f>IF(ET100=-1,-1,MAX(FL392:FN394))</f>
        <v>-1</v>
      </c>
      <c r="FY100" s="45">
        <f>IF(EU100=-1,-1,MAX(FO392:FQ394))</f>
        <v>-1</v>
      </c>
      <c r="FZ100" s="47">
        <f>IF(EV100=-1,-1,MAX(FR392:FT394))</f>
        <v>-1</v>
      </c>
      <c r="GA100" s="46">
        <f>IF(EW100=-1,-1,MAX(FU392:FW394))</f>
        <v>-1</v>
      </c>
      <c r="GB100" s="45">
        <f>IF(EX100=-1,-1,MAX(FX392:FZ394))</f>
        <v>-1</v>
      </c>
      <c r="GC100" s="47">
        <f>IF(EY100=-1,-1,MAX(GA392:GC394))</f>
        <v>-1</v>
      </c>
      <c r="GD100" s="46">
        <f>IF(EZ100=-1,-1,MAX(GD392:GF394))</f>
        <v>-1</v>
      </c>
      <c r="GE100" s="45">
        <f>IF(FA100=-1,-1,MAX(GG392:GI394))</f>
        <v>-1</v>
      </c>
      <c r="GF100" s="48">
        <f>IF(FB100=-1,-1,MAX(GJ392:GL394))</f>
        <v>-1</v>
      </c>
    </row>
    <row r="101" spans="2:235" ht="15" customHeight="1">
      <c r="B101" s="49" t="str">
        <f t="shared" ref="B101:AB101" si="80">B68</f>
        <v>x</v>
      </c>
      <c r="C101" s="50" t="str">
        <f t="shared" si="80"/>
        <v>x</v>
      </c>
      <c r="D101" s="51" t="str">
        <f t="shared" si="80"/>
        <v>x</v>
      </c>
      <c r="E101" s="52" t="str">
        <f t="shared" si="80"/>
        <v>x</v>
      </c>
      <c r="F101" s="50" t="str">
        <f t="shared" si="80"/>
        <v>x</v>
      </c>
      <c r="G101" s="51">
        <f t="shared" si="80"/>
        <v>9</v>
      </c>
      <c r="H101" s="52" t="str">
        <f t="shared" si="80"/>
        <v>x</v>
      </c>
      <c r="I101" s="50" t="str">
        <f t="shared" si="80"/>
        <v>x</v>
      </c>
      <c r="J101" s="53" t="str">
        <f t="shared" si="80"/>
        <v>x</v>
      </c>
      <c r="K101" s="49" t="str">
        <f t="shared" si="80"/>
        <v>x</v>
      </c>
      <c r="L101" s="50" t="str">
        <f t="shared" si="80"/>
        <v>x</v>
      </c>
      <c r="M101" s="51" t="str">
        <f t="shared" si="80"/>
        <v>x</v>
      </c>
      <c r="N101" s="52">
        <f t="shared" si="80"/>
        <v>5</v>
      </c>
      <c r="O101" s="50">
        <f t="shared" si="80"/>
        <v>2</v>
      </c>
      <c r="P101" s="51" t="str">
        <f t="shared" si="80"/>
        <v>x</v>
      </c>
      <c r="Q101" s="52" t="str">
        <f t="shared" si="80"/>
        <v>x</v>
      </c>
      <c r="R101" s="50">
        <f t="shared" si="80"/>
        <v>6</v>
      </c>
      <c r="S101" s="53" t="str">
        <f t="shared" si="80"/>
        <v>x</v>
      </c>
      <c r="T101" s="49" t="str">
        <f t="shared" si="80"/>
        <v>x</v>
      </c>
      <c r="U101" s="50" t="str">
        <f t="shared" si="80"/>
        <v>x</v>
      </c>
      <c r="V101" s="51" t="str">
        <f t="shared" si="80"/>
        <v>x</v>
      </c>
      <c r="W101" s="52" t="str">
        <f t="shared" si="80"/>
        <v>x</v>
      </c>
      <c r="X101" s="50" t="str">
        <f t="shared" si="80"/>
        <v>x</v>
      </c>
      <c r="Y101" s="51" t="str">
        <f t="shared" si="80"/>
        <v>x</v>
      </c>
      <c r="Z101" s="52" t="str">
        <f>Z68</f>
        <v>x</v>
      </c>
      <c r="AA101" s="50" t="str">
        <f t="shared" si="80"/>
        <v>x</v>
      </c>
      <c r="AB101" s="53" t="str">
        <f t="shared" si="80"/>
        <v>x</v>
      </c>
      <c r="CH101" s="59" t="s">
        <v>0</v>
      </c>
      <c r="CI101" s="61"/>
      <c r="CJ101" s="61"/>
      <c r="CK101" s="61">
        <f>COUNTIF(Feld7,1)</f>
        <v>1</v>
      </c>
      <c r="CL101" s="61">
        <f>COUNTIF(Feld7,2)</f>
        <v>1</v>
      </c>
      <c r="CM101" s="61">
        <f>COUNTIF(Feld7,3)</f>
        <v>1</v>
      </c>
      <c r="CN101" s="61">
        <f>COUNTIF(Feld7,4)</f>
        <v>1</v>
      </c>
      <c r="CO101" s="61">
        <f>COUNTIF(Feld7,5)</f>
        <v>1</v>
      </c>
      <c r="CP101" s="61">
        <f>COUNTIF(Feld7,6)</f>
        <v>1</v>
      </c>
      <c r="CQ101" s="61">
        <f>COUNTIF(Feld7,7)</f>
        <v>1</v>
      </c>
      <c r="CR101" s="61">
        <f>COUNTIF(Feld7,8)</f>
        <v>1</v>
      </c>
      <c r="CS101" s="61">
        <f>COUNTIF(Feld7,9)</f>
        <v>1</v>
      </c>
      <c r="CT101" s="61"/>
      <c r="CU101" s="61"/>
      <c r="CV101" s="61"/>
      <c r="CW101" s="61"/>
      <c r="CX101" s="61"/>
      <c r="EB101" s="49">
        <f>IF(COUNTIF(DJ212:DL214,0)=8,SUM(DJ212:DL214),IF(B101="x",-1,0))</f>
        <v>-1</v>
      </c>
      <c r="EC101" s="50">
        <f>IF(COUNTIF(DM212:DO214,0)=8,SUM(DM212:DO214),IF(C101="x",-1,0))</f>
        <v>-1</v>
      </c>
      <c r="ED101" s="51">
        <f>IF(COUNTIF(DP212:DR214,0)=8,SUM(DP212:DR214),IF(D101="x",-1,0))</f>
        <v>-1</v>
      </c>
      <c r="EE101" s="52">
        <f>IF(COUNTIF(DS212:DU214,0)=8,SUM(DS212:DU214),IF(E101="x",-1,0))</f>
        <v>-1</v>
      </c>
      <c r="EF101" s="50">
        <f>IF(COUNTIF(DV212:DX214,0)=8,SUM(DV212:DX214),IF(F101="x",-1,0))</f>
        <v>-1</v>
      </c>
      <c r="EG101" s="51">
        <f>IF(COUNTIF(DY212:EA214,0)=8,SUM(DY212:EA214),IF(G101="x",-1,0))</f>
        <v>0</v>
      </c>
      <c r="EH101" s="52">
        <f>IF(COUNTIF(EB212:ED214,0)=8,SUM(EB212:ED214),IF(H101="x",-1,0))</f>
        <v>-1</v>
      </c>
      <c r="EI101" s="50">
        <f>IF(COUNTIF(EE212:EG214,0)=8,SUM(EE212:EG214),IF(I101="x",-1,0))</f>
        <v>-1</v>
      </c>
      <c r="EJ101" s="53">
        <f>IF(COUNTIF(EH212:EJ214,0)=8,SUM(EH212:EJ214),IF(J101="x",-1,0))</f>
        <v>-1</v>
      </c>
      <c r="EK101" s="49">
        <f>IF(COUNTIF(EK212:EM214,0)=8,SUM(EK212:EM214),IF(K101="x",-1,0))</f>
        <v>-1</v>
      </c>
      <c r="EL101" s="50">
        <f>IF(COUNTIF(EN212:EP214,0)=8,SUM(EN212:EP214),IF(L101="x",-1,0))</f>
        <v>-1</v>
      </c>
      <c r="EM101" s="51">
        <f>IF(COUNTIF(EQ212:ES214,0)=8,SUM(EQ212:ES214),IF(M101="x",-1,0))</f>
        <v>-1</v>
      </c>
      <c r="EN101" s="52">
        <f>IF(COUNTIF(ET212:EV214,0)=8,SUM(ET212:EV214),IF(N101="x",-1,0))</f>
        <v>0</v>
      </c>
      <c r="EO101" s="50">
        <f>IF(COUNTIF(EW212:EY214,0)=8,SUM(EW212:EY214),IF(O101="x",-1,0))</f>
        <v>0</v>
      </c>
      <c r="EP101" s="51">
        <f>IF(COUNTIF(EZ212:FB214,0)=8,SUM(EZ212:FB214),IF(P101="x",-1,0))</f>
        <v>-1</v>
      </c>
      <c r="EQ101" s="52">
        <f>IF(COUNTIF(FC212:FE214,0)=8,SUM(FC212:FE214),IF(Q101="x",-1,0))</f>
        <v>-1</v>
      </c>
      <c r="ER101" s="50">
        <f>IF(COUNTIF(FF212:FH214,0)=8,SUM(FF212:FH214),IF(R101="x",-1,0))</f>
        <v>0</v>
      </c>
      <c r="ES101" s="53">
        <f>IF(COUNTIF(FI212:FK214,0)=8,SUM(FI212:FK214),IF(S101="x",-1,0))</f>
        <v>-1</v>
      </c>
      <c r="ET101" s="49">
        <f>IF(COUNTIF(FL212:FN214,0)=8,SUM(FL212:FN214),IF(T101="x",-1,0))</f>
        <v>-1</v>
      </c>
      <c r="EU101" s="50">
        <f>IF(COUNTIF(FO212:FQ214,0)=8,SUM(FO212:FQ214),IF(U101="x",-1,0))</f>
        <v>-1</v>
      </c>
      <c r="EV101" s="51">
        <f>IF(COUNTIF(FR212:FT214,0)=8,SUM(FR212:FT214),IF(V101="x",-1,0))</f>
        <v>-1</v>
      </c>
      <c r="EW101" s="52">
        <f>IF(COUNTIF(FU212:FW214,0)=8,SUM(FU212:FW214),IF(W101="x",-1,0))</f>
        <v>-1</v>
      </c>
      <c r="EX101" s="50">
        <f>IF(COUNTIF(FX212:FZ214,0)=8,SUM(FX212:FZ214),IF(X101="x",-1,0))</f>
        <v>-1</v>
      </c>
      <c r="EY101" s="51">
        <f>IF(COUNTIF(GA212:GC214,0)=8,SUM(GA212:GC214),IF(Y101="x",-1,0))</f>
        <v>-1</v>
      </c>
      <c r="EZ101" s="52">
        <f>IF(COUNTIF(GD212:GF214,0)=8,SUM(GD212:GF214),IF(Z101="x",-1,0))</f>
        <v>-1</v>
      </c>
      <c r="FA101" s="50">
        <f>IF(COUNTIF(GG212:GI214,0)=8,SUM(GG212:GI214),IF(AA101="x",-1,0))</f>
        <v>-1</v>
      </c>
      <c r="FB101" s="53">
        <f>IF(COUNTIF(GJ212:GL214,0)=8,SUM(GJ212:GL214),IF(AB101="x",-1,0))</f>
        <v>-1</v>
      </c>
      <c r="FF101" s="49">
        <f>IF(EB101=-1,-1,MAX(DJ395:DL397))</f>
        <v>-1</v>
      </c>
      <c r="FG101" s="50">
        <f>IF(EC101=-1,-1,MAX(DM395:DO397))</f>
        <v>-1</v>
      </c>
      <c r="FH101" s="51">
        <f>IF(ED101=-1,-1,MAX(DP395:DR397))</f>
        <v>-1</v>
      </c>
      <c r="FI101" s="52">
        <f>IF(EE101=-1,-1,MAX(DS395:DU397))</f>
        <v>-1</v>
      </c>
      <c r="FJ101" s="50">
        <f>IF(EF101=-1,-1,MAX(DV395:DX397))</f>
        <v>-1</v>
      </c>
      <c r="FK101" s="51">
        <f>IF(EG101=-1,-1,MAX(DY395:EA397))</f>
        <v>0</v>
      </c>
      <c r="FL101" s="52">
        <f>IF(EH101=-1,-1,MAX(EB395:ED397))</f>
        <v>-1</v>
      </c>
      <c r="FM101" s="50">
        <f>IF(EI101=-1,-1,MAX(EE395:EG397))</f>
        <v>-1</v>
      </c>
      <c r="FN101" s="53">
        <f>IF(EJ101=-1,-1,MAX(EH395:EJ397))</f>
        <v>-1</v>
      </c>
      <c r="FO101" s="49">
        <f>IF(EK101=-1,-1,MAX(EK395:EM397))</f>
        <v>-1</v>
      </c>
      <c r="FP101" s="50">
        <f>IF(EL101=-1,-1,MAX(EN395:EP397))</f>
        <v>-1</v>
      </c>
      <c r="FQ101" s="51">
        <f>IF(EM101=-1,-1,MAX(EQ395:ES397))</f>
        <v>-1</v>
      </c>
      <c r="FR101" s="52">
        <f>IF(EN101=-1,-1,MAX(ET395:EV397))</f>
        <v>0</v>
      </c>
      <c r="FS101" s="50">
        <f>IF(EO101=-1,-1,MAX(EW395:EY397))</f>
        <v>0</v>
      </c>
      <c r="FT101" s="51">
        <f>IF(EP101=-1,-1,MAX(EZ395:FB397))</f>
        <v>-1</v>
      </c>
      <c r="FU101" s="52">
        <f>IF(EQ101=-1,-1,MAX(FC395:FE397))</f>
        <v>-1</v>
      </c>
      <c r="FV101" s="50">
        <f>IF(ER101=-1,-1,MAX(FF395:FH397))</f>
        <v>0</v>
      </c>
      <c r="FW101" s="53">
        <f>IF(ES101=-1,-1,MAX(FI395:FK397))</f>
        <v>-1</v>
      </c>
      <c r="FX101" s="49">
        <f>IF(ET101=-1,-1,MAX(FL395:FN397))</f>
        <v>-1</v>
      </c>
      <c r="FY101" s="50">
        <f>IF(EU101=-1,-1,MAX(FO395:FQ397))</f>
        <v>-1</v>
      </c>
      <c r="FZ101" s="51">
        <f>IF(EV101=-1,-1,MAX(FR395:FT397))</f>
        <v>-1</v>
      </c>
      <c r="GA101" s="52">
        <f>IF(EW101=-1,-1,MAX(FU395:FW397))</f>
        <v>-1</v>
      </c>
      <c r="GB101" s="50">
        <f>IF(EX101=-1,-1,MAX(FX395:FZ397))</f>
        <v>-1</v>
      </c>
      <c r="GC101" s="51">
        <f>IF(EY101=-1,-1,MAX(GA395:GC397))</f>
        <v>-1</v>
      </c>
      <c r="GD101" s="52">
        <f>IF(EZ101=-1,-1,MAX(GD395:GF397))</f>
        <v>-1</v>
      </c>
      <c r="GE101" s="50">
        <f>IF(FA101=-1,-1,MAX(GG395:GI397))</f>
        <v>-1</v>
      </c>
      <c r="GF101" s="53">
        <f>IF(FB101=-1,-1,MAX(GJ395:GL397))</f>
        <v>-1</v>
      </c>
    </row>
    <row r="102" spans="2:235" ht="15" customHeight="1">
      <c r="B102" s="43">
        <f t="shared" ref="B102:AB102" si="81">B69</f>
        <v>5</v>
      </c>
      <c r="C102" s="39">
        <f t="shared" si="81"/>
        <v>6</v>
      </c>
      <c r="D102" s="41" t="str">
        <f t="shared" si="81"/>
        <v>x</v>
      </c>
      <c r="E102" s="40">
        <f t="shared" si="81"/>
        <v>8</v>
      </c>
      <c r="F102" s="39">
        <f t="shared" si="81"/>
        <v>7</v>
      </c>
      <c r="G102" s="41" t="str">
        <f t="shared" si="81"/>
        <v>x</v>
      </c>
      <c r="H102" s="40" t="str">
        <f t="shared" si="81"/>
        <v>x</v>
      </c>
      <c r="I102" s="39" t="str">
        <f t="shared" si="81"/>
        <v>x</v>
      </c>
      <c r="J102" s="42" t="str">
        <f t="shared" si="81"/>
        <v>x</v>
      </c>
      <c r="K102" s="43" t="str">
        <f t="shared" si="81"/>
        <v>x</v>
      </c>
      <c r="L102" s="39" t="str">
        <f t="shared" si="81"/>
        <v>x</v>
      </c>
      <c r="M102" s="41" t="str">
        <f t="shared" si="81"/>
        <v>x</v>
      </c>
      <c r="N102" s="40" t="str">
        <f t="shared" si="81"/>
        <v>x</v>
      </c>
      <c r="O102" s="39" t="str">
        <f t="shared" si="81"/>
        <v>x</v>
      </c>
      <c r="P102" s="41" t="str">
        <f t="shared" si="81"/>
        <v>x</v>
      </c>
      <c r="Q102" s="40" t="str">
        <f t="shared" si="81"/>
        <v>x</v>
      </c>
      <c r="R102" s="39" t="str">
        <f t="shared" si="81"/>
        <v>x</v>
      </c>
      <c r="S102" s="42" t="str">
        <f t="shared" si="81"/>
        <v>x</v>
      </c>
      <c r="T102" s="43" t="str">
        <f t="shared" si="81"/>
        <v>x</v>
      </c>
      <c r="U102" s="39" t="str">
        <f t="shared" si="81"/>
        <v>x</v>
      </c>
      <c r="V102" s="41" t="str">
        <f t="shared" si="81"/>
        <v>x</v>
      </c>
      <c r="W102" s="40" t="str">
        <f t="shared" si="81"/>
        <v>x</v>
      </c>
      <c r="X102" s="39" t="str">
        <f t="shared" si="81"/>
        <v>x</v>
      </c>
      <c r="Y102" s="41">
        <f t="shared" si="81"/>
        <v>3</v>
      </c>
      <c r="Z102" s="40">
        <f t="shared" si="81"/>
        <v>4</v>
      </c>
      <c r="AA102" s="39">
        <f t="shared" si="81"/>
        <v>1</v>
      </c>
      <c r="AB102" s="42">
        <f t="shared" si="81"/>
        <v>2</v>
      </c>
      <c r="CH102" s="59" t="s">
        <v>1</v>
      </c>
      <c r="CI102" s="61"/>
      <c r="CJ102" s="61"/>
      <c r="CK102" s="61">
        <f>COUNTIF(Feld8,1)</f>
        <v>1</v>
      </c>
      <c r="CL102" s="61">
        <f>COUNTIF(Feld8,2)</f>
        <v>1</v>
      </c>
      <c r="CM102" s="61">
        <f>COUNTIF(Feld8,3)</f>
        <v>1</v>
      </c>
      <c r="CN102" s="61">
        <f>COUNTIF(Feld8,4)</f>
        <v>1</v>
      </c>
      <c r="CO102" s="61">
        <f>COUNTIF(Feld8,5)</f>
        <v>1</v>
      </c>
      <c r="CP102" s="61">
        <f>COUNTIF(Feld8,6)</f>
        <v>1</v>
      </c>
      <c r="CQ102" s="61">
        <f>COUNTIF(Feld8,7)</f>
        <v>1</v>
      </c>
      <c r="CR102" s="61">
        <f>COUNTIF(Feld8,8)</f>
        <v>1</v>
      </c>
      <c r="CS102" s="61">
        <f>COUNTIF(Feld8,9)</f>
        <v>1</v>
      </c>
      <c r="CT102" s="61"/>
      <c r="CU102" s="61"/>
      <c r="CV102" s="61"/>
      <c r="CW102" s="61"/>
      <c r="CX102" s="61"/>
      <c r="EB102" s="43">
        <f>IF(COUNTIF(DJ215:DL217,0)=8,SUM(DJ215:DL217),IF(B102="x",-1,0))</f>
        <v>0</v>
      </c>
      <c r="EC102" s="39">
        <f>IF(COUNTIF(DM215:DO217,0)=8,SUM(DM215:DO217),IF(C102="x",-1,0))</f>
        <v>0</v>
      </c>
      <c r="ED102" s="41">
        <f>IF(COUNTIF(DP215:DR217,0)=8,SUM(DP215:DR217),IF(D102="x",-1,0))</f>
        <v>-1</v>
      </c>
      <c r="EE102" s="40">
        <f>IF(COUNTIF(DS215:DU217,0)=8,SUM(DS215:DU217),IF(E102="x",-1,0))</f>
        <v>0</v>
      </c>
      <c r="EF102" s="39">
        <f>IF(COUNTIF(DV215:DX217,0)=8,SUM(DV215:DX217),IF(F102="x",-1,0))</f>
        <v>0</v>
      </c>
      <c r="EG102" s="41">
        <f>IF(COUNTIF(DY215:EA217,0)=8,SUM(DY215:EA217),IF(G102="x",-1,0))</f>
        <v>-1</v>
      </c>
      <c r="EH102" s="40">
        <f>IF(COUNTIF(EB215:ED217,0)=8,SUM(EB215:ED217),IF(H102="x",-1,0))</f>
        <v>-1</v>
      </c>
      <c r="EI102" s="39">
        <f>IF(COUNTIF(EE215:EG217,0)=8,SUM(EE215:EG217),IF(I102="x",-1,0))</f>
        <v>-1</v>
      </c>
      <c r="EJ102" s="42">
        <f>IF(COUNTIF(EH215:EJ217,0)=8,SUM(EH215:EJ217),IF(J102="x",-1,0))</f>
        <v>-1</v>
      </c>
      <c r="EK102" s="43">
        <f>IF(COUNTIF(EK215:EM217,0)=8,SUM(EK215:EM217),IF(K102="x",-1,0))</f>
        <v>-1</v>
      </c>
      <c r="EL102" s="39">
        <f>IF(COUNTIF(EN215:EP217,0)=8,SUM(EN215:EP217),IF(L102="x",-1,0))</f>
        <v>-1</v>
      </c>
      <c r="EM102" s="41">
        <f>IF(COUNTIF(EQ215:ES217,0)=8,SUM(EQ215:ES217),IF(M102="x",-1,0))</f>
        <v>-1</v>
      </c>
      <c r="EN102" s="40">
        <f>IF(COUNTIF(ET215:EV217,0)=8,SUM(ET215:EV217),IF(N102="x",-1,0))</f>
        <v>-1</v>
      </c>
      <c r="EO102" s="39">
        <f>IF(COUNTIF(EW215:EY217,0)=8,SUM(EW215:EY217),IF(O102="x",-1,0))</f>
        <v>-1</v>
      </c>
      <c r="EP102" s="41">
        <f>IF(COUNTIF(EZ215:FB217,0)=8,SUM(EZ215:FB217),IF(P102="x",-1,0))</f>
        <v>-1</v>
      </c>
      <c r="EQ102" s="40">
        <f>IF(COUNTIF(FC215:FE217,0)=8,SUM(FC215:FE217),IF(Q102="x",-1,0))</f>
        <v>-1</v>
      </c>
      <c r="ER102" s="39">
        <f>IF(COUNTIF(FF215:FH217,0)=8,SUM(FF215:FH217),IF(R102="x",-1,0))</f>
        <v>-1</v>
      </c>
      <c r="ES102" s="42">
        <f>IF(COUNTIF(FI215:FK217,0)=8,SUM(FI215:FK217),IF(S102="x",-1,0))</f>
        <v>-1</v>
      </c>
      <c r="ET102" s="43">
        <f>IF(COUNTIF(FL215:FN217,0)=8,SUM(FL215:FN217),IF(T102="x",-1,0))</f>
        <v>-1</v>
      </c>
      <c r="EU102" s="39">
        <f>IF(COUNTIF(FO215:FQ217,0)=8,SUM(FO215:FQ217),IF(U102="x",-1,0))</f>
        <v>-1</v>
      </c>
      <c r="EV102" s="41">
        <f>IF(COUNTIF(FR215:FT217,0)=8,SUM(FR215:FT217),IF(V102="x",-1,0))</f>
        <v>-1</v>
      </c>
      <c r="EW102" s="40">
        <f>IF(COUNTIF(FU215:FW217,0)=8,SUM(FU215:FW217),IF(W102="x",-1,0))</f>
        <v>-1</v>
      </c>
      <c r="EX102" s="39">
        <f>IF(COUNTIF(FX215:FZ217,0)=8,SUM(FX215:FZ217),IF(X102="x",-1,0))</f>
        <v>-1</v>
      </c>
      <c r="EY102" s="41">
        <f>IF(COUNTIF(GA215:GC217,0)=8,SUM(GA215:GC217),IF(Y102="x",-1,0))</f>
        <v>0</v>
      </c>
      <c r="EZ102" s="40">
        <f>IF(COUNTIF(GD215:GF217,0)=8,SUM(GD215:GF217),IF(Z102="x",-1,0))</f>
        <v>0</v>
      </c>
      <c r="FA102" s="39">
        <f>IF(COUNTIF(GG215:GI217,0)=8,SUM(GG215:GI217),IF(AA102="x",-1,0))</f>
        <v>0</v>
      </c>
      <c r="FB102" s="42">
        <f>IF(COUNTIF(GJ215:GL217,0)=8,SUM(GJ215:GL217),IF(AB102="x",-1,0))</f>
        <v>0</v>
      </c>
      <c r="FF102" s="43">
        <f>IF(EB102=-1,-1,MAX(DJ398:DL400))</f>
        <v>5</v>
      </c>
      <c r="FG102" s="39">
        <f>IF(EC102=-1,-1,MAX(DM398:DO400))</f>
        <v>0</v>
      </c>
      <c r="FH102" s="41">
        <f>IF(ED102=-1,-1,MAX(DP398:DR400))</f>
        <v>-1</v>
      </c>
      <c r="FI102" s="40">
        <f>IF(EE102=-1,-1,MAX(DS398:DU400))</f>
        <v>0</v>
      </c>
      <c r="FJ102" s="39">
        <f>IF(EF102=-1,-1,MAX(DV398:DX400))</f>
        <v>0</v>
      </c>
      <c r="FK102" s="41">
        <f>IF(EG102=-1,-1,MAX(DY398:EA400))</f>
        <v>-1</v>
      </c>
      <c r="FL102" s="40">
        <f>IF(EH102=-1,-1,MAX(EB398:ED400))</f>
        <v>-1</v>
      </c>
      <c r="FM102" s="39">
        <f>IF(EI102=-1,-1,MAX(EE398:EG400))</f>
        <v>-1</v>
      </c>
      <c r="FN102" s="42">
        <f>IF(EJ102=-1,-1,MAX(EH398:EJ400))</f>
        <v>-1</v>
      </c>
      <c r="FO102" s="43">
        <f>IF(EK102=-1,-1,MAX(EK398:EM400))</f>
        <v>-1</v>
      </c>
      <c r="FP102" s="39">
        <f>IF(EL102=-1,-1,MAX(EN398:EP400))</f>
        <v>-1</v>
      </c>
      <c r="FQ102" s="41">
        <f>IF(EM102=-1,-1,MAX(EQ398:ES400))</f>
        <v>-1</v>
      </c>
      <c r="FR102" s="40">
        <f>IF(EN102=-1,-1,MAX(ET398:EV400))</f>
        <v>-1</v>
      </c>
      <c r="FS102" s="39">
        <f>IF(EO102=-1,-1,MAX(EW398:EY400))</f>
        <v>-1</v>
      </c>
      <c r="FT102" s="41">
        <f>IF(EP102=-1,-1,MAX(EZ398:FB400))</f>
        <v>-1</v>
      </c>
      <c r="FU102" s="40">
        <f>IF(EQ102=-1,-1,MAX(FC398:FE400))</f>
        <v>-1</v>
      </c>
      <c r="FV102" s="39">
        <f>IF(ER102=-1,-1,MAX(FF398:FH400))</f>
        <v>-1</v>
      </c>
      <c r="FW102" s="42">
        <f>IF(ES102=-1,-1,MAX(FI398:FK400))</f>
        <v>-1</v>
      </c>
      <c r="FX102" s="43">
        <f>IF(ET102=-1,-1,MAX(FL398:FN400))</f>
        <v>-1</v>
      </c>
      <c r="FY102" s="39">
        <f>IF(EU102=-1,-1,MAX(FO398:FQ400))</f>
        <v>-1</v>
      </c>
      <c r="FZ102" s="41">
        <f>IF(EV102=-1,-1,MAX(FR398:FT400))</f>
        <v>-1</v>
      </c>
      <c r="GA102" s="40">
        <f>IF(EW102=-1,-1,MAX(FU398:FW400))</f>
        <v>-1</v>
      </c>
      <c r="GB102" s="39">
        <f>IF(EX102=-1,-1,MAX(FX398:FZ400))</f>
        <v>-1</v>
      </c>
      <c r="GC102" s="41">
        <f>IF(EY102=-1,-1,MAX(GA398:GC400))</f>
        <v>0</v>
      </c>
      <c r="GD102" s="40">
        <f>IF(EZ102=-1,-1,MAX(GD398:GF400))</f>
        <v>0</v>
      </c>
      <c r="GE102" s="39">
        <f>IF(FA102=-1,-1,MAX(GG398:GI400))</f>
        <v>0</v>
      </c>
      <c r="GF102" s="42">
        <f>IF(FB102=-1,-1,MAX(GJ398:GL400))</f>
        <v>0</v>
      </c>
    </row>
    <row r="103" spans="2:235" ht="15" customHeight="1" thickBot="1">
      <c r="B103" s="54">
        <f t="shared" ref="B103:AB103" si="82">B70</f>
        <v>3</v>
      </c>
      <c r="C103" s="55">
        <f t="shared" si="82"/>
        <v>4</v>
      </c>
      <c r="D103" s="56">
        <f t="shared" si="82"/>
        <v>2</v>
      </c>
      <c r="E103" s="57">
        <f t="shared" si="82"/>
        <v>1</v>
      </c>
      <c r="F103" s="55" t="str">
        <f t="shared" si="82"/>
        <v>x</v>
      </c>
      <c r="G103" s="56" t="str">
        <f t="shared" si="82"/>
        <v>x</v>
      </c>
      <c r="H103" s="57" t="str">
        <f t="shared" si="82"/>
        <v>x</v>
      </c>
      <c r="I103" s="55" t="str">
        <f t="shared" si="82"/>
        <v>x</v>
      </c>
      <c r="J103" s="58" t="str">
        <f t="shared" si="82"/>
        <v>x</v>
      </c>
      <c r="K103" s="54" t="str">
        <f t="shared" si="82"/>
        <v>x</v>
      </c>
      <c r="L103" s="55" t="str">
        <f t="shared" si="82"/>
        <v>x</v>
      </c>
      <c r="M103" s="56" t="str">
        <f t="shared" si="82"/>
        <v>x</v>
      </c>
      <c r="N103" s="57" t="str">
        <f t="shared" si="82"/>
        <v>x</v>
      </c>
      <c r="O103" s="55" t="str">
        <f t="shared" si="82"/>
        <v>x</v>
      </c>
      <c r="P103" s="56" t="str">
        <f t="shared" si="82"/>
        <v>x</v>
      </c>
      <c r="Q103" s="57" t="str">
        <f t="shared" si="82"/>
        <v>x</v>
      </c>
      <c r="R103" s="55" t="str">
        <f t="shared" si="82"/>
        <v>x</v>
      </c>
      <c r="S103" s="58" t="str">
        <f t="shared" si="82"/>
        <v>x</v>
      </c>
      <c r="T103" s="54" t="str">
        <f t="shared" si="82"/>
        <v>x</v>
      </c>
      <c r="U103" s="55" t="str">
        <f t="shared" si="82"/>
        <v>x</v>
      </c>
      <c r="V103" s="56" t="str">
        <f t="shared" si="82"/>
        <v>x</v>
      </c>
      <c r="W103" s="57" t="str">
        <f t="shared" si="82"/>
        <v>x</v>
      </c>
      <c r="X103" s="55">
        <f t="shared" si="82"/>
        <v>5</v>
      </c>
      <c r="Y103" s="56">
        <f t="shared" si="82"/>
        <v>6</v>
      </c>
      <c r="Z103" s="57">
        <f t="shared" si="82"/>
        <v>7</v>
      </c>
      <c r="AA103" s="55">
        <f t="shared" si="82"/>
        <v>9</v>
      </c>
      <c r="AB103" s="58">
        <f t="shared" si="82"/>
        <v>8</v>
      </c>
      <c r="CH103" s="59" t="s">
        <v>2</v>
      </c>
      <c r="CI103" s="61"/>
      <c r="CJ103" s="61"/>
      <c r="CK103" s="61">
        <f>COUNTIF(Feld9,1)</f>
        <v>1</v>
      </c>
      <c r="CL103" s="61">
        <f>COUNTIF(Feld9,2)</f>
        <v>1</v>
      </c>
      <c r="CM103" s="61">
        <f>COUNTIF(Feld9,3)</f>
        <v>1</v>
      </c>
      <c r="CN103" s="61">
        <f>COUNTIF(Feld9,4)</f>
        <v>1</v>
      </c>
      <c r="CO103" s="61">
        <f>COUNTIF(Feld9,5)</f>
        <v>1</v>
      </c>
      <c r="CP103" s="61">
        <f>COUNTIF(Feld9,6)</f>
        <v>1</v>
      </c>
      <c r="CQ103" s="61">
        <f>COUNTIF(Feld9,7)</f>
        <v>1</v>
      </c>
      <c r="CR103" s="61">
        <f>COUNTIF(Feld9,8)</f>
        <v>1</v>
      </c>
      <c r="CS103" s="61">
        <f>COUNTIF(Feld9,9)</f>
        <v>1</v>
      </c>
      <c r="CT103" s="61"/>
      <c r="CU103" s="61"/>
      <c r="CV103" s="61"/>
      <c r="CW103" s="61"/>
      <c r="CX103" s="61"/>
      <c r="EB103" s="54">
        <f>IF(COUNTIF(DJ218:DL220,0)=8,SUM(DJ218:DL220),IF(B103="x",-1,0))</f>
        <v>0</v>
      </c>
      <c r="EC103" s="55">
        <f>IF(COUNTIF(DM218:DO220,0)=8,SUM(DM218:DO220),IF(C103="x",-1,0))</f>
        <v>0</v>
      </c>
      <c r="ED103" s="56">
        <f>IF(COUNTIF(DP218:DR220,0)=8,SUM(DP218:DR220),IF(D103="x",-1,0))</f>
        <v>0</v>
      </c>
      <c r="EE103" s="57">
        <f>IF(COUNTIF(DS218:DU220,0)=8,SUM(DS218:DU220),IF(E103="x",-1,0))</f>
        <v>0</v>
      </c>
      <c r="EF103" s="55">
        <f>IF(COUNTIF(DV218:DX220,0)=8,SUM(DV218:DX220),IF(F103="x",-1,0))</f>
        <v>-1</v>
      </c>
      <c r="EG103" s="56">
        <f>IF(COUNTIF(DY218:EA220,0)=8,SUM(DY218:EA220),IF(G103="x",-1,0))</f>
        <v>-1</v>
      </c>
      <c r="EH103" s="57">
        <f>IF(COUNTIF(EB218:ED220,0)=8,SUM(EB218:ED220),IF(H103="x",-1,0))</f>
        <v>-1</v>
      </c>
      <c r="EI103" s="55">
        <f>IF(COUNTIF(EE218:EG220,0)=8,SUM(EE218:EG220),IF(I103="x",-1,0))</f>
        <v>-1</v>
      </c>
      <c r="EJ103" s="58">
        <f>IF(COUNTIF(EH218:EJ220,0)=8,SUM(EH218:EJ220),IF(J103="x",-1,0))</f>
        <v>-1</v>
      </c>
      <c r="EK103" s="54">
        <f>IF(COUNTIF(EK218:EM220,0)=8,SUM(EK218:EM220),IF(K103="x",-1,0))</f>
        <v>-1</v>
      </c>
      <c r="EL103" s="55">
        <f>IF(COUNTIF(EN218:EP220,0)=8,SUM(EN218:EP220),IF(L103="x",-1,0))</f>
        <v>-1</v>
      </c>
      <c r="EM103" s="56">
        <f>IF(COUNTIF(EQ218:ES220,0)=8,SUM(EQ218:ES220),IF(M103="x",-1,0))</f>
        <v>-1</v>
      </c>
      <c r="EN103" s="57">
        <f>IF(COUNTIF(ET218:EV220,0)=8,SUM(ET218:EV220),IF(N103="x",-1,0))</f>
        <v>-1</v>
      </c>
      <c r="EO103" s="55">
        <f>IF(COUNTIF(EW218:EY220,0)=8,SUM(EW218:EY220),IF(O103="x",-1,0))</f>
        <v>-1</v>
      </c>
      <c r="EP103" s="56">
        <f>IF(COUNTIF(EZ218:FB220,0)=8,SUM(EZ218:FB220),IF(P103="x",-1,0))</f>
        <v>-1</v>
      </c>
      <c r="EQ103" s="57">
        <f>IF(COUNTIF(FC218:FE220,0)=8,SUM(FC218:FE220),IF(Q103="x",-1,0))</f>
        <v>-1</v>
      </c>
      <c r="ER103" s="55">
        <f>IF(COUNTIF(FF218:FH220,0)=8,SUM(FF218:FH220),IF(R103="x",-1,0))</f>
        <v>-1</v>
      </c>
      <c r="ES103" s="58">
        <f>IF(COUNTIF(FI218:FK220,0)=8,SUM(FI218:FK220),IF(S103="x",-1,0))</f>
        <v>-1</v>
      </c>
      <c r="ET103" s="54">
        <f>IF(COUNTIF(FL218:FN220,0)=8,SUM(FL218:FN220),IF(T103="x",-1,0))</f>
        <v>-1</v>
      </c>
      <c r="EU103" s="55">
        <f>IF(COUNTIF(FO218:FQ220,0)=8,SUM(FO218:FQ220),IF(U103="x",-1,0))</f>
        <v>-1</v>
      </c>
      <c r="EV103" s="56">
        <f>IF(COUNTIF(FR218:FT220,0)=8,SUM(FR218:FT220),IF(V103="x",-1,0))</f>
        <v>-1</v>
      </c>
      <c r="EW103" s="57">
        <f>IF(COUNTIF(FU218:FW220,0)=8,SUM(FU218:FW220),IF(W103="x",-1,0))</f>
        <v>-1</v>
      </c>
      <c r="EX103" s="55">
        <f>IF(COUNTIF(FX218:FZ220,0)=8,SUM(FX218:FZ220),IF(X103="x",-1,0))</f>
        <v>0</v>
      </c>
      <c r="EY103" s="56">
        <f>IF(COUNTIF(GA218:GC220,0)=8,SUM(GA218:GC220),IF(Y103="x",-1,0))</f>
        <v>0</v>
      </c>
      <c r="EZ103" s="57">
        <f>IF(COUNTIF(GD218:GF220,0)=8,SUM(GD218:GF220),IF(Z103="x",-1,0))</f>
        <v>0</v>
      </c>
      <c r="FA103" s="55">
        <f>IF(COUNTIF(GG218:GI220,0)=8,SUM(GG218:GI220),IF(AA103="x",-1,0))</f>
        <v>0</v>
      </c>
      <c r="FB103" s="58">
        <f>IF(COUNTIF(GJ218:GL220,0)=8,SUM(GJ218:GL220),IF(AB103="x",-1,0))</f>
        <v>0</v>
      </c>
      <c r="FF103" s="54">
        <f>IF(EB103=-1,-1,MAX(DJ401:DL403))</f>
        <v>0</v>
      </c>
      <c r="FG103" s="55">
        <f>IF(EC103=-1,-1,MAX(DM401:DO403))</f>
        <v>0</v>
      </c>
      <c r="FH103" s="56">
        <f>IF(ED103=-1,-1,MAX(DP401:DR403))</f>
        <v>0</v>
      </c>
      <c r="FI103" s="57">
        <f>IF(EE103=-1,-1,MAX(DS401:DU403))</f>
        <v>0</v>
      </c>
      <c r="FJ103" s="55">
        <f>IF(EF103=-1,-1,MAX(DV401:DX403))</f>
        <v>-1</v>
      </c>
      <c r="FK103" s="56">
        <f>IF(EG103=-1,-1,MAX(DY401:EA403))</f>
        <v>-1</v>
      </c>
      <c r="FL103" s="57">
        <f>IF(EH103=-1,-1,MAX(EB401:ED403))</f>
        <v>-1</v>
      </c>
      <c r="FM103" s="55">
        <f>IF(EI103=-1,-1,MAX(EE401:EG403))</f>
        <v>-1</v>
      </c>
      <c r="FN103" s="58">
        <f>IF(EJ103=-1,-1,MAX(EH401:EJ403))</f>
        <v>-1</v>
      </c>
      <c r="FO103" s="54">
        <f>IF(EK103=-1,-1,MAX(EK401:EM403))</f>
        <v>-1</v>
      </c>
      <c r="FP103" s="55">
        <f>IF(EL103=-1,-1,MAX(EN401:EP403))</f>
        <v>-1</v>
      </c>
      <c r="FQ103" s="56">
        <f>IF(EM103=-1,-1,MAX(EQ401:ES403))</f>
        <v>-1</v>
      </c>
      <c r="FR103" s="57">
        <f>IF(EN103=-1,-1,MAX(ET401:EV403))</f>
        <v>-1</v>
      </c>
      <c r="FS103" s="55">
        <f>IF(EO103=-1,-1,MAX(EW401:EY403))</f>
        <v>-1</v>
      </c>
      <c r="FT103" s="56">
        <f>IF(EP103=-1,-1,MAX(EZ401:FB403))</f>
        <v>-1</v>
      </c>
      <c r="FU103" s="57">
        <f>IF(EQ103=-1,-1,MAX(FC401:FE403))</f>
        <v>-1</v>
      </c>
      <c r="FV103" s="55">
        <f>IF(ER103=-1,-1,MAX(FF401:FH403))</f>
        <v>-1</v>
      </c>
      <c r="FW103" s="58">
        <f>IF(ES103=-1,-1,MAX(FI401:FK403))</f>
        <v>-1</v>
      </c>
      <c r="FX103" s="54">
        <f>IF(ET103=-1,-1,MAX(FL401:FN403))</f>
        <v>-1</v>
      </c>
      <c r="FY103" s="55">
        <f>IF(EU103=-1,-1,MAX(FO401:FQ403))</f>
        <v>-1</v>
      </c>
      <c r="FZ103" s="56">
        <f>IF(EV103=-1,-1,MAX(FR401:FT403))</f>
        <v>-1</v>
      </c>
      <c r="GA103" s="57">
        <f>IF(EW103=-1,-1,MAX(FU401:FW403))</f>
        <v>-1</v>
      </c>
      <c r="GB103" s="55">
        <f>IF(EX103=-1,-1,MAX(FX401:FZ403))</f>
        <v>0</v>
      </c>
      <c r="GC103" s="56">
        <f>IF(EY103=-1,-1,MAX(GA401:GC403))</f>
        <v>0</v>
      </c>
      <c r="GD103" s="57">
        <f>IF(EZ103=-1,-1,MAX(GD401:GF403))</f>
        <v>7</v>
      </c>
      <c r="GE103" s="55">
        <f>IF(FA103=-1,-1,MAX(GG401:GI403))</f>
        <v>0</v>
      </c>
      <c r="GF103" s="58">
        <f>IF(FB103=-1,-1,MAX(GJ401:GL403))</f>
        <v>0</v>
      </c>
    </row>
    <row r="104" spans="2:235" ht="15" customHeight="1" thickBot="1">
      <c r="B104" s="62" t="str">
        <f>K77</f>
        <v>x</v>
      </c>
      <c r="C104" s="63" t="str">
        <f t="shared" ref="C104:J104" si="83">L77</f>
        <v>x</v>
      </c>
      <c r="D104" s="63" t="str">
        <f t="shared" si="83"/>
        <v>x</v>
      </c>
      <c r="E104" s="63">
        <f t="shared" si="83"/>
        <v>3</v>
      </c>
      <c r="F104" s="63">
        <f t="shared" si="83"/>
        <v>6</v>
      </c>
      <c r="G104" s="63">
        <f t="shared" si="83"/>
        <v>2</v>
      </c>
      <c r="H104" s="63" t="str">
        <f t="shared" si="83"/>
        <v>x</v>
      </c>
      <c r="I104" s="63" t="str">
        <f t="shared" si="83"/>
        <v>x</v>
      </c>
      <c r="J104" s="64" t="str">
        <f t="shared" si="83"/>
        <v>x</v>
      </c>
      <c r="CY104" s="28" t="s">
        <v>6</v>
      </c>
      <c r="EB104" s="410" t="s">
        <v>70</v>
      </c>
      <c r="EC104" s="411"/>
      <c r="ED104" s="411"/>
      <c r="EE104" s="411"/>
      <c r="EF104" s="411"/>
      <c r="EG104" s="411"/>
      <c r="EH104" s="414"/>
      <c r="EI104" s="415"/>
      <c r="EJ104" s="550">
        <f>81-COUNTIF(EB77:FB103,0)</f>
        <v>5</v>
      </c>
      <c r="EK104" s="551"/>
      <c r="FF104" s="410" t="s">
        <v>71</v>
      </c>
      <c r="FG104" s="411"/>
      <c r="FH104" s="411"/>
      <c r="FI104" s="411"/>
      <c r="FJ104" s="411"/>
      <c r="FK104" s="411"/>
      <c r="FL104" s="411"/>
      <c r="FM104" s="411"/>
      <c r="FN104" s="550">
        <f>81-COUNTIF(FF77:GF103,0)</f>
        <v>14</v>
      </c>
      <c r="FO104" s="551"/>
      <c r="GD104" s="29"/>
      <c r="GH104" s="537"/>
      <c r="GI104" s="570"/>
      <c r="GJ104" s="570"/>
      <c r="GK104" s="570"/>
      <c r="GL104" s="570"/>
      <c r="GM104" s="571"/>
    </row>
    <row r="105" spans="2:235" ht="15" customHeight="1">
      <c r="B105" s="69" t="str">
        <f t="shared" ref="B105:B130" si="84">K78</f>
        <v>x</v>
      </c>
      <c r="C105" s="70" t="str">
        <f t="shared" ref="C105:C130" si="85">L78</f>
        <v>x</v>
      </c>
      <c r="D105" s="70" t="str">
        <f t="shared" ref="D105:D130" si="86">M78</f>
        <v>x</v>
      </c>
      <c r="E105" s="70">
        <f t="shared" ref="E105:E130" si="87">N78</f>
        <v>4</v>
      </c>
      <c r="F105" s="70">
        <f t="shared" ref="F105:F130" si="88">O78</f>
        <v>9</v>
      </c>
      <c r="G105" s="70" t="str">
        <f t="shared" ref="G105:G130" si="89">P78</f>
        <v>x</v>
      </c>
      <c r="H105" s="70" t="str">
        <f t="shared" ref="H105:H130" si="90">Q78</f>
        <v>x</v>
      </c>
      <c r="I105" s="70" t="str">
        <f t="shared" ref="I105:I130" si="91">R78</f>
        <v>x</v>
      </c>
      <c r="J105" s="71" t="str">
        <f t="shared" ref="J105:J130" si="92">S78</f>
        <v>x</v>
      </c>
      <c r="CS105" s="28" t="s">
        <v>5</v>
      </c>
      <c r="CY105" s="28" t="s">
        <v>8</v>
      </c>
    </row>
    <row r="106" spans="2:235" ht="15" customHeight="1" thickBot="1">
      <c r="B106" s="69" t="str">
        <f t="shared" si="84"/>
        <v>x</v>
      </c>
      <c r="C106" s="70" t="str">
        <f t="shared" si="85"/>
        <v>x</v>
      </c>
      <c r="D106" s="70">
        <f t="shared" si="86"/>
        <v>1</v>
      </c>
      <c r="E106" s="70" t="str">
        <f t="shared" si="87"/>
        <v>x</v>
      </c>
      <c r="F106" s="70" t="str">
        <f t="shared" si="88"/>
        <v>x</v>
      </c>
      <c r="G106" s="70" t="str">
        <f t="shared" si="89"/>
        <v>x</v>
      </c>
      <c r="H106" s="70" t="str">
        <f t="shared" si="90"/>
        <v>x</v>
      </c>
      <c r="I106" s="70" t="str">
        <f t="shared" si="91"/>
        <v>x</v>
      </c>
      <c r="J106" s="71" t="str">
        <f t="shared" si="92"/>
        <v>x</v>
      </c>
      <c r="N106" s="82" t="s">
        <v>3</v>
      </c>
      <c r="O106" s="83"/>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CS106" s="28" t="s">
        <v>8</v>
      </c>
      <c r="CY106" s="28" t="s">
        <v>12</v>
      </c>
      <c r="DE106" s="32" t="s">
        <v>69</v>
      </c>
      <c r="EI106" s="32" t="s">
        <v>89</v>
      </c>
      <c r="FM106" s="32" t="s">
        <v>72</v>
      </c>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2:235" ht="15" customHeight="1" thickTop="1">
      <c r="B107" s="69" t="str">
        <f t="shared" si="84"/>
        <v>x</v>
      </c>
      <c r="C107" s="70" t="str">
        <f t="shared" si="85"/>
        <v>x</v>
      </c>
      <c r="D107" s="70" t="str">
        <f t="shared" si="86"/>
        <v>x</v>
      </c>
      <c r="E107" s="70">
        <f t="shared" si="87"/>
        <v>7</v>
      </c>
      <c r="F107" s="70" t="str">
        <f t="shared" si="88"/>
        <v>x</v>
      </c>
      <c r="G107" s="70" t="str">
        <f t="shared" si="89"/>
        <v>x</v>
      </c>
      <c r="H107" s="70" t="str">
        <f t="shared" si="90"/>
        <v>x</v>
      </c>
      <c r="I107" s="70" t="str">
        <f t="shared" si="91"/>
        <v>x</v>
      </c>
      <c r="J107" s="71" t="str">
        <f t="shared" si="92"/>
        <v>x</v>
      </c>
      <c r="M107" s="39"/>
      <c r="N107" s="84">
        <f>IF($B$77="x",-1,IF(AND($B$77=0,INDEX(KonZeile1,1)+INDEX(KonSpalte1,1)+INDEX(KonFeld1,1)=0),1,0))</f>
        <v>0</v>
      </c>
      <c r="O107" s="39">
        <f>IF($B$77="x",-1,IF(AND($B$77=0,INDEX(KonZeile1,2)+INDEX(KonSpalte1,2)+INDEX(KonFeld1,2)=0),2,0))</f>
        <v>0</v>
      </c>
      <c r="P107" s="85">
        <f>IF($B$77="x",-1,IF(AND($B$77=0,INDEX(KonZeile1,3)+INDEX(KonSpalte1,3)+INDEX(KonFeld1,3)=0),3,0))</f>
        <v>0</v>
      </c>
      <c r="Q107" s="86">
        <f>IF($C$77="x",-1,IF(AND($C$77=0,INDEX(KonZeile1,1)+INDEX(KonSpalte2,1)+INDEX(KonFeld1,1)=0),1,0))</f>
        <v>0</v>
      </c>
      <c r="R107" s="85">
        <f>IF($C$77="x",-1,IF(AND($C$77=0,INDEX(KonZeile1,2)+INDEX(KonSpalte2,2)+INDEX(KonFeld1,2)=0),2,0))</f>
        <v>0</v>
      </c>
      <c r="S107" s="87">
        <f>IF($C$77="x",-1,IF(AND($C$77=0,INDEX(KonZeile1,3)+INDEX(KonSpalte2,3)+INDEX(KonFeld1,3)=0),3,0))</f>
        <v>0</v>
      </c>
      <c r="T107" s="86">
        <f>IF($D$77="x",-1,IF(AND($D$77=0,INDEX(KonZeile1,1)+INDEX(KonSpalte3,1)+INDEX(KonFeld1,1)=0),1,0))</f>
        <v>0</v>
      </c>
      <c r="U107" s="85">
        <f>IF($D$77="x",-1,IF(AND($D$77=0,INDEX(KonZeile1,2)+INDEX(KonSpalte3,2)+INDEX(KonFeld1,2)=0),2,0))</f>
        <v>0</v>
      </c>
      <c r="V107" s="88">
        <f>IF($D$77="x",-1,IF(AND($D$77=0,INDEX(KonZeile1,3)+INDEX(KonSpalte3,3)+INDEX(KonFeld1,3)=0),3,0))</f>
        <v>0</v>
      </c>
      <c r="W107" s="89">
        <f>IF($E$77="x",-1,IF(AND($E$77=0,INDEX(KonZeile1,1)+INDEX(KonSpalte4,1)+INDEX(KonFeld1,1)=0),1,0))</f>
        <v>-1</v>
      </c>
      <c r="X107" s="85">
        <f>IF($E$77="x",-1,IF(AND($E$77=0,INDEX(KonZeile1,2)+INDEX(KonSpalte4,2)+INDEX(KonFeld1,2)=0),2,0))</f>
        <v>-1</v>
      </c>
      <c r="Y107" s="87">
        <f>IF($E$77="x",-1,IF(AND($E$77=0,INDEX(KonZeile1,3)+INDEX(KonSpalte4,3)+INDEX(KonFeld1,3)=0),3,0))</f>
        <v>-1</v>
      </c>
      <c r="Z107" s="86">
        <f>IF($F$77="x",-1,IF(AND($F$77=0,INDEX(KonZeile1,1)+INDEX(KonSpalte5,1)+INDEX(KonFeld1,1)=0),1,0))</f>
        <v>-1</v>
      </c>
      <c r="AA107" s="85">
        <f>IF($F$77="x",-1,IF(AND($F$77=0,INDEX(KonZeile1,2)+INDEX(KonSpalte5,2)+INDEX(KonFeld1,2)=0),2,0))</f>
        <v>-1</v>
      </c>
      <c r="AB107" s="87">
        <f>IF($F$77="x",-1,IF(AND($F$77=0,INDEX(KonZeile1,3)+INDEX(KonSpalte5,3)+INDEX(KonFeld1,3)=0),3,0))</f>
        <v>-1</v>
      </c>
      <c r="AC107" s="86">
        <f>IF($G$77="x",-1,IF(AND($G$77=0,INDEX(KonZeile1,1)+INDEX(KonSpalte6,1)+INDEX(KonFeld1,1)=0),1,0))</f>
        <v>-1</v>
      </c>
      <c r="AD107" s="85">
        <f>IF($G$77="x",-1,IF(AND($G$77=0,INDEX(KonZeile1,2)+INDEX(KonSpalte6,2)+INDEX(KonFeld1,2)=0),2,0))</f>
        <v>-1</v>
      </c>
      <c r="AE107" s="88">
        <f>IF($G$77="x",-1,IF(AND($G$77=0,INDEX(KonZeile1,3)+INDEX(KonSpalte6,3)+INDEX(KonFeld1,3)=0),3,0))</f>
        <v>-1</v>
      </c>
      <c r="AF107" s="89">
        <f>IF($H$77="x",-1,IF(AND($H$77=0,INDEX(KonZeile1,1)+INDEX(KonSpalte7,1)+INDEX(KonFeld1,1)=0),1,0))</f>
        <v>-1</v>
      </c>
      <c r="AG107" s="85">
        <f>IF($H$77="x",-1,IF(AND($H$77=0,INDEX(KonZeile1,2)+INDEX(KonSpalte7,2)+INDEX(KonFeld1,2)=0),2,0))</f>
        <v>-1</v>
      </c>
      <c r="AH107" s="87">
        <f>IF($H$77="x",-1,IF(AND($H$77=0,INDEX(KonZeile1,3)+INDEX(KonSpalte7,3)+INDEX(KonFeld1,3)=0),3,0))</f>
        <v>-1</v>
      </c>
      <c r="AI107" s="86">
        <f>IF($I$77="x",-1,IF(AND($I$77=0,INDEX(KonZeile1,1)+INDEX(KonSpalte8,1)+INDEX(KonFeld1,1)=0),1,0))</f>
        <v>-1</v>
      </c>
      <c r="AJ107" s="85">
        <f>IF($I$77="x",-1,IF(AND($I$77=0,INDEX(KonZeile1,2)+INDEX(KonSpalte8,2)+INDEX(KonFeld1,2)=0),2,0))</f>
        <v>-1</v>
      </c>
      <c r="AK107" s="87">
        <f>IF($I$77="x",-1,IF(AND($I$77=0,INDEX(KonZeile1,3)+INDEX(KonSpalte8,3)+INDEX(KonFeld1,3)=0),3,0))</f>
        <v>-1</v>
      </c>
      <c r="AL107" s="86">
        <f>IF($J$77="x",-1,IF(AND($J$77=0,INDEX(KonZeile1,1)+INDEX(KonSpalte9,1)+INDEX(KonFeld1,1)=0),1,0))</f>
        <v>-1</v>
      </c>
      <c r="AM107" s="85">
        <f>IF($J$77="x",-1,IF(AND($J$77=0,INDEX(KonZeile1,2)+INDEX(KonSpalte9,2)+INDEX(KonFeld1,2)=0),2,0))</f>
        <v>-1</v>
      </c>
      <c r="AN107" s="90">
        <f>IF($J$77="x",-1,IF(AND($J$77=0,INDEX(KonZeile1,3)+INDEX(KonSpalte9,3)+INDEX(KonFeld1,3)=0),3,0))</f>
        <v>-1</v>
      </c>
      <c r="AO107" s="84">
        <f>IF($K$77="x",-1,IF(AND($K$77=0,INDEX(KonZeile1,1)+INDEX(KonSpalte1,1)+INDEX(KonFeld2,1)=0),1,0))</f>
        <v>-1</v>
      </c>
      <c r="AP107" s="85">
        <f>IF($K$77="x",-1,IF(AND($K$77=0,INDEX(KonZeile1,2)+INDEX(KonSpalte1,2)+INDEX(KonFeld2,2)=0),2,0))</f>
        <v>-1</v>
      </c>
      <c r="AQ107" s="87">
        <f>IF($K$77="x",-1,IF(AND($K$77=0,INDEX(KonZeile1,3)+INDEX(KonSpalte1,3)+INDEX(KonFeld2,3)=0),3,0))</f>
        <v>-1</v>
      </c>
      <c r="AR107" s="86">
        <f>IF($L$77="x",-1,IF(AND($L$77=0,INDEX(KonZeile1,1)+INDEX(KonSpalte2,1)+INDEX(KonFeld2,1)=0),1,0))</f>
        <v>-1</v>
      </c>
      <c r="AS107" s="85">
        <f>IF($L$77="x",-1,IF(AND($L$77=0,INDEX(KonZeile1,2)+INDEX(KonSpalte2,2)+INDEX(KonFeld2,2)=0),2,0))</f>
        <v>-1</v>
      </c>
      <c r="AT107" s="87">
        <f>IF($L$77="x",-1,IF(AND($L$77=0,INDEX(KonZeile1,3)+INDEX(KonSpalte2,3)+INDEX(KonFeld2,3)=0),3,0))</f>
        <v>-1</v>
      </c>
      <c r="AU107" s="86">
        <f>IF($M$77="x",-1,IF(AND($M$77=0,INDEX(KonZeile1,1)+INDEX(KonSpalte3,1)+INDEX(KonFeld2,1)=0),1,0))</f>
        <v>-1</v>
      </c>
      <c r="AV107" s="85">
        <f>IF($M$77="x",-1,IF(AND($M$77=0,INDEX(KonZeile1,2)+INDEX(KonSpalte3,2)+INDEX(KonFeld2,2)=0),2,0))</f>
        <v>-1</v>
      </c>
      <c r="AW107" s="88">
        <f>IF($M$77="x",-1,IF(AND($M$77=0,INDEX(KonZeile1,3)+INDEX(KonSpalte3,3)+INDEX(KonFeld2,3)=0),3,0))</f>
        <v>-1</v>
      </c>
      <c r="AX107" s="89">
        <f>IF($N$77="x",-1,IF(AND($N$77=0,INDEX(KonZeile1,1)+INDEX(KonSpalte4,1)+INDEX(KonFeld2,1)=0),1,0))</f>
        <v>0</v>
      </c>
      <c r="AY107" s="85">
        <f>IF($N$77="x",-1,IF(AND($N$77=0,INDEX(KonZeile1,2)+INDEX(KonSpalte4,2)+INDEX(KonFeld2,2)=0),2,0))</f>
        <v>0</v>
      </c>
      <c r="AZ107" s="87">
        <f>IF($N$77="x",-1,IF(AND($N$77=0,INDEX(KonZeile1,3)+INDEX(KonSpalte4,3)+INDEX(KonFeld2,3)=0),3,0))</f>
        <v>0</v>
      </c>
      <c r="BA107" s="86">
        <f>IF($O$77="x",-1,IF(AND($O$77=0,INDEX(KonZeile1,1)+INDEX(KonSpalte5,1)+INDEX(KonFeld2,1)=0),1,0))</f>
        <v>0</v>
      </c>
      <c r="BB107" s="85">
        <f>IF($O$77="x",-1,IF(AND($O$77=0,INDEX(KonZeile1,2)+INDEX(KonSpalte5,2)+INDEX(KonFeld2,2)=0),2,0))</f>
        <v>0</v>
      </c>
      <c r="BC107" s="87">
        <f>IF($O$77="x",-1,IF(AND($O$77=0,INDEX(KonZeile1,3)+INDEX(KonSpalte5,3)+INDEX(KonFeld2,3)=0),3,0))</f>
        <v>0</v>
      </c>
      <c r="BD107" s="86">
        <f>IF($P$77="x",-1,IF(AND($P$77=0,INDEX(KonZeile1,1)+INDEX(KonSpalte6,1)+INDEX(KonFeld2,1)=0),1,0))</f>
        <v>0</v>
      </c>
      <c r="BE107" s="85">
        <f>IF($P$77="x",-1,IF(AND($P$77=0,INDEX(KonZeile1,2)+INDEX(KonSpalte6,2)+INDEX(KonFeld2,2)=0),2,0))</f>
        <v>0</v>
      </c>
      <c r="BF107" s="88">
        <f>IF($P$77="x",-1,IF(AND($P$77=0,INDEX(KonZeile1,3)+INDEX(KonSpalte6,3)+INDEX(KonFeld2,3)=0),3,0))</f>
        <v>0</v>
      </c>
      <c r="BG107" s="89">
        <f>IF($Q$77="x",-1,IF(AND($Q$77=0,INDEX(KonZeile1,1)+INDEX(KonSpalte7,1)+INDEX(KonFeld2,1)=0),1,0))</f>
        <v>-1</v>
      </c>
      <c r="BH107" s="85">
        <f>IF($Q$77="x",-1,IF(AND($Q$77=0,INDEX(KonZeile1,2)+INDEX(KonSpalte7,2)+INDEX(KonFeld2,2)=0),2,0))</f>
        <v>-1</v>
      </c>
      <c r="BI107" s="87">
        <f>IF($Q$77="x",-1,IF(AND($Q$77=0,INDEX(KonZeile1,3)+INDEX(KonSpalte7,3)+INDEX(KonFeld2,3)=0),3,0))</f>
        <v>-1</v>
      </c>
      <c r="BJ107" s="86">
        <f>IF($R$77="x",-1,IF(AND($R$77=0,INDEX(KonZeile1,1)+INDEX(KonSpalte8,1)+INDEX(KonFeld2,1)=0),1,0))</f>
        <v>-1</v>
      </c>
      <c r="BK107" s="85">
        <f>IF($R$77="x",-1,IF(AND($R$77=0,INDEX(KonZeile1,2)+INDEX(KonSpalte8,2)+INDEX(KonFeld2,2)=0),2,0))</f>
        <v>-1</v>
      </c>
      <c r="BL107" s="87">
        <f>IF($R$77="x",-1,IF(AND($R$77=0,INDEX(KonZeile1,3)+INDEX(KonSpalte8,3)+INDEX(KonFeld2,3)=0),3,0))</f>
        <v>-1</v>
      </c>
      <c r="BM107" s="86">
        <f>IF($S$77="x",-1,IF(AND($S$77=0,INDEX(KonZeile1,1)+INDEX(KonSpalte9,1)+INDEX(KonFeld2,1)=0),1,0))</f>
        <v>-1</v>
      </c>
      <c r="BN107" s="85">
        <f>IF($S$77="x",-1,IF(AND($S$77=0,INDEX(KonZeile1,2)+INDEX(KonSpalte9,2)+INDEX(KonFeld2,2)=0),2,0))</f>
        <v>-1</v>
      </c>
      <c r="BO107" s="90">
        <f>IF($S$77="x",-1,IF(AND($S$77=0,INDEX(KonZeile1,3)+INDEX(KonSpalte9,3)+INDEX(KonFeld2,3)=0),3,0))</f>
        <v>-1</v>
      </c>
      <c r="BP107" s="84">
        <f>IF($T$77="x",-1,IF(AND($T$77=0,INDEX(KonZeile1,1)+INDEX(KonSpalte1,1)+INDEX(KonFeld3,1)=0),1,0))</f>
        <v>-1</v>
      </c>
      <c r="BQ107" s="85">
        <f>IF($T$77="x",-1,IF(AND($T$77=0,INDEX(KonZeile1,2)+INDEX(KonSpalte1,2)+INDEX(KonFeld3,2)=0),2,0))</f>
        <v>-1</v>
      </c>
      <c r="BR107" s="87">
        <f>IF($T$77="x",-1,IF(AND($T$77=0,INDEX(KonZeile1,3)+INDEX(KonSpalte1,3)+INDEX(KonFeld3,3)=0),3,0))</f>
        <v>-1</v>
      </c>
      <c r="BS107" s="86">
        <f>IF($U$77="x",-1,IF(AND($U$77=0,INDEX(KonZeile1,1)+INDEX(KonSpalte2,1)+INDEX(KonFeld3,1)=0),1,0))</f>
        <v>-1</v>
      </c>
      <c r="BT107" s="85">
        <f>IF($U$77="x",-1,IF(AND($U$77=0,INDEX(KonZeile1,2)+INDEX(KonSpalte2,2)+INDEX(KonFeld3,2)=0),2,0))</f>
        <v>-1</v>
      </c>
      <c r="BU107" s="87">
        <f>IF($U$77="x",-1,IF(AND($U$77=0,INDEX(KonZeile1,3)+INDEX(KonSpalte2,3)+INDEX(KonFeld3,3)=0),3,0))</f>
        <v>-1</v>
      </c>
      <c r="BV107" s="86">
        <f>IF($V$77="x",-1,IF(AND($V$77=0,INDEX(KonZeile1,1)+INDEX(KonSpalte3,1)+INDEX(KonFeld3,1)=0),1,0))</f>
        <v>-1</v>
      </c>
      <c r="BW107" s="85">
        <f>IF($V$77="x",-1,IF(AND($V$77=0,INDEX(KonZeile1,2)+INDEX(KonSpalte3,2)+INDEX(KonFeld3,2)=0),2,0))</f>
        <v>-1</v>
      </c>
      <c r="BX107" s="88">
        <f>IF($V$77="x",-1,IF(AND($V$77=0,INDEX(KonZeile1,3)+INDEX(KonSpalte3,3)+INDEX(KonFeld3,3)=0),3,0))</f>
        <v>-1</v>
      </c>
      <c r="BY107" s="89">
        <f>IF($W$77="x",-1,IF(AND($W$77=0,INDEX(KonZeile1,1)+INDEX(KonSpalte4,1)+INDEX(KonFeld3,1)=0),1,0))</f>
        <v>-1</v>
      </c>
      <c r="BZ107" s="85">
        <f>IF($W$77="x",-1,IF(AND($W$77=0,INDEX(KonZeile1,2)+INDEX(KonSpalte4,2)+INDEX(KonFeld3,2)=0),2,0))</f>
        <v>-1</v>
      </c>
      <c r="CA107" s="87">
        <f>IF($W$77="x",-1,IF(AND($W$77=0,INDEX(KonZeile1,3)+INDEX(KonSpalte4,3)+INDEX(KonFeld3,3)=0),3,0))</f>
        <v>-1</v>
      </c>
      <c r="CB107" s="86">
        <f>IF($X$77="x",-1,IF(AND($X$77=0,INDEX(KonZeile1,1)+INDEX(KonSpalte5,1)+INDEX(KonFeld3,1)=0),1,0))</f>
        <v>-1</v>
      </c>
      <c r="CC107" s="85">
        <f>IF($X$77="x",-1,IF(AND($X$77=0,INDEX(KonZeile1,2)+INDEX(KonSpalte5,2)+INDEX(KonFeld3,2)=0),2,0))</f>
        <v>-1</v>
      </c>
      <c r="CD107" s="87">
        <f>IF($X$77="x",-1,IF(AND($X$77=0,INDEX(KonZeile1,3)+INDEX(KonSpalte5,3)+INDEX(KonFeld3,3)=0),3,0))</f>
        <v>-1</v>
      </c>
      <c r="CE107" s="86">
        <f>IF($Y$77="x",-1,IF(AND($Y$77=0,INDEX(KonZeile1,1)+INDEX(KonSpalte6,1)+INDEX(KonFeld3,1)=0),1,0))</f>
        <v>-1</v>
      </c>
      <c r="CF107" s="85">
        <f>IF($Y$77="x",-1,IF(AND($Y$77=0,INDEX(KonZeile1,2)+INDEX(KonSpalte6,2)+INDEX(KonFeld3,2)=0),2,0))</f>
        <v>-1</v>
      </c>
      <c r="CG107" s="88">
        <f>IF($Y$77="x",-1,IF(AND($Y$77=0,INDEX(KonZeile1,3)+INDEX(KonSpalte6,3)+INDEX(KonFeld3,3)=0),3,0))</f>
        <v>-1</v>
      </c>
      <c r="CH107" s="89">
        <f>IF($Z$77="x",-1,IF(AND($Z$77=0,INDEX(KonZeile1,1)+INDEX(KonSpalte7,1)+INDEX(KonFeld3,1)=0),1,0))</f>
        <v>-1</v>
      </c>
      <c r="CI107" s="85">
        <f>IF($Z$77="x",-1,IF(AND($Z$77=0,INDEX(KonZeile1,2)+INDEX(KonSpalte7,2)+INDEX(KonFeld3,2)=0),2,0))</f>
        <v>-1</v>
      </c>
      <c r="CJ107" s="87">
        <f>IF($Z$77="x",-1,IF(AND($Z$77=0,INDEX(KonZeile1,3)+INDEX(KonSpalte7,3)+INDEX(KonFeld3,3)=0),3,0))</f>
        <v>-1</v>
      </c>
      <c r="CK107" s="86">
        <f>IF($AA$77="x",-1,IF(AND($AA$77=0,INDEX(KonZeile1,1)+INDEX(KonSpalte8,1)+INDEX(KonFeld3,1)=0),1,0))</f>
        <v>0</v>
      </c>
      <c r="CL107" s="85">
        <f>IF($AA$77="x",-1,IF(AND($AA$77=0,INDEX(KonZeile1,2)+INDEX(KonSpalte8,2)+INDEX(KonFeld3,2)=0),2,0))</f>
        <v>0</v>
      </c>
      <c r="CM107" s="87">
        <f>IF($AA$77="x",-1,IF(AND($AA$77=0,INDEX(KonZeile1,3)+INDEX(KonSpalte8,3)+INDEX(KonFeld3,3)=0),3,0))</f>
        <v>0</v>
      </c>
      <c r="CN107" s="86">
        <f>IF($AB$77="x",-1,IF(AND($AB$77=0,INDEX(KonZeile1,1)+INDEX(KonSpalte9,1)+INDEX(KonFeld3,1)=0),1,0))</f>
        <v>-1</v>
      </c>
      <c r="CO107" s="85">
        <f>IF($AB$77="x",-1,IF(AND($AB$77=0,INDEX(KonZeile1,2)+INDEX(KonSpalte9,2)+INDEX(KonFeld3,2)=0),2,0))</f>
        <v>-1</v>
      </c>
      <c r="CP107" s="90">
        <f>IF($AB$77="x",-1,IF(AND($AB$77=0,INDEX(KonZeile1,3)+INDEX(KonSpalte9,3)+INDEX(KonFeld3,3)=0),3,0))</f>
        <v>-1</v>
      </c>
      <c r="CR107" s="52">
        <f>COUNTIF(N107:CP107,1)</f>
        <v>0</v>
      </c>
      <c r="CS107" s="50">
        <f>COUNTIF(N107:CP107,2)</f>
        <v>0</v>
      </c>
      <c r="CT107" s="51">
        <f>COUNTIF(N107:CP107,3)</f>
        <v>0</v>
      </c>
      <c r="CU107" s="39"/>
      <c r="CV107" s="39"/>
      <c r="CX107" s="91">
        <f>CR107+CR134+CR161</f>
        <v>0</v>
      </c>
      <c r="CY107" s="92">
        <f>CS107+CS134+CS161</f>
        <v>0</v>
      </c>
      <c r="CZ107" s="93">
        <f>CT107+CT134+CT161</f>
        <v>0</v>
      </c>
      <c r="DE107" s="250">
        <f>IF(N107&gt;=0,10+N107,IF(AO107&gt;=0,20+AO107,IF(BP107&gt;=0,30+BP107,IF(N134&gt;=0,40+N134,IF(AO134&gt;=0,50+AO134,IF(BP134&gt;=0,60+BP134,IF(N161&gt;=0,70+N161,IF(AO161&gt;=0,80+AO161,IF(BP161&gt;=0,90+BP161,"")))))))))</f>
        <v>10</v>
      </c>
      <c r="DF107" s="246">
        <f t="shared" ref="DF107:DM107" si="93">IF(O107&gt;=0,10+O107,IF(AP107&gt;=0,20+AP107,IF(BQ107&gt;=0,30+BQ107,IF(O134&gt;=0,40+O134,IF(AP134&gt;=0,50+AP134,IF(BQ134&gt;=0,60+BQ134,IF(O161&gt;=0,70+O161,IF(AP161&gt;=0,80+AP161,IF(BQ161&gt;=0,90+BQ161,"")))))))))</f>
        <v>10</v>
      </c>
      <c r="DG107" s="247">
        <f t="shared" si="93"/>
        <v>10</v>
      </c>
      <c r="DH107" s="248">
        <f t="shared" si="93"/>
        <v>10</v>
      </c>
      <c r="DI107" s="246">
        <f t="shared" si="93"/>
        <v>10</v>
      </c>
      <c r="DJ107" s="247">
        <f t="shared" si="93"/>
        <v>10</v>
      </c>
      <c r="DK107" s="248">
        <f t="shared" si="93"/>
        <v>10</v>
      </c>
      <c r="DL107" s="246">
        <f t="shared" si="93"/>
        <v>10</v>
      </c>
      <c r="DM107" s="249">
        <f t="shared" si="93"/>
        <v>10</v>
      </c>
      <c r="DN107" s="250">
        <f>IF(W107&gt;=0,10+W107,IF(AX107&gt;=0,20+AX107,IF(BY107&gt;=0,30+BY107,IF(W134&gt;=0,40+W134,IF(AX134&gt;=0,50+AX134,IF(BY134&gt;=0,60+BY134,IF(W161&gt;=0,70+W161,IF(AX161&gt;=0,80+AX161,IF(BY161&gt;=0,90+BY161,"")))))))))</f>
        <v>20</v>
      </c>
      <c r="DO107" s="246">
        <f t="shared" ref="DO107:DV107" si="94">IF(X107&gt;=0,10+X107,IF(AY107&gt;=0,20+AY107,IF(BZ107&gt;=0,30+BZ107,IF(X134&gt;=0,40+X134,IF(AY134&gt;=0,50+AY134,IF(BZ134&gt;=0,60+BZ134,IF(X161&gt;=0,70+X161,IF(AY161&gt;=0,80+AY161,IF(BZ161&gt;=0,90+BZ161,"")))))))))</f>
        <v>20</v>
      </c>
      <c r="DP107" s="247">
        <f t="shared" si="94"/>
        <v>20</v>
      </c>
      <c r="DQ107" s="248">
        <f t="shared" si="94"/>
        <v>20</v>
      </c>
      <c r="DR107" s="246">
        <f t="shared" si="94"/>
        <v>20</v>
      </c>
      <c r="DS107" s="247">
        <f t="shared" si="94"/>
        <v>20</v>
      </c>
      <c r="DT107" s="248">
        <f t="shared" si="94"/>
        <v>20</v>
      </c>
      <c r="DU107" s="246">
        <f t="shared" si="94"/>
        <v>20</v>
      </c>
      <c r="DV107" s="249">
        <f t="shared" si="94"/>
        <v>20</v>
      </c>
      <c r="DW107" s="250">
        <f t="shared" ref="DW107" si="95">IF(AF107&gt;=0,10+AF107,IF(BG107&gt;=0,20+BG107,IF(CH107&gt;=0,30+CH107,IF(AF134&gt;=0,40+AF134,IF(BG134&gt;=0,50+BG134,IF(CH134&gt;=0,60+CH134,IF(AF161&gt;=0,70+AF161,IF(BG161&gt;=0,80+BG161,IF(CH161&gt;=0,90+CH161,"")))))))))</f>
        <v>60</v>
      </c>
      <c r="DX107" s="246">
        <f t="shared" ref="DX107" si="96">IF(AG107&gt;=0,10+AG107,IF(BH107&gt;=0,20+BH107,IF(CI107&gt;=0,30+CI107,IF(AG134&gt;=0,40+AG134,IF(BH134&gt;=0,50+BH134,IF(CI134&gt;=0,60+CI134,IF(AG161&gt;=0,70+AG161,IF(BH161&gt;=0,80+BH161,IF(CI161&gt;=0,90+CI161,"")))))))))</f>
        <v>60</v>
      </c>
      <c r="DY107" s="247">
        <f t="shared" ref="DY107" si="97">IF(AH107&gt;=0,10+AH107,IF(BI107&gt;=0,20+BI107,IF(CJ107&gt;=0,30+CJ107,IF(AH134&gt;=0,40+AH134,IF(BI134&gt;=0,50+BI134,IF(CJ134&gt;=0,60+CJ134,IF(AH161&gt;=0,70+AH161,IF(BI161&gt;=0,80+BI161,IF(CJ161&gt;=0,90+CJ161,"")))))))))</f>
        <v>60</v>
      </c>
      <c r="DZ107" s="248">
        <f t="shared" ref="DZ107" si="98">IF(AI107&gt;=0,10+AI107,IF(BJ107&gt;=0,20+BJ107,IF(CK107&gt;=0,30+CK107,IF(AI134&gt;=0,40+AI134,IF(BJ134&gt;=0,50+BJ134,IF(CK134&gt;=0,60+CK134,IF(AI161&gt;=0,70+AI161,IF(BJ161&gt;=0,80+BJ161,IF(CK161&gt;=0,90+CK161,"")))))))))</f>
        <v>30</v>
      </c>
      <c r="EA107" s="246">
        <f t="shared" ref="EA107" si="99">IF(AJ107&gt;=0,10+AJ107,IF(BK107&gt;=0,20+BK107,IF(CL107&gt;=0,30+CL107,IF(AJ134&gt;=0,40+AJ134,IF(BK134&gt;=0,50+BK134,IF(CL134&gt;=0,60+CL134,IF(AJ161&gt;=0,70+AJ161,IF(BK161&gt;=0,80+BK161,IF(CL161&gt;=0,90+CL161,"")))))))))</f>
        <v>30</v>
      </c>
      <c r="EB107" s="247">
        <f t="shared" ref="EB107" si="100">IF(AK107&gt;=0,10+AK107,IF(BL107&gt;=0,20+BL107,IF(CM107&gt;=0,30+CM107,IF(AK134&gt;=0,40+AK134,IF(BL134&gt;=0,50+BL134,IF(CM134&gt;=0,60+CM134,IF(AK161&gt;=0,70+AK161,IF(BL161&gt;=0,80+BL161,IF(CM161&gt;=0,90+CM161,"")))))))))</f>
        <v>30</v>
      </c>
      <c r="EC107" s="248">
        <f t="shared" ref="EC107" si="101">IF(AL107&gt;=0,10+AL107,IF(BM107&gt;=0,20+BM107,IF(CN107&gt;=0,30+CN107,IF(AL134&gt;=0,40+AL134,IF(BM134&gt;=0,50+BM134,IF(CN134&gt;=0,60+CN134,IF(AL161&gt;=0,70+AL161,IF(BM161&gt;=0,80+BM161,IF(CN161&gt;=0,90+CN161,"")))))))))</f>
        <v>60</v>
      </c>
      <c r="ED107" s="246">
        <f t="shared" ref="ED107" si="102">IF(AM107&gt;=0,10+AM107,IF(BN107&gt;=0,20+BN107,IF(CO107&gt;=0,30+CO107,IF(AM134&gt;=0,40+AM134,IF(BN134&gt;=0,50+BN134,IF(CO134&gt;=0,60+CO134,IF(AM161&gt;=0,70+AM161,IF(BN161&gt;=0,80+BN161,IF(CO161&gt;=0,90+CO161,"")))))))))</f>
        <v>60</v>
      </c>
      <c r="EE107" s="249">
        <f t="shared" ref="EE107" si="103">IF(AN107&gt;=0,10+AN107,IF(BO107&gt;=0,20+BO107,IF(CP107&gt;=0,30+CP107,IF(AN134&gt;=0,40+AN134,IF(BO134&gt;=0,50+BO134,IF(CP134&gt;=0,60+CP134,IF(AN161&gt;=0,70+AN161,IF(BO161&gt;=0,80+BO161,IF(CP161&gt;=0,90+CP161,"")))))))))</f>
        <v>60</v>
      </c>
      <c r="EI107" s="287">
        <v>1</v>
      </c>
      <c r="EJ107" s="288">
        <v>2</v>
      </c>
      <c r="EK107" s="289"/>
      <c r="EL107" s="290">
        <v>1</v>
      </c>
      <c r="EM107" s="288">
        <v>2</v>
      </c>
      <c r="EN107" s="289"/>
      <c r="EO107" s="290">
        <v>1</v>
      </c>
      <c r="EP107" s="288"/>
      <c r="EQ107" s="463"/>
      <c r="ER107" s="62">
        <v>1</v>
      </c>
      <c r="ES107" s="63">
        <v>2</v>
      </c>
      <c r="ET107" s="308">
        <v>3</v>
      </c>
      <c r="EU107" s="291"/>
      <c r="EV107" s="63"/>
      <c r="EW107" s="308"/>
      <c r="EX107" s="291">
        <v>1</v>
      </c>
      <c r="EY107" s="63">
        <v>2</v>
      </c>
      <c r="EZ107" s="64"/>
      <c r="FA107" s="444"/>
      <c r="FB107" s="336"/>
      <c r="FC107" s="337"/>
      <c r="FD107" s="333"/>
      <c r="FE107" s="330">
        <v>2</v>
      </c>
      <c r="FF107" s="331">
        <v>3</v>
      </c>
      <c r="FG107" s="335"/>
      <c r="FH107" s="336"/>
      <c r="FI107" s="434">
        <v>3</v>
      </c>
      <c r="FM107" s="287"/>
      <c r="FN107" s="288"/>
      <c r="FO107" s="289"/>
      <c r="FP107" s="290"/>
      <c r="FQ107" s="288"/>
      <c r="FR107" s="289"/>
      <c r="FS107" s="290">
        <v>1</v>
      </c>
      <c r="FT107" s="288"/>
      <c r="FU107" s="463"/>
      <c r="FV107" s="62"/>
      <c r="FW107" s="63"/>
      <c r="FX107" s="308"/>
      <c r="FY107" s="291"/>
      <c r="FZ107" s="63"/>
      <c r="GA107" s="308"/>
      <c r="GB107" s="291"/>
      <c r="GC107" s="63"/>
      <c r="GD107" s="64"/>
      <c r="GE107" s="444"/>
      <c r="GF107" s="336"/>
      <c r="GG107" s="337"/>
      <c r="GH107" s="333"/>
      <c r="GI107" s="330"/>
      <c r="GJ107" s="331"/>
      <c r="GK107" s="335"/>
      <c r="GL107" s="336"/>
      <c r="GM107" s="434"/>
      <c r="GO107" s="32" t="s">
        <v>77</v>
      </c>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2:235" ht="15" customHeight="1">
      <c r="B108" s="69" t="str">
        <f t="shared" si="84"/>
        <v>x</v>
      </c>
      <c r="C108" s="70" t="str">
        <f t="shared" si="85"/>
        <v>x</v>
      </c>
      <c r="D108" s="70" t="str">
        <f t="shared" si="86"/>
        <v>x</v>
      </c>
      <c r="E108" s="70" t="str">
        <f t="shared" si="87"/>
        <v>x</v>
      </c>
      <c r="F108" s="70">
        <f t="shared" si="88"/>
        <v>8</v>
      </c>
      <c r="G108" s="70">
        <f t="shared" si="89"/>
        <v>5</v>
      </c>
      <c r="H108" s="70" t="str">
        <f t="shared" si="90"/>
        <v>x</v>
      </c>
      <c r="I108" s="70" t="str">
        <f t="shared" si="91"/>
        <v>x</v>
      </c>
      <c r="J108" s="71" t="str">
        <f t="shared" si="92"/>
        <v>x</v>
      </c>
      <c r="M108" s="39"/>
      <c r="N108" s="94">
        <f>IF($B$77="x",-1,IF(AND($B$77=0,INDEX(KonZeile1,4)+INDEX(KonSpalte1,4)+INDEX(KonFeld1,4)=0),4,0))</f>
        <v>0</v>
      </c>
      <c r="O108" s="39">
        <f>IF($B$77="x",-1,IF(AND($B$77=0,INDEX(KonZeile1,5)+INDEX(KonSpalte1,5)+INDEX(KonFeld1,5)=0),5,0))</f>
        <v>0</v>
      </c>
      <c r="P108" s="41">
        <f>IF($B$77="x",-1,IF(AND($B$77=0,INDEX(KonZeile1,6)+INDEX(KonSpalte1,6)+INDEX(KonFeld1,6)=0),6,0))</f>
        <v>0</v>
      </c>
      <c r="Q108" s="40">
        <f>IF($C$77="x",-1,IF(AND($C$77=0,INDEX(KonZeile1,4)+INDEX(KonSpalte2,4)+INDEX(KonFeld1,4)=0),4,0))</f>
        <v>0</v>
      </c>
      <c r="R108" s="39">
        <f>IF($C$77="x",-1,IF(AND($C$77=0,INDEX(KonZeile1,5)+INDEX(KonSpalte2,5)+INDEX(KonFeld1,5)=0),5,0))</f>
        <v>0</v>
      </c>
      <c r="S108" s="41">
        <f>IF($C$77="x",-1,IF(AND($C$77=0,INDEX(KonZeile1,6)+INDEX(KonSpalte2,6)+INDEX(KonFeld1,6)=0),6,0))</f>
        <v>0</v>
      </c>
      <c r="T108" s="40">
        <f>IF($D$77="x",-1,IF(AND($D$77=0,INDEX(KonZeile1,4)+INDEX(KonSpalte3,4)+INDEX(KonFeld1,4)=0),4,0))</f>
        <v>0</v>
      </c>
      <c r="U108" s="39">
        <f>IF($D$77="x",-1,IF(AND($D$77=0,INDEX(KonZeile1,5)+INDEX(KonSpalte3,5)+INDEX(KonFeld1,5)=0),5,0))</f>
        <v>0</v>
      </c>
      <c r="V108" s="42">
        <f>IF($D$77="x",-1,IF(AND($D$77=0,INDEX(KonZeile1,6)+INDEX(KonSpalte3,6)+INDEX(KonFeld1,6)=0),6,0))</f>
        <v>0</v>
      </c>
      <c r="W108" s="43">
        <f>IF($E$77="x",-1,IF(AND($E$77=0,INDEX(KonZeile1,4)+INDEX(KonSpalte4,4)+INDEX(KonFeld1,4)=0),4,0))</f>
        <v>-1</v>
      </c>
      <c r="X108" s="39">
        <f>IF($E$77="x",-1,IF(AND($E$77=0,INDEX(KonZeile1,5)+INDEX(KonSpalte4,5)+INDEX(KonFeld1,5)=0),5,0))</f>
        <v>-1</v>
      </c>
      <c r="Y108" s="41">
        <f>IF($E$77="x",-1,IF(AND($E$77=0,INDEX(KonZeile1,6)+INDEX(KonSpalte4,6)+INDEX(KonFeld1,6)=0),6,0))</f>
        <v>-1</v>
      </c>
      <c r="Z108" s="40">
        <f>IF($F$77="x",-1,IF(AND($F$77=0,INDEX(KonZeile1,4)+INDEX(KonSpalte5,4)+INDEX(KonFeld1,4)=0),4,0))</f>
        <v>-1</v>
      </c>
      <c r="AA108" s="39">
        <f>IF($F$77="x",-1,IF(AND($F$77=0,INDEX(KonZeile1,5)+INDEX(KonSpalte5,5)+INDEX(KonFeld1,5)=0),5,0))</f>
        <v>-1</v>
      </c>
      <c r="AB108" s="41">
        <f>IF($F$77="x",-1,IF(AND($F$77=0,INDEX(KonZeile1,6)+INDEX(KonSpalte5,6)+INDEX(KonFeld1,6)=0),6,0))</f>
        <v>-1</v>
      </c>
      <c r="AC108" s="40">
        <f>IF($G$77="x",-1,IF(AND($G$77=0,INDEX(KonZeile1,4)+INDEX(KonSpalte6,4)+INDEX(KonFeld1,4)=0),4,0))</f>
        <v>-1</v>
      </c>
      <c r="AD108" s="39">
        <f>IF($G$77="x",-1,IF(AND($G$77=0,INDEX(KonZeile1,5)+INDEX(KonSpalte6,5)+INDEX(KonFeld1,5)=0),5,0))</f>
        <v>-1</v>
      </c>
      <c r="AE108" s="42">
        <f>IF($G$77="x",-1,IF(AND($G$77=0,INDEX(KonZeile1,6)+INDEX(KonSpalte6,6)+INDEX(KonFeld1,6)=0),6,0))</f>
        <v>-1</v>
      </c>
      <c r="AF108" s="43">
        <f>IF($H$77="x",-1,IF(AND($H$77=0,INDEX(KonZeile1,4)+INDEX(KonSpalte7,4)+INDEX(KonFeld1,4)=0),4,0))</f>
        <v>-1</v>
      </c>
      <c r="AG108" s="39">
        <f>IF($H$77="x",-1,IF(AND($H$77=0,INDEX(KonZeile1,5)+INDEX(KonSpalte7,5)+INDEX(KonFeld1,5)=0),5,0))</f>
        <v>-1</v>
      </c>
      <c r="AH108" s="41">
        <f>IF($H$77="x",-1,IF(AND($H$77=0,INDEX(KonZeile1,6)+INDEX(KonSpalte7,6)+INDEX(KonFeld1,6)=0),6,0))</f>
        <v>-1</v>
      </c>
      <c r="AI108" s="40">
        <f>IF($I$77="x",-1,IF(AND($I$77=0,INDEX(KonZeile1,4)+INDEX(KonSpalte8,4)+INDEX(KonFeld1,4)=0),4,0))</f>
        <v>-1</v>
      </c>
      <c r="AJ108" s="39">
        <f>IF($I$77="x",-1,IF(AND($I$77=0,INDEX(KonZeile1,5)+INDEX(KonSpalte8,5)+INDEX(KonFeld1,5)=0),5,0))</f>
        <v>-1</v>
      </c>
      <c r="AK108" s="41">
        <f>IF($I$77="x",-1,IF(AND($I$77=0,INDEX(KonZeile1,6)+INDEX(KonSpalte8,6)+INDEX(KonFeld1,6)=0),6,0))</f>
        <v>-1</v>
      </c>
      <c r="AL108" s="40">
        <f>IF($J$77="x",-1,IF(AND($J$77=0,INDEX(KonZeile1,4)+INDEX(KonSpalte9,4)+INDEX(KonFeld1,4)=0),4,0))</f>
        <v>-1</v>
      </c>
      <c r="AM108" s="39">
        <f>IF($J$77="x",-1,IF(AND($J$77=0,INDEX(KonZeile1,5)+INDEX(KonSpalte9,5)+INDEX(KonFeld1,5)=0),5,0))</f>
        <v>-1</v>
      </c>
      <c r="AN108" s="95">
        <f>IF($J$77="x",-1,IF(AND($J$77=0,INDEX(KonZeile1,6)+INDEX(KonSpalte9,6)+INDEX(KonFeld1,6)=0),6,0))</f>
        <v>-1</v>
      </c>
      <c r="AO108" s="94">
        <f>IF($K$77="x",-1,IF(AND($K$77=0,INDEX(KonZeile1,4)+INDEX(KonSpalte1,4)+INDEX(KonFeld2,4)=0),4,0))</f>
        <v>-1</v>
      </c>
      <c r="AP108" s="39">
        <f>IF($K$77="x",-1,IF(AND($K$77=0,INDEX(KonZeile1,5)+INDEX(KonSpalte1,5)+INDEX(KonFeld2,5)=0),5,0))</f>
        <v>-1</v>
      </c>
      <c r="AQ108" s="41">
        <f>IF($K$77="x",-1,IF(AND($K$77=0,INDEX(KonZeile1,6)+INDEX(KonSpalte1,6)+INDEX(KonFeld2,6)=0),6,0))</f>
        <v>-1</v>
      </c>
      <c r="AR108" s="40">
        <f>IF($L$77="x",-1,IF(AND($L$77=0,INDEX(KonZeile1,4)+INDEX(KonSpalte2,4)+INDEX(KonFeld2,4)=0),4,0))</f>
        <v>-1</v>
      </c>
      <c r="AS108" s="39">
        <f>IF($L$77="x",-1,IF(AND($L$77=0,INDEX(KonZeile1,5)+INDEX(KonSpalte2,5)+INDEX(KonFeld2,5)=0),5,0))</f>
        <v>-1</v>
      </c>
      <c r="AT108" s="41">
        <f>IF($L$77="x",-1,IF(AND($L$77=0,INDEX(KonZeile1,6)+INDEX(KonSpalte2,6)+INDEX(KonFeld2,6)=0),6,0))</f>
        <v>-1</v>
      </c>
      <c r="AU108" s="40">
        <f>IF($M$77="x",-1,IF(AND($M$77=0,INDEX(KonZeile1,4)+INDEX(KonSpalte3,4)+INDEX(KonFeld2,4)=0),4,0))</f>
        <v>-1</v>
      </c>
      <c r="AV108" s="39">
        <f>IF($M$77="x",-1,IF(AND($M$77=0,INDEX(KonZeile1,5)+INDEX(KonSpalte3,5)+INDEX(KonFeld2,5)=0),5,0))</f>
        <v>-1</v>
      </c>
      <c r="AW108" s="42">
        <f>IF($M$77="x",-1,IF(AND($M$77=0,INDEX(KonZeile1,6)+INDEX(KonSpalte3,6)+INDEX(KonFeld2,6)=0),6,0))</f>
        <v>-1</v>
      </c>
      <c r="AX108" s="43">
        <f>IF($N$77="x",-1,IF(AND($N$77=0,INDEX(KonZeile1,4)+INDEX(KonSpalte4,4)+INDEX(KonFeld2,4)=0),4,0))</f>
        <v>0</v>
      </c>
      <c r="AY108" s="39">
        <f>IF($N$77="x",-1,IF(AND($N$77=0,INDEX(KonZeile1,5)+INDEX(KonSpalte4,5)+INDEX(KonFeld2,5)=0),5,0))</f>
        <v>0</v>
      </c>
      <c r="AZ108" s="41">
        <f>IF($N$77="x",-1,IF(AND($N$77=0,INDEX(KonZeile1,6)+INDEX(KonSpalte4,6)+INDEX(KonFeld2,6)=0),6,0))</f>
        <v>0</v>
      </c>
      <c r="BA108" s="40">
        <f>IF($O$77="x",-1,IF(AND($O$77=0,INDEX(KonZeile1,4)+INDEX(KonSpalte5,4)+INDEX(KonFeld2,4)=0),4,0))</f>
        <v>0</v>
      </c>
      <c r="BB108" s="39">
        <f>IF($O$77="x",-1,IF(AND($O$77=0,INDEX(KonZeile1,5)+INDEX(KonSpalte5,5)+INDEX(KonFeld2,5)=0),5,0))</f>
        <v>0</v>
      </c>
      <c r="BC108" s="41">
        <f>IF($O$77="x",-1,IF(AND($O$77=0,INDEX(KonZeile1,6)+INDEX(KonSpalte5,6)+INDEX(KonFeld2,6)=0),6,0))</f>
        <v>0</v>
      </c>
      <c r="BD108" s="40">
        <f>IF($P$77="x",-1,IF(AND($P$77=0,INDEX(KonZeile1,4)+INDEX(KonSpalte6,4)+INDEX(KonFeld2,4)=0),4,0))</f>
        <v>0</v>
      </c>
      <c r="BE108" s="39">
        <f>IF($P$77="x",-1,IF(AND($P$77=0,INDEX(KonZeile1,5)+INDEX(KonSpalte6,5)+INDEX(KonFeld2,5)=0),5,0))</f>
        <v>0</v>
      </c>
      <c r="BF108" s="42">
        <f>IF($P$77="x",-1,IF(AND($P$77=0,INDEX(KonZeile1,6)+INDEX(KonSpalte6,6)+INDEX(KonFeld2,6)=0),6,0))</f>
        <v>0</v>
      </c>
      <c r="BG108" s="43">
        <f>IF($Q$77="x",-1,IF(AND($Q$77=0,INDEX(KonZeile1,4)+INDEX(KonSpalte7,4)+INDEX(KonFeld2,4)=0),4,0))</f>
        <v>-1</v>
      </c>
      <c r="BH108" s="39">
        <f>IF($Q$77="x",-1,IF(AND($Q$77=0,INDEX(KonZeile1,5)+INDEX(KonSpalte7,5)+INDEX(KonFeld2,5)=0),5,0))</f>
        <v>-1</v>
      </c>
      <c r="BI108" s="41">
        <f>IF($Q$77="x",-1,IF(AND($Q$77=0,INDEX(KonZeile1,6)+INDEX(KonSpalte7,6)+INDEX(KonFeld2,6)=0),6,0))</f>
        <v>-1</v>
      </c>
      <c r="BJ108" s="40">
        <f>IF($R$77="x",-1,IF(AND($R$77=0,INDEX(KonZeile1,4)+INDEX(KonSpalte8,4)+INDEX(KonFeld2,4)=0),4,0))</f>
        <v>-1</v>
      </c>
      <c r="BK108" s="39">
        <f>IF($R$77="x",-1,IF(AND($R$77=0,INDEX(KonZeile1,5)+INDEX(KonSpalte8,5)+INDEX(KonFeld2,5)=0),5,0))</f>
        <v>-1</v>
      </c>
      <c r="BL108" s="41">
        <f>IF($R$77="x",-1,IF(AND($R$77=0,INDEX(KonZeile1,6)+INDEX(KonSpalte8,6)+INDEX(KonFeld2,6)=0),6,0))</f>
        <v>-1</v>
      </c>
      <c r="BM108" s="40">
        <f>IF($S$77="x",-1,IF(AND($S$77=0,INDEX(KonZeile1,4)+INDEX(KonSpalte9,4)+INDEX(KonFeld2,4)=0),4,0))</f>
        <v>-1</v>
      </c>
      <c r="BN108" s="39">
        <f>IF($S$77="x",-1,IF(AND($S$77=0,INDEX(KonZeile1,5)+INDEX(KonSpalte9,5)+INDEX(KonFeld2,5)=0),5,0))</f>
        <v>-1</v>
      </c>
      <c r="BO108" s="95">
        <f>IF($S$77="x",-1,IF(AND($S$77=0,INDEX(KonZeile1,6)+INDEX(KonSpalte9,6)+INDEX(KonFeld2,6)=0),6,0))</f>
        <v>-1</v>
      </c>
      <c r="BP108" s="94">
        <f>IF($T$77="x",-1,IF(AND($T$77=0,INDEX(KonZeile1,4)+INDEX(KonSpalte1,4)+INDEX(KonFeld3,4)=0),4,0))</f>
        <v>-1</v>
      </c>
      <c r="BQ108" s="39">
        <f>IF($T$77="x",-1,IF(AND($T$77=0,INDEX(KonZeile1,5)+INDEX(KonSpalte1,5)+INDEX(KonFeld3,5)=0),5,0))</f>
        <v>-1</v>
      </c>
      <c r="BR108" s="41">
        <f>IF($T$77="x",-1,IF(AND($T$77=0,INDEX(KonZeile1,6)+INDEX(KonSpalte1,6)+INDEX(KonFeld3,6)=0),6,0))</f>
        <v>-1</v>
      </c>
      <c r="BS108" s="40">
        <f>IF($U$77="x",-1,IF(AND($U$77=0,INDEX(KonZeile1,4)+INDEX(KonSpalte2,4)+INDEX(KonFeld3,4)=0),4,0))</f>
        <v>-1</v>
      </c>
      <c r="BT108" s="39">
        <f>IF($U$77="x",-1,IF(AND($U$77=0,INDEX(KonZeile1,5)+INDEX(KonSpalte2,5)+INDEX(KonFeld3,5)=0),5,0))</f>
        <v>-1</v>
      </c>
      <c r="BU108" s="41">
        <f>IF($U$77="x",-1,IF(AND($U$77=0,INDEX(KonZeile1,6)+INDEX(KonSpalte2,6)+INDEX(KonFeld3,6)=0),6,0))</f>
        <v>-1</v>
      </c>
      <c r="BV108" s="40">
        <f>IF($V$77="x",-1,IF(AND($V$77=0,INDEX(KonZeile1,4)+INDEX(KonSpalte3,4)+INDEX(KonFeld3,4)=0),4,0))</f>
        <v>-1</v>
      </c>
      <c r="BW108" s="39">
        <f>IF($V$77="x",-1,IF(AND($V$77=0,INDEX(KonZeile1,5)+INDEX(KonSpalte3,5)+INDEX(KonFeld3,5)=0),5,0))</f>
        <v>-1</v>
      </c>
      <c r="BX108" s="42">
        <f>IF($V$77="x",-1,IF(AND($V$77=0,INDEX(KonZeile1,6)+INDEX(KonSpalte3,6)+INDEX(KonFeld3,6)=0),6,0))</f>
        <v>-1</v>
      </c>
      <c r="BY108" s="43">
        <f>IF($W$77="x",-1,IF(AND($W$77=0,INDEX(KonZeile1,4)+INDEX(KonSpalte4,4)+INDEX(KonFeld3,4)=0),4,0))</f>
        <v>-1</v>
      </c>
      <c r="BZ108" s="39">
        <f>IF($W$77="x",-1,IF(AND($W$77=0,INDEX(KonZeile1,5)+INDEX(KonSpalte4,5)+INDEX(KonFeld3,5)=0),5,0))</f>
        <v>-1</v>
      </c>
      <c r="CA108" s="41">
        <f>IF($W$77="x",-1,IF(AND($W$77=0,INDEX(KonZeile1,6)+INDEX(KonSpalte4,6)+INDEX(KonFeld3,6)=0),6,0))</f>
        <v>-1</v>
      </c>
      <c r="CB108" s="40">
        <f>IF($X$77="x",-1,IF(AND($X$77=0,INDEX(KonZeile1,4)+INDEX(KonSpalte5,4)+INDEX(KonFeld3,4)=0),4,0))</f>
        <v>-1</v>
      </c>
      <c r="CC108" s="39">
        <f>IF($X$77="x",-1,IF(AND($X$77=0,INDEX(KonZeile1,5)+INDEX(KonSpalte5,5)+INDEX(KonFeld3,5)=0),5,0))</f>
        <v>-1</v>
      </c>
      <c r="CD108" s="41">
        <f>IF($X$77="x",-1,IF(AND($X$77=0,INDEX(KonZeile1,6)+INDEX(KonSpalte5,6)+INDEX(KonFeld3,6)=0),6,0))</f>
        <v>-1</v>
      </c>
      <c r="CE108" s="40">
        <f>IF($Y$77="x",-1,IF(AND($Y$77=0,INDEX(KonZeile1,4)+INDEX(KonSpalte6,4)+INDEX(KonFeld3,4)=0),4,0))</f>
        <v>-1</v>
      </c>
      <c r="CF108" s="39">
        <f>IF($Y$77="x",-1,IF(AND($Y$77=0,INDEX(KonZeile1,5)+INDEX(KonSpalte6,5)+INDEX(KonFeld3,5)=0),5,0))</f>
        <v>-1</v>
      </c>
      <c r="CG108" s="42">
        <f>IF($Y$77="x",-1,IF(AND($Y$77=0,INDEX(KonZeile1,6)+INDEX(KonSpalte6,6)+INDEX(KonFeld3,6)=0),6,0))</f>
        <v>-1</v>
      </c>
      <c r="CH108" s="43">
        <f>IF($Z$77="x",-1,IF(AND($Z$77=0,INDEX(KonZeile1,4)+INDEX(KonSpalte7,4)+INDEX(KonFeld3,4)=0),4,0))</f>
        <v>-1</v>
      </c>
      <c r="CI108" s="39">
        <f>IF($Z$77="x",-1,IF(AND($Z$77=0,INDEX(KonZeile1,5)+INDEX(KonSpalte7,5)+INDEX(KonFeld3,5)=0),5,0))</f>
        <v>-1</v>
      </c>
      <c r="CJ108" s="41">
        <f>IF($Z$77="x",-1,IF(AND($Z$77=0,INDEX(KonZeile1,6)+INDEX(KonSpalte7,6)+INDEX(KonFeld3,6)=0),6,0))</f>
        <v>-1</v>
      </c>
      <c r="CK108" s="40">
        <f>IF($AA$77="x",-1,IF(AND($AA$77=0,INDEX(KonZeile1,4)+INDEX(KonSpalte8,4)+INDEX(KonFeld3,4)=0),4,0))</f>
        <v>0</v>
      </c>
      <c r="CL108" s="39">
        <f>IF($AA$77="x",-1,IF(AND($AA$77=0,INDEX(KonZeile1,5)+INDEX(KonSpalte8,5)+INDEX(KonFeld3,5)=0),5,0))</f>
        <v>0</v>
      </c>
      <c r="CM108" s="41">
        <f>IF($AA$77="x",-1,IF(AND($AA$77=0,INDEX(KonZeile1,6)+INDEX(KonSpalte8,6)+INDEX(KonFeld3,6)=0),6,0))</f>
        <v>0</v>
      </c>
      <c r="CN108" s="40">
        <f>IF($AB$77="x",-1,IF(AND($AB$77=0,INDEX(KonZeile1,4)+INDEX(KonSpalte9,4)+INDEX(KonFeld3,4)=0),4,0))</f>
        <v>-1</v>
      </c>
      <c r="CO108" s="39">
        <f>IF($AB$77="x",-1,IF(AND($AB$77=0,INDEX(KonZeile1,5)+INDEX(KonSpalte9,5)+INDEX(KonFeld3,5)=0),5,0))</f>
        <v>-1</v>
      </c>
      <c r="CP108" s="95">
        <f>IF($AB$77="x",-1,IF(AND($AB$77=0,INDEX(KonZeile1,6)+INDEX(KonSpalte9,6)+INDEX(KonFeld3,6)=0),6,0))</f>
        <v>-1</v>
      </c>
      <c r="CR108" s="40">
        <f>COUNTIF(N108:CP108,4)</f>
        <v>0</v>
      </c>
      <c r="CS108" s="39">
        <f>COUNTIF(N108:CP108,5)</f>
        <v>0</v>
      </c>
      <c r="CT108" s="41">
        <f>COUNTIF(N108:CP108,6)</f>
        <v>0</v>
      </c>
      <c r="CU108" s="39"/>
      <c r="CV108" s="39"/>
      <c r="CX108" s="96">
        <f t="shared" ref="CX108:CX133" si="104">CR108+CR135+CR162</f>
        <v>0</v>
      </c>
      <c r="CY108" s="97">
        <f t="shared" ref="CY108:CY133" si="105">CS108+CS135+CS162</f>
        <v>0</v>
      </c>
      <c r="CZ108" s="98">
        <f t="shared" ref="CZ108:CZ133" si="106">CT108+CT135+CT162</f>
        <v>0</v>
      </c>
      <c r="DE108" s="226">
        <f t="shared" ref="DE108:DE109" si="107">IF(N108&gt;=0,10+N108,IF(AO108&gt;=0,20+AO108,IF(BP108&gt;=0,30+BP108,IF(N135&gt;=0,40+N135,IF(AO135&gt;=0,50+AO135,IF(BP135&gt;=0,60+BP135,IF(N162&gt;=0,70+N162,IF(AO162&gt;=0,80+AO162,IF(BP162&gt;=0,90+BP162,"")))))))))</f>
        <v>10</v>
      </c>
      <c r="DF108" s="227">
        <f t="shared" ref="DF108:DF110" si="108">IF(O108&gt;=0,10+O108,IF(AP108&gt;=0,20+AP108,IF(BQ108&gt;=0,30+BQ108,IF(O135&gt;=0,40+O135,IF(AP135&gt;=0,50+AP135,IF(BQ135&gt;=0,60+BQ135,IF(O162&gt;=0,70+O162,IF(AP162&gt;=0,80+AP162,IF(BQ162&gt;=0,90+BQ162,"")))))))))</f>
        <v>10</v>
      </c>
      <c r="DG108" s="228">
        <f t="shared" ref="DG108:DG110" si="109">IF(P108&gt;=0,10+P108,IF(AQ108&gt;=0,20+AQ108,IF(BR108&gt;=0,30+BR108,IF(P135&gt;=0,40+P135,IF(AQ135&gt;=0,50+AQ135,IF(BR135&gt;=0,60+BR135,IF(P162&gt;=0,70+P162,IF(AQ162&gt;=0,80+AQ162,IF(BR162&gt;=0,90+BR162,"")))))))))</f>
        <v>10</v>
      </c>
      <c r="DH108" s="229">
        <f t="shared" ref="DH108:DH110" si="110">IF(Q108&gt;=0,10+Q108,IF(AR108&gt;=0,20+AR108,IF(BS108&gt;=0,30+BS108,IF(Q135&gt;=0,40+Q135,IF(AR135&gt;=0,50+AR135,IF(BS135&gt;=0,60+BS135,IF(Q162&gt;=0,70+Q162,IF(AR162&gt;=0,80+AR162,IF(BS162&gt;=0,90+BS162,"")))))))))</f>
        <v>10</v>
      </c>
      <c r="DI108" s="227">
        <f t="shared" ref="DI108:DI110" si="111">IF(R108&gt;=0,10+R108,IF(AS108&gt;=0,20+AS108,IF(BT108&gt;=0,30+BT108,IF(R135&gt;=0,40+R135,IF(AS135&gt;=0,50+AS135,IF(BT135&gt;=0,60+BT135,IF(R162&gt;=0,70+R162,IF(AS162&gt;=0,80+AS162,IF(BT162&gt;=0,90+BT162,"")))))))))</f>
        <v>10</v>
      </c>
      <c r="DJ108" s="228">
        <f t="shared" ref="DJ108:DJ110" si="112">IF(S108&gt;=0,10+S108,IF(AT108&gt;=0,20+AT108,IF(BU108&gt;=0,30+BU108,IF(S135&gt;=0,40+S135,IF(AT135&gt;=0,50+AT135,IF(BU135&gt;=0,60+BU135,IF(S162&gt;=0,70+S162,IF(AT162&gt;=0,80+AT162,IF(BU162&gt;=0,90+BU162,"")))))))))</f>
        <v>10</v>
      </c>
      <c r="DK108" s="229">
        <f t="shared" ref="DK108:DK110" si="113">IF(T108&gt;=0,10+T108,IF(AU108&gt;=0,20+AU108,IF(BV108&gt;=0,30+BV108,IF(T135&gt;=0,40+T135,IF(AU135&gt;=0,50+AU135,IF(BV135&gt;=0,60+BV135,IF(T162&gt;=0,70+T162,IF(AU162&gt;=0,80+AU162,IF(BV162&gt;=0,90+BV162,"")))))))))</f>
        <v>10</v>
      </c>
      <c r="DL108" s="227">
        <f t="shared" ref="DL108:DL110" si="114">IF(U108&gt;=0,10+U108,IF(AV108&gt;=0,20+AV108,IF(BW108&gt;=0,30+BW108,IF(U135&gt;=0,40+U135,IF(AV135&gt;=0,50+AV135,IF(BW135&gt;=0,60+BW135,IF(U162&gt;=0,70+U162,IF(AV162&gt;=0,80+AV162,IF(BW162&gt;=0,90+BW162,"")))))))))</f>
        <v>10</v>
      </c>
      <c r="DM108" s="230">
        <f t="shared" ref="DM108:DM110" si="115">IF(V108&gt;=0,10+V108,IF(AW108&gt;=0,20+AW108,IF(BX108&gt;=0,30+BX108,IF(V135&gt;=0,40+V135,IF(AW135&gt;=0,50+AW135,IF(BX135&gt;=0,60+BX135,IF(V162&gt;=0,70+V162,IF(AW162&gt;=0,80+AW162,IF(BX162&gt;=0,90+BX162,"")))))))))</f>
        <v>10</v>
      </c>
      <c r="DN108" s="226">
        <f t="shared" ref="DN108:DN109" si="116">IF(W108&gt;=0,10+W108,IF(AX108&gt;=0,20+AX108,IF(BY108&gt;=0,30+BY108,IF(W135&gt;=0,40+W135,IF(AX135&gt;=0,50+AX135,IF(BY135&gt;=0,60+BY135,IF(W162&gt;=0,70+W162,IF(AX162&gt;=0,80+AX162,IF(BY162&gt;=0,90+BY162,"")))))))))</f>
        <v>20</v>
      </c>
      <c r="DO108" s="227">
        <f t="shared" ref="DO108:DO110" si="117">IF(X108&gt;=0,10+X108,IF(AY108&gt;=0,20+AY108,IF(BZ108&gt;=0,30+BZ108,IF(X135&gt;=0,40+X135,IF(AY135&gt;=0,50+AY135,IF(BZ135&gt;=0,60+BZ135,IF(X162&gt;=0,70+X162,IF(AY162&gt;=0,80+AY162,IF(BZ162&gt;=0,90+BZ162,"")))))))))</f>
        <v>20</v>
      </c>
      <c r="DP108" s="228">
        <f t="shared" ref="DP108:DP110" si="118">IF(Y108&gt;=0,10+Y108,IF(AZ108&gt;=0,20+AZ108,IF(CA108&gt;=0,30+CA108,IF(Y135&gt;=0,40+Y135,IF(AZ135&gt;=0,50+AZ135,IF(CA135&gt;=0,60+CA135,IF(Y162&gt;=0,70+Y162,IF(AZ162&gt;=0,80+AZ162,IF(CA162&gt;=0,90+CA162,"")))))))))</f>
        <v>20</v>
      </c>
      <c r="DQ108" s="229">
        <f t="shared" ref="DQ108:DQ110" si="119">IF(Z108&gt;=0,10+Z108,IF(BA108&gt;=0,20+BA108,IF(CB108&gt;=0,30+CB108,IF(Z135&gt;=0,40+Z135,IF(BA135&gt;=0,50+BA135,IF(CB135&gt;=0,60+CB135,IF(Z162&gt;=0,70+Z162,IF(BA162&gt;=0,80+BA162,IF(CB162&gt;=0,90+CB162,"")))))))))</f>
        <v>20</v>
      </c>
      <c r="DR108" s="227">
        <f t="shared" ref="DR108:DR110" si="120">IF(AA108&gt;=0,10+AA108,IF(BB108&gt;=0,20+BB108,IF(CC108&gt;=0,30+CC108,IF(AA135&gt;=0,40+AA135,IF(BB135&gt;=0,50+BB135,IF(CC135&gt;=0,60+CC135,IF(AA162&gt;=0,70+AA162,IF(BB162&gt;=0,80+BB162,IF(CC162&gt;=0,90+CC162,"")))))))))</f>
        <v>20</v>
      </c>
      <c r="DS108" s="228">
        <f t="shared" ref="DS108:DS110" si="121">IF(AB108&gt;=0,10+AB108,IF(BC108&gt;=0,20+BC108,IF(CD108&gt;=0,30+CD108,IF(AB135&gt;=0,40+AB135,IF(BC135&gt;=0,50+BC135,IF(CD135&gt;=0,60+CD135,IF(AB162&gt;=0,70+AB162,IF(BC162&gt;=0,80+BC162,IF(CD162&gt;=0,90+CD162,"")))))))))</f>
        <v>20</v>
      </c>
      <c r="DT108" s="229">
        <f t="shared" ref="DT108:DT110" si="122">IF(AC108&gt;=0,10+AC108,IF(BD108&gt;=0,20+BD108,IF(CE108&gt;=0,30+CE108,IF(AC135&gt;=0,40+AC135,IF(BD135&gt;=0,50+BD135,IF(CE135&gt;=0,60+CE135,IF(AC162&gt;=0,70+AC162,IF(BD162&gt;=0,80+BD162,IF(CE162&gt;=0,90+CE162,"")))))))))</f>
        <v>20</v>
      </c>
      <c r="DU108" s="227">
        <f t="shared" ref="DU108:DU110" si="123">IF(AD108&gt;=0,10+AD108,IF(BE108&gt;=0,20+BE108,IF(CF108&gt;=0,30+CF108,IF(AD135&gt;=0,40+AD135,IF(BE135&gt;=0,50+BE135,IF(CF135&gt;=0,60+CF135,IF(AD162&gt;=0,70+AD162,IF(BE162&gt;=0,80+BE162,IF(CF162&gt;=0,90+CF162,"")))))))))</f>
        <v>20</v>
      </c>
      <c r="DV108" s="230">
        <f t="shared" ref="DV108:DV110" si="124">IF(AE108&gt;=0,10+AE108,IF(BF108&gt;=0,20+BF108,IF(CG108&gt;=0,30+CG108,IF(AE135&gt;=0,40+AE135,IF(BF135&gt;=0,50+BF135,IF(CG135&gt;=0,60+CG135,IF(AE162&gt;=0,70+AE162,IF(BF162&gt;=0,80+BF162,IF(CG162&gt;=0,90+CG162,"")))))))))</f>
        <v>20</v>
      </c>
      <c r="DW108" s="226">
        <f t="shared" ref="DW108:DW110" si="125">IF(AF108&gt;=0,10+AF108,IF(BG108&gt;=0,20+BG108,IF(CH108&gt;=0,30+CH108,IF(AF135&gt;=0,40+AF135,IF(BG135&gt;=0,50+BG135,IF(CH135&gt;=0,60+CH135,IF(AF162&gt;=0,70+AF162,IF(BG162&gt;=0,80+BG162,IF(CH162&gt;=0,90+CH162,"")))))))))</f>
        <v>60</v>
      </c>
      <c r="DX108" s="227">
        <f t="shared" ref="DX108:DX110" si="126">IF(AG108&gt;=0,10+AG108,IF(BH108&gt;=0,20+BH108,IF(CI108&gt;=0,30+CI108,IF(AG135&gt;=0,40+AG135,IF(BH135&gt;=0,50+BH135,IF(CI135&gt;=0,60+CI135,IF(AG162&gt;=0,70+AG162,IF(BH162&gt;=0,80+BH162,IF(CI162&gt;=0,90+CI162,"")))))))))</f>
        <v>60</v>
      </c>
      <c r="DY108" s="228">
        <f t="shared" ref="DY108:DY110" si="127">IF(AH108&gt;=0,10+AH108,IF(BI108&gt;=0,20+BI108,IF(CJ108&gt;=0,30+CJ108,IF(AH135&gt;=0,40+AH135,IF(BI135&gt;=0,50+BI135,IF(CJ135&gt;=0,60+CJ135,IF(AH162&gt;=0,70+AH162,IF(BI162&gt;=0,80+BI162,IF(CJ162&gt;=0,90+CJ162,"")))))))))</f>
        <v>60</v>
      </c>
      <c r="DZ108" s="229">
        <f t="shared" ref="DZ108:DZ110" si="128">IF(AI108&gt;=0,10+AI108,IF(BJ108&gt;=0,20+BJ108,IF(CK108&gt;=0,30+CK108,IF(AI135&gt;=0,40+AI135,IF(BJ135&gt;=0,50+BJ135,IF(CK135&gt;=0,60+CK135,IF(AI162&gt;=0,70+AI162,IF(BJ162&gt;=0,80+BJ162,IF(CK162&gt;=0,90+CK162,"")))))))))</f>
        <v>30</v>
      </c>
      <c r="EA108" s="227">
        <f t="shared" ref="EA108:EA110" si="129">IF(AJ108&gt;=0,10+AJ108,IF(BK108&gt;=0,20+BK108,IF(CL108&gt;=0,30+CL108,IF(AJ135&gt;=0,40+AJ135,IF(BK135&gt;=0,50+BK135,IF(CL135&gt;=0,60+CL135,IF(AJ162&gt;=0,70+AJ162,IF(BK162&gt;=0,80+BK162,IF(CL162&gt;=0,90+CL162,"")))))))))</f>
        <v>30</v>
      </c>
      <c r="EB108" s="228">
        <f t="shared" ref="EB108:EB110" si="130">IF(AK108&gt;=0,10+AK108,IF(BL108&gt;=0,20+BL108,IF(CM108&gt;=0,30+CM108,IF(AK135&gt;=0,40+AK135,IF(BL135&gt;=0,50+BL135,IF(CM135&gt;=0,60+CM135,IF(AK162&gt;=0,70+AK162,IF(BL162&gt;=0,80+BL162,IF(CM162&gt;=0,90+CM162,"")))))))))</f>
        <v>30</v>
      </c>
      <c r="EC108" s="229">
        <f t="shared" ref="EC108:EC110" si="131">IF(AL108&gt;=0,10+AL108,IF(BM108&gt;=0,20+BM108,IF(CN108&gt;=0,30+CN108,IF(AL135&gt;=0,40+AL135,IF(BM135&gt;=0,50+BM135,IF(CN135&gt;=0,60+CN135,IF(AL162&gt;=0,70+AL162,IF(BM162&gt;=0,80+BM162,IF(CN162&gt;=0,90+CN162,"")))))))))</f>
        <v>60</v>
      </c>
      <c r="ED108" s="227">
        <f t="shared" ref="ED108:ED110" si="132">IF(AM108&gt;=0,10+AM108,IF(BN108&gt;=0,20+BN108,IF(CO108&gt;=0,30+CO108,IF(AM135&gt;=0,40+AM135,IF(BN135&gt;=0,50+BN135,IF(CO135&gt;=0,60+CO135,IF(AM162&gt;=0,70+AM162,IF(BN162&gt;=0,80+BN162,IF(CO162&gt;=0,90+CO162,"")))))))))</f>
        <v>60</v>
      </c>
      <c r="EE108" s="230">
        <f t="shared" ref="EE108:EE110" si="133">IF(AN108&gt;=0,10+AN108,IF(BO108&gt;=0,20+BO108,IF(CP108&gt;=0,30+CP108,IF(AN135&gt;=0,40+AN135,IF(BO135&gt;=0,50+BO135,IF(CP135&gt;=0,60+CP135,IF(AN162&gt;=0,70+AN162,IF(BO162&gt;=0,80+BO162,IF(CP162&gt;=0,90+CP162,"")))))))))</f>
        <v>60</v>
      </c>
      <c r="EI108" s="292">
        <v>4</v>
      </c>
      <c r="EJ108" s="256"/>
      <c r="EK108" s="257"/>
      <c r="EL108" s="255">
        <v>4</v>
      </c>
      <c r="EM108" s="256"/>
      <c r="EN108" s="257"/>
      <c r="EO108" s="255">
        <v>4</v>
      </c>
      <c r="EP108" s="256"/>
      <c r="EQ108" s="464"/>
      <c r="ER108" s="69">
        <v>4</v>
      </c>
      <c r="ES108" s="70"/>
      <c r="ET108" s="265"/>
      <c r="EU108" s="264"/>
      <c r="EV108" s="70"/>
      <c r="EW108" s="265"/>
      <c r="EX108" s="264">
        <v>4</v>
      </c>
      <c r="EY108" s="70"/>
      <c r="EZ108" s="71"/>
      <c r="FA108" s="445"/>
      <c r="FB108" s="339"/>
      <c r="FC108" s="340"/>
      <c r="FD108" s="319"/>
      <c r="FE108" s="317"/>
      <c r="FF108" s="318"/>
      <c r="FG108" s="338"/>
      <c r="FH108" s="339">
        <v>5</v>
      </c>
      <c r="FI108" s="341"/>
      <c r="FM108" s="292"/>
      <c r="FN108" s="256"/>
      <c r="FO108" s="257"/>
      <c r="FP108" s="255"/>
      <c r="FQ108" s="256"/>
      <c r="FR108" s="257"/>
      <c r="FS108" s="255">
        <v>4</v>
      </c>
      <c r="FT108" s="256"/>
      <c r="FU108" s="464"/>
      <c r="FV108" s="69"/>
      <c r="FW108" s="70"/>
      <c r="FX108" s="265"/>
      <c r="FY108" s="264"/>
      <c r="FZ108" s="70"/>
      <c r="GA108" s="265"/>
      <c r="GB108" s="264"/>
      <c r="GC108" s="70"/>
      <c r="GD108" s="71"/>
      <c r="GE108" s="445"/>
      <c r="GF108" s="339"/>
      <c r="GG108" s="340"/>
      <c r="GH108" s="319"/>
      <c r="GI108" s="317"/>
      <c r="GJ108" s="318"/>
      <c r="GK108" s="338"/>
      <c r="GL108" s="339"/>
      <c r="GM108" s="341"/>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2:235" ht="15" customHeight="1" thickBot="1">
      <c r="B109" s="69" t="str">
        <f t="shared" si="84"/>
        <v>x</v>
      </c>
      <c r="C109" s="70" t="str">
        <f t="shared" si="85"/>
        <v>x</v>
      </c>
      <c r="D109" s="70" t="str">
        <f t="shared" si="86"/>
        <v>x</v>
      </c>
      <c r="E109" s="70" t="str">
        <f t="shared" si="87"/>
        <v>x</v>
      </c>
      <c r="F109" s="70" t="str">
        <f t="shared" si="88"/>
        <v>x</v>
      </c>
      <c r="G109" s="70" t="str">
        <f t="shared" si="89"/>
        <v>x</v>
      </c>
      <c r="H109" s="70" t="str">
        <f t="shared" si="90"/>
        <v>x</v>
      </c>
      <c r="I109" s="70" t="str">
        <f t="shared" si="91"/>
        <v>x</v>
      </c>
      <c r="J109" s="71" t="str">
        <f t="shared" si="92"/>
        <v>x</v>
      </c>
      <c r="M109" s="39"/>
      <c r="N109" s="99">
        <f>IF($B$77="x",-1,IF(AND($B$77=0,INDEX(KonZeile1,7)+INDEX(KonSpalte1,7)+INDEX(KonFeld1,7)=0),7,0))</f>
        <v>0</v>
      </c>
      <c r="O109" s="45">
        <f>IF($B$77="x",-1,IF(AND($B$77=0,INDEX(KonZeile1,8)+INDEX(KonSpalte1,8)+INDEX(KonFeld1,8)=0),8,0))</f>
        <v>0</v>
      </c>
      <c r="P109" s="47">
        <f>IF($B$77="x",-1,IF(AND($B$77=0,INDEX(KonZeile1,9)+INDEX(KonSpalte1,9)+INDEX(KonFeld1,9)=0),9,0))</f>
        <v>0</v>
      </c>
      <c r="Q109" s="46">
        <f>IF($C$77="x",-1,IF(AND($C$77=0,INDEX(KonZeile1,7)+INDEX(KonSpalte2,7)+INDEX(KonFeld1,7)=0),7,0))</f>
        <v>0</v>
      </c>
      <c r="R109" s="45">
        <f>IF($C$77="x",-1,IF(AND($C$77=0,INDEX(KonZeile1,8)+INDEX(KonSpalte2,8)+INDEX(KonFeld1,8)=0),8,0))</f>
        <v>0</v>
      </c>
      <c r="S109" s="47">
        <f>IF($C$77="x",-1,IF(AND($C$77=0,INDEX(KonZeile1,9)+INDEX(KonSpalte2,9)+INDEX(KonFeld1,9)=0),9,0))</f>
        <v>0</v>
      </c>
      <c r="T109" s="46">
        <f>IF($D$77="x",-1,IF(AND($D$77=0,INDEX(KonZeile1,7)+INDEX(KonSpalte3,7)+INDEX(KonFeld1,7)=0),7,0))</f>
        <v>0</v>
      </c>
      <c r="U109" s="45">
        <f>IF($D$77="x",-1,IF(AND($D$77=0,INDEX(KonZeile1,8)+INDEX(KonSpalte3,8)+INDEX(KonFeld1,8)=0),8,0))</f>
        <v>0</v>
      </c>
      <c r="V109" s="48">
        <f>IF($D$77="x",-1,IF(AND($D$77=0,INDEX(KonZeile1,9)+INDEX(KonSpalte3,9)+INDEX(KonFeld1,9)=0),9,0))</f>
        <v>0</v>
      </c>
      <c r="W109" s="44">
        <f>IF($E$77="x",-1,IF(AND($E$77=0,INDEX(KonZeile1,7)+INDEX(KonSpalte4,7)+INDEX(KonFeld1,7)=0),7,0))</f>
        <v>-1</v>
      </c>
      <c r="X109" s="45">
        <f>IF($E$77="x",-1,IF(AND($E$77=0,INDEX(KonZeile1,8)+INDEX(KonSpalte4,8)+INDEX(KonFeld1,8)=0),8,0))</f>
        <v>-1</v>
      </c>
      <c r="Y109" s="47">
        <f>IF($E$77="x",-1,IF(AND($E$77=0,INDEX(KonZeile1,9)+INDEX(KonSpalte4,9)+INDEX(KonFeld1,9)=0),9,0))</f>
        <v>-1</v>
      </c>
      <c r="Z109" s="46">
        <f>IF($F$77="x",-1,IF(AND($F$77=0,INDEX(KonZeile1,7)+INDEX(KonSpalte5,7)+INDEX(KonFeld1,7)=0),7,0))</f>
        <v>-1</v>
      </c>
      <c r="AA109" s="45">
        <f>IF($F$77="x",-1,IF(AND($F$77=0,INDEX(KonZeile1,8)+INDEX(KonSpalte5,8)+INDEX(KonFeld1,8)=0),8,0))</f>
        <v>-1</v>
      </c>
      <c r="AB109" s="47">
        <f>IF($F$77="x",-1,IF(AND($F$77=0,INDEX(KonZeile1,9)+INDEX(KonSpalte5,9)+INDEX(KonFeld1,9)=0),9,0))</f>
        <v>-1</v>
      </c>
      <c r="AC109" s="46">
        <f>IF($G$77="x",-1,IF(AND($G$77=0,INDEX(KonZeile1,7)+INDEX(KonSpalte6,7)+INDEX(KonFeld1,7)=0),7,0))</f>
        <v>-1</v>
      </c>
      <c r="AD109" s="45">
        <f>IF($G$77="x",-1,IF(AND($G$77=0,INDEX(KonZeile1,8)+INDEX(KonSpalte6,8)+INDEX(KonFeld1,8)=0),8,0))</f>
        <v>-1</v>
      </c>
      <c r="AE109" s="48">
        <f>IF($G$77="x",-1,IF(AND($G$77=0,INDEX(KonZeile1,9)+INDEX(KonSpalte6,9)+INDEX(KonFeld1,9)=0),9,0))</f>
        <v>-1</v>
      </c>
      <c r="AF109" s="44">
        <f>IF($H$77="x",-1,IF(AND($H$77=0,INDEX(KonZeile1,7)+INDEX(KonSpalte7,7)+INDEX(KonFeld1,7)=0),7,0))</f>
        <v>-1</v>
      </c>
      <c r="AG109" s="45">
        <f>IF($H$77="x",-1,IF(AND($H$77=0,INDEX(KonZeile1,8)+INDEX(KonSpalte7,8)+INDEX(KonFeld1,8)=0),8,0))</f>
        <v>-1</v>
      </c>
      <c r="AH109" s="47">
        <f>IF($H$77="x",-1,IF(AND($H$77=0,INDEX(KonZeile1,9)+INDEX(KonSpalte7,9)+INDEX(KonFeld1,9)=0),9,0))</f>
        <v>-1</v>
      </c>
      <c r="AI109" s="46">
        <f>IF($I$77="x",-1,IF(AND($I$77=0,INDEX(KonZeile1,7)+INDEX(KonSpalte8,7)+INDEX(KonFeld1,7)=0),7,0))</f>
        <v>-1</v>
      </c>
      <c r="AJ109" s="45">
        <f>IF($I$77="x",-1,IF(AND($I$77=0,INDEX(KonZeile1,8)+INDEX(KonSpalte8,8)+INDEX(KonFeld1,8)=0),8,0))</f>
        <v>-1</v>
      </c>
      <c r="AK109" s="47">
        <f>IF($I$77="x",-1,IF(AND($I$77=0,INDEX(KonZeile1,9)+INDEX(KonSpalte8,9)+INDEX(KonFeld1,9)=0),9,0))</f>
        <v>-1</v>
      </c>
      <c r="AL109" s="46">
        <f>IF($J$77="x",-1,IF(AND($J$77=0,INDEX(KonZeile1,7)+INDEX(KonSpalte9,7)+INDEX(KonFeld1,7)=0),7,0))</f>
        <v>-1</v>
      </c>
      <c r="AM109" s="45">
        <f>IF($J$77="x",-1,IF(AND($J$77=0,INDEX(KonZeile1,8)+INDEX(KonSpalte9,8)+INDEX(KonFeld1,8)=0),8,0))</f>
        <v>-1</v>
      </c>
      <c r="AN109" s="100">
        <f>IF($J$77="x",-1,IF(AND($J$77=0,INDEX(KonZeile1,9)+INDEX(KonSpalte9,9)+INDEX(KonFeld1,9)=0),9,0))</f>
        <v>-1</v>
      </c>
      <c r="AO109" s="99">
        <f>IF($K$77="x",-1,IF(AND($K$77=0,INDEX(KonZeile1,7)+INDEX(KonSpalte1,7)+INDEX(KonFeld2,7)=0),7,0))</f>
        <v>-1</v>
      </c>
      <c r="AP109" s="45">
        <f>IF($K$77="x",-1,IF(AND($K$77=0,INDEX(KonZeile1,8)+INDEX(KonSpalte1,8)+INDEX(KonFeld2,8)=0),8,0))</f>
        <v>-1</v>
      </c>
      <c r="AQ109" s="47">
        <f>IF($K$77="x",-1,IF(AND($K$77=0,INDEX(KonZeile1,9)+INDEX(KonSpalte1,9)+INDEX(KonFeld2,9)=0),9,0))</f>
        <v>-1</v>
      </c>
      <c r="AR109" s="46">
        <f>IF($L$77="x",-1,IF(AND($L$77=0,INDEX(KonZeile1,7)+INDEX(KonSpalte2,7)+INDEX(KonFeld2,7)=0),7,0))</f>
        <v>-1</v>
      </c>
      <c r="AS109" s="45">
        <f>IF($L$77="x",-1,IF(AND($L$77=0,INDEX(KonZeile1,8)+INDEX(KonSpalte2,8)+INDEX(KonFeld2,8)=0),8,0))</f>
        <v>-1</v>
      </c>
      <c r="AT109" s="47">
        <f>IF($L$77="x",-1,IF(AND($L$77=0,INDEX(KonZeile1,9)+INDEX(KonSpalte2,9)+INDEX(KonFeld2,9)=0),9,0))</f>
        <v>-1</v>
      </c>
      <c r="AU109" s="46">
        <f>IF($M$77="x",-1,IF(AND($M$77=0,INDEX(KonZeile1,7)+INDEX(KonSpalte3,7)+INDEX(KonFeld2,7)=0),7,0))</f>
        <v>-1</v>
      </c>
      <c r="AV109" s="45">
        <f>IF($M$77="x",-1,IF(AND($M$77=0,INDEX(KonZeile1,8)+INDEX(KonSpalte3,8)+INDEX(KonFeld2,8)=0),8,0))</f>
        <v>-1</v>
      </c>
      <c r="AW109" s="48">
        <f>IF($M$77="x",-1,IF(AND($M$77=0,INDEX(KonZeile1,9)+INDEX(KonSpalte3,9)+INDEX(KonFeld2,9)=0),9,0))</f>
        <v>-1</v>
      </c>
      <c r="AX109" s="44">
        <f>IF($N$77="x",-1,IF(AND($N$77=0,INDEX(KonZeile1,7)+INDEX(KonSpalte4,7)+INDEX(KonFeld2,7)=0),7,0))</f>
        <v>0</v>
      </c>
      <c r="AY109" s="45">
        <f>IF($N$77="x",-1,IF(AND($N$77=0,INDEX(KonZeile1,8)+INDEX(KonSpalte4,8)+INDEX(KonFeld2,8)=0),8,0))</f>
        <v>0</v>
      </c>
      <c r="AZ109" s="47">
        <f>IF($N$77="x",-1,IF(AND($N$77=0,INDEX(KonZeile1,9)+INDEX(KonSpalte4,9)+INDEX(KonFeld2,9)=0),9,0))</f>
        <v>0</v>
      </c>
      <c r="BA109" s="46">
        <f>IF($O$77="x",-1,IF(AND($O$77=0,INDEX(KonZeile1,7)+INDEX(KonSpalte5,7)+INDEX(KonFeld2,7)=0),7,0))</f>
        <v>0</v>
      </c>
      <c r="BB109" s="45">
        <f>IF($O$77="x",-1,IF(AND($O$77=0,INDEX(KonZeile1,8)+INDEX(KonSpalte5,8)+INDEX(KonFeld2,8)=0),8,0))</f>
        <v>0</v>
      </c>
      <c r="BC109" s="47">
        <f>IF($O$77="x",-1,IF(AND($O$77=0,INDEX(KonZeile1,9)+INDEX(KonSpalte5,9)+INDEX(KonFeld2,9)=0),9,0))</f>
        <v>0</v>
      </c>
      <c r="BD109" s="46">
        <f>IF($P$77="x",-1,IF(AND($P$77=0,INDEX(KonZeile1,7)+INDEX(KonSpalte6,7)+INDEX(KonFeld2,7)=0),7,0))</f>
        <v>0</v>
      </c>
      <c r="BE109" s="45">
        <f>IF($P$77="x",-1,IF(AND($P$77=0,INDEX(KonZeile1,8)+INDEX(KonSpalte6,8)+INDEX(KonFeld2,8)=0),8,0))</f>
        <v>0</v>
      </c>
      <c r="BF109" s="48">
        <f>IF($P$77="x",-1,IF(AND($P$77=0,INDEX(KonZeile1,9)+INDEX(KonSpalte6,9)+INDEX(KonFeld2,9)=0),9,0))</f>
        <v>0</v>
      </c>
      <c r="BG109" s="44">
        <f>IF($Q$77="x",-1,IF(AND($Q$77=0,INDEX(KonZeile1,7)+INDEX(KonSpalte7,7)+INDEX(KonFeld2,7)=0),7,0))</f>
        <v>-1</v>
      </c>
      <c r="BH109" s="45">
        <f>IF($Q$77="x",-1,IF(AND($Q$77=0,INDEX(KonZeile1,8)+INDEX(KonSpalte7,8)+INDEX(KonFeld2,8)=0),8,0))</f>
        <v>-1</v>
      </c>
      <c r="BI109" s="47">
        <f>IF($Q$77="x",-1,IF(AND($Q$77=0,INDEX(KonZeile1,9)+INDEX(KonSpalte7,9)+INDEX(KonFeld2,9)=0),9,0))</f>
        <v>-1</v>
      </c>
      <c r="BJ109" s="46">
        <f>IF($R$77="x",-1,IF(AND($R$77=0,INDEX(KonZeile1,7)+INDEX(KonSpalte8,7)+INDEX(KonFeld2,7)=0),7,0))</f>
        <v>-1</v>
      </c>
      <c r="BK109" s="45">
        <f>IF($R$77="x",-1,IF(AND($R$77=0,INDEX(KonZeile1,8)+INDEX(KonSpalte8,8)+INDEX(KonFeld2,8)=0),8,0))</f>
        <v>-1</v>
      </c>
      <c r="BL109" s="47">
        <f>IF($R$77="x",-1,IF(AND($R$77=0,INDEX(KonZeile1,9)+INDEX(KonSpalte8,9)+INDEX(KonFeld2,9)=0),9,0))</f>
        <v>-1</v>
      </c>
      <c r="BM109" s="46">
        <f>IF($S$77="x",-1,IF(AND($S$77=0,INDEX(KonZeile1,7)+INDEX(KonSpalte9,7)+INDEX(KonFeld2,7)=0),7,0))</f>
        <v>-1</v>
      </c>
      <c r="BN109" s="45">
        <f>IF($S$77="x",-1,IF(AND($S$77=0,INDEX(KonZeile1,8)+INDEX(KonSpalte9,8)+INDEX(KonFeld2,8)=0),8,0))</f>
        <v>-1</v>
      </c>
      <c r="BO109" s="100">
        <f>IF($S$77="x",-1,IF(AND($S$77=0,INDEX(KonZeile1,9)+INDEX(KonSpalte9,9)+INDEX(KonFeld2,9)=0),9,0))</f>
        <v>-1</v>
      </c>
      <c r="BP109" s="99">
        <f>IF($T$77="x",-1,IF(AND($T$77=0,INDEX(KonZeile1,7)+INDEX(KonSpalte1,7)+INDEX(KonFeld3,7)=0),7,0))</f>
        <v>-1</v>
      </c>
      <c r="BQ109" s="45">
        <f>IF($T$77="x",-1,IF(AND($T$77=0,INDEX(KonZeile1,8)+INDEX(KonSpalte1,8)+INDEX(KonFeld3,8)=0),8,0))</f>
        <v>-1</v>
      </c>
      <c r="BR109" s="47">
        <f>IF($T$77="x",-1,IF(AND($T$77=0,INDEX(KonZeile1,9)+INDEX(KonSpalte1,9)+INDEX(KonFeld3,9)=0),9,0))</f>
        <v>-1</v>
      </c>
      <c r="BS109" s="46">
        <f>IF($U$77="x",-1,IF(AND($U$77=0,INDEX(KonZeile1,7)+INDEX(KonSpalte2,7)+INDEX(KonFeld3,7)=0),7,0))</f>
        <v>-1</v>
      </c>
      <c r="BT109" s="45">
        <f>IF($U$77="x",-1,IF(AND($U$77=0,INDEX(KonZeile1,8)+INDEX(KonSpalte2,8)+INDEX(KonFeld3,8)=0),8,0))</f>
        <v>-1</v>
      </c>
      <c r="BU109" s="47">
        <f>IF($U$77="x",-1,IF(AND($U$77=0,INDEX(KonZeile1,9)+INDEX(KonSpalte2,9)+INDEX(KonFeld3,9)=0),9,0))</f>
        <v>-1</v>
      </c>
      <c r="BV109" s="46">
        <f>IF($V$77="x",-1,IF(AND($V$77=0,INDEX(KonZeile1,7)+INDEX(KonSpalte3,7)+INDEX(KonFeld3,7)=0),7,0))</f>
        <v>-1</v>
      </c>
      <c r="BW109" s="45">
        <f>IF($V$77="x",-1,IF(AND($V$77=0,INDEX(KonZeile1,8)+INDEX(KonSpalte3,8)+INDEX(KonFeld3,8)=0),8,0))</f>
        <v>-1</v>
      </c>
      <c r="BX109" s="48">
        <f>IF($V$77="x",-1,IF(AND($V$77=0,INDEX(KonZeile1,9)+INDEX(KonSpalte3,9)+INDEX(KonFeld3,9)=0),9,0))</f>
        <v>-1</v>
      </c>
      <c r="BY109" s="44">
        <f>IF($W$77="x",-1,IF(AND($W$77=0,INDEX(KonZeile1,7)+INDEX(KonSpalte4,7)+INDEX(KonFeld3,7)=0),7,0))</f>
        <v>-1</v>
      </c>
      <c r="BZ109" s="45">
        <f>IF($W$77="x",-1,IF(AND($W$77=0,INDEX(KonZeile1,8)+INDEX(KonSpalte4,8)+INDEX(KonFeld3,8)=0),8,0))</f>
        <v>-1</v>
      </c>
      <c r="CA109" s="47">
        <f>IF($W$77="x",-1,IF(AND($W$77=0,INDEX(KonZeile1,9)+INDEX(KonSpalte4,9)+INDEX(KonFeld3,9)=0),9,0))</f>
        <v>-1</v>
      </c>
      <c r="CB109" s="46">
        <f>IF($X$77="x",-1,IF(AND($X$77=0,INDEX(KonZeile1,7)+INDEX(KonSpalte5,7)+INDEX(KonFeld3,7)=0),7,0))</f>
        <v>-1</v>
      </c>
      <c r="CC109" s="45">
        <f>IF($X$77="x",-1,IF(AND($X$77=0,INDEX(KonZeile1,8)+INDEX(KonSpalte5,8)+INDEX(KonFeld3,8)=0),8,0))</f>
        <v>-1</v>
      </c>
      <c r="CD109" s="47">
        <f>IF($X$77="x",-1,IF(AND($X$77=0,INDEX(KonZeile1,9)+INDEX(KonSpalte5,9)+INDEX(KonFeld3,9)=0),9,0))</f>
        <v>-1</v>
      </c>
      <c r="CE109" s="46">
        <f>IF($Y$77="x",-1,IF(AND($Y$77=0,INDEX(KonZeile1,7)+INDEX(KonSpalte6,7)+INDEX(KonFeld3,7)=0),7,0))</f>
        <v>-1</v>
      </c>
      <c r="CF109" s="45">
        <f>IF($Y$77="x",-1,IF(AND($Y$77=0,INDEX(KonZeile1,8)+INDEX(KonSpalte6,8)+INDEX(KonFeld3,8)=0),8,0))</f>
        <v>-1</v>
      </c>
      <c r="CG109" s="48">
        <f>IF($Y$77="x",-1,IF(AND($Y$77=0,INDEX(KonZeile1,9)+INDEX(KonSpalte6,9)+INDEX(KonFeld3,9)=0),9,0))</f>
        <v>-1</v>
      </c>
      <c r="CH109" s="44">
        <f>IF($Z$77="x",-1,IF(AND($Z$77=0,INDEX(KonZeile1,7)+INDEX(KonSpalte7,7)+INDEX(KonFeld3,7)=0),7,0))</f>
        <v>-1</v>
      </c>
      <c r="CI109" s="45">
        <f>IF($Z$77="x",-1,IF(AND($Z$77=0,INDEX(KonZeile1,8)+INDEX(KonSpalte7,8)+INDEX(KonFeld3,8)=0),8,0))</f>
        <v>-1</v>
      </c>
      <c r="CJ109" s="47">
        <f>IF($Z$77="x",-1,IF(AND($Z$77=0,INDEX(KonZeile1,9)+INDEX(KonSpalte7,9)+INDEX(KonFeld3,9)=0),9,0))</f>
        <v>-1</v>
      </c>
      <c r="CK109" s="46">
        <f>IF($AA$77="x",-1,IF(AND($AA$77=0,INDEX(KonZeile1,7)+INDEX(KonSpalte8,7)+INDEX(KonFeld3,7)=0),7,0))</f>
        <v>0</v>
      </c>
      <c r="CL109" s="45">
        <f>IF($AA$77="x",-1,IF(AND($AA$77=0,INDEX(KonZeile1,8)+INDEX(KonSpalte8,8)+INDEX(KonFeld3,8)=0),8,0))</f>
        <v>0</v>
      </c>
      <c r="CM109" s="47">
        <f>IF($AA$77="x",-1,IF(AND($AA$77=0,INDEX(KonZeile1,9)+INDEX(KonSpalte8,9)+INDEX(KonFeld3,9)=0),9,0))</f>
        <v>0</v>
      </c>
      <c r="CN109" s="46">
        <f>IF($AB$77="x",-1,IF(AND($AB$77=0,INDEX(KonZeile1,7)+INDEX(KonSpalte9,7)+INDEX(KonFeld3,7)=0),7,0))</f>
        <v>-1</v>
      </c>
      <c r="CO109" s="45">
        <f>IF($AB$77="x",-1,IF(AND($AB$77=0,INDEX(KonZeile1,8)+INDEX(KonSpalte9,8)+INDEX(KonFeld3,8)=0),8,0))</f>
        <v>-1</v>
      </c>
      <c r="CP109" s="100">
        <f>IF($AB$77="x",-1,IF(AND($AB$77=0,INDEX(KonZeile1,9)+INDEX(KonSpalte9,9)+INDEX(KonFeld3,9)=0),9,0))</f>
        <v>-1</v>
      </c>
      <c r="CR109" s="46">
        <f>COUNTIF(N109:CP109,7)</f>
        <v>0</v>
      </c>
      <c r="CS109" s="45">
        <f>COUNTIF(N109:CP109,8)</f>
        <v>0</v>
      </c>
      <c r="CT109" s="47">
        <f>COUNTIF(N109:CP109,9)</f>
        <v>0</v>
      </c>
      <c r="CU109" s="39"/>
      <c r="CV109" s="39"/>
      <c r="CX109" s="101">
        <f t="shared" si="104"/>
        <v>0</v>
      </c>
      <c r="CY109" s="102">
        <f t="shared" si="105"/>
        <v>0</v>
      </c>
      <c r="CZ109" s="103">
        <f t="shared" si="106"/>
        <v>0</v>
      </c>
      <c r="DE109" s="231">
        <f t="shared" si="107"/>
        <v>10</v>
      </c>
      <c r="DF109" s="232">
        <f t="shared" si="108"/>
        <v>10</v>
      </c>
      <c r="DG109" s="233">
        <f t="shared" si="109"/>
        <v>10</v>
      </c>
      <c r="DH109" s="234">
        <f t="shared" si="110"/>
        <v>10</v>
      </c>
      <c r="DI109" s="232">
        <f t="shared" si="111"/>
        <v>10</v>
      </c>
      <c r="DJ109" s="233">
        <f t="shared" si="112"/>
        <v>10</v>
      </c>
      <c r="DK109" s="234">
        <f t="shared" si="113"/>
        <v>10</v>
      </c>
      <c r="DL109" s="232">
        <f t="shared" si="114"/>
        <v>10</v>
      </c>
      <c r="DM109" s="235">
        <f t="shared" si="115"/>
        <v>10</v>
      </c>
      <c r="DN109" s="231">
        <f t="shared" si="116"/>
        <v>20</v>
      </c>
      <c r="DO109" s="232">
        <f t="shared" si="117"/>
        <v>20</v>
      </c>
      <c r="DP109" s="233">
        <f t="shared" si="118"/>
        <v>20</v>
      </c>
      <c r="DQ109" s="234">
        <f t="shared" si="119"/>
        <v>20</v>
      </c>
      <c r="DR109" s="232">
        <f t="shared" si="120"/>
        <v>20</v>
      </c>
      <c r="DS109" s="233">
        <f t="shared" si="121"/>
        <v>20</v>
      </c>
      <c r="DT109" s="234">
        <f t="shared" si="122"/>
        <v>20</v>
      </c>
      <c r="DU109" s="232">
        <f t="shared" si="123"/>
        <v>20</v>
      </c>
      <c r="DV109" s="235">
        <f t="shared" si="124"/>
        <v>20</v>
      </c>
      <c r="DW109" s="231">
        <f t="shared" si="125"/>
        <v>60</v>
      </c>
      <c r="DX109" s="232">
        <f t="shared" si="126"/>
        <v>60</v>
      </c>
      <c r="DY109" s="233">
        <f t="shared" si="127"/>
        <v>60</v>
      </c>
      <c r="DZ109" s="234">
        <f t="shared" si="128"/>
        <v>30</v>
      </c>
      <c r="EA109" s="232">
        <f t="shared" si="129"/>
        <v>30</v>
      </c>
      <c r="EB109" s="233">
        <f t="shared" si="130"/>
        <v>30</v>
      </c>
      <c r="EC109" s="234">
        <f t="shared" si="131"/>
        <v>60</v>
      </c>
      <c r="ED109" s="232">
        <f t="shared" si="132"/>
        <v>60</v>
      </c>
      <c r="EE109" s="235">
        <f t="shared" si="133"/>
        <v>60</v>
      </c>
      <c r="EI109" s="293">
        <v>7</v>
      </c>
      <c r="EJ109" s="259"/>
      <c r="EK109" s="260"/>
      <c r="EL109" s="258"/>
      <c r="EM109" s="259"/>
      <c r="EN109" s="260"/>
      <c r="EO109" s="258"/>
      <c r="EP109" s="259"/>
      <c r="EQ109" s="465"/>
      <c r="ER109" s="311"/>
      <c r="ES109" s="267"/>
      <c r="ET109" s="268"/>
      <c r="EU109" s="266"/>
      <c r="EV109" s="267"/>
      <c r="EW109" s="268"/>
      <c r="EX109" s="266"/>
      <c r="EY109" s="267"/>
      <c r="EZ109" s="294"/>
      <c r="FA109" s="446"/>
      <c r="FB109" s="344"/>
      <c r="FC109" s="345"/>
      <c r="FD109" s="323"/>
      <c r="FE109" s="321">
        <v>8</v>
      </c>
      <c r="FF109" s="322"/>
      <c r="FG109" s="343"/>
      <c r="FH109" s="344">
        <v>8</v>
      </c>
      <c r="FI109" s="346"/>
      <c r="FM109" s="293"/>
      <c r="FN109" s="259"/>
      <c r="FO109" s="260"/>
      <c r="FP109" s="258"/>
      <c r="FQ109" s="259"/>
      <c r="FR109" s="260"/>
      <c r="FS109" s="258"/>
      <c r="FT109" s="259"/>
      <c r="FU109" s="465"/>
      <c r="FV109" s="311"/>
      <c r="FW109" s="267"/>
      <c r="FX109" s="268"/>
      <c r="FY109" s="266"/>
      <c r="FZ109" s="267"/>
      <c r="GA109" s="268"/>
      <c r="GB109" s="266"/>
      <c r="GC109" s="267"/>
      <c r="GD109" s="294"/>
      <c r="GE109" s="446"/>
      <c r="GF109" s="344"/>
      <c r="GG109" s="345"/>
      <c r="GH109" s="323"/>
      <c r="GI109" s="321"/>
      <c r="GJ109" s="322"/>
      <c r="GK109" s="343"/>
      <c r="GL109" s="344"/>
      <c r="GM109" s="346"/>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2:235" ht="15" customHeight="1">
      <c r="B110" s="69" t="str">
        <f t="shared" si="84"/>
        <v>x</v>
      </c>
      <c r="C110" s="70" t="str">
        <f t="shared" si="85"/>
        <v>x</v>
      </c>
      <c r="D110" s="70" t="str">
        <f t="shared" si="86"/>
        <v>x</v>
      </c>
      <c r="E110" s="70" t="str">
        <f t="shared" si="87"/>
        <v>x</v>
      </c>
      <c r="F110" s="70" t="str">
        <f t="shared" si="88"/>
        <v>x</v>
      </c>
      <c r="G110" s="70" t="str">
        <f t="shared" si="89"/>
        <v>x</v>
      </c>
      <c r="H110" s="70" t="str">
        <f t="shared" si="90"/>
        <v>x</v>
      </c>
      <c r="I110" s="70" t="str">
        <f t="shared" si="91"/>
        <v>x</v>
      </c>
      <c r="J110" s="71" t="str">
        <f t="shared" si="92"/>
        <v>x</v>
      </c>
      <c r="M110" s="39"/>
      <c r="N110" s="104">
        <f>IF($B$78="x",-1,IF(AND($B$78=0,INDEX(KonZeile2,1)+INDEX(KonSpalte1,1)+INDEX(KonFeld1,1)=0),1,0))</f>
        <v>0</v>
      </c>
      <c r="O110" s="50">
        <f>IF($B$78="x",-1,IF(AND($B$78=0,INDEX(KonZeile2,2)+INDEX(KonSpalte1,2)+INDEX(KonFeld1,2)=0),2,0))</f>
        <v>0</v>
      </c>
      <c r="P110" s="51">
        <f>IF($B$78="x",-1,IF(AND($B$78=0,INDEX(KonZeile2,3)+INDEX(KonSpalte1,3)+INDEX(KonFeld1,3)=0),3,0))</f>
        <v>0</v>
      </c>
      <c r="Q110" s="52">
        <f>IF($C$78="x",-1,IF(AND($C$78=0,INDEX(KonZeile2,1)+INDEX(KonSpalte2,1)+INDEX(KonFeld1,1)=0),1,0))</f>
        <v>-1</v>
      </c>
      <c r="R110" s="50">
        <f>IF($C$78="x",-1,IF(AND($C$78=0,INDEX(KonZeile2,2)+INDEX(KonSpalte2,2)+INDEX(KonFeld1,2)=0),2,0))</f>
        <v>-1</v>
      </c>
      <c r="S110" s="51">
        <f>IF($C$78="x",-1,IF(AND($C$78=0,INDEX(KonZeile2,3)+INDEX(KonSpalte2,3)+INDEX(KonFeld1,3)=0),3,0))</f>
        <v>-1</v>
      </c>
      <c r="T110" s="52">
        <f>IF($D$78="x",-1,IF(AND($D$78=0,INDEX(KonZeile2,1)+INDEX(KonSpalte3,1)+INDEX(KonFeld1,1)=0),1,0))</f>
        <v>-1</v>
      </c>
      <c r="U110" s="50">
        <f>IF($D$78="x",-1,IF(AND($D$78=0,INDEX(KonZeile2,2)+INDEX(KonSpalte3,2)+INDEX(KonFeld1,2)=0),2,0))</f>
        <v>-1</v>
      </c>
      <c r="V110" s="53">
        <f>IF($D$78="x",-1,IF(AND($D$78=0,INDEX(KonZeile2,3)+INDEX(KonSpalte3,3)+INDEX(KonFeld1,3)=0),3,0))</f>
        <v>-1</v>
      </c>
      <c r="W110" s="49">
        <f>IF($E$78="x",-1,IF(AND($E$78=0,INDEX(KonZeile2,1)+INDEX(KonSpalte4,1)+INDEX(KonFeld1,1)=0),1,0))</f>
        <v>-1</v>
      </c>
      <c r="X110" s="50">
        <f>IF($E$78="x",-1,IF(AND($E$78=0,INDEX(KonZeile2,2)+INDEX(KonSpalte4,2)+INDEX(KonFeld1,2)=0),2,0))</f>
        <v>-1</v>
      </c>
      <c r="Y110" s="51">
        <f>IF($E$78="x",-1,IF(AND($E$78=0,INDEX(KonZeile2,3)+INDEX(KonSpalte4,3)+INDEX(KonFeld1,3)=0),3,0))</f>
        <v>-1</v>
      </c>
      <c r="Z110" s="52">
        <f>IF($F$78="x",-1,IF(AND($F$78=0,INDEX(KonZeile2,1)+INDEX(KonSpalte5,1)+INDEX(KonFeld1,1)=0),1,0))</f>
        <v>-1</v>
      </c>
      <c r="AA110" s="50">
        <f>IF($F$78="x",-1,IF(AND($F$78=0,INDEX(KonZeile2,2)+INDEX(KonSpalte5,2)+INDEX(KonFeld1,2)=0),2,0))</f>
        <v>-1</v>
      </c>
      <c r="AB110" s="51">
        <f>IF($F$78="x",-1,IF(AND($F$78=0,INDEX(KonZeile2,3)+INDEX(KonSpalte5,3)+INDEX(KonFeld1,3)=0),3,0))</f>
        <v>-1</v>
      </c>
      <c r="AC110" s="52">
        <f>IF($G$78="x",-1,IF(AND($G$78=0,INDEX(KonZeile2,1)+INDEX(KonSpalte6,1)+INDEX(KonFeld1,1)=0),1,0))</f>
        <v>-1</v>
      </c>
      <c r="AD110" s="50">
        <f>IF($G$78="x",-1,IF(AND($G$78=0,INDEX(KonZeile2,2)+INDEX(KonSpalte6,2)+INDEX(KonFeld1,2)=0),2,0))</f>
        <v>-1</v>
      </c>
      <c r="AE110" s="53">
        <f>IF($G$78="x",-1,IF(AND($G$78=0,INDEX(KonZeile2,3)+INDEX(KonSpalte6,3)+INDEX(KonFeld1,3)=0),3,0))</f>
        <v>-1</v>
      </c>
      <c r="AF110" s="49">
        <f>IF($H$78="x",-1,IF(AND($H$78=0,INDEX(KonZeile2,1)+INDEX(KonSpalte7,1)+INDEX(KonFeld1,1)=0),1,0))</f>
        <v>-1</v>
      </c>
      <c r="AG110" s="50">
        <f>IF($H$78="x",-1,IF(AND($H$78=0,INDEX(KonZeile2,2)+INDEX(KonSpalte7,2)+INDEX(KonFeld1,2)=0),2,0))</f>
        <v>-1</v>
      </c>
      <c r="AH110" s="51">
        <f>IF($H$78="x",-1,IF(AND($H$78=0,INDEX(KonZeile2,3)+INDEX(KonSpalte7,3)+INDEX(KonFeld1,3)=0),3,0))</f>
        <v>-1</v>
      </c>
      <c r="AI110" s="52">
        <f>IF($I$78="x",-1,IF(AND($I$78=0,INDEX(KonZeile2,1)+INDEX(KonSpalte8,1)+INDEX(KonFeld1,1)=0),1,0))</f>
        <v>-1</v>
      </c>
      <c r="AJ110" s="50">
        <f>IF($I$78="x",-1,IF(AND($I$78=0,INDEX(KonZeile2,2)+INDEX(KonSpalte8,2)+INDEX(KonFeld1,2)=0),2,0))</f>
        <v>-1</v>
      </c>
      <c r="AK110" s="51">
        <f>IF($I$78="x",-1,IF(AND($I$78=0,INDEX(KonZeile2,3)+INDEX(KonSpalte8,3)+INDEX(KonFeld1,3)=0),3,0))</f>
        <v>-1</v>
      </c>
      <c r="AL110" s="52">
        <f>IF($J$78="x",-1,IF(AND($J$78=0,INDEX(KonZeile2,1)+INDEX(KonSpalte9,1)+INDEX(KonFeld1,1)=0),1,0))</f>
        <v>-1</v>
      </c>
      <c r="AM110" s="50">
        <f>IF($J$78="x",-1,IF(AND($J$78=0,INDEX(KonZeile2,2)+INDEX(KonSpalte9,2)+INDEX(KonFeld1,2)=0),2,0))</f>
        <v>-1</v>
      </c>
      <c r="AN110" s="105">
        <f>IF($J$78="x",-1,IF(AND($J$78=0,INDEX(KonZeile2,3)+INDEX(KonSpalte9,3)+INDEX(KonFeld1,3)=0),3,0))</f>
        <v>-1</v>
      </c>
      <c r="AO110" s="104">
        <f>IF($K$78="x",-1,IF(AND($K$78=0,INDEX(KonZeile2,1)+INDEX(KonSpalte1,1)+INDEX(KonFeld2,1)=0),1,0))</f>
        <v>-1</v>
      </c>
      <c r="AP110" s="50">
        <f>IF($K$78="x",-1,IF(AND($K$78=0,INDEX(KonZeile2,2)+INDEX(KonSpalte1,2)+INDEX(KonFeld2,2)=0),2,0))</f>
        <v>-1</v>
      </c>
      <c r="AQ110" s="51">
        <f>IF($K$78="x",-1,IF(AND($K$78=0,INDEX(KonZeile2,3)+INDEX(KonSpalte1,3)+INDEX(KonFeld2,3)=0),3,0))</f>
        <v>-1</v>
      </c>
      <c r="AR110" s="52">
        <f>IF($L$78="x",-1,IF(AND($L$78=0,INDEX(KonZeile2,1)+INDEX(KonSpalte2,1)+INDEX(KonFeld2,1)=0),1,0))</f>
        <v>-1</v>
      </c>
      <c r="AS110" s="50">
        <f>IF($L$78="x",-1,IF(AND($L$78=0,INDEX(KonZeile2,2)+INDEX(KonSpalte2,2)+INDEX(KonFeld2,2)=0),2,0))</f>
        <v>-1</v>
      </c>
      <c r="AT110" s="51">
        <f>IF($L$78="x",-1,IF(AND($L$78=0,INDEX(KonZeile2,3)+INDEX(KonSpalte2,3)+INDEX(KonFeld2,3)=0),3,0))</f>
        <v>-1</v>
      </c>
      <c r="AU110" s="52">
        <f>IF($M$78="x",-1,IF(AND($M$78=0,INDEX(KonZeile2,1)+INDEX(KonSpalte3,1)+INDEX(KonFeld2,1)=0),1,0))</f>
        <v>-1</v>
      </c>
      <c r="AV110" s="50">
        <f>IF($M$78="x",-1,IF(AND($M$78=0,INDEX(KonZeile2,2)+INDEX(KonSpalte3,2)+INDEX(KonFeld2,2)=0),2,0))</f>
        <v>-1</v>
      </c>
      <c r="AW110" s="53">
        <f>IF($M$78="x",-1,IF(AND($M$78=0,INDEX(KonZeile2,3)+INDEX(KonSpalte3,3)+INDEX(KonFeld2,3)=0),3,0))</f>
        <v>-1</v>
      </c>
      <c r="AX110" s="49">
        <f>IF($N$78="x",-1,IF(AND($N$78=0,INDEX(KonZeile2,1)+INDEX(KonSpalte4,1)+INDEX(KonFeld2,1)=0),1,0))</f>
        <v>0</v>
      </c>
      <c r="AY110" s="50">
        <f>IF($N$78="x",-1,IF(AND($N$78=0,INDEX(KonZeile2,2)+INDEX(KonSpalte4,2)+INDEX(KonFeld2,2)=0),2,0))</f>
        <v>0</v>
      </c>
      <c r="AZ110" s="51">
        <f>IF($N$78="x",-1,IF(AND($N$78=0,INDEX(KonZeile2,3)+INDEX(KonSpalte4,3)+INDEX(KonFeld2,3)=0),3,0))</f>
        <v>0</v>
      </c>
      <c r="BA110" s="52">
        <f>IF($O$78="x",-1,IF(AND($O$78=0,INDEX(KonZeile2,1)+INDEX(KonSpalte5,1)+INDEX(KonFeld2,1)=0),1,0))</f>
        <v>0</v>
      </c>
      <c r="BB110" s="50">
        <f>IF($O$78="x",-1,IF(AND($O$78=0,INDEX(KonZeile2,2)+INDEX(KonSpalte5,2)+INDEX(KonFeld2,2)=0),2,0))</f>
        <v>0</v>
      </c>
      <c r="BC110" s="51">
        <f>IF($O$78="x",-1,IF(AND($O$78=0,INDEX(KonZeile2,3)+INDEX(KonSpalte5,3)+INDEX(KonFeld2,3)=0),3,0))</f>
        <v>0</v>
      </c>
      <c r="BD110" s="52">
        <f>IF($P$78="x",-1,IF(AND($P$78=0,INDEX(KonZeile2,1)+INDEX(KonSpalte6,1)+INDEX(KonFeld2,1)=0),1,0))</f>
        <v>-1</v>
      </c>
      <c r="BE110" s="50">
        <f>IF($P$78="x",-1,IF(AND($P$78=0,INDEX(KonZeile2,2)+INDEX(KonSpalte6,2)+INDEX(KonFeld2,2)=0),2,0))</f>
        <v>-1</v>
      </c>
      <c r="BF110" s="53">
        <f>IF($P$78="x",-1,IF(AND($P$78=0,INDEX(KonZeile2,3)+INDEX(KonSpalte6,3)+INDEX(KonFeld2,3)=0),3,0))</f>
        <v>-1</v>
      </c>
      <c r="BG110" s="49">
        <f>IF($Q$78="x",-1,IF(AND($Q$78=0,INDEX(KonZeile2,1)+INDEX(KonSpalte7,1)+INDEX(KonFeld2,1)=0),1,0))</f>
        <v>-1</v>
      </c>
      <c r="BH110" s="50">
        <f>IF($Q$78="x",-1,IF(AND($Q$78=0,INDEX(KonZeile2,2)+INDEX(KonSpalte7,2)+INDEX(KonFeld2,2)=0),2,0))</f>
        <v>-1</v>
      </c>
      <c r="BI110" s="51">
        <f>IF($Q$78="x",-1,IF(AND($Q$78=0,INDEX(KonZeile2,3)+INDEX(KonSpalte7,3)+INDEX(KonFeld2,3)=0),3,0))</f>
        <v>-1</v>
      </c>
      <c r="BJ110" s="52">
        <f>IF($R$78="x",-1,IF(AND($R$78=0,INDEX(KonZeile2,1)+INDEX(KonSpalte8,1)+INDEX(KonFeld2,1)=0),1,0))</f>
        <v>-1</v>
      </c>
      <c r="BK110" s="50">
        <f>IF($R$78="x",-1,IF(AND($R$78=0,INDEX(KonZeile2,2)+INDEX(KonSpalte8,2)+INDEX(KonFeld2,2)=0),2,0))</f>
        <v>-1</v>
      </c>
      <c r="BL110" s="51">
        <f>IF($R$78="x",-1,IF(AND($R$78=0,INDEX(KonZeile2,3)+INDEX(KonSpalte8,3)+INDEX(KonFeld2,3)=0),3,0))</f>
        <v>-1</v>
      </c>
      <c r="BM110" s="52">
        <f>IF($S$78="x",-1,IF(AND($S$78=0,INDEX(KonZeile2,1)+INDEX(KonSpalte9,1)+INDEX(KonFeld2,1)=0),1,0))</f>
        <v>-1</v>
      </c>
      <c r="BN110" s="50">
        <f>IF($S$78="x",-1,IF(AND($S$78=0,INDEX(KonZeile2,2)+INDEX(KonSpalte9,2)+INDEX(KonFeld2,2)=0),2,0))</f>
        <v>-1</v>
      </c>
      <c r="BO110" s="105">
        <f>IF($S$78="x",-1,IF(AND($S$78=0,INDEX(KonZeile2,3)+INDEX(KonSpalte9,3)+INDEX(KonFeld2,3)=0),3,0))</f>
        <v>-1</v>
      </c>
      <c r="BP110" s="104">
        <f>IF($T$78="x",-1,IF(AND($T$78=0,INDEX(KonZeile2,1)+INDEX(KonSpalte1,1)+INDEX(KonFeld3,1)=0),1,0))</f>
        <v>-1</v>
      </c>
      <c r="BQ110" s="50">
        <f>IF($T$78="x",-1,IF(AND($T$78=0,INDEX(KonZeile2,2)+INDEX(KonSpalte1,2)+INDEX(KonFeld3,2)=0),2,0))</f>
        <v>-1</v>
      </c>
      <c r="BR110" s="51">
        <f>IF($T$78="x",-1,IF(AND($T$78=0,INDEX(KonZeile2,3)+INDEX(KonSpalte1,3)+INDEX(KonFeld3,3)=0),3,0))</f>
        <v>-1</v>
      </c>
      <c r="BS110" s="52">
        <f>IF($U$78="x",-1,IF(AND($U$78=0,INDEX(KonZeile2,1)+INDEX(KonSpalte2,1)+INDEX(KonFeld3,1)=0),1,0))</f>
        <v>-1</v>
      </c>
      <c r="BT110" s="50">
        <f>IF($U$78="x",-1,IF(AND($U$78=0,INDEX(KonZeile2,2)+INDEX(KonSpalte2,2)+INDEX(KonFeld3,2)=0),2,0))</f>
        <v>-1</v>
      </c>
      <c r="BU110" s="51">
        <f>IF($U$78="x",-1,IF(AND($U$78=0,INDEX(KonZeile2,3)+INDEX(KonSpalte2,3)+INDEX(KonFeld3,3)=0),3,0))</f>
        <v>-1</v>
      </c>
      <c r="BV110" s="52">
        <f>IF($V$78="x",-1,IF(AND($V$78=0,INDEX(KonZeile2,1)+INDEX(KonSpalte3,1)+INDEX(KonFeld3,1)=0),1,0))</f>
        <v>-1</v>
      </c>
      <c r="BW110" s="50">
        <f>IF($V$78="x",-1,IF(AND($V$78=0,INDEX(KonZeile2,2)+INDEX(KonSpalte3,2)+INDEX(KonFeld3,2)=0),2,0))</f>
        <v>-1</v>
      </c>
      <c r="BX110" s="53">
        <f>IF($V$78="x",-1,IF(AND($V$78=0,INDEX(KonZeile2,3)+INDEX(KonSpalte3,3)+INDEX(KonFeld3,3)=0),3,0))</f>
        <v>-1</v>
      </c>
      <c r="BY110" s="49">
        <f>IF($W$78="x",-1,IF(AND($W$78=0,INDEX(KonZeile2,1)+INDEX(KonSpalte4,1)+INDEX(KonFeld3,1)=0),1,0))</f>
        <v>-1</v>
      </c>
      <c r="BZ110" s="50">
        <f>IF($W$78="x",-1,IF(AND($W$78=0,INDEX(KonZeile2,2)+INDEX(KonSpalte4,2)+INDEX(KonFeld3,2)=0),2,0))</f>
        <v>-1</v>
      </c>
      <c r="CA110" s="51">
        <f>IF($W$78="x",-1,IF(AND($W$78=0,INDEX(KonZeile2,3)+INDEX(KonSpalte4,3)+INDEX(KonFeld3,3)=0),3,0))</f>
        <v>-1</v>
      </c>
      <c r="CB110" s="52">
        <f>IF($X$78="x",-1,IF(AND($X$78=0,INDEX(KonZeile2,1)+INDEX(KonSpalte5,1)+INDEX(KonFeld3,1)=0),1,0))</f>
        <v>-1</v>
      </c>
      <c r="CC110" s="50">
        <f>IF($X$78="x",-1,IF(AND($X$78=0,INDEX(KonZeile2,2)+INDEX(KonSpalte5,2)+INDEX(KonFeld3,2)=0),2,0))</f>
        <v>-1</v>
      </c>
      <c r="CD110" s="51">
        <f>IF($X$78="x",-1,IF(AND($X$78=0,INDEX(KonZeile2,3)+INDEX(KonSpalte5,3)+INDEX(KonFeld3,3)=0),3,0))</f>
        <v>-1</v>
      </c>
      <c r="CE110" s="52">
        <f>IF($Y$78="x",-1,IF(AND($Y$78=0,INDEX(KonZeile2,1)+INDEX(KonSpalte6,1)+INDEX(KonFeld3,1)=0),1,0))</f>
        <v>-1</v>
      </c>
      <c r="CF110" s="50">
        <f>IF($Y$78="x",-1,IF(AND($Y$78=0,INDEX(KonZeile2,2)+INDEX(KonSpalte6,2)+INDEX(KonFeld3,2)=0),2,0))</f>
        <v>-1</v>
      </c>
      <c r="CG110" s="53">
        <f>IF($Y$78="x",-1,IF(AND($Y$78=0,INDEX(KonZeile2,3)+INDEX(KonSpalte6,3)+INDEX(KonFeld3,3)=0),3,0))</f>
        <v>-1</v>
      </c>
      <c r="CH110" s="49">
        <f>IF($Z$78="x",-1,IF(AND($Z$78=0,INDEX(KonZeile2,1)+INDEX(KonSpalte7,1)+INDEX(KonFeld3,1)=0),1,0))</f>
        <v>-1</v>
      </c>
      <c r="CI110" s="50">
        <f>IF($Z$78="x",-1,IF(AND($Z$78=0,INDEX(KonZeile2,2)+INDEX(KonSpalte7,2)+INDEX(KonFeld3,2)=0),2,0))</f>
        <v>-1</v>
      </c>
      <c r="CJ110" s="51">
        <f>IF($Z$78="x",-1,IF(AND($Z$78=0,INDEX(KonZeile2,3)+INDEX(KonSpalte7,3)+INDEX(KonFeld3,3)=0),3,0))</f>
        <v>-1</v>
      </c>
      <c r="CK110" s="52">
        <f>IF($AA$78="x",-1,IF(AND($AA$78=0,INDEX(KonZeile2,1)+INDEX(KonSpalte8,1)+INDEX(KonFeld3,1)=0),1,0))</f>
        <v>-1</v>
      </c>
      <c r="CL110" s="50">
        <f>IF($AA$78="x",-1,IF(AND($AA$78=0,INDEX(KonZeile2,2)+INDEX(KonSpalte8,2)+INDEX(KonFeld3,2)=0),2,0))</f>
        <v>-1</v>
      </c>
      <c r="CM110" s="51">
        <f>IF($AA$78="x",-1,IF(AND($AA$78=0,INDEX(KonZeile2,3)+INDEX(KonSpalte8,3)+INDEX(KonFeld3,3)=0),3,0))</f>
        <v>-1</v>
      </c>
      <c r="CN110" s="52">
        <f>IF($AB$78="x",-1,IF(AND($AB$78=0,INDEX(KonZeile2,1)+INDEX(KonSpalte9,1)+INDEX(KonFeld3,1)=0),1,0))</f>
        <v>0</v>
      </c>
      <c r="CO110" s="50">
        <f>IF($AB$78="x",-1,IF(AND($AB$78=0,INDEX(KonZeile2,2)+INDEX(KonSpalte9,2)+INDEX(KonFeld3,2)=0),2,0))</f>
        <v>0</v>
      </c>
      <c r="CP110" s="105">
        <f>IF($AB$78="x",-1,IF(AND($AB$78=0,INDEX(KonZeile2,3)+INDEX(KonSpalte9,3)+INDEX(KonFeld3,3)=0),3,0))</f>
        <v>0</v>
      </c>
      <c r="CR110" s="52">
        <f>COUNTIF(N110:CP110,1)</f>
        <v>0</v>
      </c>
      <c r="CS110" s="50">
        <f>COUNTIF(N110:CP110,2)</f>
        <v>0</v>
      </c>
      <c r="CT110" s="51">
        <f>COUNTIF(N110:CP110,3)</f>
        <v>0</v>
      </c>
      <c r="CU110" s="39"/>
      <c r="CV110" s="39"/>
      <c r="CX110" s="91">
        <f t="shared" si="104"/>
        <v>0</v>
      </c>
      <c r="CY110" s="92">
        <f t="shared" si="105"/>
        <v>0</v>
      </c>
      <c r="CZ110" s="93">
        <f t="shared" si="106"/>
        <v>0</v>
      </c>
      <c r="DE110" s="236">
        <f>IF(N110&gt;=0,10+N110,IF(AO110&gt;=0,20+AO110,IF(BP110&gt;=0,30+BP110,IF(N137&gt;=0,40+N137,IF(AO137&gt;=0,50+AO137,IF(BP137&gt;=0,60+BP137,IF(N164&gt;=0,70+N164,IF(AO164&gt;=0,80+AO164,IF(BP164&gt;=0,90+BP164,"")))))))))</f>
        <v>10</v>
      </c>
      <c r="DF110" s="237">
        <f t="shared" si="108"/>
        <v>10</v>
      </c>
      <c r="DG110" s="238">
        <f t="shared" si="109"/>
        <v>10</v>
      </c>
      <c r="DH110" s="239">
        <f t="shared" si="110"/>
        <v>50</v>
      </c>
      <c r="DI110" s="237">
        <f t="shared" si="111"/>
        <v>50</v>
      </c>
      <c r="DJ110" s="238">
        <f t="shared" si="112"/>
        <v>50</v>
      </c>
      <c r="DK110" s="239">
        <f t="shared" si="113"/>
        <v>50</v>
      </c>
      <c r="DL110" s="237">
        <f t="shared" si="114"/>
        <v>50</v>
      </c>
      <c r="DM110" s="240">
        <f t="shared" si="115"/>
        <v>50</v>
      </c>
      <c r="DN110" s="236">
        <f>IF(W110&gt;=0,10+W110,IF(AX110&gt;=0,20+AX110,IF(BY110&gt;=0,30+BY110,IF(W137&gt;=0,40+W137,IF(AX137&gt;=0,50+AX137,IF(BY137&gt;=0,60+BY137,IF(W164&gt;=0,70+W164,IF(AX164&gt;=0,80+AX164,IF(BY164&gt;=0,90+BY164,"")))))))))</f>
        <v>20</v>
      </c>
      <c r="DO110" s="237">
        <f t="shared" si="117"/>
        <v>20</v>
      </c>
      <c r="DP110" s="238">
        <f t="shared" si="118"/>
        <v>20</v>
      </c>
      <c r="DQ110" s="239">
        <f t="shared" si="119"/>
        <v>20</v>
      </c>
      <c r="DR110" s="237">
        <f t="shared" si="120"/>
        <v>20</v>
      </c>
      <c r="DS110" s="238">
        <f t="shared" si="121"/>
        <v>20</v>
      </c>
      <c r="DT110" s="239">
        <f t="shared" si="122"/>
        <v>50</v>
      </c>
      <c r="DU110" s="237">
        <f t="shared" si="123"/>
        <v>50</v>
      </c>
      <c r="DV110" s="240">
        <f t="shared" si="124"/>
        <v>50</v>
      </c>
      <c r="DW110" s="236">
        <f t="shared" si="125"/>
        <v>50</v>
      </c>
      <c r="DX110" s="237">
        <f t="shared" si="126"/>
        <v>50</v>
      </c>
      <c r="DY110" s="238">
        <f t="shared" si="127"/>
        <v>50</v>
      </c>
      <c r="DZ110" s="239">
        <f t="shared" si="128"/>
        <v>60</v>
      </c>
      <c r="EA110" s="237">
        <f t="shared" si="129"/>
        <v>60</v>
      </c>
      <c r="EB110" s="238">
        <f t="shared" si="130"/>
        <v>60</v>
      </c>
      <c r="EC110" s="239">
        <f t="shared" si="131"/>
        <v>30</v>
      </c>
      <c r="ED110" s="237">
        <f t="shared" si="132"/>
        <v>30</v>
      </c>
      <c r="EE110" s="240">
        <f t="shared" si="133"/>
        <v>30</v>
      </c>
      <c r="EI110" s="295">
        <v>1</v>
      </c>
      <c r="EJ110" s="253">
        <v>2</v>
      </c>
      <c r="EK110" s="254"/>
      <c r="EL110" s="269">
        <v>1</v>
      </c>
      <c r="EM110" s="270">
        <v>2</v>
      </c>
      <c r="EN110" s="271"/>
      <c r="EO110" s="269"/>
      <c r="EP110" s="270"/>
      <c r="EQ110" s="296"/>
      <c r="ER110" s="312">
        <v>1</v>
      </c>
      <c r="ES110" s="262">
        <v>2</v>
      </c>
      <c r="ET110" s="263">
        <v>3</v>
      </c>
      <c r="EU110" s="261"/>
      <c r="EV110" s="262"/>
      <c r="EW110" s="263"/>
      <c r="EX110" s="269">
        <v>1</v>
      </c>
      <c r="EY110" s="270">
        <v>2</v>
      </c>
      <c r="EZ110" s="296"/>
      <c r="FA110" s="423"/>
      <c r="FB110" s="270"/>
      <c r="FC110" s="271"/>
      <c r="FD110" s="353">
        <v>1</v>
      </c>
      <c r="FE110" s="351"/>
      <c r="FF110" s="352">
        <v>3</v>
      </c>
      <c r="FG110" s="315"/>
      <c r="FH110" s="313">
        <v>2</v>
      </c>
      <c r="FI110" s="316">
        <v>3</v>
      </c>
      <c r="FM110" s="295"/>
      <c r="FN110" s="253"/>
      <c r="FO110" s="254"/>
      <c r="FP110" s="269"/>
      <c r="FQ110" s="270"/>
      <c r="FR110" s="271"/>
      <c r="FS110" s="269"/>
      <c r="FT110" s="270"/>
      <c r="FU110" s="296"/>
      <c r="FV110" s="312"/>
      <c r="FW110" s="262"/>
      <c r="FX110" s="263"/>
      <c r="FY110" s="261"/>
      <c r="FZ110" s="262"/>
      <c r="GA110" s="263"/>
      <c r="GB110" s="269"/>
      <c r="GC110" s="270"/>
      <c r="GD110" s="296"/>
      <c r="GE110" s="423"/>
      <c r="GF110" s="270"/>
      <c r="GG110" s="271"/>
      <c r="GH110" s="353"/>
      <c r="GI110" s="351"/>
      <c r="GJ110" s="352"/>
      <c r="GK110" s="315"/>
      <c r="GL110" s="313"/>
      <c r="GM110" s="316"/>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2:235" ht="15" customHeight="1" thickBot="1">
      <c r="B111" s="69" t="str">
        <f t="shared" si="84"/>
        <v>x</v>
      </c>
      <c r="C111" s="70" t="str">
        <f t="shared" si="85"/>
        <v>x</v>
      </c>
      <c r="D111" s="70" t="str">
        <f t="shared" si="86"/>
        <v>x</v>
      </c>
      <c r="E111" s="70" t="str">
        <f t="shared" si="87"/>
        <v>x</v>
      </c>
      <c r="F111" s="70" t="str">
        <f t="shared" si="88"/>
        <v>x</v>
      </c>
      <c r="G111" s="70" t="str">
        <f t="shared" si="89"/>
        <v>x</v>
      </c>
      <c r="H111" s="70" t="str">
        <f t="shared" si="90"/>
        <v>x</v>
      </c>
      <c r="I111" s="70" t="str">
        <f t="shared" si="91"/>
        <v>x</v>
      </c>
      <c r="J111" s="71" t="str">
        <f t="shared" si="92"/>
        <v>x</v>
      </c>
      <c r="N111" s="94">
        <f>IF($B$78="x",-1,IF(AND($B$78=0,INDEX(KonZeile2,4)+INDEX(KonSpalte1,4)+INDEX(KonFeld1,4)=0),4,0))</f>
        <v>0</v>
      </c>
      <c r="O111" s="39">
        <f>IF($B$78="x",-1,IF(AND($B$78=0,INDEX(KonZeile2,5)+INDEX(KonSpalte1,5)+INDEX(KonFeld1,5)=0),5,0))</f>
        <v>0</v>
      </c>
      <c r="P111" s="41">
        <f>IF($B$78="x",-1,IF(AND($B$78=0,INDEX(KonZeile2,6)+INDEX(KonSpalte1,6)+INDEX(KonFeld1,6)=0),6,0))</f>
        <v>0</v>
      </c>
      <c r="Q111" s="40">
        <f>IF($C$78="x",-1,IF(AND($C$78=0,INDEX(KonZeile2,4)+INDEX(KonSpalte2,4)+INDEX(KonFeld1,4)=0),4,0))</f>
        <v>-1</v>
      </c>
      <c r="R111" s="39">
        <f>IF($C$78="x",-1,IF(AND($C$78=0,INDEX(KonZeile2,5)+INDEX(KonSpalte2,5)+INDEX(KonFeld1,5)=0),5,0))</f>
        <v>-1</v>
      </c>
      <c r="S111" s="41">
        <f>IF($C$78="x",-1,IF(AND($C$78=0,INDEX(KonZeile2,6)+INDEX(KonSpalte2,6)+INDEX(KonFeld1,6)=0),6,0))</f>
        <v>-1</v>
      </c>
      <c r="T111" s="40">
        <f>IF($D$78="x",-1,IF(AND($D$78=0,INDEX(KonZeile2,4)+INDEX(KonSpalte3,4)+INDEX(KonFeld1,4)=0),4,0))</f>
        <v>-1</v>
      </c>
      <c r="U111" s="39">
        <f>IF($D$78="x",-1,IF(AND($D$78=0,INDEX(KonZeile2,5)+INDEX(KonSpalte3,5)+INDEX(KonFeld1,5)=0),5,0))</f>
        <v>-1</v>
      </c>
      <c r="V111" s="42">
        <f>IF($D$78="x",-1,IF(AND($D$78=0,INDEX(KonZeile2,6)+INDEX(KonSpalte3,6)+INDEX(KonFeld1,6)=0),6,0))</f>
        <v>-1</v>
      </c>
      <c r="W111" s="43">
        <f>IF($E$78="x",-1,IF(AND($E$78=0,INDEX(KonZeile2,4)+INDEX(KonSpalte4,4)+INDEX(KonFeld1,4)=0),4,0))</f>
        <v>-1</v>
      </c>
      <c r="X111" s="39">
        <f>IF($E$78="x",-1,IF(AND($E$78=0,INDEX(KonZeile2,5)+INDEX(KonSpalte4,5)+INDEX(KonFeld1,5)=0),5,0))</f>
        <v>-1</v>
      </c>
      <c r="Y111" s="41">
        <f>IF($E$78="x",-1,IF(AND($E$78=0,INDEX(KonZeile2,6)+INDEX(KonSpalte4,6)+INDEX(KonFeld1,6)=0),6,0))</f>
        <v>-1</v>
      </c>
      <c r="Z111" s="40">
        <f>IF($F$78="x",-1,IF(AND($F$78=0,INDEX(KonZeile2,4)+INDEX(KonSpalte5,4)+INDEX(KonFeld1,4)=0),4,0))</f>
        <v>-1</v>
      </c>
      <c r="AA111" s="39">
        <f>IF($F$78="x",-1,IF(AND($F$78=0,INDEX(KonZeile2,5)+INDEX(KonSpalte5,5)+INDEX(KonFeld1,5)=0),5,0))</f>
        <v>-1</v>
      </c>
      <c r="AB111" s="41">
        <f>IF($F$78="x",-1,IF(AND($F$78=0,INDEX(KonZeile2,6)+INDEX(KonSpalte5,6)+INDEX(KonFeld1,6)=0),6,0))</f>
        <v>-1</v>
      </c>
      <c r="AC111" s="40">
        <f>IF($G$78="x",-1,IF(AND($G$78=0,INDEX(KonZeile2,4)+INDEX(KonSpalte6,4)+INDEX(KonFeld1,4)=0),4,0))</f>
        <v>-1</v>
      </c>
      <c r="AD111" s="39">
        <f>IF($G$78="x",-1,IF(AND($G$78=0,INDEX(KonZeile2,5)+INDEX(KonSpalte6,5)+INDEX(KonFeld1,5)=0),5,0))</f>
        <v>-1</v>
      </c>
      <c r="AE111" s="42">
        <f>IF($G$78="x",-1,IF(AND($G$78=0,INDEX(KonZeile2,6)+INDEX(KonSpalte6,6)+INDEX(KonFeld1,6)=0),6,0))</f>
        <v>-1</v>
      </c>
      <c r="AF111" s="43">
        <f>IF($H$78="x",-1,IF(AND($H$78=0,INDEX(KonZeile2,4)+INDEX(KonSpalte7,4)+INDEX(KonFeld1,4)=0),4,0))</f>
        <v>-1</v>
      </c>
      <c r="AG111" s="39">
        <f>IF($H$78="x",-1,IF(AND($H$78=0,INDEX(KonZeile2,5)+INDEX(KonSpalte7,5)+INDEX(KonFeld1,5)=0),5,0))</f>
        <v>-1</v>
      </c>
      <c r="AH111" s="41">
        <f>IF($H$78="x",-1,IF(AND($H$78=0,INDEX(KonZeile2,6)+INDEX(KonSpalte7,6)+INDEX(KonFeld1,6)=0),6,0))</f>
        <v>-1</v>
      </c>
      <c r="AI111" s="40">
        <f>IF($I$78="x",-1,IF(AND($I$78=0,INDEX(KonZeile2,4)+INDEX(KonSpalte8,4)+INDEX(KonFeld1,4)=0),4,0))</f>
        <v>-1</v>
      </c>
      <c r="AJ111" s="39">
        <f>IF($I$78="x",-1,IF(AND($I$78=0,INDEX(KonZeile2,5)+INDEX(KonSpalte8,5)+INDEX(KonFeld1,5)=0),5,0))</f>
        <v>-1</v>
      </c>
      <c r="AK111" s="41">
        <f>IF($I$78="x",-1,IF(AND($I$78=0,INDEX(KonZeile2,6)+INDEX(KonSpalte8,6)+INDEX(KonFeld1,6)=0),6,0))</f>
        <v>-1</v>
      </c>
      <c r="AL111" s="40">
        <f>IF($J$78="x",-1,IF(AND($J$78=0,INDEX(KonZeile2,4)+INDEX(KonSpalte9,4)+INDEX(KonFeld1,4)=0),4,0))</f>
        <v>-1</v>
      </c>
      <c r="AM111" s="39">
        <f>IF($J$78="x",-1,IF(AND($J$78=0,INDEX(KonZeile2,5)+INDEX(KonSpalte9,5)+INDEX(KonFeld1,5)=0),5,0))</f>
        <v>-1</v>
      </c>
      <c r="AN111" s="95">
        <f>IF($J$78="x",-1,IF(AND($J$78=0,INDEX(KonZeile2,6)+INDEX(KonSpalte9,6)+INDEX(KonFeld1,6)=0),6,0))</f>
        <v>-1</v>
      </c>
      <c r="AO111" s="94">
        <f>IF($K$78="x",-1,IF(AND($K$78=0,INDEX(KonZeile2,4)+INDEX(KonSpalte1,4)+INDEX(KonFeld2,4)=0),4,0))</f>
        <v>-1</v>
      </c>
      <c r="AP111" s="39">
        <f>IF($K$78="x",-1,IF(AND($K$78=0,INDEX(KonZeile2,5)+INDEX(KonSpalte1,5)+INDEX(KonFeld2,5)=0),5,0))</f>
        <v>-1</v>
      </c>
      <c r="AQ111" s="41">
        <f>IF($K$78="x",-1,IF(AND($K$78=0,INDEX(KonZeile2,6)+INDEX(KonSpalte1,6)+INDEX(KonFeld2,6)=0),6,0))</f>
        <v>-1</v>
      </c>
      <c r="AR111" s="40">
        <f>IF($L$78="x",-1,IF(AND($L$78=0,INDEX(KonZeile2,4)+INDEX(KonSpalte2,4)+INDEX(KonFeld2,4)=0),4,0))</f>
        <v>-1</v>
      </c>
      <c r="AS111" s="39">
        <f>IF($L$78="x",-1,IF(AND($L$78=0,INDEX(KonZeile2,5)+INDEX(KonSpalte2,5)+INDEX(KonFeld2,5)=0),5,0))</f>
        <v>-1</v>
      </c>
      <c r="AT111" s="41">
        <f>IF($L$78="x",-1,IF(AND($L$78=0,INDEX(KonZeile2,6)+INDEX(KonSpalte2,6)+INDEX(KonFeld2,6)=0),6,0))</f>
        <v>-1</v>
      </c>
      <c r="AU111" s="40">
        <f>IF($M$78="x",-1,IF(AND($M$78=0,INDEX(KonZeile2,4)+INDEX(KonSpalte3,4)+INDEX(KonFeld2,4)=0),4,0))</f>
        <v>-1</v>
      </c>
      <c r="AV111" s="39">
        <f>IF($M$78="x",-1,IF(AND($M$78=0,INDEX(KonZeile2,5)+INDEX(KonSpalte3,5)+INDEX(KonFeld2,5)=0),5,0))</f>
        <v>-1</v>
      </c>
      <c r="AW111" s="42">
        <f>IF($M$78="x",-1,IF(AND($M$78=0,INDEX(KonZeile2,6)+INDEX(KonSpalte3,6)+INDEX(KonFeld2,6)=0),6,0))</f>
        <v>-1</v>
      </c>
      <c r="AX111" s="43">
        <f>IF($N$78="x",-1,IF(AND($N$78=0,INDEX(KonZeile2,4)+INDEX(KonSpalte4,4)+INDEX(KonFeld2,4)=0),4,0))</f>
        <v>0</v>
      </c>
      <c r="AY111" s="39">
        <f>IF($N$78="x",-1,IF(AND($N$78=0,INDEX(KonZeile2,5)+INDEX(KonSpalte4,5)+INDEX(KonFeld2,5)=0),5,0))</f>
        <v>0</v>
      </c>
      <c r="AZ111" s="41">
        <f>IF($N$78="x",-1,IF(AND($N$78=0,INDEX(KonZeile2,6)+INDEX(KonSpalte4,6)+INDEX(KonFeld2,6)=0),6,0))</f>
        <v>0</v>
      </c>
      <c r="BA111" s="40">
        <f>IF($O$78="x",-1,IF(AND($O$78=0,INDEX(KonZeile2,4)+INDEX(KonSpalte5,4)+INDEX(KonFeld2,4)=0),4,0))</f>
        <v>0</v>
      </c>
      <c r="BB111" s="39">
        <f>IF($O$78="x",-1,IF(AND($O$78=0,INDEX(KonZeile2,5)+INDEX(KonSpalte5,5)+INDEX(KonFeld2,5)=0),5,0))</f>
        <v>0</v>
      </c>
      <c r="BC111" s="41">
        <f>IF($O$78="x",-1,IF(AND($O$78=0,INDEX(KonZeile2,6)+INDEX(KonSpalte5,6)+INDEX(KonFeld2,6)=0),6,0))</f>
        <v>0</v>
      </c>
      <c r="BD111" s="40">
        <f>IF($P$78="x",-1,IF(AND($P$78=0,INDEX(KonZeile2,4)+INDEX(KonSpalte6,4)+INDEX(KonFeld2,4)=0),4,0))</f>
        <v>-1</v>
      </c>
      <c r="BE111" s="39">
        <f>IF($P$78="x",-1,IF(AND($P$78=0,INDEX(KonZeile2,5)+INDEX(KonSpalte6,5)+INDEX(KonFeld2,5)=0),5,0))</f>
        <v>-1</v>
      </c>
      <c r="BF111" s="42">
        <f>IF($P$78="x",-1,IF(AND($P$78=0,INDEX(KonZeile2,6)+INDEX(KonSpalte6,6)+INDEX(KonFeld2,6)=0),6,0))</f>
        <v>-1</v>
      </c>
      <c r="BG111" s="43">
        <f>IF($Q$78="x",-1,IF(AND($Q$78=0,INDEX(KonZeile2,4)+INDEX(KonSpalte7,4)+INDEX(KonFeld2,4)=0),4,0))</f>
        <v>-1</v>
      </c>
      <c r="BH111" s="39">
        <f>IF($Q$78="x",-1,IF(AND($Q$78=0,INDEX(KonZeile2,5)+INDEX(KonSpalte7,5)+INDEX(KonFeld2,5)=0),5,0))</f>
        <v>-1</v>
      </c>
      <c r="BI111" s="41">
        <f>IF($Q$78="x",-1,IF(AND($Q$78=0,INDEX(KonZeile2,6)+INDEX(KonSpalte7,6)+INDEX(KonFeld2,6)=0),6,0))</f>
        <v>-1</v>
      </c>
      <c r="BJ111" s="40">
        <f>IF($R$78="x",-1,IF(AND($R$78=0,INDEX(KonZeile2,4)+INDEX(KonSpalte8,4)+INDEX(KonFeld2,4)=0),4,0))</f>
        <v>-1</v>
      </c>
      <c r="BK111" s="39">
        <f>IF($R$78="x",-1,IF(AND($R$78=0,INDEX(KonZeile2,5)+INDEX(KonSpalte8,5)+INDEX(KonFeld2,5)=0),5,0))</f>
        <v>-1</v>
      </c>
      <c r="BL111" s="41">
        <f>IF($R$78="x",-1,IF(AND($R$78=0,INDEX(KonZeile2,6)+INDEX(KonSpalte8,6)+INDEX(KonFeld2,6)=0),6,0))</f>
        <v>-1</v>
      </c>
      <c r="BM111" s="40">
        <f>IF($S$78="x",-1,IF(AND($S$78=0,INDEX(KonZeile2,4)+INDEX(KonSpalte9,4)+INDEX(KonFeld2,4)=0),4,0))</f>
        <v>-1</v>
      </c>
      <c r="BN111" s="39">
        <f>IF($S$78="x",-1,IF(AND($S$78=0,INDEX(KonZeile2,5)+INDEX(KonSpalte9,5)+INDEX(KonFeld2,5)=0),5,0))</f>
        <v>-1</v>
      </c>
      <c r="BO111" s="95">
        <f>IF($S$78="x",-1,IF(AND($S$78=0,INDEX(KonZeile2,6)+INDEX(KonSpalte9,6)+INDEX(KonFeld2,6)=0),6,0))</f>
        <v>-1</v>
      </c>
      <c r="BP111" s="94">
        <f>IF($T$78="x",-1,IF(AND($T$78=0,INDEX(KonZeile2,4)+INDEX(KonSpalte1,4)+INDEX(KonFeld3,4)=0),4,0))</f>
        <v>-1</v>
      </c>
      <c r="BQ111" s="39">
        <f>IF($T$78="x",-1,IF(AND($T$78=0,INDEX(KonZeile2,5)+INDEX(KonSpalte1,5)+INDEX(KonFeld3,5)=0),5,0))</f>
        <v>-1</v>
      </c>
      <c r="BR111" s="41">
        <f>IF($T$78="x",-1,IF(AND($T$78=0,INDEX(KonZeile2,6)+INDEX(KonSpalte1,6)+INDEX(KonFeld3,6)=0),6,0))</f>
        <v>-1</v>
      </c>
      <c r="BS111" s="40">
        <f>IF($U$78="x",-1,IF(AND($U$78=0,INDEX(KonZeile2,4)+INDEX(KonSpalte2,4)+INDEX(KonFeld3,4)=0),4,0))</f>
        <v>-1</v>
      </c>
      <c r="BT111" s="39">
        <f>IF($U$78="x",-1,IF(AND($U$78=0,INDEX(KonZeile2,5)+INDEX(KonSpalte2,5)+INDEX(KonFeld3,5)=0),5,0))</f>
        <v>-1</v>
      </c>
      <c r="BU111" s="41">
        <f>IF($U$78="x",-1,IF(AND($U$78=0,INDEX(KonZeile2,6)+INDEX(KonSpalte2,6)+INDEX(KonFeld3,6)=0),6,0))</f>
        <v>-1</v>
      </c>
      <c r="BV111" s="40">
        <f>IF($V$78="x",-1,IF(AND($V$78=0,INDEX(KonZeile2,4)+INDEX(KonSpalte3,4)+INDEX(KonFeld3,4)=0),4,0))</f>
        <v>-1</v>
      </c>
      <c r="BW111" s="39">
        <f>IF($V$78="x",-1,IF(AND($V$78=0,INDEX(KonZeile2,5)+INDEX(KonSpalte3,5)+INDEX(KonFeld3,5)=0),5,0))</f>
        <v>-1</v>
      </c>
      <c r="BX111" s="42">
        <f>IF($V$78="x",-1,IF(AND($V$78=0,INDEX(KonZeile2,6)+INDEX(KonSpalte3,6)+INDEX(KonFeld3,6)=0),6,0))</f>
        <v>-1</v>
      </c>
      <c r="BY111" s="43">
        <f>IF($W$78="x",-1,IF(AND($W$78=0,INDEX(KonZeile2,4)+INDEX(KonSpalte4,4)+INDEX(KonFeld3,4)=0),4,0))</f>
        <v>-1</v>
      </c>
      <c r="BZ111" s="39">
        <f>IF($W$78="x",-1,IF(AND($W$78=0,INDEX(KonZeile2,5)+INDEX(KonSpalte4,5)+INDEX(KonFeld3,5)=0),5,0))</f>
        <v>-1</v>
      </c>
      <c r="CA111" s="41">
        <f>IF($W$78="x",-1,IF(AND($W$78=0,INDEX(KonZeile2,6)+INDEX(KonSpalte4,6)+INDEX(KonFeld3,6)=0),6,0))</f>
        <v>-1</v>
      </c>
      <c r="CB111" s="40">
        <f>IF($X$78="x",-1,IF(AND($X$78=0,INDEX(KonZeile2,4)+INDEX(KonSpalte5,4)+INDEX(KonFeld3,4)=0),4,0))</f>
        <v>-1</v>
      </c>
      <c r="CC111" s="39">
        <f>IF($X$78="x",-1,IF(AND($X$78=0,INDEX(KonZeile2,5)+INDEX(KonSpalte5,5)+INDEX(KonFeld3,5)=0),5,0))</f>
        <v>-1</v>
      </c>
      <c r="CD111" s="41">
        <f>IF($X$78="x",-1,IF(AND($X$78=0,INDEX(KonZeile2,6)+INDEX(KonSpalte5,6)+INDEX(KonFeld3,6)=0),6,0))</f>
        <v>-1</v>
      </c>
      <c r="CE111" s="40">
        <f>IF($Y$78="x",-1,IF(AND($Y$78=0,INDEX(KonZeile2,4)+INDEX(KonSpalte6,4)+INDEX(KonFeld3,4)=0),4,0))</f>
        <v>-1</v>
      </c>
      <c r="CF111" s="39">
        <f>IF($Y$78="x",-1,IF(AND($Y$78=0,INDEX(KonZeile2,5)+INDEX(KonSpalte6,5)+INDEX(KonFeld3,5)=0),5,0))</f>
        <v>-1</v>
      </c>
      <c r="CG111" s="42">
        <f>IF($Y$78="x",-1,IF(AND($Y$78=0,INDEX(KonZeile2,6)+INDEX(KonSpalte6,6)+INDEX(KonFeld3,6)=0),6,0))</f>
        <v>-1</v>
      </c>
      <c r="CH111" s="43">
        <f>IF($Z$78="x",-1,IF(AND($Z$78=0,INDEX(KonZeile2,4)+INDEX(KonSpalte7,4)+INDEX(KonFeld3,4)=0),4,0))</f>
        <v>-1</v>
      </c>
      <c r="CI111" s="39">
        <f>IF($Z$78="x",-1,IF(AND($Z$78=0,INDEX(KonZeile2,5)+INDEX(KonSpalte7,5)+INDEX(KonFeld3,5)=0),5,0))</f>
        <v>-1</v>
      </c>
      <c r="CJ111" s="41">
        <f>IF($Z$78="x",-1,IF(AND($Z$78=0,INDEX(KonZeile2,6)+INDEX(KonSpalte7,6)+INDEX(KonFeld3,6)=0),6,0))</f>
        <v>-1</v>
      </c>
      <c r="CK111" s="40">
        <f>IF($AA$78="x",-1,IF(AND($AA$78=0,INDEX(KonZeile2,4)+INDEX(KonSpalte8,4)+INDEX(KonFeld3,4)=0),4,0))</f>
        <v>-1</v>
      </c>
      <c r="CL111" s="39">
        <f>IF($AA$78="x",-1,IF(AND($AA$78=0,INDEX(KonZeile2,5)+INDEX(KonSpalte8,5)+INDEX(KonFeld3,5)=0),5,0))</f>
        <v>-1</v>
      </c>
      <c r="CM111" s="41">
        <f>IF($AA$78="x",-1,IF(AND($AA$78=0,INDEX(KonZeile2,6)+INDEX(KonSpalte8,6)+INDEX(KonFeld3,6)=0),6,0))</f>
        <v>-1</v>
      </c>
      <c r="CN111" s="40">
        <f>IF($AB$78="x",-1,IF(AND($AB$78=0,INDEX(KonZeile2,4)+INDEX(KonSpalte9,4)+INDEX(KonFeld3,4)=0),4,0))</f>
        <v>0</v>
      </c>
      <c r="CO111" s="39">
        <f>IF($AB$78="x",-1,IF(AND($AB$78=0,INDEX(KonZeile2,5)+INDEX(KonSpalte9,5)+INDEX(KonFeld3,5)=0),5,0))</f>
        <v>0</v>
      </c>
      <c r="CP111" s="95">
        <f>IF($AB$78="x",-1,IF(AND($AB$78=0,INDEX(KonZeile2,6)+INDEX(KonSpalte9,6)+INDEX(KonFeld3,6)=0),6,0))</f>
        <v>0</v>
      </c>
      <c r="CR111" s="40">
        <f>COUNTIF(N111:CP111,4)</f>
        <v>0</v>
      </c>
      <c r="CS111" s="39">
        <f>COUNTIF(N111:CP111,5)</f>
        <v>0</v>
      </c>
      <c r="CT111" s="41">
        <f>COUNTIF(N111:CP111,6)</f>
        <v>0</v>
      </c>
      <c r="CU111" s="39"/>
      <c r="CV111" s="39"/>
      <c r="CX111" s="96">
        <f t="shared" si="104"/>
        <v>0</v>
      </c>
      <c r="CY111" s="97">
        <f t="shared" si="105"/>
        <v>0</v>
      </c>
      <c r="CZ111" s="98">
        <f t="shared" si="106"/>
        <v>0</v>
      </c>
      <c r="DE111" s="226">
        <f t="shared" ref="DE111:DE112" si="134">IF(N111&gt;=0,10+N111,IF(AO111&gt;=0,20+AO111,IF(BP111&gt;=0,30+BP111,IF(N138&gt;=0,40+N138,IF(AO138&gt;=0,50+AO138,IF(BP138&gt;=0,60+BP138,IF(N165&gt;=0,70+N165,IF(AO165&gt;=0,80+AO165,IF(BP165&gt;=0,90+BP165,"")))))))))</f>
        <v>10</v>
      </c>
      <c r="DF111" s="227">
        <f t="shared" ref="DF111:DF133" si="135">IF(O111&gt;=0,10+O111,IF(AP111&gt;=0,20+AP111,IF(BQ111&gt;=0,30+BQ111,IF(O138&gt;=0,40+O138,IF(AP138&gt;=0,50+AP138,IF(BQ138&gt;=0,60+BQ138,IF(O165&gt;=0,70+O165,IF(AP165&gt;=0,80+AP165,IF(BQ165&gt;=0,90+BQ165,"")))))))))</f>
        <v>10</v>
      </c>
      <c r="DG111" s="228">
        <f t="shared" ref="DG111:DG133" si="136">IF(P111&gt;=0,10+P111,IF(AQ111&gt;=0,20+AQ111,IF(BR111&gt;=0,30+BR111,IF(P138&gt;=0,40+P138,IF(AQ138&gt;=0,50+AQ138,IF(BR138&gt;=0,60+BR138,IF(P165&gt;=0,70+P165,IF(AQ165&gt;=0,80+AQ165,IF(BR165&gt;=0,90+BR165,"")))))))))</f>
        <v>10</v>
      </c>
      <c r="DH111" s="229">
        <f t="shared" ref="DH111:DH133" si="137">IF(Q111&gt;=0,10+Q111,IF(AR111&gt;=0,20+AR111,IF(BS111&gt;=0,30+BS111,IF(Q138&gt;=0,40+Q138,IF(AR138&gt;=0,50+AR138,IF(BS138&gt;=0,60+BS138,IF(Q165&gt;=0,70+Q165,IF(AR165&gt;=0,80+AR165,IF(BS165&gt;=0,90+BS165,"")))))))))</f>
        <v>50</v>
      </c>
      <c r="DI111" s="227">
        <f t="shared" ref="DI111:DI133" si="138">IF(R111&gt;=0,10+R111,IF(AS111&gt;=0,20+AS111,IF(BT111&gt;=0,30+BT111,IF(R138&gt;=0,40+R138,IF(AS138&gt;=0,50+AS138,IF(BT138&gt;=0,60+BT138,IF(R165&gt;=0,70+R165,IF(AS165&gt;=0,80+AS165,IF(BT165&gt;=0,90+BT165,"")))))))))</f>
        <v>50</v>
      </c>
      <c r="DJ111" s="228">
        <f t="shared" ref="DJ111:DJ133" si="139">IF(S111&gt;=0,10+S111,IF(AT111&gt;=0,20+AT111,IF(BU111&gt;=0,30+BU111,IF(S138&gt;=0,40+S138,IF(AT138&gt;=0,50+AT138,IF(BU138&gt;=0,60+BU138,IF(S165&gt;=0,70+S165,IF(AT165&gt;=0,80+AT165,IF(BU165&gt;=0,90+BU165,"")))))))))</f>
        <v>50</v>
      </c>
      <c r="DK111" s="229">
        <f t="shared" ref="DK111:DK133" si="140">IF(T111&gt;=0,10+T111,IF(AU111&gt;=0,20+AU111,IF(BV111&gt;=0,30+BV111,IF(T138&gt;=0,40+T138,IF(AU138&gt;=0,50+AU138,IF(BV138&gt;=0,60+BV138,IF(T165&gt;=0,70+T165,IF(AU165&gt;=0,80+AU165,IF(BV165&gt;=0,90+BV165,"")))))))))</f>
        <v>50</v>
      </c>
      <c r="DL111" s="227">
        <f t="shared" ref="DL111:DL133" si="141">IF(U111&gt;=0,10+U111,IF(AV111&gt;=0,20+AV111,IF(BW111&gt;=0,30+BW111,IF(U138&gt;=0,40+U138,IF(AV138&gt;=0,50+AV138,IF(BW138&gt;=0,60+BW138,IF(U165&gt;=0,70+U165,IF(AV165&gt;=0,80+AV165,IF(BW165&gt;=0,90+BW165,"")))))))))</f>
        <v>50</v>
      </c>
      <c r="DM111" s="230">
        <f t="shared" ref="DM111:DM133" si="142">IF(V111&gt;=0,10+V111,IF(AW111&gt;=0,20+AW111,IF(BX111&gt;=0,30+BX111,IF(V138&gt;=0,40+V138,IF(AW138&gt;=0,50+AW138,IF(BX138&gt;=0,60+BX138,IF(V165&gt;=0,70+V165,IF(AW165&gt;=0,80+AW165,IF(BX165&gt;=0,90+BX165,"")))))))))</f>
        <v>50</v>
      </c>
      <c r="DN111" s="226">
        <f t="shared" ref="DN111:DN112" si="143">IF(W111&gt;=0,10+W111,IF(AX111&gt;=0,20+AX111,IF(BY111&gt;=0,30+BY111,IF(W138&gt;=0,40+W138,IF(AX138&gt;=0,50+AX138,IF(BY138&gt;=0,60+BY138,IF(W165&gt;=0,70+W165,IF(AX165&gt;=0,80+AX165,IF(BY165&gt;=0,90+BY165,"")))))))))</f>
        <v>20</v>
      </c>
      <c r="DO111" s="227">
        <f t="shared" ref="DO111:DO133" si="144">IF(X111&gt;=0,10+X111,IF(AY111&gt;=0,20+AY111,IF(BZ111&gt;=0,30+BZ111,IF(X138&gt;=0,40+X138,IF(AY138&gt;=0,50+AY138,IF(BZ138&gt;=0,60+BZ138,IF(X165&gt;=0,70+X165,IF(AY165&gt;=0,80+AY165,IF(BZ165&gt;=0,90+BZ165,"")))))))))</f>
        <v>20</v>
      </c>
      <c r="DP111" s="228">
        <f t="shared" ref="DP111:DP133" si="145">IF(Y111&gt;=0,10+Y111,IF(AZ111&gt;=0,20+AZ111,IF(CA111&gt;=0,30+CA111,IF(Y138&gt;=0,40+Y138,IF(AZ138&gt;=0,50+AZ138,IF(CA138&gt;=0,60+CA138,IF(Y165&gt;=0,70+Y165,IF(AZ165&gt;=0,80+AZ165,IF(CA165&gt;=0,90+CA165,"")))))))))</f>
        <v>20</v>
      </c>
      <c r="DQ111" s="229">
        <f t="shared" ref="DQ111:DQ133" si="146">IF(Z111&gt;=0,10+Z111,IF(BA111&gt;=0,20+BA111,IF(CB111&gt;=0,30+CB111,IF(Z138&gt;=0,40+Z138,IF(BA138&gt;=0,50+BA138,IF(CB138&gt;=0,60+CB138,IF(Z165&gt;=0,70+Z165,IF(BA165&gt;=0,80+BA165,IF(CB165&gt;=0,90+CB165,"")))))))))</f>
        <v>20</v>
      </c>
      <c r="DR111" s="227">
        <f t="shared" ref="DR111:DR133" si="147">IF(AA111&gt;=0,10+AA111,IF(BB111&gt;=0,20+BB111,IF(CC111&gt;=0,30+CC111,IF(AA138&gt;=0,40+AA138,IF(BB138&gt;=0,50+BB138,IF(CC138&gt;=0,60+CC138,IF(AA165&gt;=0,70+AA165,IF(BB165&gt;=0,80+BB165,IF(CC165&gt;=0,90+CC165,"")))))))))</f>
        <v>20</v>
      </c>
      <c r="DS111" s="228">
        <f t="shared" ref="DS111:DS133" si="148">IF(AB111&gt;=0,10+AB111,IF(BC111&gt;=0,20+BC111,IF(CD111&gt;=0,30+CD111,IF(AB138&gt;=0,40+AB138,IF(BC138&gt;=0,50+BC138,IF(CD138&gt;=0,60+CD138,IF(AB165&gt;=0,70+AB165,IF(BC165&gt;=0,80+BC165,IF(CD165&gt;=0,90+CD165,"")))))))))</f>
        <v>20</v>
      </c>
      <c r="DT111" s="229">
        <f t="shared" ref="DT111:DT133" si="149">IF(AC111&gt;=0,10+AC111,IF(BD111&gt;=0,20+BD111,IF(CE111&gt;=0,30+CE111,IF(AC138&gt;=0,40+AC138,IF(BD138&gt;=0,50+BD138,IF(CE138&gt;=0,60+CE138,IF(AC165&gt;=0,70+AC165,IF(BD165&gt;=0,80+BD165,IF(CE165&gt;=0,90+CE165,"")))))))))</f>
        <v>50</v>
      </c>
      <c r="DU111" s="227">
        <f t="shared" ref="DU111:DU133" si="150">IF(AD111&gt;=0,10+AD111,IF(BE111&gt;=0,20+BE111,IF(CF111&gt;=0,30+CF111,IF(AD138&gt;=0,40+AD138,IF(BE138&gt;=0,50+BE138,IF(CF138&gt;=0,60+CF138,IF(AD165&gt;=0,70+AD165,IF(BE165&gt;=0,80+BE165,IF(CF165&gt;=0,90+CF165,"")))))))))</f>
        <v>50</v>
      </c>
      <c r="DV111" s="230">
        <f t="shared" ref="DV111:DV133" si="151">IF(AE111&gt;=0,10+AE111,IF(BF111&gt;=0,20+BF111,IF(CG111&gt;=0,30+CG111,IF(AE138&gt;=0,40+AE138,IF(BF138&gt;=0,50+BF138,IF(CG138&gt;=0,60+CG138,IF(AE165&gt;=0,70+AE165,IF(BF165&gt;=0,80+BF165,IF(CG165&gt;=0,90+CG165,"")))))))))</f>
        <v>50</v>
      </c>
      <c r="DW111" s="226">
        <f t="shared" ref="DW111:DW133" si="152">IF(AF111&gt;=0,10+AF111,IF(BG111&gt;=0,20+BG111,IF(CH111&gt;=0,30+CH111,IF(AF138&gt;=0,40+AF138,IF(BG138&gt;=0,50+BG138,IF(CH138&gt;=0,60+CH138,IF(AF165&gt;=0,70+AF165,IF(BG165&gt;=0,80+BG165,IF(CH165&gt;=0,90+CH165,"")))))))))</f>
        <v>50</v>
      </c>
      <c r="DX111" s="227">
        <f t="shared" ref="DX111:DX133" si="153">IF(AG111&gt;=0,10+AG111,IF(BH111&gt;=0,20+BH111,IF(CI111&gt;=0,30+CI111,IF(AG138&gt;=0,40+AG138,IF(BH138&gt;=0,50+BH138,IF(CI138&gt;=0,60+CI138,IF(AG165&gt;=0,70+AG165,IF(BH165&gt;=0,80+BH165,IF(CI165&gt;=0,90+CI165,"")))))))))</f>
        <v>50</v>
      </c>
      <c r="DY111" s="228">
        <f t="shared" ref="DY111:DY133" si="154">IF(AH111&gt;=0,10+AH111,IF(BI111&gt;=0,20+BI111,IF(CJ111&gt;=0,30+CJ111,IF(AH138&gt;=0,40+AH138,IF(BI138&gt;=0,50+BI138,IF(CJ138&gt;=0,60+CJ138,IF(AH165&gt;=0,70+AH165,IF(BI165&gt;=0,80+BI165,IF(CJ165&gt;=0,90+CJ165,"")))))))))</f>
        <v>50</v>
      </c>
      <c r="DZ111" s="229">
        <f t="shared" ref="DZ111:DZ133" si="155">IF(AI111&gt;=0,10+AI111,IF(BJ111&gt;=0,20+BJ111,IF(CK111&gt;=0,30+CK111,IF(AI138&gt;=0,40+AI138,IF(BJ138&gt;=0,50+BJ138,IF(CK138&gt;=0,60+CK138,IF(AI165&gt;=0,70+AI165,IF(BJ165&gt;=0,80+BJ165,IF(CK165&gt;=0,90+CK165,"")))))))))</f>
        <v>60</v>
      </c>
      <c r="EA111" s="227">
        <f t="shared" ref="EA111:EA133" si="156">IF(AJ111&gt;=0,10+AJ111,IF(BK111&gt;=0,20+BK111,IF(CL111&gt;=0,30+CL111,IF(AJ138&gt;=0,40+AJ138,IF(BK138&gt;=0,50+BK138,IF(CL138&gt;=0,60+CL138,IF(AJ165&gt;=0,70+AJ165,IF(BK165&gt;=0,80+BK165,IF(CL165&gt;=0,90+CL165,"")))))))))</f>
        <v>60</v>
      </c>
      <c r="EB111" s="228">
        <f t="shared" ref="EB111:EB133" si="157">IF(AK111&gt;=0,10+AK111,IF(BL111&gt;=0,20+BL111,IF(CM111&gt;=0,30+CM111,IF(AK138&gt;=0,40+AK138,IF(BL138&gt;=0,50+BL138,IF(CM138&gt;=0,60+CM138,IF(AK165&gt;=0,70+AK165,IF(BL165&gt;=0,80+BL165,IF(CM165&gt;=0,90+CM165,"")))))))))</f>
        <v>60</v>
      </c>
      <c r="EC111" s="229">
        <f t="shared" ref="EC111:EC133" si="158">IF(AL111&gt;=0,10+AL111,IF(BM111&gt;=0,20+BM111,IF(CN111&gt;=0,30+CN111,IF(AL138&gt;=0,40+AL138,IF(BM138&gt;=0,50+BM138,IF(CN138&gt;=0,60+CN138,IF(AL165&gt;=0,70+AL165,IF(BM165&gt;=0,80+BM165,IF(CN165&gt;=0,90+CN165,"")))))))))</f>
        <v>30</v>
      </c>
      <c r="ED111" s="227">
        <f t="shared" ref="ED111:ED133" si="159">IF(AM111&gt;=0,10+AM111,IF(BN111&gt;=0,20+BN111,IF(CO111&gt;=0,30+CO111,IF(AM138&gt;=0,40+AM138,IF(BN138&gt;=0,50+BN138,IF(CO138&gt;=0,60+CO138,IF(AM165&gt;=0,70+AM165,IF(BN165&gt;=0,80+BN165,IF(CO165&gt;=0,90+CO165,"")))))))))</f>
        <v>30</v>
      </c>
      <c r="EE111" s="230">
        <f t="shared" ref="EE111:EE133" si="160">IF(AN111&gt;=0,10+AN111,IF(BO111&gt;=0,20+BO111,IF(CP111&gt;=0,30+CP111,IF(AN138&gt;=0,40+AN138,IF(BO138&gt;=0,50+BO138,IF(CP138&gt;=0,60+CP138,IF(AN165&gt;=0,70+AN165,IF(BO165&gt;=0,80+BO165,IF(CP165&gt;=0,90+CP165,"")))))))))</f>
        <v>30</v>
      </c>
      <c r="EI111" s="292">
        <v>4</v>
      </c>
      <c r="EJ111" s="256"/>
      <c r="EK111" s="257"/>
      <c r="EL111" s="272">
        <v>4</v>
      </c>
      <c r="EM111" s="273"/>
      <c r="EN111" s="274"/>
      <c r="EO111" s="272"/>
      <c r="EP111" s="273"/>
      <c r="EQ111" s="297">
        <v>6</v>
      </c>
      <c r="ER111" s="69">
        <v>4</v>
      </c>
      <c r="ES111" s="70"/>
      <c r="ET111" s="265"/>
      <c r="EU111" s="264"/>
      <c r="EV111" s="70"/>
      <c r="EW111" s="265"/>
      <c r="EX111" s="272">
        <v>4</v>
      </c>
      <c r="EY111" s="273"/>
      <c r="EZ111" s="297"/>
      <c r="FA111" s="309"/>
      <c r="FB111" s="273"/>
      <c r="FC111" s="274"/>
      <c r="FD111" s="338"/>
      <c r="FE111" s="339"/>
      <c r="FF111" s="340"/>
      <c r="FG111" s="319">
        <v>4</v>
      </c>
      <c r="FH111" s="317"/>
      <c r="FI111" s="320">
        <v>6</v>
      </c>
      <c r="FM111" s="292"/>
      <c r="FN111" s="256"/>
      <c r="FO111" s="257"/>
      <c r="FP111" s="272"/>
      <c r="FQ111" s="273"/>
      <c r="FR111" s="274"/>
      <c r="FS111" s="272"/>
      <c r="FT111" s="273"/>
      <c r="FU111" s="297">
        <v>6</v>
      </c>
      <c r="FV111" s="69"/>
      <c r="FW111" s="70"/>
      <c r="FX111" s="265"/>
      <c r="FY111" s="264"/>
      <c r="FZ111" s="70"/>
      <c r="GA111" s="265"/>
      <c r="GB111" s="272"/>
      <c r="GC111" s="273"/>
      <c r="GD111" s="297"/>
      <c r="GE111" s="309"/>
      <c r="GF111" s="273"/>
      <c r="GG111" s="274"/>
      <c r="GH111" s="338"/>
      <c r="GI111" s="339"/>
      <c r="GJ111" s="340"/>
      <c r="GK111" s="319"/>
      <c r="GL111" s="317"/>
      <c r="GM111" s="320"/>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2:235" ht="15" customHeight="1" thickBot="1">
      <c r="B112" s="75" t="str">
        <f t="shared" si="84"/>
        <v>x</v>
      </c>
      <c r="C112" s="76" t="str">
        <f t="shared" si="85"/>
        <v>x</v>
      </c>
      <c r="D112" s="76" t="str">
        <f t="shared" si="86"/>
        <v>x</v>
      </c>
      <c r="E112" s="76" t="str">
        <f t="shared" si="87"/>
        <v>x</v>
      </c>
      <c r="F112" s="76" t="str">
        <f t="shared" si="88"/>
        <v>x</v>
      </c>
      <c r="G112" s="76" t="str">
        <f t="shared" si="89"/>
        <v>x</v>
      </c>
      <c r="H112" s="76" t="str">
        <f t="shared" si="90"/>
        <v>x</v>
      </c>
      <c r="I112" s="76" t="str">
        <f t="shared" si="91"/>
        <v>x</v>
      </c>
      <c r="J112" s="77" t="str">
        <f t="shared" si="92"/>
        <v>x</v>
      </c>
      <c r="N112" s="99">
        <f>IF($B$78="x",-1,IF(AND($B$78=0,INDEX(KonZeile2,7)+INDEX(KonSpalte1,7)+INDEX(KonFeld1,7)=0),7,0))</f>
        <v>0</v>
      </c>
      <c r="O112" s="45">
        <f>IF($B$78="x",-1,IF(AND($B$78=0,INDEX(KonZeile2,8)+INDEX(KonSpalte1,8)+INDEX(KonFeld1,8)=0),8,0))</f>
        <v>0</v>
      </c>
      <c r="P112" s="47">
        <f>IF($B$78="x",-1,IF(AND($B$78=0,INDEX(KonZeile2,9)+INDEX(KonSpalte1,9)+INDEX(KonFeld1,9)=0),9,0))</f>
        <v>0</v>
      </c>
      <c r="Q112" s="46">
        <f>IF($C$78="x",-1,IF(AND($C$78=0,INDEX(KonZeile2,7)+INDEX(KonSpalte2,7)+INDEX(KonFeld1,7)=0),7,0))</f>
        <v>-1</v>
      </c>
      <c r="R112" s="45">
        <f>IF($C$78="x",-1,IF(AND($C$78=0,INDEX(KonZeile2,8)+INDEX(KonSpalte2,8)+INDEX(KonFeld1,8)=0),8,0))</f>
        <v>-1</v>
      </c>
      <c r="S112" s="47">
        <f>IF($C$78="x",-1,IF(AND($C$78=0,INDEX(KonZeile2,9)+INDEX(KonSpalte2,9)+INDEX(KonFeld1,9)=0),9,0))</f>
        <v>-1</v>
      </c>
      <c r="T112" s="46">
        <f>IF($D$78="x",-1,IF(AND($D$78=0,INDEX(KonZeile2,7)+INDEX(KonSpalte3,7)+INDEX(KonFeld1,7)=0),7,0))</f>
        <v>-1</v>
      </c>
      <c r="U112" s="45">
        <f>IF($D$78="x",-1,IF(AND($D$78=0,INDEX(KonZeile2,8)+INDEX(KonSpalte3,8)+INDEX(KonFeld1,8)=0),8,0))</f>
        <v>-1</v>
      </c>
      <c r="V112" s="48">
        <f>IF($D$78="x",-1,IF(AND($D$78=0,INDEX(KonZeile2,9)+INDEX(KonSpalte3,9)+INDEX(KonFeld1,9)=0),9,0))</f>
        <v>-1</v>
      </c>
      <c r="W112" s="44">
        <f>IF($E$78="x",-1,IF(AND($E$78=0,INDEX(KonZeile2,7)+INDEX(KonSpalte4,7)+INDEX(KonFeld1,7)=0),7,0))</f>
        <v>-1</v>
      </c>
      <c r="X112" s="45">
        <f>IF($E$78="x",-1,IF(AND($E$78=0,INDEX(KonZeile2,8)+INDEX(KonSpalte4,8)+INDEX(KonFeld1,8)=0),8,0))</f>
        <v>-1</v>
      </c>
      <c r="Y112" s="47">
        <f>IF($E$78="x",-1,IF(AND($E$78=0,INDEX(KonZeile2,9)+INDEX(KonSpalte4,9)+INDEX(KonFeld1,9)=0),9,0))</f>
        <v>-1</v>
      </c>
      <c r="Z112" s="46">
        <f>IF($F$78="x",-1,IF(AND($F$78=0,INDEX(KonZeile2,7)+INDEX(KonSpalte5,7)+INDEX(KonFeld1,7)=0),7,0))</f>
        <v>-1</v>
      </c>
      <c r="AA112" s="45">
        <f>IF($F$78="x",-1,IF(AND($F$78=0,INDEX(KonZeile2,8)+INDEX(KonSpalte5,8)+INDEX(KonFeld1,8)=0),8,0))</f>
        <v>-1</v>
      </c>
      <c r="AB112" s="47">
        <f>IF($F$78="x",-1,IF(AND($F$78=0,INDEX(KonZeile2,9)+INDEX(KonSpalte5,9)+INDEX(KonFeld1,9)=0),9,0))</f>
        <v>-1</v>
      </c>
      <c r="AC112" s="46">
        <f>IF($G$78="x",-1,IF(AND($G$78=0,INDEX(KonZeile2,7)+INDEX(KonSpalte6,7)+INDEX(KonFeld1,7)=0),7,0))</f>
        <v>-1</v>
      </c>
      <c r="AD112" s="45">
        <f>IF($G$78="x",-1,IF(AND($G$78=0,INDEX(KonZeile2,8)+INDEX(KonSpalte6,8)+INDEX(KonFeld1,8)=0),8,0))</f>
        <v>-1</v>
      </c>
      <c r="AE112" s="48">
        <f>IF($G$78="x",-1,IF(AND($G$78=0,INDEX(KonZeile2,9)+INDEX(KonSpalte6,9)+INDEX(KonFeld1,9)=0),9,0))</f>
        <v>-1</v>
      </c>
      <c r="AF112" s="44">
        <f>IF($H$78="x",-1,IF(AND($H$78=0,INDEX(KonZeile2,7)+INDEX(KonSpalte7,7)+INDEX(KonFeld1,7)=0),7,0))</f>
        <v>-1</v>
      </c>
      <c r="AG112" s="45">
        <f>IF($H$78="x",-1,IF(AND($H$78=0,INDEX(KonZeile2,8)+INDEX(KonSpalte7,8)+INDEX(KonFeld1,8)=0),8,0))</f>
        <v>-1</v>
      </c>
      <c r="AH112" s="47">
        <f>IF($H$78="x",-1,IF(AND($H$78=0,INDEX(KonZeile2,9)+INDEX(KonSpalte7,9)+INDEX(KonFeld1,9)=0),9,0))</f>
        <v>-1</v>
      </c>
      <c r="AI112" s="46">
        <f>IF($I$78="x",-1,IF(AND($I$78=0,INDEX(KonZeile2,7)+INDEX(KonSpalte8,7)+INDEX(KonFeld1,7)=0),7,0))</f>
        <v>-1</v>
      </c>
      <c r="AJ112" s="45">
        <f>IF($I$78="x",-1,IF(AND($I$78=0,INDEX(KonZeile2,8)+INDEX(KonSpalte8,8)+INDEX(KonFeld1,8)=0),8,0))</f>
        <v>-1</v>
      </c>
      <c r="AK112" s="47">
        <f>IF($I$78="x",-1,IF(AND($I$78=0,INDEX(KonZeile2,9)+INDEX(KonSpalte8,9)+INDEX(KonFeld1,9)=0),9,0))</f>
        <v>-1</v>
      </c>
      <c r="AL112" s="46">
        <f>IF($J$78="x",-1,IF(AND($J$78=0,INDEX(KonZeile2,7)+INDEX(KonSpalte9,7)+INDEX(KonFeld1,7)=0),7,0))</f>
        <v>-1</v>
      </c>
      <c r="AM112" s="45">
        <f>IF($J$78="x",-1,IF(AND($J$78=0,INDEX(KonZeile2,8)+INDEX(KonSpalte9,8)+INDEX(KonFeld1,8)=0),8,0))</f>
        <v>-1</v>
      </c>
      <c r="AN112" s="100">
        <f>IF($J$78="x",-1,IF(AND($J$78=0,INDEX(KonZeile2,9)+INDEX(KonSpalte9,9)+INDEX(KonFeld1,9)=0),9,0))</f>
        <v>-1</v>
      </c>
      <c r="AO112" s="99">
        <f>IF($K$78="x",-1,IF(AND($K$78=0,INDEX(KonZeile2,7)+INDEX(KonSpalte1,7)+INDEX(KonFeld2,7)=0),7,0))</f>
        <v>-1</v>
      </c>
      <c r="AP112" s="45">
        <f>IF($K$78="x",-1,IF(AND($K$78=0,INDEX(KonZeile2,8)+INDEX(KonSpalte1,8)+INDEX(KonFeld2,8)=0),8,0))</f>
        <v>-1</v>
      </c>
      <c r="AQ112" s="47">
        <f>IF($K$78="x",-1,IF(AND($K$78=0,INDEX(KonZeile2,9)+INDEX(KonSpalte1,9)+INDEX(KonFeld2,9)=0),9,0))</f>
        <v>-1</v>
      </c>
      <c r="AR112" s="46">
        <f>IF($L$78="x",-1,IF(AND($L$78=0,INDEX(KonZeile2,7)+INDEX(KonSpalte2,7)+INDEX(KonFeld2,7)=0),7,0))</f>
        <v>-1</v>
      </c>
      <c r="AS112" s="45">
        <f>IF($L$78="x",-1,IF(AND($L$78=0,INDEX(KonZeile2,8)+INDEX(KonSpalte2,8)+INDEX(KonFeld2,8)=0),8,0))</f>
        <v>-1</v>
      </c>
      <c r="AT112" s="47">
        <f>IF($L$78="x",-1,IF(AND($L$78=0,INDEX(KonZeile2,9)+INDEX(KonSpalte2,9)+INDEX(KonFeld2,9)=0),9,0))</f>
        <v>-1</v>
      </c>
      <c r="AU112" s="46">
        <f>IF($M$78="x",-1,IF(AND($M$78=0,INDEX(KonZeile2,7)+INDEX(KonSpalte3,7)+INDEX(KonFeld2,7)=0),7,0))</f>
        <v>-1</v>
      </c>
      <c r="AV112" s="45">
        <f>IF($M$78="x",-1,IF(AND($M$78=0,INDEX(KonZeile2,8)+INDEX(KonSpalte3,8)+INDEX(KonFeld2,8)=0),8,0))</f>
        <v>-1</v>
      </c>
      <c r="AW112" s="48">
        <f>IF($M$78="x",-1,IF(AND($M$78=0,INDEX(KonZeile2,9)+INDEX(KonSpalte3,9)+INDEX(KonFeld2,9)=0),9,0))</f>
        <v>-1</v>
      </c>
      <c r="AX112" s="44">
        <f>IF($N$78="x",-1,IF(AND($N$78=0,INDEX(KonZeile2,7)+INDEX(KonSpalte4,7)+INDEX(KonFeld2,7)=0),7,0))</f>
        <v>0</v>
      </c>
      <c r="AY112" s="45">
        <f>IF($N$78="x",-1,IF(AND($N$78=0,INDEX(KonZeile2,8)+INDEX(KonSpalte4,8)+INDEX(KonFeld2,8)=0),8,0))</f>
        <v>0</v>
      </c>
      <c r="AZ112" s="47">
        <f>IF($N$78="x",-1,IF(AND($N$78=0,INDEX(KonZeile2,9)+INDEX(KonSpalte4,9)+INDEX(KonFeld2,9)=0),9,0))</f>
        <v>0</v>
      </c>
      <c r="BA112" s="46">
        <f>IF($O$78="x",-1,IF(AND($O$78=0,INDEX(KonZeile2,7)+INDEX(KonSpalte5,7)+INDEX(KonFeld2,7)=0),7,0))</f>
        <v>0</v>
      </c>
      <c r="BB112" s="45">
        <f>IF($O$78="x",-1,IF(AND($O$78=0,INDEX(KonZeile2,8)+INDEX(KonSpalte5,8)+INDEX(KonFeld2,8)=0),8,0))</f>
        <v>0</v>
      </c>
      <c r="BC112" s="47">
        <f>IF($O$78="x",-1,IF(AND($O$78=0,INDEX(KonZeile2,9)+INDEX(KonSpalte5,9)+INDEX(KonFeld2,9)=0),9,0))</f>
        <v>0</v>
      </c>
      <c r="BD112" s="46">
        <f>IF($P$78="x",-1,IF(AND($P$78=0,INDEX(KonZeile2,7)+INDEX(KonSpalte6,7)+INDEX(KonFeld2,7)=0),7,0))</f>
        <v>-1</v>
      </c>
      <c r="BE112" s="45">
        <f>IF($P$78="x",-1,IF(AND($P$78=0,INDEX(KonZeile2,8)+INDEX(KonSpalte6,8)+INDEX(KonFeld2,8)=0),8,0))</f>
        <v>-1</v>
      </c>
      <c r="BF112" s="48">
        <f>IF($P$78="x",-1,IF(AND($P$78=0,INDEX(KonZeile2,9)+INDEX(KonSpalte6,9)+INDEX(KonFeld2,9)=0),9,0))</f>
        <v>-1</v>
      </c>
      <c r="BG112" s="44">
        <f>IF($Q$78="x",-1,IF(AND($Q$78=0,INDEX(KonZeile2,7)+INDEX(KonSpalte7,7)+INDEX(KonFeld2,7)=0),7,0))</f>
        <v>-1</v>
      </c>
      <c r="BH112" s="45">
        <f>IF($Q$78="x",-1,IF(AND($Q$78=0,INDEX(KonZeile2,8)+INDEX(KonSpalte7,8)+INDEX(KonFeld2,8)=0),8,0))</f>
        <v>-1</v>
      </c>
      <c r="BI112" s="47">
        <f>IF($Q$78="x",-1,IF(AND($Q$78=0,INDEX(KonZeile2,9)+INDEX(KonSpalte7,9)+INDEX(KonFeld2,9)=0),9,0))</f>
        <v>-1</v>
      </c>
      <c r="BJ112" s="46">
        <f>IF($R$78="x",-1,IF(AND($R$78=0,INDEX(KonZeile2,7)+INDEX(KonSpalte8,7)+INDEX(KonFeld2,7)=0),7,0))</f>
        <v>-1</v>
      </c>
      <c r="BK112" s="45">
        <f>IF($R$78="x",-1,IF(AND($R$78=0,INDEX(KonZeile2,8)+INDEX(KonSpalte8,8)+INDEX(KonFeld2,8)=0),8,0))</f>
        <v>-1</v>
      </c>
      <c r="BL112" s="47">
        <f>IF($R$78="x",-1,IF(AND($R$78=0,INDEX(KonZeile2,9)+INDEX(KonSpalte8,9)+INDEX(KonFeld2,9)=0),9,0))</f>
        <v>-1</v>
      </c>
      <c r="BM112" s="46">
        <f>IF($S$78="x",-1,IF(AND($S$78=0,INDEX(KonZeile2,7)+INDEX(KonSpalte9,7)+INDEX(KonFeld2,7)=0),7,0))</f>
        <v>-1</v>
      </c>
      <c r="BN112" s="45">
        <f>IF($S$78="x",-1,IF(AND($S$78=0,INDEX(KonZeile2,8)+INDEX(KonSpalte9,8)+INDEX(KonFeld2,8)=0),8,0))</f>
        <v>-1</v>
      </c>
      <c r="BO112" s="100">
        <f>IF($S$78="x",-1,IF(AND($S$78=0,INDEX(KonZeile2,9)+INDEX(KonSpalte9,9)+INDEX(KonFeld2,9)=0),9,0))</f>
        <v>-1</v>
      </c>
      <c r="BP112" s="99">
        <f>IF($T$78="x",-1,IF(AND($T$78=0,INDEX(KonZeile2,7)+INDEX(KonSpalte1,7)+INDEX(KonFeld3,7)=0),7,0))</f>
        <v>-1</v>
      </c>
      <c r="BQ112" s="45">
        <f>IF($T$78="x",-1,IF(AND($T$78=0,INDEX(KonZeile2,8)+INDEX(KonSpalte1,8)+INDEX(KonFeld3,8)=0),8,0))</f>
        <v>-1</v>
      </c>
      <c r="BR112" s="47">
        <f>IF($T$78="x",-1,IF(AND($T$78=0,INDEX(KonZeile2,9)+INDEX(KonSpalte1,9)+INDEX(KonFeld3,9)=0),9,0))</f>
        <v>-1</v>
      </c>
      <c r="BS112" s="46">
        <f>IF($U$78="x",-1,IF(AND($U$78=0,INDEX(KonZeile2,7)+INDEX(KonSpalte2,7)+INDEX(KonFeld3,7)=0),7,0))</f>
        <v>-1</v>
      </c>
      <c r="BT112" s="45">
        <f>IF($U$78="x",-1,IF(AND($U$78=0,INDEX(KonZeile2,8)+INDEX(KonSpalte2,8)+INDEX(KonFeld3,8)=0),8,0))</f>
        <v>-1</v>
      </c>
      <c r="BU112" s="47">
        <f>IF($U$78="x",-1,IF(AND($U$78=0,INDEX(KonZeile2,9)+INDEX(KonSpalte2,9)+INDEX(KonFeld3,9)=0),9,0))</f>
        <v>-1</v>
      </c>
      <c r="BV112" s="46">
        <f>IF($V$78="x",-1,IF(AND($V$78=0,INDEX(KonZeile2,7)+INDEX(KonSpalte3,7)+INDEX(KonFeld3,7)=0),7,0))</f>
        <v>-1</v>
      </c>
      <c r="BW112" s="45">
        <f>IF($V$78="x",-1,IF(AND($V$78=0,INDEX(KonZeile2,8)+INDEX(KonSpalte3,8)+INDEX(KonFeld3,8)=0),8,0))</f>
        <v>-1</v>
      </c>
      <c r="BX112" s="48">
        <f>IF($V$78="x",-1,IF(AND($V$78=0,INDEX(KonZeile2,9)+INDEX(KonSpalte3,9)+INDEX(KonFeld3,9)=0),9,0))</f>
        <v>-1</v>
      </c>
      <c r="BY112" s="44">
        <f>IF($W$78="x",-1,IF(AND($W$78=0,INDEX(KonZeile2,7)+INDEX(KonSpalte4,7)+INDEX(KonFeld3,7)=0),7,0))</f>
        <v>-1</v>
      </c>
      <c r="BZ112" s="45">
        <f>IF($W$78="x",-1,IF(AND($W$78=0,INDEX(KonZeile2,8)+INDEX(KonSpalte4,8)+INDEX(KonFeld3,8)=0),8,0))</f>
        <v>-1</v>
      </c>
      <c r="CA112" s="47">
        <f>IF($W$78="x",-1,IF(AND($W$78=0,INDEX(KonZeile2,9)+INDEX(KonSpalte4,9)+INDEX(KonFeld3,9)=0),9,0))</f>
        <v>-1</v>
      </c>
      <c r="CB112" s="46">
        <f>IF($X$78="x",-1,IF(AND($X$78=0,INDEX(KonZeile2,7)+INDEX(KonSpalte5,7)+INDEX(KonFeld3,7)=0),7,0))</f>
        <v>-1</v>
      </c>
      <c r="CC112" s="45">
        <f>IF($X$78="x",-1,IF(AND($X$78=0,INDEX(KonZeile2,8)+INDEX(KonSpalte5,8)+INDEX(KonFeld3,8)=0),8,0))</f>
        <v>-1</v>
      </c>
      <c r="CD112" s="47">
        <f>IF($X$78="x",-1,IF(AND($X$78=0,INDEX(KonZeile2,9)+INDEX(KonSpalte5,9)+INDEX(KonFeld3,9)=0),9,0))</f>
        <v>-1</v>
      </c>
      <c r="CE112" s="46">
        <f>IF($Y$78="x",-1,IF(AND($Y$78=0,INDEX(KonZeile2,7)+INDEX(KonSpalte6,7)+INDEX(KonFeld3,7)=0),7,0))</f>
        <v>-1</v>
      </c>
      <c r="CF112" s="45">
        <f>IF($Y$78="x",-1,IF(AND($Y$78=0,INDEX(KonZeile2,8)+INDEX(KonSpalte6,8)+INDEX(KonFeld3,8)=0),8,0))</f>
        <v>-1</v>
      </c>
      <c r="CG112" s="48">
        <f>IF($Y$78="x",-1,IF(AND($Y$78=0,INDEX(KonZeile2,9)+INDEX(KonSpalte6,9)+INDEX(KonFeld3,9)=0),9,0))</f>
        <v>-1</v>
      </c>
      <c r="CH112" s="44">
        <f>IF($Z$78="x",-1,IF(AND($Z$78=0,INDEX(KonZeile2,7)+INDEX(KonSpalte7,7)+INDEX(KonFeld3,7)=0),7,0))</f>
        <v>-1</v>
      </c>
      <c r="CI112" s="45">
        <f>IF($Z$78="x",-1,IF(AND($Z$78=0,INDEX(KonZeile2,8)+INDEX(KonSpalte7,8)+INDEX(KonFeld3,8)=0),8,0))</f>
        <v>-1</v>
      </c>
      <c r="CJ112" s="47">
        <f>IF($Z$78="x",-1,IF(AND($Z$78=0,INDEX(KonZeile2,9)+INDEX(KonSpalte7,9)+INDEX(KonFeld3,9)=0),9,0))</f>
        <v>-1</v>
      </c>
      <c r="CK112" s="46">
        <f>IF($AA$78="x",-1,IF(AND($AA$78=0,INDEX(KonZeile2,7)+INDEX(KonSpalte8,7)+INDEX(KonFeld3,7)=0),7,0))</f>
        <v>-1</v>
      </c>
      <c r="CL112" s="45">
        <f>IF($AA$78="x",-1,IF(AND($AA$78=0,INDEX(KonZeile2,8)+INDEX(KonSpalte8,8)+INDEX(KonFeld3,8)=0),8,0))</f>
        <v>-1</v>
      </c>
      <c r="CM112" s="47">
        <f>IF($AA$78="x",-1,IF(AND($AA$78=0,INDEX(KonZeile2,9)+INDEX(KonSpalte8,9)+INDEX(KonFeld3,9)=0),9,0))</f>
        <v>-1</v>
      </c>
      <c r="CN112" s="46">
        <f>IF($AB$78="x",-1,IF(AND($AB$78=0,INDEX(KonZeile2,7)+INDEX(KonSpalte9,7)+INDEX(KonFeld3,7)=0),7,0))</f>
        <v>0</v>
      </c>
      <c r="CO112" s="45">
        <f>IF($AB$78="x",-1,IF(AND($AB$78=0,INDEX(KonZeile2,8)+INDEX(KonSpalte9,8)+INDEX(KonFeld3,8)=0),8,0))</f>
        <v>0</v>
      </c>
      <c r="CP112" s="100">
        <f>IF($AB$78="x",-1,IF(AND($AB$78=0,INDEX(KonZeile2,9)+INDEX(KonSpalte9,9)+INDEX(KonFeld3,9)=0),9,0))</f>
        <v>0</v>
      </c>
      <c r="CR112" s="46">
        <f>COUNTIF(N112:CP112,7)</f>
        <v>0</v>
      </c>
      <c r="CS112" s="45">
        <f>COUNTIF(N112:CP112,8)</f>
        <v>0</v>
      </c>
      <c r="CT112" s="47">
        <f>COUNTIF(N112:CP112,9)</f>
        <v>0</v>
      </c>
      <c r="CU112" s="39"/>
      <c r="CV112" s="39"/>
      <c r="CX112" s="101">
        <f t="shared" si="104"/>
        <v>0</v>
      </c>
      <c r="CY112" s="102">
        <f t="shared" si="105"/>
        <v>0</v>
      </c>
      <c r="CZ112" s="103">
        <f t="shared" si="106"/>
        <v>0</v>
      </c>
      <c r="DE112" s="231">
        <f t="shared" si="134"/>
        <v>10</v>
      </c>
      <c r="DF112" s="232">
        <f t="shared" si="135"/>
        <v>10</v>
      </c>
      <c r="DG112" s="233">
        <f t="shared" si="136"/>
        <v>10</v>
      </c>
      <c r="DH112" s="234">
        <f t="shared" si="137"/>
        <v>50</v>
      </c>
      <c r="DI112" s="232">
        <f t="shared" si="138"/>
        <v>50</v>
      </c>
      <c r="DJ112" s="233">
        <f t="shared" si="139"/>
        <v>50</v>
      </c>
      <c r="DK112" s="234">
        <f t="shared" si="140"/>
        <v>50</v>
      </c>
      <c r="DL112" s="232">
        <f t="shared" si="141"/>
        <v>50</v>
      </c>
      <c r="DM112" s="235">
        <f t="shared" si="142"/>
        <v>50</v>
      </c>
      <c r="DN112" s="231">
        <f t="shared" si="143"/>
        <v>20</v>
      </c>
      <c r="DO112" s="232">
        <f t="shared" si="144"/>
        <v>20</v>
      </c>
      <c r="DP112" s="233">
        <f t="shared" si="145"/>
        <v>20</v>
      </c>
      <c r="DQ112" s="234">
        <f t="shared" si="146"/>
        <v>20</v>
      </c>
      <c r="DR112" s="232">
        <f t="shared" si="147"/>
        <v>20</v>
      </c>
      <c r="DS112" s="233">
        <f t="shared" si="148"/>
        <v>20</v>
      </c>
      <c r="DT112" s="234">
        <f t="shared" si="149"/>
        <v>50</v>
      </c>
      <c r="DU112" s="232">
        <f t="shared" si="150"/>
        <v>50</v>
      </c>
      <c r="DV112" s="235">
        <f t="shared" si="151"/>
        <v>50</v>
      </c>
      <c r="DW112" s="231">
        <f t="shared" si="152"/>
        <v>50</v>
      </c>
      <c r="DX112" s="232">
        <f t="shared" si="153"/>
        <v>50</v>
      </c>
      <c r="DY112" s="233">
        <f t="shared" si="154"/>
        <v>50</v>
      </c>
      <c r="DZ112" s="234">
        <f t="shared" si="155"/>
        <v>60</v>
      </c>
      <c r="EA112" s="232">
        <f t="shared" si="156"/>
        <v>60</v>
      </c>
      <c r="EB112" s="233">
        <f t="shared" si="157"/>
        <v>60</v>
      </c>
      <c r="EC112" s="234">
        <f t="shared" si="158"/>
        <v>30</v>
      </c>
      <c r="ED112" s="232">
        <f t="shared" si="159"/>
        <v>30</v>
      </c>
      <c r="EE112" s="235">
        <f t="shared" si="160"/>
        <v>30</v>
      </c>
      <c r="EI112" s="293"/>
      <c r="EJ112" s="259"/>
      <c r="EK112" s="260"/>
      <c r="EL112" s="275">
        <v>7</v>
      </c>
      <c r="EM112" s="276"/>
      <c r="EN112" s="277"/>
      <c r="EO112" s="275"/>
      <c r="EP112" s="276">
        <v>8</v>
      </c>
      <c r="EQ112" s="298"/>
      <c r="ER112" s="311"/>
      <c r="ES112" s="267"/>
      <c r="ET112" s="268"/>
      <c r="EU112" s="266"/>
      <c r="EV112" s="267"/>
      <c r="EW112" s="268"/>
      <c r="EX112" s="275"/>
      <c r="EY112" s="276"/>
      <c r="EZ112" s="298"/>
      <c r="FA112" s="310"/>
      <c r="FB112" s="276"/>
      <c r="FC112" s="277"/>
      <c r="FD112" s="343"/>
      <c r="FE112" s="344">
        <v>8</v>
      </c>
      <c r="FF112" s="345"/>
      <c r="FG112" s="323"/>
      <c r="FH112" s="321">
        <v>8</v>
      </c>
      <c r="FI112" s="324"/>
      <c r="FM112" s="293"/>
      <c r="FN112" s="259"/>
      <c r="FO112" s="260"/>
      <c r="FP112" s="275"/>
      <c r="FQ112" s="276"/>
      <c r="FR112" s="277"/>
      <c r="FS112" s="275"/>
      <c r="FT112" s="276">
        <v>8</v>
      </c>
      <c r="FU112" s="298"/>
      <c r="FV112" s="311"/>
      <c r="FW112" s="267"/>
      <c r="FX112" s="268"/>
      <c r="FY112" s="266"/>
      <c r="FZ112" s="267"/>
      <c r="GA112" s="268"/>
      <c r="GB112" s="275"/>
      <c r="GC112" s="276"/>
      <c r="GD112" s="298"/>
      <c r="GE112" s="310"/>
      <c r="GF112" s="276"/>
      <c r="GG112" s="277"/>
      <c r="GH112" s="343"/>
      <c r="GI112" s="344"/>
      <c r="GJ112" s="345"/>
      <c r="GK112" s="323"/>
      <c r="GL112" s="321"/>
      <c r="GM112" s="324"/>
      <c r="GO112" s="537"/>
      <c r="GP112" s="538"/>
      <c r="GQ112" s="538"/>
      <c r="GR112" s="538"/>
      <c r="GS112" s="538"/>
      <c r="GT112" s="538"/>
      <c r="GU112" s="538"/>
      <c r="GV112" s="538"/>
      <c r="GW112" s="539"/>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2:235" ht="15" customHeight="1" thickBot="1">
      <c r="B113" s="62" t="str">
        <f t="shared" si="84"/>
        <v>x</v>
      </c>
      <c r="C113" s="63" t="str">
        <f t="shared" si="85"/>
        <v>x</v>
      </c>
      <c r="D113" s="63" t="str">
        <f t="shared" si="86"/>
        <v>x</v>
      </c>
      <c r="E113" s="63" t="str">
        <f t="shared" si="87"/>
        <v>x</v>
      </c>
      <c r="F113" s="63" t="str">
        <f t="shared" si="88"/>
        <v>x</v>
      </c>
      <c r="G113" s="63" t="str">
        <f t="shared" si="89"/>
        <v>x</v>
      </c>
      <c r="H113" s="63" t="str">
        <f t="shared" si="90"/>
        <v>x</v>
      </c>
      <c r="I113" s="63" t="str">
        <f t="shared" si="91"/>
        <v>x</v>
      </c>
      <c r="J113" s="64" t="str">
        <f t="shared" si="92"/>
        <v>x</v>
      </c>
      <c r="N113" s="104">
        <f>IF($B$79="x",-1,IF(AND($B$79=0,INDEX(KonZeile3,1)+INDEX(KonSpalte1,1)+INDEX(KonFeld1,1)=0),1,0))</f>
        <v>0</v>
      </c>
      <c r="O113" s="50">
        <f>IF($B$79="x",-1,IF(AND($B$79=0,INDEX(KonZeile3,2)+INDEX(KonSpalte1,2)+INDEX(KonFeld1,2)=0),2,0))</f>
        <v>0</v>
      </c>
      <c r="P113" s="51">
        <f>IF($B$79="x",-1,IF(AND($B$79=0,INDEX(KonZeile3,3)+INDEX(KonSpalte1,3)+INDEX(KonFeld1,3)=0),3,0))</f>
        <v>0</v>
      </c>
      <c r="Q113" s="52">
        <f>IF($C$79="x",-1,IF(AND($C$79=0,INDEX(KonZeile3,1)+INDEX(KonSpalte2,1)+INDEX(KonFeld1,1)=0),1,0))</f>
        <v>-1</v>
      </c>
      <c r="R113" s="50">
        <f>IF($C$79="x",-1,IF(AND($C$79=0,INDEX(KonZeile3,2)+INDEX(KonSpalte2,2)+INDEX(KonFeld1,2)=0),2,0))</f>
        <v>-1</v>
      </c>
      <c r="S113" s="51">
        <f>IF($C$79="x",-1,IF(AND($C$79=0,INDEX(KonZeile3,3)+INDEX(KonSpalte2,3)+INDEX(KonFeld1,3)=0),3,0))</f>
        <v>-1</v>
      </c>
      <c r="T113" s="52">
        <f>IF($D$79="x",-1,IF(AND($D$79=0,INDEX(KonZeile3,1)+INDEX(KonSpalte3,1)+INDEX(KonFeld1,1)=0),1,0))</f>
        <v>-1</v>
      </c>
      <c r="U113" s="50">
        <f>IF($D$79="x",-1,IF(AND($D$79=0,INDEX(KonZeile3,2)+INDEX(KonSpalte3,2)+INDEX(KonFeld1,2)=0),2,0))</f>
        <v>-1</v>
      </c>
      <c r="V113" s="53">
        <f>IF($D$79="x",-1,IF(AND($D$79=0,INDEX(KonZeile3,3)+INDEX(KonSpalte3,3)+INDEX(KonFeld1,3)=0),3,0))</f>
        <v>-1</v>
      </c>
      <c r="W113" s="49">
        <f>IF($E$79="x",-1,IF(AND($E$79=0,INDEX(KonZeile3,1)+INDEX(KonSpalte4,1)+INDEX(KonFeld1,1)=0),1,0))</f>
        <v>-1</v>
      </c>
      <c r="X113" s="50">
        <f>IF($E$79="x",-1,IF(AND($E$79=0,INDEX(KonZeile3,2)+INDEX(KonSpalte4,2)+INDEX(KonFeld1,2)=0),2,0))</f>
        <v>-1</v>
      </c>
      <c r="Y113" s="51">
        <f>IF($E$79="x",-1,IF(AND($E$79=0,INDEX(KonZeile3,3)+INDEX(KonSpalte4,3)+INDEX(KonFeld1,3)=0),3,0))</f>
        <v>-1</v>
      </c>
      <c r="Z113" s="52">
        <f>IF($F$79="x",-1,IF(AND($F$79=0,INDEX(KonZeile3,1)+INDEX(KonSpalte5,1)+INDEX(KonFeld1,1)=0),1,0))</f>
        <v>-1</v>
      </c>
      <c r="AA113" s="50">
        <f>IF($F$79="x",-1,IF(AND($F$79=0,INDEX(KonZeile3,2)+INDEX(KonSpalte5,2)+INDEX(KonFeld1,2)=0),2,0))</f>
        <v>-1</v>
      </c>
      <c r="AB113" s="51">
        <f>IF($F$79="x",-1,IF(AND($F$79=0,INDEX(KonZeile3,3)+INDEX(KonSpalte5,3)+INDEX(KonFeld1,3)=0),3,0))</f>
        <v>-1</v>
      </c>
      <c r="AC113" s="52">
        <f>IF($G$79="x",-1,IF(AND($G$79=0,INDEX(KonZeile3,1)+INDEX(KonSpalte6,1)+INDEX(KonFeld1,1)=0),1,0))</f>
        <v>-1</v>
      </c>
      <c r="AD113" s="50">
        <f>IF($G$79="x",-1,IF(AND($G$79=0,INDEX(KonZeile3,2)+INDEX(KonSpalte6,2)+INDEX(KonFeld1,2)=0),2,0))</f>
        <v>-1</v>
      </c>
      <c r="AE113" s="53">
        <f>IF($G$79="x",-1,IF(AND($G$79=0,INDEX(KonZeile3,3)+INDEX(KonSpalte6,3)+INDEX(KonFeld1,3)=0),3,0))</f>
        <v>-1</v>
      </c>
      <c r="AF113" s="49">
        <f>IF($H$79="x",-1,IF(AND($H$79=0,INDEX(KonZeile3,1)+INDEX(KonSpalte7,1)+INDEX(KonFeld1,1)=0),1,0))</f>
        <v>-1</v>
      </c>
      <c r="AG113" s="50">
        <f>IF($H$79="x",-1,IF(AND($H$79=0,INDEX(KonZeile3,2)+INDEX(KonSpalte7,2)+INDEX(KonFeld1,2)=0),2,0))</f>
        <v>-1</v>
      </c>
      <c r="AH113" s="51">
        <f>IF($H$79="x",-1,IF(AND($H$79=0,INDEX(KonZeile3,3)+INDEX(KonSpalte7,3)+INDEX(KonFeld1,3)=0),3,0))</f>
        <v>-1</v>
      </c>
      <c r="AI113" s="52">
        <f>IF($I$79="x",-1,IF(AND($I$79=0,INDEX(KonZeile3,1)+INDEX(KonSpalte8,1)+INDEX(KonFeld1,1)=0),1,0))</f>
        <v>-1</v>
      </c>
      <c r="AJ113" s="50">
        <f>IF($I$79="x",-1,IF(AND($I$79=0,INDEX(KonZeile3,2)+INDEX(KonSpalte8,2)+INDEX(KonFeld1,2)=0),2,0))</f>
        <v>-1</v>
      </c>
      <c r="AK113" s="51">
        <f>IF($I$79="x",-1,IF(AND($I$79=0,INDEX(KonZeile3,3)+INDEX(KonSpalte8,3)+INDEX(KonFeld1,3)=0),3,0))</f>
        <v>-1</v>
      </c>
      <c r="AL113" s="52">
        <f>IF($J$79="x",-1,IF(AND($J$79=0,INDEX(KonZeile3,1)+INDEX(KonSpalte9,1)+INDEX(KonFeld1,1)=0),1,0))</f>
        <v>-1</v>
      </c>
      <c r="AM113" s="50">
        <f>IF($J$79="x",-1,IF(AND($J$79=0,INDEX(KonZeile3,2)+INDEX(KonSpalte9,2)+INDEX(KonFeld1,2)=0),2,0))</f>
        <v>-1</v>
      </c>
      <c r="AN113" s="105">
        <f>IF($J$79="x",-1,IF(AND($J$79=0,INDEX(KonZeile3,3)+INDEX(KonSpalte9,3)+INDEX(KonFeld1,3)=0),3,0))</f>
        <v>-1</v>
      </c>
      <c r="AO113" s="104">
        <f>IF($K$79="x",-1,IF(AND($K$79=0,INDEX(KonZeile3,1)+INDEX(KonSpalte1,1)+INDEX(KonFeld2,1)=0),1,0))</f>
        <v>-1</v>
      </c>
      <c r="AP113" s="50">
        <f>IF($K$79="x",-1,IF(AND($K$79=0,INDEX(KonZeile3,2)+INDEX(KonSpalte1,2)+INDEX(KonFeld2,2)=0),2,0))</f>
        <v>-1</v>
      </c>
      <c r="AQ113" s="51">
        <f>IF($K$79="x",-1,IF(AND($K$79=0,INDEX(KonZeile3,3)+INDEX(KonSpalte1,3)+INDEX(KonFeld2,3)=0),3,0))</f>
        <v>-1</v>
      </c>
      <c r="AR113" s="52">
        <f>IF($L$79="x",-1,IF(AND($L$79=0,INDEX(KonZeile3,1)+INDEX(KonSpalte2,1)+INDEX(KonFeld2,1)=0),1,0))</f>
        <v>-1</v>
      </c>
      <c r="AS113" s="50">
        <f>IF($L$79="x",-1,IF(AND($L$79=0,INDEX(KonZeile3,2)+INDEX(KonSpalte2,2)+INDEX(KonFeld2,2)=0),2,0))</f>
        <v>-1</v>
      </c>
      <c r="AT113" s="51">
        <f>IF($L$79="x",-1,IF(AND($L$79=0,INDEX(KonZeile3,3)+INDEX(KonSpalte2,3)+INDEX(KonFeld2,3)=0),3,0))</f>
        <v>-1</v>
      </c>
      <c r="AU113" s="52">
        <f>IF($M$79="x",-1,IF(AND($M$79=0,INDEX(KonZeile3,1)+INDEX(KonSpalte3,1)+INDEX(KonFeld2,1)=0),1,0))</f>
        <v>0</v>
      </c>
      <c r="AV113" s="50">
        <f>IF($M$79="x",-1,IF(AND($M$79=0,INDEX(KonZeile3,2)+INDEX(KonSpalte3,2)+INDEX(KonFeld2,2)=0),2,0))</f>
        <v>0</v>
      </c>
      <c r="AW113" s="53">
        <f>IF($M$79="x",-1,IF(AND($M$79=0,INDEX(KonZeile3,3)+INDEX(KonSpalte3,3)+INDEX(KonFeld2,3)=0),3,0))</f>
        <v>0</v>
      </c>
      <c r="AX113" s="49">
        <f>IF($N$79="x",-1,IF(AND($N$79=0,INDEX(KonZeile3,1)+INDEX(KonSpalte4,1)+INDEX(KonFeld2,1)=0),1,0))</f>
        <v>-1</v>
      </c>
      <c r="AY113" s="50">
        <f>IF($N$79="x",-1,IF(AND($N$79=0,INDEX(KonZeile3,2)+INDEX(KonSpalte4,2)+INDEX(KonFeld2,2)=0),2,0))</f>
        <v>-1</v>
      </c>
      <c r="AZ113" s="51">
        <f>IF($N$79="x",-1,IF(AND($N$79=0,INDEX(KonZeile3,3)+INDEX(KonSpalte4,3)+INDEX(KonFeld2,3)=0),3,0))</f>
        <v>-1</v>
      </c>
      <c r="BA113" s="52">
        <f>IF($O$79="x",-1,IF(AND($O$79=0,INDEX(KonZeile3,1)+INDEX(KonSpalte5,1)+INDEX(KonFeld2,1)=0),1,0))</f>
        <v>-1</v>
      </c>
      <c r="BB113" s="50">
        <f>IF($O$79="x",-1,IF(AND($O$79=0,INDEX(KonZeile3,2)+INDEX(KonSpalte5,2)+INDEX(KonFeld2,2)=0),2,0))</f>
        <v>-1</v>
      </c>
      <c r="BC113" s="51">
        <f>IF($O$79="x",-1,IF(AND($O$79=0,INDEX(KonZeile3,3)+INDEX(KonSpalte5,3)+INDEX(KonFeld2,3)=0),3,0))</f>
        <v>-1</v>
      </c>
      <c r="BD113" s="52">
        <f>IF($P$79="x",-1,IF(AND($P$79=0,INDEX(KonZeile3,1)+INDEX(KonSpalte6,1)+INDEX(KonFeld2,1)=0),1,0))</f>
        <v>-1</v>
      </c>
      <c r="BE113" s="50">
        <f>IF($P$79="x",-1,IF(AND($P$79=0,INDEX(KonZeile3,2)+INDEX(KonSpalte6,2)+INDEX(KonFeld2,2)=0),2,0))</f>
        <v>-1</v>
      </c>
      <c r="BF113" s="53">
        <f>IF($P$79="x",-1,IF(AND($P$79=0,INDEX(KonZeile3,3)+INDEX(KonSpalte6,3)+INDEX(KonFeld2,3)=0),3,0))</f>
        <v>-1</v>
      </c>
      <c r="BG113" s="49">
        <f>IF($Q$79="x",-1,IF(AND($Q$79=0,INDEX(KonZeile3,1)+INDEX(KonSpalte7,1)+INDEX(KonFeld2,1)=0),1,0))</f>
        <v>-1</v>
      </c>
      <c r="BH113" s="50">
        <f>IF($Q$79="x",-1,IF(AND($Q$79=0,INDEX(KonZeile3,2)+INDEX(KonSpalte7,2)+INDEX(KonFeld2,2)=0),2,0))</f>
        <v>-1</v>
      </c>
      <c r="BI113" s="51">
        <f>IF($Q$79="x",-1,IF(AND($Q$79=0,INDEX(KonZeile3,3)+INDEX(KonSpalte7,3)+INDEX(KonFeld2,3)=0),3,0))</f>
        <v>-1</v>
      </c>
      <c r="BJ113" s="52">
        <f>IF($R$79="x",-1,IF(AND($R$79=0,INDEX(KonZeile3,1)+INDEX(KonSpalte8,1)+INDEX(KonFeld2,1)=0),1,0))</f>
        <v>-1</v>
      </c>
      <c r="BK113" s="50">
        <f>IF($R$79="x",-1,IF(AND($R$79=0,INDEX(KonZeile3,2)+INDEX(KonSpalte8,2)+INDEX(KonFeld2,2)=0),2,0))</f>
        <v>-1</v>
      </c>
      <c r="BL113" s="51">
        <f>IF($R$79="x",-1,IF(AND($R$79=0,INDEX(KonZeile3,3)+INDEX(KonSpalte8,3)+INDEX(KonFeld2,3)=0),3,0))</f>
        <v>-1</v>
      </c>
      <c r="BM113" s="52">
        <f>IF($S$79="x",-1,IF(AND($S$79=0,INDEX(KonZeile3,1)+INDEX(KonSpalte9,1)+INDEX(KonFeld2,1)=0),1,0))</f>
        <v>-1</v>
      </c>
      <c r="BN113" s="50">
        <f>IF($S$79="x",-1,IF(AND($S$79=0,INDEX(KonZeile3,2)+INDEX(KonSpalte9,2)+INDEX(KonFeld2,2)=0),2,0))</f>
        <v>-1</v>
      </c>
      <c r="BO113" s="105">
        <f>IF($S$79="x",-1,IF(AND($S$79=0,INDEX(KonZeile3,3)+INDEX(KonSpalte9,3)+INDEX(KonFeld2,3)=0),3,0))</f>
        <v>-1</v>
      </c>
      <c r="BP113" s="104">
        <f>IF($T$79="x",-1,IF(AND($T$79=0,INDEX(KonZeile3,1)+INDEX(KonSpalte1,1)+INDEX(KonFeld3,1)=0),1,0))</f>
        <v>-1</v>
      </c>
      <c r="BQ113" s="50">
        <f>IF($T$79="x",-1,IF(AND($T$79=0,INDEX(KonZeile3,2)+INDEX(KonSpalte1,2)+INDEX(KonFeld3,2)=0),2,0))</f>
        <v>-1</v>
      </c>
      <c r="BR113" s="51">
        <f>IF($T$79="x",-1,IF(AND($T$79=0,INDEX(KonZeile3,3)+INDEX(KonSpalte1,3)+INDEX(KonFeld3,3)=0),3,0))</f>
        <v>-1</v>
      </c>
      <c r="BS113" s="52">
        <f>IF($U$79="x",-1,IF(AND($U$79=0,INDEX(KonZeile3,1)+INDEX(KonSpalte2,1)+INDEX(KonFeld3,1)=0),1,0))</f>
        <v>-1</v>
      </c>
      <c r="BT113" s="50">
        <f>IF($U$79="x",-1,IF(AND($U$79=0,INDEX(KonZeile3,2)+INDEX(KonSpalte2,2)+INDEX(KonFeld3,2)=0),2,0))</f>
        <v>-1</v>
      </c>
      <c r="BU113" s="51">
        <f>IF($U$79="x",-1,IF(AND($U$79=0,INDEX(KonZeile3,3)+INDEX(KonSpalte2,3)+INDEX(KonFeld3,3)=0),3,0))</f>
        <v>-1</v>
      </c>
      <c r="BV113" s="52">
        <f>IF($V$79="x",-1,IF(AND($V$79=0,INDEX(KonZeile3,1)+INDEX(KonSpalte3,1)+INDEX(KonFeld3,1)=0),1,0))</f>
        <v>-1</v>
      </c>
      <c r="BW113" s="50">
        <f>IF($V$79="x",-1,IF(AND($V$79=0,INDEX(KonZeile3,2)+INDEX(KonSpalte3,2)+INDEX(KonFeld3,2)=0),2,0))</f>
        <v>-1</v>
      </c>
      <c r="BX113" s="53">
        <f>IF($V$79="x",-1,IF(AND($V$79=0,INDEX(KonZeile3,3)+INDEX(KonSpalte3,3)+INDEX(KonFeld3,3)=0),3,0))</f>
        <v>-1</v>
      </c>
      <c r="BY113" s="49">
        <f>IF($W$79="x",-1,IF(AND($W$79=0,INDEX(KonZeile3,1)+INDEX(KonSpalte4,1)+INDEX(KonFeld3,1)=0),1,0))</f>
        <v>-1</v>
      </c>
      <c r="BZ113" s="50">
        <f>IF($W$79="x",-1,IF(AND($W$79=0,INDEX(KonZeile3,2)+INDEX(KonSpalte4,2)+INDEX(KonFeld3,2)=0),2,0))</f>
        <v>-1</v>
      </c>
      <c r="CA113" s="51">
        <f>IF($W$79="x",-1,IF(AND($W$79=0,INDEX(KonZeile3,3)+INDEX(KonSpalte4,3)+INDEX(KonFeld3,3)=0),3,0))</f>
        <v>-1</v>
      </c>
      <c r="CB113" s="52">
        <f>IF($X$79="x",-1,IF(AND($X$79=0,INDEX(KonZeile3,1)+INDEX(KonSpalte5,1)+INDEX(KonFeld3,1)=0),1,0))</f>
        <v>-1</v>
      </c>
      <c r="CC113" s="50">
        <f>IF($X$79="x",-1,IF(AND($X$79=0,INDEX(KonZeile3,2)+INDEX(KonSpalte5,2)+INDEX(KonFeld3,2)=0),2,0))</f>
        <v>-1</v>
      </c>
      <c r="CD113" s="51">
        <f>IF($X$79="x",-1,IF(AND($X$79=0,INDEX(KonZeile3,3)+INDEX(KonSpalte5,3)+INDEX(KonFeld3,3)=0),3,0))</f>
        <v>-1</v>
      </c>
      <c r="CE113" s="52">
        <f>IF($Y$79="x",-1,IF(AND($Y$79=0,INDEX(KonZeile3,1)+INDEX(KonSpalte6,1)+INDEX(KonFeld3,1)=0),1,0))</f>
        <v>-1</v>
      </c>
      <c r="CF113" s="50">
        <f>IF($Y$79="x",-1,IF(AND($Y$79=0,INDEX(KonZeile3,2)+INDEX(KonSpalte6,2)+INDEX(KonFeld3,2)=0),2,0))</f>
        <v>-1</v>
      </c>
      <c r="CG113" s="53">
        <f>IF($Y$79="x",-1,IF(AND($Y$79=0,INDEX(KonZeile3,3)+INDEX(KonSpalte6,3)+INDEX(KonFeld3,3)=0),3,0))</f>
        <v>-1</v>
      </c>
      <c r="CH113" s="49">
        <f>IF($Z$79="x",-1,IF(AND($Z$79=0,INDEX(KonZeile3,1)+INDEX(KonSpalte7,1)+INDEX(KonFeld3,1)=0),1,0))</f>
        <v>-1</v>
      </c>
      <c r="CI113" s="50">
        <f>IF($Z$79="x",-1,IF(AND($Z$79=0,INDEX(KonZeile3,2)+INDEX(KonSpalte7,2)+INDEX(KonFeld3,2)=0),2,0))</f>
        <v>-1</v>
      </c>
      <c r="CJ113" s="51">
        <f>IF($Z$79="x",-1,IF(AND($Z$79=0,INDEX(KonZeile3,3)+INDEX(KonSpalte7,3)+INDEX(KonFeld3,3)=0),3,0))</f>
        <v>-1</v>
      </c>
      <c r="CK113" s="52">
        <f>IF($AA$79="x",-1,IF(AND($AA$79=0,INDEX(KonZeile3,1)+INDEX(KonSpalte8,1)+INDEX(KonFeld3,1)=0),1,0))</f>
        <v>0</v>
      </c>
      <c r="CL113" s="50">
        <f>IF($AA$79="x",-1,IF(AND($AA$79=0,INDEX(KonZeile3,2)+INDEX(KonSpalte8,2)+INDEX(KonFeld3,2)=0),2,0))</f>
        <v>0</v>
      </c>
      <c r="CM113" s="51">
        <f>IF($AA$79="x",-1,IF(AND($AA$79=0,INDEX(KonZeile3,3)+INDEX(KonSpalte8,3)+INDEX(KonFeld3,3)=0),3,0))</f>
        <v>0</v>
      </c>
      <c r="CN113" s="52">
        <f>IF($AB$79="x",-1,IF(AND($AB$79=0,INDEX(KonZeile3,1)+INDEX(KonSpalte9,1)+INDEX(KonFeld3,1)=0),1,0))</f>
        <v>0</v>
      </c>
      <c r="CO113" s="50">
        <f>IF($AB$79="x",-1,IF(AND($AB$79=0,INDEX(KonZeile3,2)+INDEX(KonSpalte9,2)+INDEX(KonFeld3,2)=0),2,0))</f>
        <v>0</v>
      </c>
      <c r="CP113" s="105">
        <f>IF($AB$79="x",-1,IF(AND($AB$79=0,INDEX(KonZeile3,3)+INDEX(KonSpalte9,3)+INDEX(KonFeld3,3)=0),3,0))</f>
        <v>0</v>
      </c>
      <c r="CR113" s="52">
        <f>COUNTIF(N113:CP113,1)</f>
        <v>0</v>
      </c>
      <c r="CS113" s="50">
        <f>COUNTIF(N113:CP113,2)</f>
        <v>0</v>
      </c>
      <c r="CT113" s="51">
        <f>COUNTIF(N113:CP113,3)</f>
        <v>0</v>
      </c>
      <c r="CU113" s="39"/>
      <c r="CV113" s="39"/>
      <c r="CX113" s="91">
        <f t="shared" si="104"/>
        <v>0</v>
      </c>
      <c r="CY113" s="92">
        <f t="shared" si="105"/>
        <v>0</v>
      </c>
      <c r="CZ113" s="93">
        <f t="shared" si="106"/>
        <v>0</v>
      </c>
      <c r="DE113" s="236">
        <f>IF(N113&gt;=0,10+N113,IF(AO113&gt;=0,20+AO113,IF(BP113&gt;=0,30+BP113,IF(N140&gt;=0,40+N140,IF(AO140&gt;=0,50+AO140,IF(BP140&gt;=0,60+BP140,IF(N167&gt;=0,70+N167,IF(AO167&gt;=0,80+AO167,IF(BP167&gt;=0,90+BP167,"")))))))))</f>
        <v>10</v>
      </c>
      <c r="DF113" s="237">
        <f t="shared" si="135"/>
        <v>10</v>
      </c>
      <c r="DG113" s="238">
        <f t="shared" si="136"/>
        <v>10</v>
      </c>
      <c r="DH113" s="239">
        <f t="shared" si="137"/>
        <v>50</v>
      </c>
      <c r="DI113" s="237">
        <f t="shared" si="138"/>
        <v>50</v>
      </c>
      <c r="DJ113" s="238">
        <f t="shared" si="139"/>
        <v>50</v>
      </c>
      <c r="DK113" s="239">
        <f t="shared" si="140"/>
        <v>20</v>
      </c>
      <c r="DL113" s="237">
        <f t="shared" si="141"/>
        <v>20</v>
      </c>
      <c r="DM113" s="240">
        <f t="shared" si="142"/>
        <v>20</v>
      </c>
      <c r="DN113" s="236">
        <f>IF(W113&gt;=0,10+W113,IF(AX113&gt;=0,20+AX113,IF(BY113&gt;=0,30+BY113,IF(W140&gt;=0,40+W140,IF(AX140&gt;=0,50+AX140,IF(BY140&gt;=0,60+BY140,IF(W167&gt;=0,70+W167,IF(AX167&gt;=0,80+AX167,IF(BY167&gt;=0,90+BY167,"")))))))))</f>
        <v>50</v>
      </c>
      <c r="DO113" s="237">
        <f t="shared" si="144"/>
        <v>50</v>
      </c>
      <c r="DP113" s="238">
        <f t="shared" si="145"/>
        <v>50</v>
      </c>
      <c r="DQ113" s="239">
        <f t="shared" si="146"/>
        <v>50</v>
      </c>
      <c r="DR113" s="237">
        <f t="shared" si="147"/>
        <v>50</v>
      </c>
      <c r="DS113" s="238">
        <f t="shared" si="148"/>
        <v>50</v>
      </c>
      <c r="DT113" s="239">
        <f t="shared" si="149"/>
        <v>80</v>
      </c>
      <c r="DU113" s="237">
        <f t="shared" si="150"/>
        <v>80</v>
      </c>
      <c r="DV113" s="240">
        <f t="shared" si="151"/>
        <v>80</v>
      </c>
      <c r="DW113" s="236">
        <f t="shared" si="152"/>
        <v>60</v>
      </c>
      <c r="DX113" s="237">
        <f t="shared" si="153"/>
        <v>60</v>
      </c>
      <c r="DY113" s="238">
        <f t="shared" si="154"/>
        <v>60</v>
      </c>
      <c r="DZ113" s="239">
        <f t="shared" si="155"/>
        <v>30</v>
      </c>
      <c r="EA113" s="237">
        <f t="shared" si="156"/>
        <v>30</v>
      </c>
      <c r="EB113" s="238">
        <f t="shared" si="157"/>
        <v>30</v>
      </c>
      <c r="EC113" s="239">
        <f t="shared" si="158"/>
        <v>30</v>
      </c>
      <c r="ED113" s="237">
        <f t="shared" si="159"/>
        <v>30</v>
      </c>
      <c r="EE113" s="240">
        <f t="shared" si="160"/>
        <v>30</v>
      </c>
      <c r="EF113" s="537"/>
      <c r="EG113" s="538"/>
      <c r="EH113" s="539"/>
      <c r="EI113" s="295"/>
      <c r="EJ113" s="253"/>
      <c r="EK113" s="254"/>
      <c r="EL113" s="269"/>
      <c r="EM113" s="270"/>
      <c r="EN113" s="271"/>
      <c r="EO113" s="261">
        <v>1</v>
      </c>
      <c r="EP113" s="262"/>
      <c r="EQ113" s="421"/>
      <c r="ER113" s="423">
        <v>1</v>
      </c>
      <c r="ES113" s="270">
        <v>2</v>
      </c>
      <c r="ET113" s="271"/>
      <c r="EU113" s="269"/>
      <c r="EV113" s="270"/>
      <c r="EW113" s="271"/>
      <c r="EX113" s="362"/>
      <c r="EY113" s="363"/>
      <c r="EZ113" s="364"/>
      <c r="FA113" s="453">
        <v>1</v>
      </c>
      <c r="FB113" s="351"/>
      <c r="FC113" s="352"/>
      <c r="FD113" s="315"/>
      <c r="FE113" s="313">
        <v>2</v>
      </c>
      <c r="FF113" s="314"/>
      <c r="FG113" s="315"/>
      <c r="FH113" s="313">
        <v>2</v>
      </c>
      <c r="FI113" s="316"/>
      <c r="FJ113" s="537"/>
      <c r="FK113" s="538"/>
      <c r="FL113" s="539"/>
      <c r="FM113" s="295"/>
      <c r="FN113" s="253"/>
      <c r="FO113" s="254"/>
      <c r="FP113" s="269"/>
      <c r="FQ113" s="270"/>
      <c r="FR113" s="271"/>
      <c r="FS113" s="261">
        <v>1</v>
      </c>
      <c r="FT113" s="262"/>
      <c r="FU113" s="421"/>
      <c r="FV113" s="423"/>
      <c r="FW113" s="270"/>
      <c r="FX113" s="271"/>
      <c r="FY113" s="269"/>
      <c r="FZ113" s="270"/>
      <c r="GA113" s="271"/>
      <c r="GB113" s="362"/>
      <c r="GC113" s="363"/>
      <c r="GD113" s="364"/>
      <c r="GE113" s="453">
        <v>1</v>
      </c>
      <c r="GF113" s="351"/>
      <c r="GG113" s="352"/>
      <c r="GH113" s="315"/>
      <c r="GI113" s="313">
        <v>2</v>
      </c>
      <c r="GJ113" s="314"/>
      <c r="GK113" s="315"/>
      <c r="GL113" s="313"/>
      <c r="GM113" s="316"/>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2:235" ht="15" customHeight="1">
      <c r="B114" s="69" t="str">
        <f t="shared" si="84"/>
        <v>x</v>
      </c>
      <c r="C114" s="70">
        <f t="shared" si="85"/>
        <v>7</v>
      </c>
      <c r="D114" s="70">
        <f t="shared" si="86"/>
        <v>8</v>
      </c>
      <c r="E114" s="70" t="str">
        <f t="shared" si="87"/>
        <v>x</v>
      </c>
      <c r="F114" s="70" t="str">
        <f t="shared" si="88"/>
        <v>x</v>
      </c>
      <c r="G114" s="70">
        <f t="shared" si="89"/>
        <v>1</v>
      </c>
      <c r="H114" s="70">
        <f t="shared" si="90"/>
        <v>5</v>
      </c>
      <c r="I114" s="70" t="str">
        <f t="shared" si="91"/>
        <v>x</v>
      </c>
      <c r="J114" s="71" t="str">
        <f t="shared" si="92"/>
        <v>x</v>
      </c>
      <c r="N114" s="94">
        <f>IF($B$79="x",-1,IF(AND($B$79=0,INDEX(KonZeile3,4)+INDEX(KonSpalte1,4)+INDEX(KonFeld1,4)=0),4,0))</f>
        <v>0</v>
      </c>
      <c r="O114" s="39">
        <f>IF($B$79="x",-1,IF(AND($B$79=0,INDEX(KonZeile3,5)+INDEX(KonSpalte1,5)+INDEX(KonFeld1,5)=0),5,0))</f>
        <v>0</v>
      </c>
      <c r="P114" s="41">
        <f>IF($B$79="x",-1,IF(AND($B$79=0,INDEX(KonZeile3,6)+INDEX(KonSpalte1,6)+INDEX(KonFeld1,6)=0),6,0))</f>
        <v>0</v>
      </c>
      <c r="Q114" s="40">
        <f>IF($C$79="x",-1,IF(AND($C$79=0,INDEX(KonZeile3,4)+INDEX(KonSpalte2,4)+INDEX(KonFeld1,4)=0),4,0))</f>
        <v>-1</v>
      </c>
      <c r="R114" s="39">
        <f>IF($C$79="x",-1,IF(AND($C$79=0,INDEX(KonZeile3,5)+INDEX(KonSpalte2,5)+INDEX(KonFeld1,5)=0),5,0))</f>
        <v>-1</v>
      </c>
      <c r="S114" s="41">
        <f>IF($C$79="x",-1,IF(AND($C$79=0,INDEX(KonZeile3,6)+INDEX(KonSpalte2,6)+INDEX(KonFeld1,6)=0),6,0))</f>
        <v>-1</v>
      </c>
      <c r="T114" s="40">
        <f>IF($D$79="x",-1,IF(AND($D$79=0,INDEX(KonZeile3,4)+INDEX(KonSpalte3,4)+INDEX(KonFeld1,4)=0),4,0))</f>
        <v>-1</v>
      </c>
      <c r="U114" s="39">
        <f>IF($D$79="x",-1,IF(AND($D$79=0,INDEX(KonZeile3,5)+INDEX(KonSpalte3,5)+INDEX(KonFeld1,5)=0),5,0))</f>
        <v>-1</v>
      </c>
      <c r="V114" s="42">
        <f>IF($D$79="x",-1,IF(AND($D$79=0,INDEX(KonZeile3,6)+INDEX(KonSpalte3,6)+INDEX(KonFeld1,6)=0),6,0))</f>
        <v>-1</v>
      </c>
      <c r="W114" s="43">
        <f>IF($E$79="x",-1,IF(AND($E$79=0,INDEX(KonZeile3,4)+INDEX(KonSpalte4,4)+INDEX(KonFeld1,4)=0),4,0))</f>
        <v>-1</v>
      </c>
      <c r="X114" s="39">
        <f>IF($E$79="x",-1,IF(AND($E$79=0,INDEX(KonZeile3,5)+INDEX(KonSpalte4,5)+INDEX(KonFeld1,5)=0),5,0))</f>
        <v>-1</v>
      </c>
      <c r="Y114" s="41">
        <f>IF($E$79="x",-1,IF(AND($E$79=0,INDEX(KonZeile3,6)+INDEX(KonSpalte4,6)+INDEX(KonFeld1,6)=0),6,0))</f>
        <v>-1</v>
      </c>
      <c r="Z114" s="40">
        <f>IF($F$79="x",-1,IF(AND($F$79=0,INDEX(KonZeile3,4)+INDEX(KonSpalte5,4)+INDEX(KonFeld1,4)=0),4,0))</f>
        <v>-1</v>
      </c>
      <c r="AA114" s="39">
        <f>IF($F$79="x",-1,IF(AND($F$79=0,INDEX(KonZeile3,5)+INDEX(KonSpalte5,5)+INDEX(KonFeld1,5)=0),5,0))</f>
        <v>-1</v>
      </c>
      <c r="AB114" s="41">
        <f>IF($F$79="x",-1,IF(AND($F$79=0,INDEX(KonZeile3,6)+INDEX(KonSpalte5,6)+INDEX(KonFeld1,6)=0),6,0))</f>
        <v>-1</v>
      </c>
      <c r="AC114" s="40">
        <f>IF($G$79="x",-1,IF(AND($G$79=0,INDEX(KonZeile3,4)+INDEX(KonSpalte6,4)+INDEX(KonFeld1,4)=0),4,0))</f>
        <v>-1</v>
      </c>
      <c r="AD114" s="39">
        <f>IF($G$79="x",-1,IF(AND($G$79=0,INDEX(KonZeile3,5)+INDEX(KonSpalte6,5)+INDEX(KonFeld1,5)=0),5,0))</f>
        <v>-1</v>
      </c>
      <c r="AE114" s="42">
        <f>IF($G$79="x",-1,IF(AND($G$79=0,INDEX(KonZeile3,6)+INDEX(KonSpalte6,6)+INDEX(KonFeld1,6)=0),6,0))</f>
        <v>-1</v>
      </c>
      <c r="AF114" s="43">
        <f>IF($H$79="x",-1,IF(AND($H$79=0,INDEX(KonZeile3,4)+INDEX(KonSpalte7,4)+INDEX(KonFeld1,4)=0),4,0))</f>
        <v>-1</v>
      </c>
      <c r="AG114" s="39">
        <f>IF($H$79="x",-1,IF(AND($H$79=0,INDEX(KonZeile3,5)+INDEX(KonSpalte7,5)+INDEX(KonFeld1,5)=0),5,0))</f>
        <v>-1</v>
      </c>
      <c r="AH114" s="41">
        <f>IF($H$79="x",-1,IF(AND($H$79=0,INDEX(KonZeile3,6)+INDEX(KonSpalte7,6)+INDEX(KonFeld1,6)=0),6,0))</f>
        <v>-1</v>
      </c>
      <c r="AI114" s="40">
        <f>IF($I$79="x",-1,IF(AND($I$79=0,INDEX(KonZeile3,4)+INDEX(KonSpalte8,4)+INDEX(KonFeld1,4)=0),4,0))</f>
        <v>-1</v>
      </c>
      <c r="AJ114" s="39">
        <f>IF($I$79="x",-1,IF(AND($I$79=0,INDEX(KonZeile3,5)+INDEX(KonSpalte8,5)+INDEX(KonFeld1,5)=0),5,0))</f>
        <v>-1</v>
      </c>
      <c r="AK114" s="41">
        <f>IF($I$79="x",-1,IF(AND($I$79=0,INDEX(KonZeile3,6)+INDEX(KonSpalte8,6)+INDEX(KonFeld1,6)=0),6,0))</f>
        <v>-1</v>
      </c>
      <c r="AL114" s="40">
        <f>IF($J$79="x",-1,IF(AND($J$79=0,INDEX(KonZeile3,4)+INDEX(KonSpalte9,4)+INDEX(KonFeld1,4)=0),4,0))</f>
        <v>-1</v>
      </c>
      <c r="AM114" s="39">
        <f>IF($J$79="x",-1,IF(AND($J$79=0,INDEX(KonZeile3,5)+INDEX(KonSpalte9,5)+INDEX(KonFeld1,5)=0),5,0))</f>
        <v>-1</v>
      </c>
      <c r="AN114" s="95">
        <f>IF($J$79="x",-1,IF(AND($J$79=0,INDEX(KonZeile3,6)+INDEX(KonSpalte9,6)+INDEX(KonFeld1,6)=0),6,0))</f>
        <v>-1</v>
      </c>
      <c r="AO114" s="94">
        <f>IF($K$79="x",-1,IF(AND($K$79=0,INDEX(KonZeile3,4)+INDEX(KonSpalte1,4)+INDEX(KonFeld2,4)=0),4,0))</f>
        <v>-1</v>
      </c>
      <c r="AP114" s="39">
        <f>IF($K$79="x",-1,IF(AND($K$79=0,INDEX(KonZeile3,5)+INDEX(KonSpalte1,5)+INDEX(KonFeld2,5)=0),5,0))</f>
        <v>-1</v>
      </c>
      <c r="AQ114" s="41">
        <f>IF($K$79="x",-1,IF(AND($K$79=0,INDEX(KonZeile3,6)+INDEX(KonSpalte1,6)+INDEX(KonFeld2,6)=0),6,0))</f>
        <v>-1</v>
      </c>
      <c r="AR114" s="40">
        <f>IF($L$79="x",-1,IF(AND($L$79=0,INDEX(KonZeile3,4)+INDEX(KonSpalte2,4)+INDEX(KonFeld2,4)=0),4,0))</f>
        <v>-1</v>
      </c>
      <c r="AS114" s="39">
        <f>IF($L$79="x",-1,IF(AND($L$79=0,INDEX(KonZeile3,5)+INDEX(KonSpalte2,5)+INDEX(KonFeld2,5)=0),5,0))</f>
        <v>-1</v>
      </c>
      <c r="AT114" s="41">
        <f>IF($L$79="x",-1,IF(AND($L$79=0,INDEX(KonZeile3,6)+INDEX(KonSpalte2,6)+INDEX(KonFeld2,6)=0),6,0))</f>
        <v>-1</v>
      </c>
      <c r="AU114" s="40">
        <f>IF($M$79="x",-1,IF(AND($M$79=0,INDEX(KonZeile3,4)+INDEX(KonSpalte3,4)+INDEX(KonFeld2,4)=0),4,0))</f>
        <v>0</v>
      </c>
      <c r="AV114" s="39">
        <f>IF($M$79="x",-1,IF(AND($M$79=0,INDEX(KonZeile3,5)+INDEX(KonSpalte3,5)+INDEX(KonFeld2,5)=0),5,0))</f>
        <v>0</v>
      </c>
      <c r="AW114" s="42">
        <f>IF($M$79="x",-1,IF(AND($M$79=0,INDEX(KonZeile3,6)+INDEX(KonSpalte3,6)+INDEX(KonFeld2,6)=0),6,0))</f>
        <v>0</v>
      </c>
      <c r="AX114" s="43">
        <f>IF($N$79="x",-1,IF(AND($N$79=0,INDEX(KonZeile3,4)+INDEX(KonSpalte4,4)+INDEX(KonFeld2,4)=0),4,0))</f>
        <v>-1</v>
      </c>
      <c r="AY114" s="39">
        <f>IF($N$79="x",-1,IF(AND($N$79=0,INDEX(KonZeile3,5)+INDEX(KonSpalte4,5)+INDEX(KonFeld2,5)=0),5,0))</f>
        <v>-1</v>
      </c>
      <c r="AZ114" s="41">
        <f>IF($N$79="x",-1,IF(AND($N$79=0,INDEX(KonZeile3,6)+INDEX(KonSpalte4,6)+INDEX(KonFeld2,6)=0),6,0))</f>
        <v>-1</v>
      </c>
      <c r="BA114" s="40">
        <f>IF($O$79="x",-1,IF(AND($O$79=0,INDEX(KonZeile3,4)+INDEX(KonSpalte5,4)+INDEX(KonFeld2,4)=0),4,0))</f>
        <v>-1</v>
      </c>
      <c r="BB114" s="39">
        <f>IF($O$79="x",-1,IF(AND($O$79=0,INDEX(KonZeile3,5)+INDEX(KonSpalte5,5)+INDEX(KonFeld2,5)=0),5,0))</f>
        <v>-1</v>
      </c>
      <c r="BC114" s="41">
        <f>IF($O$79="x",-1,IF(AND($O$79=0,INDEX(KonZeile3,6)+INDEX(KonSpalte5,6)+INDEX(KonFeld2,6)=0),6,0))</f>
        <v>-1</v>
      </c>
      <c r="BD114" s="40">
        <f>IF($P$79="x",-1,IF(AND($P$79=0,INDEX(KonZeile3,4)+INDEX(KonSpalte6,4)+INDEX(KonFeld2,4)=0),4,0))</f>
        <v>-1</v>
      </c>
      <c r="BE114" s="39">
        <f>IF($P$79="x",-1,IF(AND($P$79=0,INDEX(KonZeile3,5)+INDEX(KonSpalte6,5)+INDEX(KonFeld2,5)=0),5,0))</f>
        <v>-1</v>
      </c>
      <c r="BF114" s="42">
        <f>IF($P$79="x",-1,IF(AND($P$79=0,INDEX(KonZeile3,6)+INDEX(KonSpalte6,6)+INDEX(KonFeld2,6)=0),6,0))</f>
        <v>-1</v>
      </c>
      <c r="BG114" s="43">
        <f>IF($Q$79="x",-1,IF(AND($Q$79=0,INDEX(KonZeile3,4)+INDEX(KonSpalte7,4)+INDEX(KonFeld2,4)=0),4,0))</f>
        <v>-1</v>
      </c>
      <c r="BH114" s="39">
        <f>IF($Q$79="x",-1,IF(AND($Q$79=0,INDEX(KonZeile3,5)+INDEX(KonSpalte7,5)+INDEX(KonFeld2,5)=0),5,0))</f>
        <v>-1</v>
      </c>
      <c r="BI114" s="41">
        <f>IF($Q$79="x",-1,IF(AND($Q$79=0,INDEX(KonZeile3,6)+INDEX(KonSpalte7,6)+INDEX(KonFeld2,6)=0),6,0))</f>
        <v>-1</v>
      </c>
      <c r="BJ114" s="40">
        <f>IF($R$79="x",-1,IF(AND($R$79=0,INDEX(KonZeile3,4)+INDEX(KonSpalte8,4)+INDEX(KonFeld2,4)=0),4,0))</f>
        <v>-1</v>
      </c>
      <c r="BK114" s="39">
        <f>IF($R$79="x",-1,IF(AND($R$79=0,INDEX(KonZeile3,5)+INDEX(KonSpalte8,5)+INDEX(KonFeld2,5)=0),5,0))</f>
        <v>-1</v>
      </c>
      <c r="BL114" s="41">
        <f>IF($R$79="x",-1,IF(AND($R$79=0,INDEX(KonZeile3,6)+INDEX(KonSpalte8,6)+INDEX(KonFeld2,6)=0),6,0))</f>
        <v>-1</v>
      </c>
      <c r="BM114" s="40">
        <f>IF($S$79="x",-1,IF(AND($S$79=0,INDEX(KonZeile3,4)+INDEX(KonSpalte9,4)+INDEX(KonFeld2,4)=0),4,0))</f>
        <v>-1</v>
      </c>
      <c r="BN114" s="39">
        <f>IF($S$79="x",-1,IF(AND($S$79=0,INDEX(KonZeile3,5)+INDEX(KonSpalte9,5)+INDEX(KonFeld2,5)=0),5,0))</f>
        <v>-1</v>
      </c>
      <c r="BO114" s="95">
        <f>IF($S$79="x",-1,IF(AND($S$79=0,INDEX(KonZeile3,6)+INDEX(KonSpalte9,6)+INDEX(KonFeld2,6)=0),6,0))</f>
        <v>-1</v>
      </c>
      <c r="BP114" s="94">
        <f>IF($T$79="x",-1,IF(AND($T$79=0,INDEX(KonZeile3,4)+INDEX(KonSpalte1,4)+INDEX(KonFeld3,4)=0),4,0))</f>
        <v>-1</v>
      </c>
      <c r="BQ114" s="39">
        <f>IF($T$79="x",-1,IF(AND($T$79=0,INDEX(KonZeile3,5)+INDEX(KonSpalte1,5)+INDEX(KonFeld3,5)=0),5,0))</f>
        <v>-1</v>
      </c>
      <c r="BR114" s="41">
        <f>IF($T$79="x",-1,IF(AND($T$79=0,INDEX(KonZeile3,6)+INDEX(KonSpalte1,6)+INDEX(KonFeld3,6)=0),6,0))</f>
        <v>-1</v>
      </c>
      <c r="BS114" s="40">
        <f>IF($U$79="x",-1,IF(AND($U$79=0,INDEX(KonZeile3,4)+INDEX(KonSpalte2,4)+INDEX(KonFeld3,4)=0),4,0))</f>
        <v>-1</v>
      </c>
      <c r="BT114" s="39">
        <f>IF($U$79="x",-1,IF(AND($U$79=0,INDEX(KonZeile3,5)+INDEX(KonSpalte2,5)+INDEX(KonFeld3,5)=0),5,0))</f>
        <v>-1</v>
      </c>
      <c r="BU114" s="41">
        <f>IF($U$79="x",-1,IF(AND($U$79=0,INDEX(KonZeile3,6)+INDEX(KonSpalte2,6)+INDEX(KonFeld3,6)=0),6,0))</f>
        <v>-1</v>
      </c>
      <c r="BV114" s="40">
        <f>IF($V$79="x",-1,IF(AND($V$79=0,INDEX(KonZeile3,4)+INDEX(KonSpalte3,4)+INDEX(KonFeld3,4)=0),4,0))</f>
        <v>-1</v>
      </c>
      <c r="BW114" s="39">
        <f>IF($V$79="x",-1,IF(AND($V$79=0,INDEX(KonZeile3,5)+INDEX(KonSpalte3,5)+INDEX(KonFeld3,5)=0),5,0))</f>
        <v>-1</v>
      </c>
      <c r="BX114" s="42">
        <f>IF($V$79="x",-1,IF(AND($V$79=0,INDEX(KonZeile3,6)+INDEX(KonSpalte3,6)+INDEX(KonFeld3,6)=0),6,0))</f>
        <v>-1</v>
      </c>
      <c r="BY114" s="43">
        <f>IF($W$79="x",-1,IF(AND($W$79=0,INDEX(KonZeile3,4)+INDEX(KonSpalte4,4)+INDEX(KonFeld3,4)=0),4,0))</f>
        <v>-1</v>
      </c>
      <c r="BZ114" s="39">
        <f>IF($W$79="x",-1,IF(AND($W$79=0,INDEX(KonZeile3,5)+INDEX(KonSpalte4,5)+INDEX(KonFeld3,5)=0),5,0))</f>
        <v>-1</v>
      </c>
      <c r="CA114" s="41">
        <f>IF($W$79="x",-1,IF(AND($W$79=0,INDEX(KonZeile3,6)+INDEX(KonSpalte4,6)+INDEX(KonFeld3,6)=0),6,0))</f>
        <v>-1</v>
      </c>
      <c r="CB114" s="40">
        <f>IF($X$79="x",-1,IF(AND($X$79=0,INDEX(KonZeile3,4)+INDEX(KonSpalte5,4)+INDEX(KonFeld3,4)=0),4,0))</f>
        <v>-1</v>
      </c>
      <c r="CC114" s="39">
        <f>IF($X$79="x",-1,IF(AND($X$79=0,INDEX(KonZeile3,5)+INDEX(KonSpalte5,5)+INDEX(KonFeld3,5)=0),5,0))</f>
        <v>-1</v>
      </c>
      <c r="CD114" s="41">
        <f>IF($X$79="x",-1,IF(AND($X$79=0,INDEX(KonZeile3,6)+INDEX(KonSpalte5,6)+INDEX(KonFeld3,6)=0),6,0))</f>
        <v>-1</v>
      </c>
      <c r="CE114" s="40">
        <f>IF($Y$79="x",-1,IF(AND($Y$79=0,INDEX(KonZeile3,4)+INDEX(KonSpalte6,4)+INDEX(KonFeld3,4)=0),4,0))</f>
        <v>-1</v>
      </c>
      <c r="CF114" s="39">
        <f>IF($Y$79="x",-1,IF(AND($Y$79=0,INDEX(KonZeile3,5)+INDEX(KonSpalte6,5)+INDEX(KonFeld3,5)=0),5,0))</f>
        <v>-1</v>
      </c>
      <c r="CG114" s="42">
        <f>IF($Y$79="x",-1,IF(AND($Y$79=0,INDEX(KonZeile3,6)+INDEX(KonSpalte6,6)+INDEX(KonFeld3,6)=0),6,0))</f>
        <v>-1</v>
      </c>
      <c r="CH114" s="43">
        <f>IF($Z$79="x",-1,IF(AND($Z$79=0,INDEX(KonZeile3,4)+INDEX(KonSpalte7,4)+INDEX(KonFeld3,4)=0),4,0))</f>
        <v>-1</v>
      </c>
      <c r="CI114" s="39">
        <f>IF($Z$79="x",-1,IF(AND($Z$79=0,INDEX(KonZeile3,5)+INDEX(KonSpalte7,5)+INDEX(KonFeld3,5)=0),5,0))</f>
        <v>-1</v>
      </c>
      <c r="CJ114" s="41">
        <f>IF($Z$79="x",-1,IF(AND($Z$79=0,INDEX(KonZeile3,6)+INDEX(KonSpalte7,6)+INDEX(KonFeld3,6)=0),6,0))</f>
        <v>-1</v>
      </c>
      <c r="CK114" s="40">
        <f>IF($AA$79="x",-1,IF(AND($AA$79=0,INDEX(KonZeile3,4)+INDEX(KonSpalte8,4)+INDEX(KonFeld3,4)=0),4,0))</f>
        <v>0</v>
      </c>
      <c r="CL114" s="39">
        <f>IF($AA$79="x",-1,IF(AND($AA$79=0,INDEX(KonZeile3,5)+INDEX(KonSpalte8,5)+INDEX(KonFeld3,5)=0),5,0))</f>
        <v>0</v>
      </c>
      <c r="CM114" s="41">
        <f>IF($AA$79="x",-1,IF(AND($AA$79=0,INDEX(KonZeile3,6)+INDEX(KonSpalte8,6)+INDEX(KonFeld3,6)=0),6,0))</f>
        <v>0</v>
      </c>
      <c r="CN114" s="40">
        <f>IF($AB$79="x",-1,IF(AND($AB$79=0,INDEX(KonZeile3,4)+INDEX(KonSpalte9,4)+INDEX(KonFeld3,4)=0),4,0))</f>
        <v>0</v>
      </c>
      <c r="CO114" s="39">
        <f>IF($AB$79="x",-1,IF(AND($AB$79=0,INDEX(KonZeile3,5)+INDEX(KonSpalte9,5)+INDEX(KonFeld3,5)=0),5,0))</f>
        <v>0</v>
      </c>
      <c r="CP114" s="95">
        <f>IF($AB$79="x",-1,IF(AND($AB$79=0,INDEX(KonZeile3,6)+INDEX(KonSpalte9,6)+INDEX(KonFeld3,6)=0),6,0))</f>
        <v>0</v>
      </c>
      <c r="CR114" s="40">
        <f>COUNTIF(N114:CP114,4)</f>
        <v>0</v>
      </c>
      <c r="CS114" s="39">
        <f>COUNTIF(N114:CP114,5)</f>
        <v>0</v>
      </c>
      <c r="CT114" s="41">
        <f>COUNTIF(N114:CP114,6)</f>
        <v>0</v>
      </c>
      <c r="CU114" s="39"/>
      <c r="CV114" s="39"/>
      <c r="CX114" s="96">
        <f t="shared" si="104"/>
        <v>0</v>
      </c>
      <c r="CY114" s="97">
        <f t="shared" si="105"/>
        <v>0</v>
      </c>
      <c r="CZ114" s="98">
        <f t="shared" si="106"/>
        <v>0</v>
      </c>
      <c r="DE114" s="226">
        <f t="shared" ref="DE114:DE115" si="161">IF(N114&gt;=0,10+N114,IF(AO114&gt;=0,20+AO114,IF(BP114&gt;=0,30+BP114,IF(N141&gt;=0,40+N141,IF(AO141&gt;=0,50+AO141,IF(BP141&gt;=0,60+BP141,IF(N168&gt;=0,70+N168,IF(AO168&gt;=0,80+AO168,IF(BP168&gt;=0,90+BP168,"")))))))))</f>
        <v>10</v>
      </c>
      <c r="DF114" s="227">
        <f t="shared" si="135"/>
        <v>10</v>
      </c>
      <c r="DG114" s="228">
        <f t="shared" si="136"/>
        <v>10</v>
      </c>
      <c r="DH114" s="229">
        <f t="shared" si="137"/>
        <v>50</v>
      </c>
      <c r="DI114" s="227">
        <f t="shared" si="138"/>
        <v>50</v>
      </c>
      <c r="DJ114" s="228">
        <f t="shared" si="139"/>
        <v>50</v>
      </c>
      <c r="DK114" s="229">
        <f t="shared" si="140"/>
        <v>20</v>
      </c>
      <c r="DL114" s="227">
        <f t="shared" si="141"/>
        <v>20</v>
      </c>
      <c r="DM114" s="230">
        <f t="shared" si="142"/>
        <v>20</v>
      </c>
      <c r="DN114" s="226">
        <f t="shared" ref="DN114:DN115" si="162">IF(W114&gt;=0,10+W114,IF(AX114&gt;=0,20+AX114,IF(BY114&gt;=0,30+BY114,IF(W141&gt;=0,40+W141,IF(AX141&gt;=0,50+AX141,IF(BY141&gt;=0,60+BY141,IF(W168&gt;=0,70+W168,IF(AX168&gt;=0,80+AX168,IF(BY168&gt;=0,90+BY168,"")))))))))</f>
        <v>50</v>
      </c>
      <c r="DO114" s="227">
        <f t="shared" si="144"/>
        <v>50</v>
      </c>
      <c r="DP114" s="228">
        <f t="shared" si="145"/>
        <v>50</v>
      </c>
      <c r="DQ114" s="229">
        <f t="shared" si="146"/>
        <v>50</v>
      </c>
      <c r="DR114" s="227">
        <f t="shared" si="147"/>
        <v>50</v>
      </c>
      <c r="DS114" s="228">
        <f t="shared" si="148"/>
        <v>50</v>
      </c>
      <c r="DT114" s="229">
        <f t="shared" si="149"/>
        <v>80</v>
      </c>
      <c r="DU114" s="227">
        <f t="shared" si="150"/>
        <v>80</v>
      </c>
      <c r="DV114" s="230">
        <f t="shared" si="151"/>
        <v>80</v>
      </c>
      <c r="DW114" s="226">
        <f t="shared" si="152"/>
        <v>60</v>
      </c>
      <c r="DX114" s="227">
        <f t="shared" si="153"/>
        <v>60</v>
      </c>
      <c r="DY114" s="228">
        <f t="shared" si="154"/>
        <v>60</v>
      </c>
      <c r="DZ114" s="229">
        <f t="shared" si="155"/>
        <v>30</v>
      </c>
      <c r="EA114" s="227">
        <f t="shared" si="156"/>
        <v>30</v>
      </c>
      <c r="EB114" s="228">
        <f t="shared" si="157"/>
        <v>30</v>
      </c>
      <c r="EC114" s="229">
        <f t="shared" si="158"/>
        <v>30</v>
      </c>
      <c r="ED114" s="227">
        <f t="shared" si="159"/>
        <v>30</v>
      </c>
      <c r="EE114" s="230">
        <f t="shared" si="160"/>
        <v>30</v>
      </c>
      <c r="EI114" s="292"/>
      <c r="EJ114" s="256"/>
      <c r="EK114" s="257"/>
      <c r="EL114" s="272"/>
      <c r="EM114" s="273"/>
      <c r="EN114" s="274"/>
      <c r="EO114" s="264">
        <v>4</v>
      </c>
      <c r="EP114" s="70"/>
      <c r="EQ114" s="71"/>
      <c r="ER114" s="309">
        <v>4</v>
      </c>
      <c r="ES114" s="273"/>
      <c r="ET114" s="274"/>
      <c r="EU114" s="272"/>
      <c r="EV114" s="273"/>
      <c r="EW114" s="274"/>
      <c r="EX114" s="368"/>
      <c r="EY114" s="369"/>
      <c r="EZ114" s="370"/>
      <c r="FA114" s="445"/>
      <c r="FB114" s="339"/>
      <c r="FC114" s="340">
        <v>6</v>
      </c>
      <c r="FD114" s="319"/>
      <c r="FE114" s="317">
        <v>5</v>
      </c>
      <c r="FF114" s="318"/>
      <c r="FG114" s="319">
        <v>4</v>
      </c>
      <c r="FH114" s="317"/>
      <c r="FI114" s="320">
        <v>6</v>
      </c>
      <c r="FM114" s="292"/>
      <c r="FN114" s="256"/>
      <c r="FO114" s="257"/>
      <c r="FP114" s="272"/>
      <c r="FQ114" s="273"/>
      <c r="FR114" s="274"/>
      <c r="FS114" s="264">
        <v>4</v>
      </c>
      <c r="FT114" s="70"/>
      <c r="FU114" s="71"/>
      <c r="FV114" s="309"/>
      <c r="FW114" s="273"/>
      <c r="FX114" s="274"/>
      <c r="FY114" s="272"/>
      <c r="FZ114" s="273"/>
      <c r="GA114" s="274"/>
      <c r="GB114" s="368"/>
      <c r="GC114" s="369"/>
      <c r="GD114" s="370"/>
      <c r="GE114" s="445"/>
      <c r="GF114" s="339"/>
      <c r="GG114" s="340">
        <v>6</v>
      </c>
      <c r="GH114" s="319"/>
      <c r="GI114" s="317">
        <v>5</v>
      </c>
      <c r="GJ114" s="318"/>
      <c r="GK114" s="319"/>
      <c r="GL114" s="317"/>
      <c r="GM114" s="320"/>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2:235" ht="15" customHeight="1" thickBot="1">
      <c r="B115" s="69" t="str">
        <f t="shared" si="84"/>
        <v>x</v>
      </c>
      <c r="C115" s="70">
        <f t="shared" si="85"/>
        <v>9</v>
      </c>
      <c r="D115" s="70" t="str">
        <f t="shared" si="86"/>
        <v>x</v>
      </c>
      <c r="E115" s="70">
        <f t="shared" si="87"/>
        <v>2</v>
      </c>
      <c r="F115" s="70">
        <f t="shared" si="88"/>
        <v>3</v>
      </c>
      <c r="G115" s="70" t="str">
        <f t="shared" si="89"/>
        <v>x</v>
      </c>
      <c r="H115" s="70" t="str">
        <f t="shared" si="90"/>
        <v>x</v>
      </c>
      <c r="I115" s="70" t="str">
        <f t="shared" si="91"/>
        <v>x</v>
      </c>
      <c r="J115" s="71" t="str">
        <f t="shared" si="92"/>
        <v>x</v>
      </c>
      <c r="N115" s="106">
        <f>IF($B$79="x",-1,IF(AND($B$79=0,INDEX(KonZeile3,7)+INDEX(KonSpalte1,7)+INDEX(KonFeld1,7)=0),7,0))</f>
        <v>0</v>
      </c>
      <c r="O115" s="55">
        <f>IF($B$79="x",-1,IF(AND($B$79=0,INDEX(KonZeile3,8)+INDEX(KonSpalte1,8)+INDEX(KonFeld1,8)=0),8,0))</f>
        <v>0</v>
      </c>
      <c r="P115" s="56">
        <f>IF($B$79="x",-1,IF(AND($B$79=0,INDEX(KonZeile3,9)+INDEX(KonSpalte1,9)+INDEX(KonFeld1,9)=0),9,0))</f>
        <v>0</v>
      </c>
      <c r="Q115" s="57">
        <f>IF($C$79="x",-1,IF(AND($C$79=0,INDEX(KonZeile3,7)+INDEX(KonSpalte2,7)+INDEX(KonFeld1,7)=0),7,0))</f>
        <v>-1</v>
      </c>
      <c r="R115" s="55">
        <f>IF($C$79="x",-1,IF(AND($C$79=0,INDEX(KonZeile3,8)+INDEX(KonSpalte2,8)+INDEX(KonFeld1,8)=0),8,0))</f>
        <v>-1</v>
      </c>
      <c r="S115" s="56">
        <f>IF($C$79="x",-1,IF(AND($C$79=0,INDEX(KonZeile3,9)+INDEX(KonSpalte2,9)+INDEX(KonFeld1,9)=0),9,0))</f>
        <v>-1</v>
      </c>
      <c r="T115" s="57">
        <f>IF($D$79="x",-1,IF(AND($D$79=0,INDEX(KonZeile3,7)+INDEX(KonSpalte3,7)+INDEX(KonFeld1,7)=0),7,0))</f>
        <v>-1</v>
      </c>
      <c r="U115" s="55">
        <f>IF($D$79="x",-1,IF(AND($D$79=0,INDEX(KonZeile3,8)+INDEX(KonSpalte3,8)+INDEX(KonFeld1,8)=0),8,0))</f>
        <v>-1</v>
      </c>
      <c r="V115" s="58">
        <f>IF($D$79="x",-1,IF(AND($D$79=0,INDEX(KonZeile3,9)+INDEX(KonSpalte3,9)+INDEX(KonFeld1,9)=0),9,0))</f>
        <v>-1</v>
      </c>
      <c r="W115" s="54">
        <f>IF($E$79="x",-1,IF(AND($E$79=0,INDEX(KonZeile3,7)+INDEX(KonSpalte4,7)+INDEX(KonFeld1,7)=0),7,0))</f>
        <v>-1</v>
      </c>
      <c r="X115" s="55">
        <f>IF($E$79="x",-1,IF(AND($E$79=0,INDEX(KonZeile3,8)+INDEX(KonSpalte4,8)+INDEX(KonFeld1,8)=0),8,0))</f>
        <v>-1</v>
      </c>
      <c r="Y115" s="56">
        <f>IF($E$79="x",-1,IF(AND($E$79=0,INDEX(KonZeile3,9)+INDEX(KonSpalte4,9)+INDEX(KonFeld1,9)=0),9,0))</f>
        <v>-1</v>
      </c>
      <c r="Z115" s="57">
        <f>IF($F$79="x",-1,IF(AND($F$79=0,INDEX(KonZeile3,7)+INDEX(KonSpalte5,7)+INDEX(KonFeld1,7)=0),7,0))</f>
        <v>-1</v>
      </c>
      <c r="AA115" s="55">
        <f>IF($F$79="x",-1,IF(AND($F$79=0,INDEX(KonZeile3,8)+INDEX(KonSpalte5,8)+INDEX(KonFeld1,8)=0),8,0))</f>
        <v>-1</v>
      </c>
      <c r="AB115" s="56">
        <f>IF($F$79="x",-1,IF(AND($F$79=0,INDEX(KonZeile3,9)+INDEX(KonSpalte5,9)+INDEX(KonFeld1,9)=0),9,0))</f>
        <v>-1</v>
      </c>
      <c r="AC115" s="57">
        <f>IF($G$79="x",-1,IF(AND($G$79=0,INDEX(KonZeile3,7)+INDEX(KonSpalte6,7)+INDEX(KonFeld1,7)=0),7,0))</f>
        <v>-1</v>
      </c>
      <c r="AD115" s="55">
        <f>IF($G$79="x",-1,IF(AND($G$79=0,INDEX(KonZeile3,8)+INDEX(KonSpalte6,8)+INDEX(KonFeld1,8)=0),8,0))</f>
        <v>-1</v>
      </c>
      <c r="AE115" s="58">
        <f>IF($G$79="x",-1,IF(AND($G$79=0,INDEX(KonZeile3,9)+INDEX(KonSpalte6,9)+INDEX(KonFeld1,9)=0),9,0))</f>
        <v>-1</v>
      </c>
      <c r="AF115" s="54">
        <f>IF($H$79="x",-1,IF(AND($H$79=0,INDEX(KonZeile3,7)+INDEX(KonSpalte7,7)+INDEX(KonFeld1,7)=0),7,0))</f>
        <v>-1</v>
      </c>
      <c r="AG115" s="55">
        <f>IF($H$79="x",-1,IF(AND($H$79=0,INDEX(KonZeile3,8)+INDEX(KonSpalte7,8)+INDEX(KonFeld1,8)=0),8,0))</f>
        <v>-1</v>
      </c>
      <c r="AH115" s="56">
        <f>IF($H$79="x",-1,IF(AND($H$79=0,INDEX(KonZeile3,9)+INDEX(KonSpalte7,9)+INDEX(KonFeld1,9)=0),9,0))</f>
        <v>-1</v>
      </c>
      <c r="AI115" s="57">
        <f>IF($I$79="x",-1,IF(AND($I$79=0,INDEX(KonZeile3,7)+INDEX(KonSpalte8,7)+INDEX(KonFeld1,7)=0),7,0))</f>
        <v>-1</v>
      </c>
      <c r="AJ115" s="55">
        <f>IF($I$79="x",-1,IF(AND($I$79=0,INDEX(KonZeile3,8)+INDEX(KonSpalte8,8)+INDEX(KonFeld1,8)=0),8,0))</f>
        <v>-1</v>
      </c>
      <c r="AK115" s="56">
        <f>IF($I$79="x",-1,IF(AND($I$79=0,INDEX(KonZeile3,9)+INDEX(KonSpalte8,9)+INDEX(KonFeld1,9)=0),9,0))</f>
        <v>-1</v>
      </c>
      <c r="AL115" s="57">
        <f>IF($J$79="x",-1,IF(AND($J$79=0,INDEX(KonZeile3,7)+INDEX(KonSpalte9,7)+INDEX(KonFeld1,7)=0),7,0))</f>
        <v>-1</v>
      </c>
      <c r="AM115" s="55">
        <f>IF($J$79="x",-1,IF(AND($J$79=0,INDEX(KonZeile3,8)+INDEX(KonSpalte9,8)+INDEX(KonFeld1,8)=0),8,0))</f>
        <v>-1</v>
      </c>
      <c r="AN115" s="107">
        <f>IF($J$79="x",-1,IF(AND($J$79=0,INDEX(KonZeile3,9)+INDEX(KonSpalte9,9)+INDEX(KonFeld1,9)=0),9,0))</f>
        <v>-1</v>
      </c>
      <c r="AO115" s="106">
        <f>IF($K$79="x",-1,IF(AND($K$79=0,INDEX(KonZeile3,7)+INDEX(KonSpalte1,7)+INDEX(KonFeld2,7)=0),7,0))</f>
        <v>-1</v>
      </c>
      <c r="AP115" s="55">
        <f>IF($K$79="x",-1,IF(AND($K$79=0,INDEX(KonZeile3,8)+INDEX(KonSpalte1,8)+INDEX(KonFeld2,8)=0),8,0))</f>
        <v>-1</v>
      </c>
      <c r="AQ115" s="56">
        <f>IF($K$79="x",-1,IF(AND($K$79=0,INDEX(KonZeile3,9)+INDEX(KonSpalte1,9)+INDEX(KonFeld2,9)=0),9,0))</f>
        <v>-1</v>
      </c>
      <c r="AR115" s="57">
        <f>IF($L$79="x",-1,IF(AND($L$79=0,INDEX(KonZeile3,7)+INDEX(KonSpalte2,7)+INDEX(KonFeld2,7)=0),7,0))</f>
        <v>-1</v>
      </c>
      <c r="AS115" s="55">
        <f>IF($L$79="x",-1,IF(AND($L$79=0,INDEX(KonZeile3,8)+INDEX(KonSpalte2,8)+INDEX(KonFeld2,8)=0),8,0))</f>
        <v>-1</v>
      </c>
      <c r="AT115" s="56">
        <f>IF($L$79="x",-1,IF(AND($L$79=0,INDEX(KonZeile3,9)+INDEX(KonSpalte2,9)+INDEX(KonFeld2,9)=0),9,0))</f>
        <v>-1</v>
      </c>
      <c r="AU115" s="57">
        <f>IF($M$79="x",-1,IF(AND($M$79=0,INDEX(KonZeile3,7)+INDEX(KonSpalte3,7)+INDEX(KonFeld2,7)=0),7,0))</f>
        <v>0</v>
      </c>
      <c r="AV115" s="55">
        <f>IF($M$79="x",-1,IF(AND($M$79=0,INDEX(KonZeile3,8)+INDEX(KonSpalte3,8)+INDEX(KonFeld2,8)=0),8,0))</f>
        <v>0</v>
      </c>
      <c r="AW115" s="58">
        <f>IF($M$79="x",-1,IF(AND($M$79=0,INDEX(KonZeile3,9)+INDEX(KonSpalte3,9)+INDEX(KonFeld2,9)=0),9,0))</f>
        <v>0</v>
      </c>
      <c r="AX115" s="54">
        <f>IF($N$79="x",-1,IF(AND($N$79=0,INDEX(KonZeile3,7)+INDEX(KonSpalte4,7)+INDEX(KonFeld2,7)=0),7,0))</f>
        <v>-1</v>
      </c>
      <c r="AY115" s="55">
        <f>IF($N$79="x",-1,IF(AND($N$79=0,INDEX(KonZeile3,8)+INDEX(KonSpalte4,8)+INDEX(KonFeld2,8)=0),8,0))</f>
        <v>-1</v>
      </c>
      <c r="AZ115" s="56">
        <f>IF($N$79="x",-1,IF(AND($N$79=0,INDEX(KonZeile3,9)+INDEX(KonSpalte4,9)+INDEX(KonFeld2,9)=0),9,0))</f>
        <v>-1</v>
      </c>
      <c r="BA115" s="57">
        <f>IF($O$79="x",-1,IF(AND($O$79=0,INDEX(KonZeile3,7)+INDEX(KonSpalte5,7)+INDEX(KonFeld2,7)=0),7,0))</f>
        <v>-1</v>
      </c>
      <c r="BB115" s="55">
        <f>IF($O$79="x",-1,IF(AND($O$79=0,INDEX(KonZeile3,8)+INDEX(KonSpalte5,8)+INDEX(KonFeld2,8)=0),8,0))</f>
        <v>-1</v>
      </c>
      <c r="BC115" s="56">
        <f>IF($O$79="x",-1,IF(AND($O$79=0,INDEX(KonZeile3,9)+INDEX(KonSpalte5,9)+INDEX(KonFeld2,9)=0),9,0))</f>
        <v>-1</v>
      </c>
      <c r="BD115" s="57">
        <f>IF($P$79="x",-1,IF(AND($P$79=0,INDEX(KonZeile3,7)+INDEX(KonSpalte6,7)+INDEX(KonFeld2,7)=0),7,0))</f>
        <v>-1</v>
      </c>
      <c r="BE115" s="55">
        <f>IF($P$79="x",-1,IF(AND($P$79=0,INDEX(KonZeile3,8)+INDEX(KonSpalte6,8)+INDEX(KonFeld2,8)=0),8,0))</f>
        <v>-1</v>
      </c>
      <c r="BF115" s="58">
        <f>IF($P$79="x",-1,IF(AND($P$79=0,INDEX(KonZeile3,9)+INDEX(KonSpalte6,9)+INDEX(KonFeld2,9)=0),9,0))</f>
        <v>-1</v>
      </c>
      <c r="BG115" s="54">
        <f>IF($Q$79="x",-1,IF(AND($Q$79=0,INDEX(KonZeile3,7)+INDEX(KonSpalte7,7)+INDEX(KonFeld2,7)=0),7,0))</f>
        <v>-1</v>
      </c>
      <c r="BH115" s="55">
        <f>IF($Q$79="x",-1,IF(AND($Q$79=0,INDEX(KonZeile3,8)+INDEX(KonSpalte7,8)+INDEX(KonFeld2,8)=0),8,0))</f>
        <v>-1</v>
      </c>
      <c r="BI115" s="56">
        <f>IF($Q$79="x",-1,IF(AND($Q$79=0,INDEX(KonZeile3,9)+INDEX(KonSpalte7,9)+INDEX(KonFeld2,9)=0),9,0))</f>
        <v>-1</v>
      </c>
      <c r="BJ115" s="57">
        <f>IF($R$79="x",-1,IF(AND($R$79=0,INDEX(KonZeile3,7)+INDEX(KonSpalte8,7)+INDEX(KonFeld2,7)=0),7,0))</f>
        <v>-1</v>
      </c>
      <c r="BK115" s="55">
        <f>IF($R$79="x",-1,IF(AND($R$79=0,INDEX(KonZeile3,8)+INDEX(KonSpalte8,8)+INDEX(KonFeld2,8)=0),8,0))</f>
        <v>-1</v>
      </c>
      <c r="BL115" s="56">
        <f>IF($R$79="x",-1,IF(AND($R$79=0,INDEX(KonZeile3,9)+INDEX(KonSpalte8,9)+INDEX(KonFeld2,9)=0),9,0))</f>
        <v>-1</v>
      </c>
      <c r="BM115" s="57">
        <f>IF($S$79="x",-1,IF(AND($S$79=0,INDEX(KonZeile3,7)+INDEX(KonSpalte9,7)+INDEX(KonFeld2,7)=0),7,0))</f>
        <v>-1</v>
      </c>
      <c r="BN115" s="55">
        <f>IF($S$79="x",-1,IF(AND($S$79=0,INDEX(KonZeile3,8)+INDEX(KonSpalte9,8)+INDEX(KonFeld2,8)=0),8,0))</f>
        <v>-1</v>
      </c>
      <c r="BO115" s="107">
        <f>IF($S$79="x",-1,IF(AND($S$79=0,INDEX(KonZeile3,9)+INDEX(KonSpalte9,9)+INDEX(KonFeld2,9)=0),9,0))</f>
        <v>-1</v>
      </c>
      <c r="BP115" s="106">
        <f>IF($T$79="x",-1,IF(AND($T$79=0,INDEX(KonZeile3,7)+INDEX(KonSpalte1,7)+INDEX(KonFeld3,7)=0),7,0))</f>
        <v>-1</v>
      </c>
      <c r="BQ115" s="55">
        <f>IF($T$79="x",-1,IF(AND($T$79=0,INDEX(KonZeile3,8)+INDEX(KonSpalte1,8)+INDEX(KonFeld3,8)=0),8,0))</f>
        <v>-1</v>
      </c>
      <c r="BR115" s="56">
        <f>IF($T$79="x",-1,IF(AND($T$79=0,INDEX(KonZeile3,9)+INDEX(KonSpalte1,9)+INDEX(KonFeld3,9)=0),9,0))</f>
        <v>-1</v>
      </c>
      <c r="BS115" s="57">
        <f>IF($U$79="x",-1,IF(AND($U$79=0,INDEX(KonZeile3,7)+INDEX(KonSpalte2,7)+INDEX(KonFeld3,7)=0),7,0))</f>
        <v>-1</v>
      </c>
      <c r="BT115" s="55">
        <f>IF($U$79="x",-1,IF(AND($U$79=0,INDEX(KonZeile3,8)+INDEX(KonSpalte2,8)+INDEX(KonFeld3,8)=0),8,0))</f>
        <v>-1</v>
      </c>
      <c r="BU115" s="56">
        <f>IF($U$79="x",-1,IF(AND($U$79=0,INDEX(KonZeile3,9)+INDEX(KonSpalte2,9)+INDEX(KonFeld3,9)=0),9,0))</f>
        <v>-1</v>
      </c>
      <c r="BV115" s="57">
        <f>IF($V$79="x",-1,IF(AND($V$79=0,INDEX(KonZeile3,7)+INDEX(KonSpalte3,7)+INDEX(KonFeld3,7)=0),7,0))</f>
        <v>-1</v>
      </c>
      <c r="BW115" s="55">
        <f>IF($V$79="x",-1,IF(AND($V$79=0,INDEX(KonZeile3,8)+INDEX(KonSpalte3,8)+INDEX(KonFeld3,8)=0),8,0))</f>
        <v>-1</v>
      </c>
      <c r="BX115" s="58">
        <f>IF($V$79="x",-1,IF(AND($V$79=0,INDEX(KonZeile3,9)+INDEX(KonSpalte3,9)+INDEX(KonFeld3,9)=0),9,0))</f>
        <v>-1</v>
      </c>
      <c r="BY115" s="54">
        <f>IF($W$79="x",-1,IF(AND($W$79=0,INDEX(KonZeile3,7)+INDEX(KonSpalte4,7)+INDEX(KonFeld3,7)=0),7,0))</f>
        <v>-1</v>
      </c>
      <c r="BZ115" s="55">
        <f>IF($W$79="x",-1,IF(AND($W$79=0,INDEX(KonZeile3,8)+INDEX(KonSpalte4,8)+INDEX(KonFeld3,8)=0),8,0))</f>
        <v>-1</v>
      </c>
      <c r="CA115" s="56">
        <f>IF($W$79="x",-1,IF(AND($W$79=0,INDEX(KonZeile3,9)+INDEX(KonSpalte4,9)+INDEX(KonFeld3,9)=0),9,0))</f>
        <v>-1</v>
      </c>
      <c r="CB115" s="57">
        <f>IF($X$79="x",-1,IF(AND($X$79=0,INDEX(KonZeile3,7)+INDEX(KonSpalte5,7)+INDEX(KonFeld3,7)=0),7,0))</f>
        <v>-1</v>
      </c>
      <c r="CC115" s="55">
        <f>IF($X$79="x",-1,IF(AND($X$79=0,INDEX(KonZeile3,8)+INDEX(KonSpalte5,8)+INDEX(KonFeld3,8)=0),8,0))</f>
        <v>-1</v>
      </c>
      <c r="CD115" s="56">
        <f>IF($X$79="x",-1,IF(AND($X$79=0,INDEX(KonZeile3,9)+INDEX(KonSpalte5,9)+INDEX(KonFeld3,9)=0),9,0))</f>
        <v>-1</v>
      </c>
      <c r="CE115" s="57">
        <f>IF($Y$79="x",-1,IF(AND($Y$79=0,INDEX(KonZeile3,7)+INDEX(KonSpalte6,7)+INDEX(KonFeld3,7)=0),7,0))</f>
        <v>-1</v>
      </c>
      <c r="CF115" s="55">
        <f>IF($Y$79="x",-1,IF(AND($Y$79=0,INDEX(KonZeile3,8)+INDEX(KonSpalte6,8)+INDEX(KonFeld3,8)=0),8,0))</f>
        <v>-1</v>
      </c>
      <c r="CG115" s="58">
        <f>IF($Y$79="x",-1,IF(AND($Y$79=0,INDEX(KonZeile3,9)+INDEX(KonSpalte6,9)+INDEX(KonFeld3,9)=0),9,0))</f>
        <v>-1</v>
      </c>
      <c r="CH115" s="54">
        <f>IF($Z$79="x",-1,IF(AND($Z$79=0,INDEX(KonZeile3,7)+INDEX(KonSpalte7,7)+INDEX(KonFeld3,7)=0),7,0))</f>
        <v>-1</v>
      </c>
      <c r="CI115" s="55">
        <f>IF($Z$79="x",-1,IF(AND($Z$79=0,INDEX(KonZeile3,8)+INDEX(KonSpalte7,8)+INDEX(KonFeld3,8)=0),8,0))</f>
        <v>-1</v>
      </c>
      <c r="CJ115" s="56">
        <f>IF($Z$79="x",-1,IF(AND($Z$79=0,INDEX(KonZeile3,9)+INDEX(KonSpalte7,9)+INDEX(KonFeld3,9)=0),9,0))</f>
        <v>-1</v>
      </c>
      <c r="CK115" s="57">
        <f>IF($AA$79="x",-1,IF(AND($AA$79=0,INDEX(KonZeile3,7)+INDEX(KonSpalte8,7)+INDEX(KonFeld3,7)=0),7,0))</f>
        <v>0</v>
      </c>
      <c r="CL115" s="55">
        <f>IF($AA$79="x",-1,IF(AND($AA$79=0,INDEX(KonZeile3,8)+INDEX(KonSpalte8,8)+INDEX(KonFeld3,8)=0),8,0))</f>
        <v>0</v>
      </c>
      <c r="CM115" s="56">
        <f>IF($AA$79="x",-1,IF(AND($AA$79=0,INDEX(KonZeile3,9)+INDEX(KonSpalte8,9)+INDEX(KonFeld3,9)=0),9,0))</f>
        <v>0</v>
      </c>
      <c r="CN115" s="57">
        <f>IF($AB$79="x",-1,IF(AND($AB$79=0,INDEX(KonZeile3,7)+INDEX(KonSpalte9,7)+INDEX(KonFeld3,7)=0),7,0))</f>
        <v>0</v>
      </c>
      <c r="CO115" s="55">
        <f>IF($AB$79="x",-1,IF(AND($AB$79=0,INDEX(KonZeile3,8)+INDEX(KonSpalte9,8)+INDEX(KonFeld3,8)=0),8,0))</f>
        <v>0</v>
      </c>
      <c r="CP115" s="107">
        <f>IF($AB$79="x",-1,IF(AND($AB$79=0,INDEX(KonZeile3,9)+INDEX(KonSpalte9,9)+INDEX(KonFeld3,9)=0),9,0))</f>
        <v>0</v>
      </c>
      <c r="CR115" s="46">
        <f>COUNTIF(N115:CP115,7)</f>
        <v>0</v>
      </c>
      <c r="CS115" s="45">
        <f>COUNTIF(N115:CP115,8)</f>
        <v>0</v>
      </c>
      <c r="CT115" s="47">
        <f>COUNTIF(N115:CP115,9)</f>
        <v>0</v>
      </c>
      <c r="CU115" s="39"/>
      <c r="CV115" s="39"/>
      <c r="CX115" s="101">
        <f t="shared" si="104"/>
        <v>0</v>
      </c>
      <c r="CY115" s="102">
        <f t="shared" si="105"/>
        <v>0</v>
      </c>
      <c r="CZ115" s="103">
        <f t="shared" si="106"/>
        <v>0</v>
      </c>
      <c r="DE115" s="241">
        <f t="shared" si="161"/>
        <v>10</v>
      </c>
      <c r="DF115" s="242">
        <f t="shared" si="135"/>
        <v>10</v>
      </c>
      <c r="DG115" s="243">
        <f t="shared" si="136"/>
        <v>10</v>
      </c>
      <c r="DH115" s="244">
        <f t="shared" si="137"/>
        <v>50</v>
      </c>
      <c r="DI115" s="242">
        <f t="shared" si="138"/>
        <v>50</v>
      </c>
      <c r="DJ115" s="243">
        <f t="shared" si="139"/>
        <v>50</v>
      </c>
      <c r="DK115" s="244">
        <f t="shared" si="140"/>
        <v>20</v>
      </c>
      <c r="DL115" s="242">
        <f t="shared" si="141"/>
        <v>20</v>
      </c>
      <c r="DM115" s="245">
        <f t="shared" si="142"/>
        <v>20</v>
      </c>
      <c r="DN115" s="241">
        <f t="shared" si="162"/>
        <v>50</v>
      </c>
      <c r="DO115" s="242">
        <f t="shared" si="144"/>
        <v>50</v>
      </c>
      <c r="DP115" s="243">
        <f t="shared" si="145"/>
        <v>50</v>
      </c>
      <c r="DQ115" s="244">
        <f t="shared" si="146"/>
        <v>50</v>
      </c>
      <c r="DR115" s="242">
        <f t="shared" si="147"/>
        <v>50</v>
      </c>
      <c r="DS115" s="243">
        <f t="shared" si="148"/>
        <v>50</v>
      </c>
      <c r="DT115" s="244">
        <f t="shared" si="149"/>
        <v>80</v>
      </c>
      <c r="DU115" s="242">
        <f t="shared" si="150"/>
        <v>80</v>
      </c>
      <c r="DV115" s="245">
        <f t="shared" si="151"/>
        <v>80</v>
      </c>
      <c r="DW115" s="241">
        <f t="shared" si="152"/>
        <v>60</v>
      </c>
      <c r="DX115" s="242">
        <f t="shared" si="153"/>
        <v>60</v>
      </c>
      <c r="DY115" s="243">
        <f t="shared" si="154"/>
        <v>60</v>
      </c>
      <c r="DZ115" s="244">
        <f t="shared" si="155"/>
        <v>30</v>
      </c>
      <c r="EA115" s="242">
        <f t="shared" si="156"/>
        <v>30</v>
      </c>
      <c r="EB115" s="243">
        <f t="shared" si="157"/>
        <v>30</v>
      </c>
      <c r="EC115" s="244">
        <f t="shared" si="158"/>
        <v>30</v>
      </c>
      <c r="ED115" s="242">
        <f t="shared" si="159"/>
        <v>30</v>
      </c>
      <c r="EE115" s="245">
        <f t="shared" si="160"/>
        <v>30</v>
      </c>
      <c r="EI115" s="377"/>
      <c r="EJ115" s="306"/>
      <c r="EK115" s="378"/>
      <c r="EL115" s="303"/>
      <c r="EM115" s="304"/>
      <c r="EN115" s="305"/>
      <c r="EO115" s="466"/>
      <c r="EP115" s="76"/>
      <c r="EQ115" s="77"/>
      <c r="ER115" s="472"/>
      <c r="ES115" s="304"/>
      <c r="ET115" s="305"/>
      <c r="EU115" s="303"/>
      <c r="EV115" s="304"/>
      <c r="EW115" s="305"/>
      <c r="EX115" s="379">
        <v>7</v>
      </c>
      <c r="EY115" s="380"/>
      <c r="EZ115" s="381"/>
      <c r="FA115" s="467"/>
      <c r="FB115" s="383"/>
      <c r="FC115" s="384"/>
      <c r="FD115" s="327"/>
      <c r="FE115" s="325"/>
      <c r="FF115" s="326"/>
      <c r="FG115" s="327"/>
      <c r="FH115" s="325"/>
      <c r="FI115" s="428"/>
      <c r="FM115" s="377"/>
      <c r="FN115" s="306"/>
      <c r="FO115" s="378"/>
      <c r="FP115" s="303"/>
      <c r="FQ115" s="304"/>
      <c r="FR115" s="305"/>
      <c r="FS115" s="466"/>
      <c r="FT115" s="76"/>
      <c r="FU115" s="77"/>
      <c r="FV115" s="472"/>
      <c r="FW115" s="304"/>
      <c r="FX115" s="305"/>
      <c r="FY115" s="303"/>
      <c r="FZ115" s="304"/>
      <c r="GA115" s="305"/>
      <c r="GB115" s="379"/>
      <c r="GC115" s="380"/>
      <c r="GD115" s="381"/>
      <c r="GE115" s="467"/>
      <c r="GF115" s="383"/>
      <c r="GG115" s="384"/>
      <c r="GH115" s="327"/>
      <c r="GI115" s="325"/>
      <c r="GJ115" s="326"/>
      <c r="GK115" s="327"/>
      <c r="GL115" s="325"/>
      <c r="GM115" s="428"/>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2:235" ht="15" customHeight="1">
      <c r="B116" s="69" t="str">
        <f t="shared" si="84"/>
        <v>x</v>
      </c>
      <c r="C116" s="70" t="str">
        <f t="shared" si="85"/>
        <v>x</v>
      </c>
      <c r="D116" s="70">
        <f t="shared" si="86"/>
        <v>6</v>
      </c>
      <c r="E116" s="70" t="str">
        <f t="shared" si="87"/>
        <v>x</v>
      </c>
      <c r="F116" s="70" t="str">
        <f t="shared" si="88"/>
        <v>x</v>
      </c>
      <c r="G116" s="70">
        <f t="shared" si="89"/>
        <v>4</v>
      </c>
      <c r="H116" s="70" t="str">
        <f t="shared" si="90"/>
        <v>x</v>
      </c>
      <c r="I116" s="70" t="str">
        <f t="shared" si="91"/>
        <v>x</v>
      </c>
      <c r="J116" s="71" t="str">
        <f t="shared" si="92"/>
        <v>x</v>
      </c>
      <c r="N116" s="108">
        <f>IF($B$80="x",-1,IF(AND($B$80=0,INDEX(KonZeile4,1)+INDEX(KonSpalte1,1)+INDEX(KonFeld1,1)=0),1,0))</f>
        <v>0</v>
      </c>
      <c r="O116" s="37">
        <f>IF($B$80="x",-1,IF(AND($B$80=0,INDEX(KonZeile4,2)+INDEX(KonSpalte1,2)+INDEX(KonFeld1,2)=0),2,0))</f>
        <v>0</v>
      </c>
      <c r="P116" s="35">
        <f>IF($B$80="x",-1,IF(AND($B$80=0,INDEX(KonZeile4,3)+INDEX(KonSpalte1,3)+INDEX(KonFeld1,3)=0),3,0))</f>
        <v>0</v>
      </c>
      <c r="Q116" s="36">
        <f>IF($C$80="x",-1,IF(AND($C$80=0,INDEX(KonZeile4,1)+INDEX(KonSpalte2,1)+INDEX(KonFeld1,1)=0),1,0))</f>
        <v>0</v>
      </c>
      <c r="R116" s="37">
        <f>IF($C$80="x",-1,IF(AND($C$80=0,INDEX(KonZeile4,2)+INDEX(KonSpalte2,2)+INDEX(KonFeld1,2)=0),2,0))</f>
        <v>0</v>
      </c>
      <c r="S116" s="35">
        <f>IF($C$80="x",-1,IF(AND($C$80=0,INDEX(KonZeile4,3)+INDEX(KonSpalte2,3)+INDEX(KonFeld1,3)=0),3,0))</f>
        <v>0</v>
      </c>
      <c r="T116" s="36">
        <f>IF($D$80="x",-1,IF(AND($D$80=0,INDEX(KonZeile4,1)+INDEX(KonSpalte3,1)+INDEX(KonFeld1,1)=0),1,0))</f>
        <v>-1</v>
      </c>
      <c r="U116" s="37">
        <f>IF($D$80="x",-1,IF(AND($D$80=0,INDEX(KonZeile4,2)+INDEX(KonSpalte3,2)+INDEX(KonFeld1,2)=0),2,0))</f>
        <v>-1</v>
      </c>
      <c r="V116" s="38">
        <f>IF($D$80="x",-1,IF(AND($D$80=0,INDEX(KonZeile4,3)+INDEX(KonSpalte3,3)+INDEX(KonFeld1,3)=0),3,0))</f>
        <v>-1</v>
      </c>
      <c r="W116" s="34">
        <f>IF($E$80="x",-1,IF(AND($E$80=0,INDEX(KonZeile4,1)+INDEX(KonSpalte4,1)+INDEX(KonFeld1,1)=0),1,0))</f>
        <v>-1</v>
      </c>
      <c r="X116" s="37">
        <f>IF($E$80="x",-1,IF(AND($E$80=0,INDEX(KonZeile4,2)+INDEX(KonSpalte4,2)+INDEX(KonFeld1,2)=0),2,0))</f>
        <v>-1</v>
      </c>
      <c r="Y116" s="35">
        <f>IF($E$80="x",-1,IF(AND($E$80=0,INDEX(KonZeile4,3)+INDEX(KonSpalte4,3)+INDEX(KonFeld1,3)=0),3,0))</f>
        <v>-1</v>
      </c>
      <c r="Z116" s="36">
        <f>IF($F$80="x",-1,IF(AND($F$80=0,INDEX(KonZeile4,1)+INDEX(KonSpalte5,1)+INDEX(KonFeld1,1)=0),1,0))</f>
        <v>-1</v>
      </c>
      <c r="AA116" s="37">
        <f>IF($F$80="x",-1,IF(AND($F$80=0,INDEX(KonZeile4,2)+INDEX(KonSpalte5,2)+INDEX(KonFeld1,2)=0),2,0))</f>
        <v>-1</v>
      </c>
      <c r="AB116" s="35">
        <f>IF($F$80="x",-1,IF(AND($F$80=0,INDEX(KonZeile4,3)+INDEX(KonSpalte5,3)+INDEX(KonFeld1,3)=0),3,0))</f>
        <v>-1</v>
      </c>
      <c r="AC116" s="36">
        <f>IF($G$80="x",-1,IF(AND($G$80=0,INDEX(KonZeile4,1)+INDEX(KonSpalte6,1)+INDEX(KonFeld1,1)=0),1,0))</f>
        <v>-1</v>
      </c>
      <c r="AD116" s="37">
        <f>IF($G$80="x",-1,IF(AND($G$80=0,INDEX(KonZeile4,2)+INDEX(KonSpalte6,2)+INDEX(KonFeld1,2)=0),2,0))</f>
        <v>-1</v>
      </c>
      <c r="AE116" s="38">
        <f>IF($G$80="x",-1,IF(AND($G$80=0,INDEX(KonZeile4,3)+INDEX(KonSpalte6,3)+INDEX(KonFeld1,3)=0),3,0))</f>
        <v>-1</v>
      </c>
      <c r="AF116" s="34">
        <f>IF($H$80="x",-1,IF(AND($H$80=0,INDEX(KonZeile4,1)+INDEX(KonSpalte7,1)+INDEX(KonFeld1,1)=0),1,0))</f>
        <v>-1</v>
      </c>
      <c r="AG116" s="37">
        <f>IF($H$80="x",-1,IF(AND($H$80=0,INDEX(KonZeile4,2)+INDEX(KonSpalte7,2)+INDEX(KonFeld1,2)=0),2,0))</f>
        <v>-1</v>
      </c>
      <c r="AH116" s="35">
        <f>IF($H$80="x",-1,IF(AND($H$80=0,INDEX(KonZeile4,3)+INDEX(KonSpalte7,3)+INDEX(KonFeld1,3)=0),3,0))</f>
        <v>-1</v>
      </c>
      <c r="AI116" s="36">
        <f>IF($I$80="x",-1,IF(AND($I$80=0,INDEX(KonZeile4,1)+INDEX(KonSpalte8,1)+INDEX(KonFeld1,1)=0),1,0))</f>
        <v>-1</v>
      </c>
      <c r="AJ116" s="37">
        <f>IF($I$80="x",-1,IF(AND($I$80=0,INDEX(KonZeile4,2)+INDEX(KonSpalte8,2)+INDEX(KonFeld1,2)=0),2,0))</f>
        <v>-1</v>
      </c>
      <c r="AK116" s="35">
        <f>IF($I$80="x",-1,IF(AND($I$80=0,INDEX(KonZeile4,3)+INDEX(KonSpalte8,3)+INDEX(KonFeld1,3)=0),3,0))</f>
        <v>-1</v>
      </c>
      <c r="AL116" s="36">
        <f>IF($J$80="x",-1,IF(AND($J$80=0,INDEX(KonZeile4,1)+INDEX(KonSpalte9,1)+INDEX(KonFeld1,1)=0),1,0))</f>
        <v>-1</v>
      </c>
      <c r="AM116" s="37">
        <f>IF($J$80="x",-1,IF(AND($J$80=0,INDEX(KonZeile4,2)+INDEX(KonSpalte9,2)+INDEX(KonFeld1,2)=0),2,0))</f>
        <v>-1</v>
      </c>
      <c r="AN116" s="109">
        <f>IF($J$80="x",-1,IF(AND($J$80=0,INDEX(KonZeile4,3)+INDEX(KonSpalte9,3)+INDEX(KonFeld1,3)=0),3,0))</f>
        <v>-1</v>
      </c>
      <c r="AO116" s="108">
        <f>IF($K$80="x",-1,IF(AND($K$80=0,INDEX(KonZeile4,1)+INDEX(KonSpalte1,1)+INDEX(KonFeld2,1)=0),1,0))</f>
        <v>-1</v>
      </c>
      <c r="AP116" s="37">
        <f>IF($K$80="x",-1,IF(AND($K$80=0,INDEX(KonZeile4,2)+INDEX(KonSpalte1,2)+INDEX(KonFeld2,2)=0),2,0))</f>
        <v>-1</v>
      </c>
      <c r="AQ116" s="35">
        <f>IF($K$80="x",-1,IF(AND($K$80=0,INDEX(KonZeile4,3)+INDEX(KonSpalte1,3)+INDEX(KonFeld2,3)=0),3,0))</f>
        <v>-1</v>
      </c>
      <c r="AR116" s="36">
        <f>IF($L$80="x",-1,IF(AND($L$80=0,INDEX(KonZeile4,1)+INDEX(KonSpalte2,1)+INDEX(KonFeld2,1)=0),1,0))</f>
        <v>-1</v>
      </c>
      <c r="AS116" s="37">
        <f>IF($L$80="x",-1,IF(AND($L$80=0,INDEX(KonZeile4,2)+INDEX(KonSpalte2,2)+INDEX(KonFeld2,2)=0),2,0))</f>
        <v>-1</v>
      </c>
      <c r="AT116" s="35">
        <f>IF($L$80="x",-1,IF(AND($L$80=0,INDEX(KonZeile4,3)+INDEX(KonSpalte2,3)+INDEX(KonFeld2,3)=0),3,0))</f>
        <v>-1</v>
      </c>
      <c r="AU116" s="36">
        <f>IF($M$80="x",-1,IF(AND($M$80=0,INDEX(KonZeile4,1)+INDEX(KonSpalte3,1)+INDEX(KonFeld2,1)=0),1,0))</f>
        <v>-1</v>
      </c>
      <c r="AV116" s="37">
        <f>IF($M$80="x",-1,IF(AND($M$80=0,INDEX(KonZeile4,2)+INDEX(KonSpalte3,2)+INDEX(KonFeld2,2)=0),2,0))</f>
        <v>-1</v>
      </c>
      <c r="AW116" s="38">
        <f>IF($M$80="x",-1,IF(AND($M$80=0,INDEX(KonZeile4,3)+INDEX(KonSpalte3,3)+INDEX(KonFeld2,3)=0),3,0))</f>
        <v>-1</v>
      </c>
      <c r="AX116" s="34">
        <f>IF($N$80="x",-1,IF(AND($N$80=0,INDEX(KonZeile4,1)+INDEX(KonSpalte4,1)+INDEX(KonFeld2,1)=0),1,0))</f>
        <v>0</v>
      </c>
      <c r="AY116" s="37">
        <f>IF($N$80="x",-1,IF(AND($N$80=0,INDEX(KonZeile4,2)+INDEX(KonSpalte4,2)+INDEX(KonFeld2,2)=0),2,0))</f>
        <v>0</v>
      </c>
      <c r="AZ116" s="35">
        <f>IF($N$80="x",-1,IF(AND($N$80=0,INDEX(KonZeile4,3)+INDEX(KonSpalte4,3)+INDEX(KonFeld2,3)=0),3,0))</f>
        <v>0</v>
      </c>
      <c r="BA116" s="36">
        <f>IF($O$80="x",-1,IF(AND($O$80=0,INDEX(KonZeile4,1)+INDEX(KonSpalte5,1)+INDEX(KonFeld2,1)=0),1,0))</f>
        <v>-1</v>
      </c>
      <c r="BB116" s="37">
        <f>IF($O$80="x",-1,IF(AND($O$80=0,INDEX(KonZeile4,2)+INDEX(KonSpalte5,2)+INDEX(KonFeld2,2)=0),2,0))</f>
        <v>-1</v>
      </c>
      <c r="BC116" s="35">
        <f>IF($O$80="x",-1,IF(AND($O$80=0,INDEX(KonZeile4,3)+INDEX(KonSpalte5,3)+INDEX(KonFeld2,3)=0),3,0))</f>
        <v>-1</v>
      </c>
      <c r="BD116" s="36">
        <f>IF($P$80="x",-1,IF(AND($P$80=0,INDEX(KonZeile4,1)+INDEX(KonSpalte6,1)+INDEX(KonFeld2,1)=0),1,0))</f>
        <v>-1</v>
      </c>
      <c r="BE116" s="37">
        <f>IF($P$80="x",-1,IF(AND($P$80=0,INDEX(KonZeile4,2)+INDEX(KonSpalte6,2)+INDEX(KonFeld2,2)=0),2,0))</f>
        <v>-1</v>
      </c>
      <c r="BF116" s="38">
        <f>IF($P$80="x",-1,IF(AND($P$80=0,INDEX(KonZeile4,3)+INDEX(KonSpalte6,3)+INDEX(KonFeld2,3)=0),3,0))</f>
        <v>-1</v>
      </c>
      <c r="BG116" s="34">
        <f>IF($Q$80="x",-1,IF(AND($Q$80=0,INDEX(KonZeile4,1)+INDEX(KonSpalte7,1)+INDEX(KonFeld2,1)=0),1,0))</f>
        <v>-1</v>
      </c>
      <c r="BH116" s="37">
        <f>IF($Q$80="x",-1,IF(AND($Q$80=0,INDEX(KonZeile4,2)+INDEX(KonSpalte7,2)+INDEX(KonFeld2,2)=0),2,0))</f>
        <v>-1</v>
      </c>
      <c r="BI116" s="35">
        <f>IF($Q$80="x",-1,IF(AND($Q$80=0,INDEX(KonZeile4,3)+INDEX(KonSpalte7,3)+INDEX(KonFeld2,3)=0),3,0))</f>
        <v>-1</v>
      </c>
      <c r="BJ116" s="36">
        <f>IF($R$80="x",-1,IF(AND($R$80=0,INDEX(KonZeile4,1)+INDEX(KonSpalte8,1)+INDEX(KonFeld2,1)=0),1,0))</f>
        <v>-1</v>
      </c>
      <c r="BK116" s="37">
        <f>IF($R$80="x",-1,IF(AND($R$80=0,INDEX(KonZeile4,2)+INDEX(KonSpalte8,2)+INDEX(KonFeld2,2)=0),2,0))</f>
        <v>-1</v>
      </c>
      <c r="BL116" s="35">
        <f>IF($R$80="x",-1,IF(AND($R$80=0,INDEX(KonZeile4,3)+INDEX(KonSpalte8,3)+INDEX(KonFeld2,3)=0),3,0))</f>
        <v>-1</v>
      </c>
      <c r="BM116" s="36">
        <f>IF($S$80="x",-1,IF(AND($S$80=0,INDEX(KonZeile4,1)+INDEX(KonSpalte9,1)+INDEX(KonFeld2,1)=0),1,0))</f>
        <v>-1</v>
      </c>
      <c r="BN116" s="37">
        <f>IF($S$80="x",-1,IF(AND($S$80=0,INDEX(KonZeile4,2)+INDEX(KonSpalte9,2)+INDEX(KonFeld2,2)=0),2,0))</f>
        <v>-1</v>
      </c>
      <c r="BO116" s="109">
        <f>IF($S$80="x",-1,IF(AND($S$80=0,INDEX(KonZeile4,3)+INDEX(KonSpalte9,3)+INDEX(KonFeld2,3)=0),3,0))</f>
        <v>-1</v>
      </c>
      <c r="BP116" s="108">
        <f>IF($T$80="x",-1,IF(AND($T$80=0,INDEX(KonZeile4,1)+INDEX(KonSpalte1,1)+INDEX(KonFeld3,1)=0),1,0))</f>
        <v>-1</v>
      </c>
      <c r="BQ116" s="37">
        <f>IF($T$80="x",-1,IF(AND($T$80=0,INDEX(KonZeile4,2)+INDEX(KonSpalte1,2)+INDEX(KonFeld3,2)=0),2,0))</f>
        <v>-1</v>
      </c>
      <c r="BR116" s="35">
        <f>IF($T$80="x",-1,IF(AND($T$80=0,INDEX(KonZeile4,3)+INDEX(KonSpalte1,3)+INDEX(KonFeld3,3)=0),3,0))</f>
        <v>-1</v>
      </c>
      <c r="BS116" s="36">
        <f>IF($U$80="x",-1,IF(AND($U$80=0,INDEX(KonZeile4,1)+INDEX(KonSpalte2,1)+INDEX(KonFeld3,1)=0),1,0))</f>
        <v>-1</v>
      </c>
      <c r="BT116" s="37">
        <f>IF($U$80="x",-1,IF(AND($U$80=0,INDEX(KonZeile4,2)+INDEX(KonSpalte2,2)+INDEX(KonFeld3,2)=0),2,0))</f>
        <v>-1</v>
      </c>
      <c r="BU116" s="35">
        <f>IF($U$80="x",-1,IF(AND($U$80=0,INDEX(KonZeile4,3)+INDEX(KonSpalte2,3)+INDEX(KonFeld3,3)=0),3,0))</f>
        <v>-1</v>
      </c>
      <c r="BV116" s="36">
        <f>IF($V$80="x",-1,IF(AND($V$80=0,INDEX(KonZeile4,1)+INDEX(KonSpalte3,1)+INDEX(KonFeld3,1)=0),1,0))</f>
        <v>-1</v>
      </c>
      <c r="BW116" s="37">
        <f>IF($V$80="x",-1,IF(AND($V$80=0,INDEX(KonZeile4,2)+INDEX(KonSpalte3,2)+INDEX(KonFeld3,2)=0),2,0))</f>
        <v>-1</v>
      </c>
      <c r="BX116" s="38">
        <f>IF($V$80="x",-1,IF(AND($V$80=0,INDEX(KonZeile4,3)+INDEX(KonSpalte3,3)+INDEX(KonFeld3,3)=0),3,0))</f>
        <v>-1</v>
      </c>
      <c r="BY116" s="34">
        <f>IF($W$80="x",-1,IF(AND($W$80=0,INDEX(KonZeile4,1)+INDEX(KonSpalte4,1)+INDEX(KonFeld3,1)=0),1,0))</f>
        <v>-1</v>
      </c>
      <c r="BZ116" s="37">
        <f>IF($W$80="x",-1,IF(AND($W$80=0,INDEX(KonZeile4,2)+INDEX(KonSpalte4,2)+INDEX(KonFeld3,2)=0),2,0))</f>
        <v>-1</v>
      </c>
      <c r="CA116" s="35">
        <f>IF($W$80="x",-1,IF(AND($W$80=0,INDEX(KonZeile4,3)+INDEX(KonSpalte4,3)+INDEX(KonFeld3,3)=0),3,0))</f>
        <v>-1</v>
      </c>
      <c r="CB116" s="36">
        <f>IF($X$80="x",-1,IF(AND($X$80=0,INDEX(KonZeile4,1)+INDEX(KonSpalte5,1)+INDEX(KonFeld3,1)=0),1,0))</f>
        <v>-1</v>
      </c>
      <c r="CC116" s="37">
        <f>IF($X$80="x",-1,IF(AND($X$80=0,INDEX(KonZeile4,2)+INDEX(KonSpalte5,2)+INDEX(KonFeld3,2)=0),2,0))</f>
        <v>-1</v>
      </c>
      <c r="CD116" s="35">
        <f>IF($X$80="x",-1,IF(AND($X$80=0,INDEX(KonZeile4,3)+INDEX(KonSpalte5,3)+INDEX(KonFeld3,3)=0),3,0))</f>
        <v>-1</v>
      </c>
      <c r="CE116" s="36">
        <f>IF($Y$80="x",-1,IF(AND($Y$80=0,INDEX(KonZeile4,1)+INDEX(KonSpalte6,1)+INDEX(KonFeld3,1)=0),1,0))</f>
        <v>-1</v>
      </c>
      <c r="CF116" s="37">
        <f>IF($Y$80="x",-1,IF(AND($Y$80=0,INDEX(KonZeile4,2)+INDEX(KonSpalte6,2)+INDEX(KonFeld3,2)=0),2,0))</f>
        <v>-1</v>
      </c>
      <c r="CG116" s="38">
        <f>IF($Y$80="x",-1,IF(AND($Y$80=0,INDEX(KonZeile4,3)+INDEX(KonSpalte6,3)+INDEX(KonFeld3,3)=0),3,0))</f>
        <v>-1</v>
      </c>
      <c r="CH116" s="34">
        <f>IF($Z$80="x",-1,IF(AND($Z$80=0,INDEX(KonZeile4,1)+INDEX(KonSpalte7,1)+INDEX(KonFeld3,1)=0),1,0))</f>
        <v>-1</v>
      </c>
      <c r="CI116" s="37">
        <f>IF($Z$80="x",-1,IF(AND($Z$80=0,INDEX(KonZeile4,2)+INDEX(KonSpalte7,2)+INDEX(KonFeld3,2)=0),2,0))</f>
        <v>-1</v>
      </c>
      <c r="CJ116" s="35">
        <f>IF($Z$80="x",-1,IF(AND($Z$80=0,INDEX(KonZeile4,3)+INDEX(KonSpalte7,3)+INDEX(KonFeld3,3)=0),3,0))</f>
        <v>-1</v>
      </c>
      <c r="CK116" s="36">
        <f>IF($AA$80="x",-1,IF(AND($AA$80=0,INDEX(KonZeile4,1)+INDEX(KonSpalte8,1)+INDEX(KonFeld3,1)=0),1,0))</f>
        <v>0</v>
      </c>
      <c r="CL116" s="37">
        <f>IF($AA$80="x",-1,IF(AND($AA$80=0,INDEX(KonZeile4,2)+INDEX(KonSpalte8,2)+INDEX(KonFeld3,2)=0),2,0))</f>
        <v>0</v>
      </c>
      <c r="CM116" s="35">
        <f>IF($AA$80="x",-1,IF(AND($AA$80=0,INDEX(KonZeile4,3)+INDEX(KonSpalte8,3)+INDEX(KonFeld3,3)=0),3,0))</f>
        <v>0</v>
      </c>
      <c r="CN116" s="36">
        <f>IF($AB$80="x",-1,IF(AND($AB$80=0,INDEX(KonZeile4,1)+INDEX(KonSpalte9,1)+INDEX(KonFeld3,1)=0),1,0))</f>
        <v>0</v>
      </c>
      <c r="CO116" s="37">
        <f>IF($AB$80="x",-1,IF(AND($AB$80=0,INDEX(KonZeile4,2)+INDEX(KonSpalte9,2)+INDEX(KonFeld3,2)=0),2,0))</f>
        <v>0</v>
      </c>
      <c r="CP116" s="109">
        <f>IF($AB$80="x",-1,IF(AND($AB$80=0,INDEX(KonZeile4,3)+INDEX(KonSpalte9,3)+INDEX(KonFeld3,3)=0),3,0))</f>
        <v>0</v>
      </c>
      <c r="CR116" s="52">
        <f>COUNTIF(N116:CP116,1)</f>
        <v>0</v>
      </c>
      <c r="CS116" s="50">
        <f>COUNTIF(N116:CP116,2)</f>
        <v>0</v>
      </c>
      <c r="CT116" s="51">
        <f>COUNTIF(N116:CP116,3)</f>
        <v>0</v>
      </c>
      <c r="CU116" s="39"/>
      <c r="CV116" s="39"/>
      <c r="CX116" s="91">
        <f t="shared" si="104"/>
        <v>0</v>
      </c>
      <c r="CY116" s="92">
        <f t="shared" si="105"/>
        <v>0</v>
      </c>
      <c r="CZ116" s="93">
        <f t="shared" si="106"/>
        <v>0</v>
      </c>
      <c r="DE116" s="250">
        <f>IF(N116&gt;=0,10+N116,IF(AO116&gt;=0,20+AO116,IF(BP116&gt;=0,30+BP116,IF(N143&gt;=0,40+N143,IF(AO143&gt;=0,50+AO143,IF(BP143&gt;=0,60+BP143,IF(N170&gt;=0,70+N170,IF(AO170&gt;=0,80+AO170,IF(BP170&gt;=0,90+BP170,"")))))))))</f>
        <v>10</v>
      </c>
      <c r="DF116" s="246">
        <f t="shared" si="135"/>
        <v>10</v>
      </c>
      <c r="DG116" s="247">
        <f t="shared" si="136"/>
        <v>10</v>
      </c>
      <c r="DH116" s="248">
        <f t="shared" si="137"/>
        <v>10</v>
      </c>
      <c r="DI116" s="246">
        <f t="shared" si="138"/>
        <v>10</v>
      </c>
      <c r="DJ116" s="247">
        <f t="shared" si="139"/>
        <v>10</v>
      </c>
      <c r="DK116" s="248">
        <f t="shared" si="140"/>
        <v>50</v>
      </c>
      <c r="DL116" s="246">
        <f t="shared" si="141"/>
        <v>50</v>
      </c>
      <c r="DM116" s="249">
        <f t="shared" si="142"/>
        <v>50</v>
      </c>
      <c r="DN116" s="250">
        <f>IF(W116&gt;=0,10+W116,IF(AX116&gt;=0,20+AX116,IF(BY116&gt;=0,30+BY116,IF(W143&gt;=0,40+W143,IF(AX143&gt;=0,50+AX143,IF(BY143&gt;=0,60+BY143,IF(W170&gt;=0,70+W170,IF(AX170&gt;=0,80+AX170,IF(BY170&gt;=0,90+BY170,"")))))))))</f>
        <v>20</v>
      </c>
      <c r="DO116" s="246">
        <f t="shared" si="144"/>
        <v>20</v>
      </c>
      <c r="DP116" s="247">
        <f t="shared" si="145"/>
        <v>20</v>
      </c>
      <c r="DQ116" s="248">
        <f t="shared" si="146"/>
        <v>80</v>
      </c>
      <c r="DR116" s="246">
        <f t="shared" si="147"/>
        <v>80</v>
      </c>
      <c r="DS116" s="247">
        <f t="shared" si="148"/>
        <v>80</v>
      </c>
      <c r="DT116" s="248">
        <f t="shared" si="149"/>
        <v>50</v>
      </c>
      <c r="DU116" s="246">
        <f t="shared" si="150"/>
        <v>50</v>
      </c>
      <c r="DV116" s="249">
        <f t="shared" si="151"/>
        <v>50</v>
      </c>
      <c r="DW116" s="250">
        <f t="shared" si="152"/>
        <v>60</v>
      </c>
      <c r="DX116" s="246">
        <f t="shared" si="153"/>
        <v>60</v>
      </c>
      <c r="DY116" s="247">
        <f t="shared" si="154"/>
        <v>60</v>
      </c>
      <c r="DZ116" s="248">
        <f t="shared" si="155"/>
        <v>30</v>
      </c>
      <c r="EA116" s="246">
        <f t="shared" si="156"/>
        <v>30</v>
      </c>
      <c r="EB116" s="247">
        <f t="shared" si="157"/>
        <v>30</v>
      </c>
      <c r="EC116" s="248">
        <f t="shared" si="158"/>
        <v>30</v>
      </c>
      <c r="ED116" s="246">
        <f t="shared" si="159"/>
        <v>30</v>
      </c>
      <c r="EE116" s="249">
        <f t="shared" si="160"/>
        <v>30</v>
      </c>
      <c r="EI116" s="287"/>
      <c r="EJ116" s="288"/>
      <c r="EK116" s="289"/>
      <c r="EL116" s="290">
        <v>1</v>
      </c>
      <c r="EM116" s="288">
        <v>2</v>
      </c>
      <c r="EN116" s="289"/>
      <c r="EO116" s="332"/>
      <c r="EP116" s="307"/>
      <c r="EQ116" s="422"/>
      <c r="ER116" s="62">
        <v>1</v>
      </c>
      <c r="ES116" s="63">
        <v>2</v>
      </c>
      <c r="ET116" s="308">
        <v>3</v>
      </c>
      <c r="EU116" s="385">
        <v>1</v>
      </c>
      <c r="EV116" s="386"/>
      <c r="EW116" s="387"/>
      <c r="EX116" s="332">
        <v>1</v>
      </c>
      <c r="EY116" s="307">
        <v>2</v>
      </c>
      <c r="EZ116" s="422"/>
      <c r="FA116" s="444">
        <v>1</v>
      </c>
      <c r="FB116" s="336"/>
      <c r="FC116" s="337">
        <v>3</v>
      </c>
      <c r="FD116" s="333"/>
      <c r="FE116" s="330">
        <v>2</v>
      </c>
      <c r="FF116" s="331">
        <v>3</v>
      </c>
      <c r="FG116" s="333"/>
      <c r="FH116" s="330">
        <v>2</v>
      </c>
      <c r="FI116" s="334">
        <v>3</v>
      </c>
      <c r="FM116" s="287"/>
      <c r="FN116" s="288"/>
      <c r="FO116" s="289"/>
      <c r="FP116" s="290"/>
      <c r="FQ116" s="288"/>
      <c r="FR116" s="289"/>
      <c r="FS116" s="332"/>
      <c r="FT116" s="307"/>
      <c r="FU116" s="422"/>
      <c r="FV116" s="62"/>
      <c r="FW116" s="63"/>
      <c r="FX116" s="308"/>
      <c r="FY116" s="385"/>
      <c r="FZ116" s="386"/>
      <c r="GA116" s="387"/>
      <c r="GB116" s="332"/>
      <c r="GC116" s="307"/>
      <c r="GD116" s="422"/>
      <c r="GE116" s="444"/>
      <c r="GF116" s="336"/>
      <c r="GG116" s="337"/>
      <c r="GH116" s="333"/>
      <c r="GI116" s="330"/>
      <c r="GJ116" s="331"/>
      <c r="GK116" s="333"/>
      <c r="GL116" s="330"/>
      <c r="GM116" s="334"/>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2:235" ht="15" customHeight="1" thickBot="1">
      <c r="B117" s="69" t="str">
        <f t="shared" si="84"/>
        <v>x</v>
      </c>
      <c r="C117" s="70" t="str">
        <f t="shared" si="85"/>
        <v>x</v>
      </c>
      <c r="D117" s="70" t="str">
        <f t="shared" si="86"/>
        <v>x</v>
      </c>
      <c r="E117" s="70" t="str">
        <f t="shared" si="87"/>
        <v>x</v>
      </c>
      <c r="F117" s="70" t="str">
        <f t="shared" si="88"/>
        <v>x</v>
      </c>
      <c r="G117" s="70" t="str">
        <f t="shared" si="89"/>
        <v>x</v>
      </c>
      <c r="H117" s="70" t="str">
        <f t="shared" si="90"/>
        <v>x</v>
      </c>
      <c r="I117" s="70" t="str">
        <f t="shared" si="91"/>
        <v>x</v>
      </c>
      <c r="J117" s="71" t="str">
        <f t="shared" si="92"/>
        <v>x</v>
      </c>
      <c r="N117" s="94">
        <f>IF($B$80="x",-1,IF(AND($B$80=0,INDEX(KonZeile4,4)+INDEX(KonSpalte1,4)+INDEX(KonFeld1,4)=0),4,0))</f>
        <v>0</v>
      </c>
      <c r="O117" s="39">
        <f>IF($B$80="x",-1,IF(AND($B$80=0,INDEX(KonZeile4,5)+INDEX(KonSpalte1,5)+INDEX(KonFeld1,5)=0),5,0))</f>
        <v>0</v>
      </c>
      <c r="P117" s="41">
        <f>IF($B$80="x",-1,IF(AND($B$80=0,INDEX(KonZeile4,6)+INDEX(KonSpalte1,6)+INDEX(KonFeld1,6)=0),6,0))</f>
        <v>0</v>
      </c>
      <c r="Q117" s="40">
        <f>IF($C$80="x",-1,IF(AND($C$80=0,INDEX(KonZeile4,4)+INDEX(KonSpalte2,4)+INDEX(KonFeld1,4)=0),4,0))</f>
        <v>0</v>
      </c>
      <c r="R117" s="39">
        <f>IF($C$80="x",-1,IF(AND($C$80=0,INDEX(KonZeile4,5)+INDEX(KonSpalte2,5)+INDEX(KonFeld1,5)=0),5,0))</f>
        <v>0</v>
      </c>
      <c r="S117" s="41">
        <f>IF($C$80="x",-1,IF(AND($C$80=0,INDEX(KonZeile4,6)+INDEX(KonSpalte2,6)+INDEX(KonFeld1,6)=0),6,0))</f>
        <v>0</v>
      </c>
      <c r="T117" s="40">
        <f>IF($D$80="x",-1,IF(AND($D$80=0,INDEX(KonZeile4,4)+INDEX(KonSpalte3,4)+INDEX(KonFeld1,4)=0),4,0))</f>
        <v>-1</v>
      </c>
      <c r="U117" s="39">
        <f>IF($D$80="x",-1,IF(AND($D$80=0,INDEX(KonZeile4,5)+INDEX(KonSpalte3,5)+INDEX(KonFeld1,5)=0),5,0))</f>
        <v>-1</v>
      </c>
      <c r="V117" s="42">
        <f>IF($D$80="x",-1,IF(AND($D$80=0,INDEX(KonZeile4,6)+INDEX(KonSpalte3,6)+INDEX(KonFeld1,6)=0),6,0))</f>
        <v>-1</v>
      </c>
      <c r="W117" s="43">
        <f>IF($E$80="x",-1,IF(AND($E$80=0,INDEX(KonZeile4,4)+INDEX(KonSpalte4,4)+INDEX(KonFeld1,4)=0),4,0))</f>
        <v>-1</v>
      </c>
      <c r="X117" s="39">
        <f>IF($E$80="x",-1,IF(AND($E$80=0,INDEX(KonZeile4,5)+INDEX(KonSpalte4,5)+INDEX(KonFeld1,5)=0),5,0))</f>
        <v>-1</v>
      </c>
      <c r="Y117" s="41">
        <f>IF($E$80="x",-1,IF(AND($E$80=0,INDEX(KonZeile4,6)+INDEX(KonSpalte4,6)+INDEX(KonFeld1,6)=0),6,0))</f>
        <v>-1</v>
      </c>
      <c r="Z117" s="40">
        <f>IF($F$80="x",-1,IF(AND($F$80=0,INDEX(KonZeile4,4)+INDEX(KonSpalte5,4)+INDEX(KonFeld1,4)=0),4,0))</f>
        <v>-1</v>
      </c>
      <c r="AA117" s="39">
        <f>IF($F$80="x",-1,IF(AND($F$80=0,INDEX(KonZeile4,5)+INDEX(KonSpalte5,5)+INDEX(KonFeld1,5)=0),5,0))</f>
        <v>-1</v>
      </c>
      <c r="AB117" s="41">
        <f>IF($F$80="x",-1,IF(AND($F$80=0,INDEX(KonZeile4,6)+INDEX(KonSpalte5,6)+INDEX(KonFeld1,6)=0),6,0))</f>
        <v>-1</v>
      </c>
      <c r="AC117" s="40">
        <f>IF($G$80="x",-1,IF(AND($G$80=0,INDEX(KonZeile4,4)+INDEX(KonSpalte6,4)+INDEX(KonFeld1,4)=0),4,0))</f>
        <v>-1</v>
      </c>
      <c r="AD117" s="39">
        <f>IF($G$80="x",-1,IF(AND($G$80=0,INDEX(KonZeile4,5)+INDEX(KonSpalte6,5)+INDEX(KonFeld1,5)=0),5,0))</f>
        <v>-1</v>
      </c>
      <c r="AE117" s="42">
        <f>IF($G$80="x",-1,IF(AND($G$80=0,INDEX(KonZeile4,6)+INDEX(KonSpalte6,6)+INDEX(KonFeld1,6)=0),6,0))</f>
        <v>-1</v>
      </c>
      <c r="AF117" s="43">
        <f>IF($H$80="x",-1,IF(AND($H$80=0,INDEX(KonZeile4,4)+INDEX(KonSpalte7,4)+INDEX(KonFeld1,4)=0),4,0))</f>
        <v>-1</v>
      </c>
      <c r="AG117" s="39">
        <f>IF($H$80="x",-1,IF(AND($H$80=0,INDEX(KonZeile4,5)+INDEX(KonSpalte7,5)+INDEX(KonFeld1,5)=0),5,0))</f>
        <v>-1</v>
      </c>
      <c r="AH117" s="41">
        <f>IF($H$80="x",-1,IF(AND($H$80=0,INDEX(KonZeile4,6)+INDEX(KonSpalte7,6)+INDEX(KonFeld1,6)=0),6,0))</f>
        <v>-1</v>
      </c>
      <c r="AI117" s="40">
        <f>IF($I$80="x",-1,IF(AND($I$80=0,INDEX(KonZeile4,4)+INDEX(KonSpalte8,4)+INDEX(KonFeld1,4)=0),4,0))</f>
        <v>-1</v>
      </c>
      <c r="AJ117" s="39">
        <f>IF($I$80="x",-1,IF(AND($I$80=0,INDEX(KonZeile4,5)+INDEX(KonSpalte8,5)+INDEX(KonFeld1,5)=0),5,0))</f>
        <v>-1</v>
      </c>
      <c r="AK117" s="41">
        <f>IF($I$80="x",-1,IF(AND($I$80=0,INDEX(KonZeile4,6)+INDEX(KonSpalte8,6)+INDEX(KonFeld1,6)=0),6,0))</f>
        <v>-1</v>
      </c>
      <c r="AL117" s="40">
        <f>IF($J$80="x",-1,IF(AND($J$80=0,INDEX(KonZeile4,4)+INDEX(KonSpalte9,4)+INDEX(KonFeld1,4)=0),4,0))</f>
        <v>-1</v>
      </c>
      <c r="AM117" s="39">
        <f>IF($J$80="x",-1,IF(AND($J$80=0,INDEX(KonZeile4,5)+INDEX(KonSpalte9,5)+INDEX(KonFeld1,5)=0),5,0))</f>
        <v>-1</v>
      </c>
      <c r="AN117" s="95">
        <f>IF($J$80="x",-1,IF(AND($J$80=0,INDEX(KonZeile4,6)+INDEX(KonSpalte9,6)+INDEX(KonFeld1,6)=0),6,0))</f>
        <v>-1</v>
      </c>
      <c r="AO117" s="94">
        <f>IF($K$80="x",-1,IF(AND($K$80=0,INDEX(KonZeile4,4)+INDEX(KonSpalte1,4)+INDEX(KonFeld2,4)=0),4,0))</f>
        <v>-1</v>
      </c>
      <c r="AP117" s="39">
        <f>IF($K$80="x",-1,IF(AND($K$80=0,INDEX(KonZeile4,5)+INDEX(KonSpalte1,5)+INDEX(KonFeld2,5)=0),5,0))</f>
        <v>-1</v>
      </c>
      <c r="AQ117" s="41">
        <f>IF($K$80="x",-1,IF(AND($K$80=0,INDEX(KonZeile4,6)+INDEX(KonSpalte1,6)+INDEX(KonFeld2,6)=0),6,0))</f>
        <v>-1</v>
      </c>
      <c r="AR117" s="40">
        <f>IF($L$80="x",-1,IF(AND($L$80=0,INDEX(KonZeile4,4)+INDEX(KonSpalte2,4)+INDEX(KonFeld2,4)=0),4,0))</f>
        <v>-1</v>
      </c>
      <c r="AS117" s="39">
        <f>IF($L$80="x",-1,IF(AND($L$80=0,INDEX(KonZeile4,5)+INDEX(KonSpalte2,5)+INDEX(KonFeld2,5)=0),5,0))</f>
        <v>-1</v>
      </c>
      <c r="AT117" s="41">
        <f>IF($L$80="x",-1,IF(AND($L$80=0,INDEX(KonZeile4,6)+INDEX(KonSpalte2,6)+INDEX(KonFeld2,6)=0),6,0))</f>
        <v>-1</v>
      </c>
      <c r="AU117" s="40">
        <f>IF($M$80="x",-1,IF(AND($M$80=0,INDEX(KonZeile4,4)+INDEX(KonSpalte3,4)+INDEX(KonFeld2,4)=0),4,0))</f>
        <v>-1</v>
      </c>
      <c r="AV117" s="39">
        <f>IF($M$80="x",-1,IF(AND($M$80=0,INDEX(KonZeile4,5)+INDEX(KonSpalte3,5)+INDEX(KonFeld2,5)=0),5,0))</f>
        <v>-1</v>
      </c>
      <c r="AW117" s="42">
        <f>IF($M$80="x",-1,IF(AND($M$80=0,INDEX(KonZeile4,6)+INDEX(KonSpalte3,6)+INDEX(KonFeld2,6)=0),6,0))</f>
        <v>-1</v>
      </c>
      <c r="AX117" s="43">
        <f>IF($N$80="x",-1,IF(AND($N$80=0,INDEX(KonZeile4,4)+INDEX(KonSpalte4,4)+INDEX(KonFeld2,4)=0),4,0))</f>
        <v>0</v>
      </c>
      <c r="AY117" s="39">
        <f>IF($N$80="x",-1,IF(AND($N$80=0,INDEX(KonZeile4,5)+INDEX(KonSpalte4,5)+INDEX(KonFeld2,5)=0),5,0))</f>
        <v>0</v>
      </c>
      <c r="AZ117" s="41">
        <f>IF($N$80="x",-1,IF(AND($N$80=0,INDEX(KonZeile4,6)+INDEX(KonSpalte4,6)+INDEX(KonFeld2,6)=0),6,0))</f>
        <v>0</v>
      </c>
      <c r="BA117" s="40">
        <f>IF($O$80="x",-1,IF(AND($O$80=0,INDEX(KonZeile4,4)+INDEX(KonSpalte5,4)+INDEX(KonFeld2,4)=0),4,0))</f>
        <v>-1</v>
      </c>
      <c r="BB117" s="39">
        <f>IF($O$80="x",-1,IF(AND($O$80=0,INDEX(KonZeile4,5)+INDEX(KonSpalte5,5)+INDEX(KonFeld2,5)=0),5,0))</f>
        <v>-1</v>
      </c>
      <c r="BC117" s="41">
        <f>IF($O$80="x",-1,IF(AND($O$80=0,INDEX(KonZeile4,6)+INDEX(KonSpalte5,6)+INDEX(KonFeld2,6)=0),6,0))</f>
        <v>-1</v>
      </c>
      <c r="BD117" s="40">
        <f>IF($P$80="x",-1,IF(AND($P$80=0,INDEX(KonZeile4,4)+INDEX(KonSpalte6,4)+INDEX(KonFeld2,4)=0),4,0))</f>
        <v>-1</v>
      </c>
      <c r="BE117" s="39">
        <f>IF($P$80="x",-1,IF(AND($P$80=0,INDEX(KonZeile4,5)+INDEX(KonSpalte6,5)+INDEX(KonFeld2,5)=0),5,0))</f>
        <v>-1</v>
      </c>
      <c r="BF117" s="42">
        <f>IF($P$80="x",-1,IF(AND($P$80=0,INDEX(KonZeile4,6)+INDEX(KonSpalte6,6)+INDEX(KonFeld2,6)=0),6,0))</f>
        <v>-1</v>
      </c>
      <c r="BG117" s="43">
        <f>IF($Q$80="x",-1,IF(AND($Q$80=0,INDEX(KonZeile4,4)+INDEX(KonSpalte7,4)+INDEX(KonFeld2,4)=0),4,0))</f>
        <v>-1</v>
      </c>
      <c r="BH117" s="39">
        <f>IF($Q$80="x",-1,IF(AND($Q$80=0,INDEX(KonZeile4,5)+INDEX(KonSpalte7,5)+INDEX(KonFeld2,5)=0),5,0))</f>
        <v>-1</v>
      </c>
      <c r="BI117" s="41">
        <f>IF($Q$80="x",-1,IF(AND($Q$80=0,INDEX(KonZeile4,6)+INDEX(KonSpalte7,6)+INDEX(KonFeld2,6)=0),6,0))</f>
        <v>-1</v>
      </c>
      <c r="BJ117" s="40">
        <f>IF($R$80="x",-1,IF(AND($R$80=0,INDEX(KonZeile4,4)+INDEX(KonSpalte8,4)+INDEX(KonFeld2,4)=0),4,0))</f>
        <v>-1</v>
      </c>
      <c r="BK117" s="39">
        <f>IF($R$80="x",-1,IF(AND($R$80=0,INDEX(KonZeile4,5)+INDEX(KonSpalte8,5)+INDEX(KonFeld2,5)=0),5,0))</f>
        <v>-1</v>
      </c>
      <c r="BL117" s="41">
        <f>IF($R$80="x",-1,IF(AND($R$80=0,INDEX(KonZeile4,6)+INDEX(KonSpalte8,6)+INDEX(KonFeld2,6)=0),6,0))</f>
        <v>-1</v>
      </c>
      <c r="BM117" s="40">
        <f>IF($S$80="x",-1,IF(AND($S$80=0,INDEX(KonZeile4,4)+INDEX(KonSpalte9,4)+INDEX(KonFeld2,4)=0),4,0))</f>
        <v>-1</v>
      </c>
      <c r="BN117" s="39">
        <f>IF($S$80="x",-1,IF(AND($S$80=0,INDEX(KonZeile4,5)+INDEX(KonSpalte9,5)+INDEX(KonFeld2,5)=0),5,0))</f>
        <v>-1</v>
      </c>
      <c r="BO117" s="95">
        <f>IF($S$80="x",-1,IF(AND($S$80=0,INDEX(KonZeile4,6)+INDEX(KonSpalte9,6)+INDEX(KonFeld2,6)=0),6,0))</f>
        <v>-1</v>
      </c>
      <c r="BP117" s="94">
        <f>IF($T$80="x",-1,IF(AND($T$80=0,INDEX(KonZeile4,4)+INDEX(KonSpalte1,4)+INDEX(KonFeld3,4)=0),4,0))</f>
        <v>-1</v>
      </c>
      <c r="BQ117" s="39">
        <f>IF($T$80="x",-1,IF(AND($T$80=0,INDEX(KonZeile4,5)+INDEX(KonSpalte1,5)+INDEX(KonFeld3,5)=0),5,0))</f>
        <v>-1</v>
      </c>
      <c r="BR117" s="41">
        <f>IF($T$80="x",-1,IF(AND($T$80=0,INDEX(KonZeile4,6)+INDEX(KonSpalte1,6)+INDEX(KonFeld3,6)=0),6,0))</f>
        <v>-1</v>
      </c>
      <c r="BS117" s="40">
        <f>IF($U$80="x",-1,IF(AND($U$80=0,INDEX(KonZeile4,4)+INDEX(KonSpalte2,4)+INDEX(KonFeld3,4)=0),4,0))</f>
        <v>-1</v>
      </c>
      <c r="BT117" s="39">
        <f>IF($U$80="x",-1,IF(AND($U$80=0,INDEX(KonZeile4,5)+INDEX(KonSpalte2,5)+INDEX(KonFeld3,5)=0),5,0))</f>
        <v>-1</v>
      </c>
      <c r="BU117" s="41">
        <f>IF($U$80="x",-1,IF(AND($U$80=0,INDEX(KonZeile4,6)+INDEX(KonSpalte2,6)+INDEX(KonFeld3,6)=0),6,0))</f>
        <v>-1</v>
      </c>
      <c r="BV117" s="40">
        <f>IF($V$80="x",-1,IF(AND($V$80=0,INDEX(KonZeile4,4)+INDEX(KonSpalte3,4)+INDEX(KonFeld3,4)=0),4,0))</f>
        <v>-1</v>
      </c>
      <c r="BW117" s="39">
        <f>IF($V$80="x",-1,IF(AND($V$80=0,INDEX(KonZeile4,5)+INDEX(KonSpalte3,5)+INDEX(KonFeld3,5)=0),5,0))</f>
        <v>-1</v>
      </c>
      <c r="BX117" s="42">
        <f>IF($V$80="x",-1,IF(AND($V$80=0,INDEX(KonZeile4,6)+INDEX(KonSpalte3,6)+INDEX(KonFeld3,6)=0),6,0))</f>
        <v>-1</v>
      </c>
      <c r="BY117" s="43">
        <f>IF($W$80="x",-1,IF(AND($W$80=0,INDEX(KonZeile4,4)+INDEX(KonSpalte4,4)+INDEX(KonFeld3,4)=0),4,0))</f>
        <v>-1</v>
      </c>
      <c r="BZ117" s="39">
        <f>IF($W$80="x",-1,IF(AND($W$80=0,INDEX(KonZeile4,5)+INDEX(KonSpalte4,5)+INDEX(KonFeld3,5)=0),5,0))</f>
        <v>-1</v>
      </c>
      <c r="CA117" s="41">
        <f>IF($W$80="x",-1,IF(AND($W$80=0,INDEX(KonZeile4,6)+INDEX(KonSpalte4,6)+INDEX(KonFeld3,6)=0),6,0))</f>
        <v>-1</v>
      </c>
      <c r="CB117" s="40">
        <f>IF($X$80="x",-1,IF(AND($X$80=0,INDEX(KonZeile4,4)+INDEX(KonSpalte5,4)+INDEX(KonFeld3,4)=0),4,0))</f>
        <v>-1</v>
      </c>
      <c r="CC117" s="39">
        <f>IF($X$80="x",-1,IF(AND($X$80=0,INDEX(KonZeile4,5)+INDEX(KonSpalte5,5)+INDEX(KonFeld3,5)=0),5,0))</f>
        <v>-1</v>
      </c>
      <c r="CD117" s="41">
        <f>IF($X$80="x",-1,IF(AND($X$80=0,INDEX(KonZeile4,6)+INDEX(KonSpalte5,6)+INDEX(KonFeld3,6)=0),6,0))</f>
        <v>-1</v>
      </c>
      <c r="CE117" s="40">
        <f>IF($Y$80="x",-1,IF(AND($Y$80=0,INDEX(KonZeile4,4)+INDEX(KonSpalte6,4)+INDEX(KonFeld3,4)=0),4,0))</f>
        <v>-1</v>
      </c>
      <c r="CF117" s="39">
        <f>IF($Y$80="x",-1,IF(AND($Y$80=0,INDEX(KonZeile4,5)+INDEX(KonSpalte6,5)+INDEX(KonFeld3,5)=0),5,0))</f>
        <v>-1</v>
      </c>
      <c r="CG117" s="42">
        <f>IF($Y$80="x",-1,IF(AND($Y$80=0,INDEX(KonZeile4,6)+INDEX(KonSpalte6,6)+INDEX(KonFeld3,6)=0),6,0))</f>
        <v>-1</v>
      </c>
      <c r="CH117" s="43">
        <f>IF($Z$80="x",-1,IF(AND($Z$80=0,INDEX(KonZeile4,4)+INDEX(KonSpalte7,4)+INDEX(KonFeld3,4)=0),4,0))</f>
        <v>-1</v>
      </c>
      <c r="CI117" s="39">
        <f>IF($Z$80="x",-1,IF(AND($Z$80=0,INDEX(KonZeile4,5)+INDEX(KonSpalte7,5)+INDEX(KonFeld3,5)=0),5,0))</f>
        <v>-1</v>
      </c>
      <c r="CJ117" s="41">
        <f>IF($Z$80="x",-1,IF(AND($Z$80=0,INDEX(KonZeile4,6)+INDEX(KonSpalte7,6)+INDEX(KonFeld3,6)=0),6,0))</f>
        <v>-1</v>
      </c>
      <c r="CK117" s="40">
        <f>IF($AA$80="x",-1,IF(AND($AA$80=0,INDEX(KonZeile4,4)+INDEX(KonSpalte8,4)+INDEX(KonFeld3,4)=0),4,0))</f>
        <v>0</v>
      </c>
      <c r="CL117" s="39">
        <f>IF($AA$80="x",-1,IF(AND($AA$80=0,INDEX(KonZeile4,5)+INDEX(KonSpalte8,5)+INDEX(KonFeld3,5)=0),5,0))</f>
        <v>0</v>
      </c>
      <c r="CM117" s="41">
        <f>IF($AA$80="x",-1,IF(AND($AA$80=0,INDEX(KonZeile4,6)+INDEX(KonSpalte8,6)+INDEX(KonFeld3,6)=0),6,0))</f>
        <v>0</v>
      </c>
      <c r="CN117" s="40">
        <f>IF($AB$80="x",-1,IF(AND($AB$80=0,INDEX(KonZeile4,4)+INDEX(KonSpalte9,4)+INDEX(KonFeld3,4)=0),4,0))</f>
        <v>0</v>
      </c>
      <c r="CO117" s="39">
        <f>IF($AB$80="x",-1,IF(AND($AB$80=0,INDEX(KonZeile4,5)+INDEX(KonSpalte9,5)+INDEX(KonFeld3,5)=0),5,0))</f>
        <v>0</v>
      </c>
      <c r="CP117" s="95">
        <f>IF($AB$80="x",-1,IF(AND($AB$80=0,INDEX(KonZeile4,6)+INDEX(KonSpalte9,6)+INDEX(KonFeld3,6)=0),6,0))</f>
        <v>0</v>
      </c>
      <c r="CR117" s="40">
        <f>COUNTIF(N117:CP117,4)</f>
        <v>0</v>
      </c>
      <c r="CS117" s="39">
        <f>COUNTIF(N117:CP117,5)</f>
        <v>0</v>
      </c>
      <c r="CT117" s="41">
        <f>COUNTIF(N117:CP117,6)</f>
        <v>0</v>
      </c>
      <c r="CU117" s="39"/>
      <c r="CV117" s="39"/>
      <c r="CX117" s="96">
        <f t="shared" si="104"/>
        <v>0</v>
      </c>
      <c r="CY117" s="97">
        <f t="shared" si="105"/>
        <v>0</v>
      </c>
      <c r="CZ117" s="98">
        <f t="shared" si="106"/>
        <v>0</v>
      </c>
      <c r="DE117" s="226">
        <f t="shared" ref="DE117:DE118" si="163">IF(N117&gt;=0,10+N117,IF(AO117&gt;=0,20+AO117,IF(BP117&gt;=0,30+BP117,IF(N144&gt;=0,40+N144,IF(AO144&gt;=0,50+AO144,IF(BP144&gt;=0,60+BP144,IF(N171&gt;=0,70+N171,IF(AO171&gt;=0,80+AO171,IF(BP171&gt;=0,90+BP171,"")))))))))</f>
        <v>10</v>
      </c>
      <c r="DF117" s="227">
        <f t="shared" si="135"/>
        <v>10</v>
      </c>
      <c r="DG117" s="228">
        <f t="shared" si="136"/>
        <v>10</v>
      </c>
      <c r="DH117" s="229">
        <f t="shared" si="137"/>
        <v>10</v>
      </c>
      <c r="DI117" s="227">
        <f t="shared" si="138"/>
        <v>10</v>
      </c>
      <c r="DJ117" s="228">
        <f t="shared" si="139"/>
        <v>10</v>
      </c>
      <c r="DK117" s="229">
        <f t="shared" si="140"/>
        <v>50</v>
      </c>
      <c r="DL117" s="227">
        <f t="shared" si="141"/>
        <v>50</v>
      </c>
      <c r="DM117" s="230">
        <f t="shared" si="142"/>
        <v>50</v>
      </c>
      <c r="DN117" s="226">
        <f t="shared" ref="DN117:DN118" si="164">IF(W117&gt;=0,10+W117,IF(AX117&gt;=0,20+AX117,IF(BY117&gt;=0,30+BY117,IF(W144&gt;=0,40+W144,IF(AX144&gt;=0,50+AX144,IF(BY144&gt;=0,60+BY144,IF(W171&gt;=0,70+W171,IF(AX171&gt;=0,80+AX171,IF(BY171&gt;=0,90+BY171,"")))))))))</f>
        <v>20</v>
      </c>
      <c r="DO117" s="227">
        <f t="shared" si="144"/>
        <v>20</v>
      </c>
      <c r="DP117" s="228">
        <f t="shared" si="145"/>
        <v>20</v>
      </c>
      <c r="DQ117" s="229">
        <f t="shared" si="146"/>
        <v>80</v>
      </c>
      <c r="DR117" s="227">
        <f t="shared" si="147"/>
        <v>80</v>
      </c>
      <c r="DS117" s="228">
        <f t="shared" si="148"/>
        <v>80</v>
      </c>
      <c r="DT117" s="229">
        <f t="shared" si="149"/>
        <v>50</v>
      </c>
      <c r="DU117" s="227">
        <f t="shared" si="150"/>
        <v>50</v>
      </c>
      <c r="DV117" s="230">
        <f t="shared" si="151"/>
        <v>50</v>
      </c>
      <c r="DW117" s="226">
        <f t="shared" si="152"/>
        <v>60</v>
      </c>
      <c r="DX117" s="227">
        <f t="shared" si="153"/>
        <v>60</v>
      </c>
      <c r="DY117" s="228">
        <f t="shared" si="154"/>
        <v>60</v>
      </c>
      <c r="DZ117" s="229">
        <f t="shared" si="155"/>
        <v>30</v>
      </c>
      <c r="EA117" s="227">
        <f t="shared" si="156"/>
        <v>30</v>
      </c>
      <c r="EB117" s="228">
        <f t="shared" si="157"/>
        <v>30</v>
      </c>
      <c r="EC117" s="229">
        <f t="shared" si="158"/>
        <v>30</v>
      </c>
      <c r="ED117" s="227">
        <f t="shared" si="159"/>
        <v>30</v>
      </c>
      <c r="EE117" s="230">
        <f t="shared" si="160"/>
        <v>30</v>
      </c>
      <c r="EI117" s="292"/>
      <c r="EJ117" s="256"/>
      <c r="EK117" s="257"/>
      <c r="EL117" s="255">
        <v>4</v>
      </c>
      <c r="EM117" s="256">
        <v>5</v>
      </c>
      <c r="EN117" s="257"/>
      <c r="EO117" s="272"/>
      <c r="EP117" s="273"/>
      <c r="EQ117" s="297">
        <v>6</v>
      </c>
      <c r="ER117" s="69">
        <v>4</v>
      </c>
      <c r="ES117" s="70"/>
      <c r="ET117" s="265"/>
      <c r="EU117" s="368"/>
      <c r="EV117" s="369"/>
      <c r="EW117" s="372"/>
      <c r="EX117" s="272">
        <v>4</v>
      </c>
      <c r="EY117" s="273"/>
      <c r="EZ117" s="297"/>
      <c r="FA117" s="445"/>
      <c r="FB117" s="339"/>
      <c r="FC117" s="340">
        <v>6</v>
      </c>
      <c r="FD117" s="319"/>
      <c r="FE117" s="317"/>
      <c r="FF117" s="318"/>
      <c r="FG117" s="319">
        <v>4</v>
      </c>
      <c r="FH117" s="317"/>
      <c r="FI117" s="320">
        <v>6</v>
      </c>
      <c r="FM117" s="292"/>
      <c r="FN117" s="256"/>
      <c r="FO117" s="257"/>
      <c r="FP117" s="255"/>
      <c r="FQ117" s="256"/>
      <c r="FR117" s="257"/>
      <c r="FS117" s="272"/>
      <c r="FT117" s="273"/>
      <c r="FU117" s="297">
        <v>6</v>
      </c>
      <c r="FV117" s="69"/>
      <c r="FW117" s="70"/>
      <c r="FX117" s="265"/>
      <c r="FY117" s="368"/>
      <c r="FZ117" s="369"/>
      <c r="GA117" s="372"/>
      <c r="GB117" s="272"/>
      <c r="GC117" s="273"/>
      <c r="GD117" s="297"/>
      <c r="GE117" s="445"/>
      <c r="GF117" s="339"/>
      <c r="GG117" s="340"/>
      <c r="GH117" s="319"/>
      <c r="GI117" s="317"/>
      <c r="GJ117" s="318"/>
      <c r="GK117" s="319"/>
      <c r="GL117" s="317"/>
      <c r="GM117" s="320"/>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2:235" ht="15" customHeight="1" thickBot="1">
      <c r="B118" s="69" t="str">
        <f t="shared" si="84"/>
        <v>x</v>
      </c>
      <c r="C118" s="70" t="str">
        <f t="shared" si="85"/>
        <v>x</v>
      </c>
      <c r="D118" s="70" t="str">
        <f t="shared" si="86"/>
        <v>x</v>
      </c>
      <c r="E118" s="70" t="str">
        <f t="shared" si="87"/>
        <v>x</v>
      </c>
      <c r="F118" s="70" t="str">
        <f t="shared" si="88"/>
        <v>x</v>
      </c>
      <c r="G118" s="70" t="str">
        <f t="shared" si="89"/>
        <v>x</v>
      </c>
      <c r="H118" s="70" t="str">
        <f t="shared" si="90"/>
        <v>x</v>
      </c>
      <c r="I118" s="70" t="str">
        <f t="shared" si="91"/>
        <v>x</v>
      </c>
      <c r="J118" s="71" t="str">
        <f t="shared" si="92"/>
        <v>x</v>
      </c>
      <c r="N118" s="99">
        <f>IF($B$80="x",-1,IF(AND($B$80=0,INDEX(KonZeile4,7)+INDEX(KonSpalte1,7)+INDEX(KonFeld1,7)=0),7,0))</f>
        <v>0</v>
      </c>
      <c r="O118" s="45">
        <f>IF($B$80="x",-1,IF(AND($B$80=0,INDEX(KonZeile4,8)+INDEX(KonSpalte1,8)+INDEX(KonFeld1,8)=0),8,0))</f>
        <v>0</v>
      </c>
      <c r="P118" s="47">
        <f>IF($B$80="x",-1,IF(AND($B$80=0,INDEX(KonZeile4,9)+INDEX(KonSpalte1,9)+INDEX(KonFeld1,9)=0),9,0))</f>
        <v>0</v>
      </c>
      <c r="Q118" s="46">
        <f>IF($C$80="x",-1,IF(AND($C$80=0,INDEX(KonZeile4,7)+INDEX(KonSpalte2,7)+INDEX(KonFeld1,7)=0),7,0))</f>
        <v>0</v>
      </c>
      <c r="R118" s="45">
        <f>IF($C$80="x",-1,IF(AND($C$80=0,INDEX(KonZeile4,8)+INDEX(KonSpalte2,8)+INDEX(KonFeld1,8)=0),8,0))</f>
        <v>0</v>
      </c>
      <c r="S118" s="47">
        <f>IF($C$80="x",-1,IF(AND($C$80=0,INDEX(KonZeile4,9)+INDEX(KonSpalte2,9)+INDEX(KonFeld1,9)=0),9,0))</f>
        <v>0</v>
      </c>
      <c r="T118" s="46">
        <f>IF($D$80="x",-1,IF(AND($D$80=0,INDEX(KonZeile4,7)+INDEX(KonSpalte3,7)+INDEX(KonFeld1,7)=0),7,0))</f>
        <v>-1</v>
      </c>
      <c r="U118" s="45">
        <f>IF($D$80="x",-1,IF(AND($D$80=0,INDEX(KonZeile4,8)+INDEX(KonSpalte3,8)+INDEX(KonFeld1,8)=0),8,0))</f>
        <v>-1</v>
      </c>
      <c r="V118" s="48">
        <f>IF($D$80="x",-1,IF(AND($D$80=0,INDEX(KonZeile4,9)+INDEX(KonSpalte3,9)+INDEX(KonFeld1,9)=0),9,0))</f>
        <v>-1</v>
      </c>
      <c r="W118" s="44">
        <f>IF($E$80="x",-1,IF(AND($E$80=0,INDEX(KonZeile4,7)+INDEX(KonSpalte4,7)+INDEX(KonFeld1,7)=0),7,0))</f>
        <v>-1</v>
      </c>
      <c r="X118" s="45">
        <f>IF($E$80="x",-1,IF(AND($E$80=0,INDEX(KonZeile4,8)+INDEX(KonSpalte4,8)+INDEX(KonFeld1,8)=0),8,0))</f>
        <v>-1</v>
      </c>
      <c r="Y118" s="47">
        <f>IF($E$80="x",-1,IF(AND($E$80=0,INDEX(KonZeile4,9)+INDEX(KonSpalte4,9)+INDEX(KonFeld1,9)=0),9,0))</f>
        <v>-1</v>
      </c>
      <c r="Z118" s="46">
        <f>IF($F$80="x",-1,IF(AND($F$80=0,INDEX(KonZeile4,7)+INDEX(KonSpalte5,7)+INDEX(KonFeld1,7)=0),7,0))</f>
        <v>-1</v>
      </c>
      <c r="AA118" s="45">
        <f>IF($F$80="x",-1,IF(AND($F$80=0,INDEX(KonZeile4,8)+INDEX(KonSpalte5,8)+INDEX(KonFeld1,8)=0),8,0))</f>
        <v>-1</v>
      </c>
      <c r="AB118" s="47">
        <f>IF($F$80="x",-1,IF(AND($F$80=0,INDEX(KonZeile4,9)+INDEX(KonSpalte5,9)+INDEX(KonFeld1,9)=0),9,0))</f>
        <v>-1</v>
      </c>
      <c r="AC118" s="46">
        <f>IF($G$80="x",-1,IF(AND($G$80=0,INDEX(KonZeile4,7)+INDEX(KonSpalte6,7)+INDEX(KonFeld1,7)=0),7,0))</f>
        <v>-1</v>
      </c>
      <c r="AD118" s="45">
        <f>IF($G$80="x",-1,IF(AND($G$80=0,INDEX(KonZeile4,8)+INDEX(KonSpalte6,8)+INDEX(KonFeld1,8)=0),8,0))</f>
        <v>-1</v>
      </c>
      <c r="AE118" s="48">
        <f>IF($G$80="x",-1,IF(AND($G$80=0,INDEX(KonZeile4,9)+INDEX(KonSpalte6,9)+INDEX(KonFeld1,9)=0),9,0))</f>
        <v>-1</v>
      </c>
      <c r="AF118" s="44">
        <f>IF($H$80="x",-1,IF(AND($H$80=0,INDEX(KonZeile4,7)+INDEX(KonSpalte7,7)+INDEX(KonFeld1,7)=0),7,0))</f>
        <v>-1</v>
      </c>
      <c r="AG118" s="45">
        <f>IF($H$80="x",-1,IF(AND($H$80=0,INDEX(KonZeile4,8)+INDEX(KonSpalte7,8)+INDEX(KonFeld1,8)=0),8,0))</f>
        <v>-1</v>
      </c>
      <c r="AH118" s="47">
        <f>IF($H$80="x",-1,IF(AND($H$80=0,INDEX(KonZeile4,9)+INDEX(KonSpalte7,9)+INDEX(KonFeld1,9)=0),9,0))</f>
        <v>-1</v>
      </c>
      <c r="AI118" s="46">
        <f>IF($I$80="x",-1,IF(AND($I$80=0,INDEX(KonZeile4,7)+INDEX(KonSpalte8,7)+INDEX(KonFeld1,7)=0),7,0))</f>
        <v>-1</v>
      </c>
      <c r="AJ118" s="45">
        <f>IF($I$80="x",-1,IF(AND($I$80=0,INDEX(KonZeile4,8)+INDEX(KonSpalte8,8)+INDEX(KonFeld1,8)=0),8,0))</f>
        <v>-1</v>
      </c>
      <c r="AK118" s="47">
        <f>IF($I$80="x",-1,IF(AND($I$80=0,INDEX(KonZeile4,9)+INDEX(KonSpalte8,9)+INDEX(KonFeld1,9)=0),9,0))</f>
        <v>-1</v>
      </c>
      <c r="AL118" s="46">
        <f>IF($J$80="x",-1,IF(AND($J$80=0,INDEX(KonZeile4,7)+INDEX(KonSpalte9,7)+INDEX(KonFeld1,7)=0),7,0))</f>
        <v>-1</v>
      </c>
      <c r="AM118" s="45">
        <f>IF($J$80="x",-1,IF(AND($J$80=0,INDEX(KonZeile4,8)+INDEX(KonSpalte9,8)+INDEX(KonFeld1,8)=0),8,0))</f>
        <v>-1</v>
      </c>
      <c r="AN118" s="100">
        <f>IF($J$80="x",-1,IF(AND($J$80=0,INDEX(KonZeile4,9)+INDEX(KonSpalte9,9)+INDEX(KonFeld1,9)=0),9,0))</f>
        <v>-1</v>
      </c>
      <c r="AO118" s="99">
        <f>IF($K$80="x",-1,IF(AND($K$80=0,INDEX(KonZeile4,7)+INDEX(KonSpalte1,7)+INDEX(KonFeld2,7)=0),7,0))</f>
        <v>-1</v>
      </c>
      <c r="AP118" s="45">
        <f>IF($K$80="x",-1,IF(AND($K$80=0,INDEX(KonZeile4,8)+INDEX(KonSpalte1,8)+INDEX(KonFeld2,8)=0),8,0))</f>
        <v>-1</v>
      </c>
      <c r="AQ118" s="47">
        <f>IF($K$80="x",-1,IF(AND($K$80=0,INDEX(KonZeile4,9)+INDEX(KonSpalte1,9)+INDEX(KonFeld2,9)=0),9,0))</f>
        <v>-1</v>
      </c>
      <c r="AR118" s="46">
        <f>IF($L$80="x",-1,IF(AND($L$80=0,INDEX(KonZeile4,7)+INDEX(KonSpalte2,7)+INDEX(KonFeld2,7)=0),7,0))</f>
        <v>-1</v>
      </c>
      <c r="AS118" s="45">
        <f>IF($L$80="x",-1,IF(AND($L$80=0,INDEX(KonZeile4,8)+INDEX(KonSpalte2,8)+INDEX(KonFeld2,8)=0),8,0))</f>
        <v>-1</v>
      </c>
      <c r="AT118" s="47">
        <f>IF($L$80="x",-1,IF(AND($L$80=0,INDEX(KonZeile4,9)+INDEX(KonSpalte2,9)+INDEX(KonFeld2,9)=0),9,0))</f>
        <v>-1</v>
      </c>
      <c r="AU118" s="46">
        <f>IF($M$80="x",-1,IF(AND($M$80=0,INDEX(KonZeile4,7)+INDEX(KonSpalte3,7)+INDEX(KonFeld2,7)=0),7,0))</f>
        <v>-1</v>
      </c>
      <c r="AV118" s="45">
        <f>IF($M$80="x",-1,IF(AND($M$80=0,INDEX(KonZeile4,8)+INDEX(KonSpalte3,8)+INDEX(KonFeld2,8)=0),8,0))</f>
        <v>-1</v>
      </c>
      <c r="AW118" s="48">
        <f>IF($M$80="x",-1,IF(AND($M$80=0,INDEX(KonZeile4,9)+INDEX(KonSpalte3,9)+INDEX(KonFeld2,9)=0),9,0))</f>
        <v>-1</v>
      </c>
      <c r="AX118" s="44">
        <f>IF($N$80="x",-1,IF(AND($N$80=0,INDEX(KonZeile4,7)+INDEX(KonSpalte4,7)+INDEX(KonFeld2,7)=0),7,0))</f>
        <v>0</v>
      </c>
      <c r="AY118" s="45">
        <f>IF($N$80="x",-1,IF(AND($N$80=0,INDEX(KonZeile4,8)+INDEX(KonSpalte4,8)+INDEX(KonFeld2,8)=0),8,0))</f>
        <v>0</v>
      </c>
      <c r="AZ118" s="47">
        <f>IF($N$80="x",-1,IF(AND($N$80=0,INDEX(KonZeile4,9)+INDEX(KonSpalte4,9)+INDEX(KonFeld2,9)=0),9,0))</f>
        <v>0</v>
      </c>
      <c r="BA118" s="46">
        <f>IF($O$80="x",-1,IF(AND($O$80=0,INDEX(KonZeile4,7)+INDEX(KonSpalte5,7)+INDEX(KonFeld2,7)=0),7,0))</f>
        <v>-1</v>
      </c>
      <c r="BB118" s="45">
        <f>IF($O$80="x",-1,IF(AND($O$80=0,INDEX(KonZeile4,8)+INDEX(KonSpalte5,8)+INDEX(KonFeld2,8)=0),8,0))</f>
        <v>-1</v>
      </c>
      <c r="BC118" s="47">
        <f>IF($O$80="x",-1,IF(AND($O$80=0,INDEX(KonZeile4,9)+INDEX(KonSpalte5,9)+INDEX(KonFeld2,9)=0),9,0))</f>
        <v>-1</v>
      </c>
      <c r="BD118" s="46">
        <f>IF($P$80="x",-1,IF(AND($P$80=0,INDEX(KonZeile4,7)+INDEX(KonSpalte6,7)+INDEX(KonFeld2,7)=0),7,0))</f>
        <v>-1</v>
      </c>
      <c r="BE118" s="45">
        <f>IF($P$80="x",-1,IF(AND($P$80=0,INDEX(KonZeile4,8)+INDEX(KonSpalte6,8)+INDEX(KonFeld2,8)=0),8,0))</f>
        <v>-1</v>
      </c>
      <c r="BF118" s="48">
        <f>IF($P$80="x",-1,IF(AND($P$80=0,INDEX(KonZeile4,9)+INDEX(KonSpalte6,9)+INDEX(KonFeld2,9)=0),9,0))</f>
        <v>-1</v>
      </c>
      <c r="BG118" s="44">
        <f>IF($Q$80="x",-1,IF(AND($Q$80=0,INDEX(KonZeile4,7)+INDEX(KonSpalte7,7)+INDEX(KonFeld2,7)=0),7,0))</f>
        <v>-1</v>
      </c>
      <c r="BH118" s="45">
        <f>IF($Q$80="x",-1,IF(AND($Q$80=0,INDEX(KonZeile4,8)+INDEX(KonSpalte7,8)+INDEX(KonFeld2,8)=0),8,0))</f>
        <v>-1</v>
      </c>
      <c r="BI118" s="47">
        <f>IF($Q$80="x",-1,IF(AND($Q$80=0,INDEX(KonZeile4,9)+INDEX(KonSpalte7,9)+INDEX(KonFeld2,9)=0),9,0))</f>
        <v>-1</v>
      </c>
      <c r="BJ118" s="46">
        <f>IF($R$80="x",-1,IF(AND($R$80=0,INDEX(KonZeile4,7)+INDEX(KonSpalte8,7)+INDEX(KonFeld2,7)=0),7,0))</f>
        <v>-1</v>
      </c>
      <c r="BK118" s="45">
        <f>IF($R$80="x",-1,IF(AND($R$80=0,INDEX(KonZeile4,8)+INDEX(KonSpalte8,8)+INDEX(KonFeld2,8)=0),8,0))</f>
        <v>-1</v>
      </c>
      <c r="BL118" s="47">
        <f>IF($R$80="x",-1,IF(AND($R$80=0,INDEX(KonZeile4,9)+INDEX(KonSpalte8,9)+INDEX(KonFeld2,9)=0),9,0))</f>
        <v>-1</v>
      </c>
      <c r="BM118" s="46">
        <f>IF($S$80="x",-1,IF(AND($S$80=0,INDEX(KonZeile4,7)+INDEX(KonSpalte9,7)+INDEX(KonFeld2,7)=0),7,0))</f>
        <v>-1</v>
      </c>
      <c r="BN118" s="45">
        <f>IF($S$80="x",-1,IF(AND($S$80=0,INDEX(KonZeile4,8)+INDEX(KonSpalte9,8)+INDEX(KonFeld2,8)=0),8,0))</f>
        <v>-1</v>
      </c>
      <c r="BO118" s="100">
        <f>IF($S$80="x",-1,IF(AND($S$80=0,INDEX(KonZeile4,9)+INDEX(KonSpalte9,9)+INDEX(KonFeld2,9)=0),9,0))</f>
        <v>-1</v>
      </c>
      <c r="BP118" s="99">
        <f>IF($T$80="x",-1,IF(AND($T$80=0,INDEX(KonZeile4,7)+INDEX(KonSpalte1,7)+INDEX(KonFeld3,7)=0),7,0))</f>
        <v>-1</v>
      </c>
      <c r="BQ118" s="45">
        <f>IF($T$80="x",-1,IF(AND($T$80=0,INDEX(KonZeile4,8)+INDEX(KonSpalte1,8)+INDEX(KonFeld3,8)=0),8,0))</f>
        <v>-1</v>
      </c>
      <c r="BR118" s="47">
        <f>IF($T$80="x",-1,IF(AND($T$80=0,INDEX(KonZeile4,9)+INDEX(KonSpalte1,9)+INDEX(KonFeld3,9)=0),9,0))</f>
        <v>-1</v>
      </c>
      <c r="BS118" s="46">
        <f>IF($U$80="x",-1,IF(AND($U$80=0,INDEX(KonZeile4,7)+INDEX(KonSpalte2,7)+INDEX(KonFeld3,7)=0),7,0))</f>
        <v>-1</v>
      </c>
      <c r="BT118" s="45">
        <f>IF($U$80="x",-1,IF(AND($U$80=0,INDEX(KonZeile4,8)+INDEX(KonSpalte2,8)+INDEX(KonFeld3,8)=0),8,0))</f>
        <v>-1</v>
      </c>
      <c r="BU118" s="47">
        <f>IF($U$80="x",-1,IF(AND($U$80=0,INDEX(KonZeile4,9)+INDEX(KonSpalte2,9)+INDEX(KonFeld3,9)=0),9,0))</f>
        <v>-1</v>
      </c>
      <c r="BV118" s="46">
        <f>IF($V$80="x",-1,IF(AND($V$80=0,INDEX(KonZeile4,7)+INDEX(KonSpalte3,7)+INDEX(KonFeld3,7)=0),7,0))</f>
        <v>-1</v>
      </c>
      <c r="BW118" s="45">
        <f>IF($V$80="x",-1,IF(AND($V$80=0,INDEX(KonZeile4,8)+INDEX(KonSpalte3,8)+INDEX(KonFeld3,8)=0),8,0))</f>
        <v>-1</v>
      </c>
      <c r="BX118" s="48">
        <f>IF($V$80="x",-1,IF(AND($V$80=0,INDEX(KonZeile4,9)+INDEX(KonSpalte3,9)+INDEX(KonFeld3,9)=0),9,0))</f>
        <v>-1</v>
      </c>
      <c r="BY118" s="44">
        <f>IF($W$80="x",-1,IF(AND($W$80=0,INDEX(KonZeile4,7)+INDEX(KonSpalte4,7)+INDEX(KonFeld3,7)=0),7,0))</f>
        <v>-1</v>
      </c>
      <c r="BZ118" s="45">
        <f>IF($W$80="x",-1,IF(AND($W$80=0,INDEX(KonZeile4,8)+INDEX(KonSpalte4,8)+INDEX(KonFeld3,8)=0),8,0))</f>
        <v>-1</v>
      </c>
      <c r="CA118" s="47">
        <f>IF($W$80="x",-1,IF(AND($W$80=0,INDEX(KonZeile4,9)+INDEX(KonSpalte4,9)+INDEX(KonFeld3,9)=0),9,0))</f>
        <v>-1</v>
      </c>
      <c r="CB118" s="46">
        <f>IF($X$80="x",-1,IF(AND($X$80=0,INDEX(KonZeile4,7)+INDEX(KonSpalte5,7)+INDEX(KonFeld3,7)=0),7,0))</f>
        <v>-1</v>
      </c>
      <c r="CC118" s="45">
        <f>IF($X$80="x",-1,IF(AND($X$80=0,INDEX(KonZeile4,8)+INDEX(KonSpalte5,8)+INDEX(KonFeld3,8)=0),8,0))</f>
        <v>-1</v>
      </c>
      <c r="CD118" s="47">
        <f>IF($X$80="x",-1,IF(AND($X$80=0,INDEX(KonZeile4,9)+INDEX(KonSpalte5,9)+INDEX(KonFeld3,9)=0),9,0))</f>
        <v>-1</v>
      </c>
      <c r="CE118" s="46">
        <f>IF($Y$80="x",-1,IF(AND($Y$80=0,INDEX(KonZeile4,7)+INDEX(KonSpalte6,7)+INDEX(KonFeld3,7)=0),7,0))</f>
        <v>-1</v>
      </c>
      <c r="CF118" s="45">
        <f>IF($Y$80="x",-1,IF(AND($Y$80=0,INDEX(KonZeile4,8)+INDEX(KonSpalte6,8)+INDEX(KonFeld3,8)=0),8,0))</f>
        <v>-1</v>
      </c>
      <c r="CG118" s="48">
        <f>IF($Y$80="x",-1,IF(AND($Y$80=0,INDEX(KonZeile4,9)+INDEX(KonSpalte6,9)+INDEX(KonFeld3,9)=0),9,0))</f>
        <v>-1</v>
      </c>
      <c r="CH118" s="44">
        <f>IF($Z$80="x",-1,IF(AND($Z$80=0,INDEX(KonZeile4,7)+INDEX(KonSpalte7,7)+INDEX(KonFeld3,7)=0),7,0))</f>
        <v>-1</v>
      </c>
      <c r="CI118" s="45">
        <f>IF($Z$80="x",-1,IF(AND($Z$80=0,INDEX(KonZeile4,8)+INDEX(KonSpalte7,8)+INDEX(KonFeld3,8)=0),8,0))</f>
        <v>-1</v>
      </c>
      <c r="CJ118" s="47">
        <f>IF($Z$80="x",-1,IF(AND($Z$80=0,INDEX(KonZeile4,9)+INDEX(KonSpalte7,9)+INDEX(KonFeld3,9)=0),9,0))</f>
        <v>-1</v>
      </c>
      <c r="CK118" s="46">
        <f>IF($AA$80="x",-1,IF(AND($AA$80=0,INDEX(KonZeile4,7)+INDEX(KonSpalte8,7)+INDEX(KonFeld3,7)=0),7,0))</f>
        <v>0</v>
      </c>
      <c r="CL118" s="45">
        <f>IF($AA$80="x",-1,IF(AND($AA$80=0,INDEX(KonZeile4,8)+INDEX(KonSpalte8,8)+INDEX(KonFeld3,8)=0),8,0))</f>
        <v>0</v>
      </c>
      <c r="CM118" s="47">
        <f>IF($AA$80="x",-1,IF(AND($AA$80=0,INDEX(KonZeile4,9)+INDEX(KonSpalte8,9)+INDEX(KonFeld3,9)=0),9,0))</f>
        <v>0</v>
      </c>
      <c r="CN118" s="46">
        <f>IF($AB$80="x",-1,IF(AND($AB$80=0,INDEX(KonZeile4,7)+INDEX(KonSpalte9,7)+INDEX(KonFeld3,7)=0),7,0))</f>
        <v>0</v>
      </c>
      <c r="CO118" s="45">
        <f>IF($AB$80="x",-1,IF(AND($AB$80=0,INDEX(KonZeile4,8)+INDEX(KonSpalte9,8)+INDEX(KonFeld3,8)=0),8,0))</f>
        <v>0</v>
      </c>
      <c r="CP118" s="100">
        <f>IF($AB$80="x",-1,IF(AND($AB$80=0,INDEX(KonZeile4,9)+INDEX(KonSpalte9,9)+INDEX(KonFeld3,9)=0),9,0))</f>
        <v>0</v>
      </c>
      <c r="CR118" s="46">
        <f>COUNTIF(N118:CP118,7)</f>
        <v>0</v>
      </c>
      <c r="CS118" s="45">
        <f>COUNTIF(N118:CP118,8)</f>
        <v>0</v>
      </c>
      <c r="CT118" s="47">
        <f>COUNTIF(N118:CP118,9)</f>
        <v>0</v>
      </c>
      <c r="CU118" s="39"/>
      <c r="CV118" s="39"/>
      <c r="CX118" s="101">
        <f t="shared" si="104"/>
        <v>0</v>
      </c>
      <c r="CY118" s="102">
        <f t="shared" si="105"/>
        <v>0</v>
      </c>
      <c r="CZ118" s="103">
        <f t="shared" si="106"/>
        <v>0</v>
      </c>
      <c r="DE118" s="231">
        <f t="shared" si="163"/>
        <v>10</v>
      </c>
      <c r="DF118" s="232">
        <f t="shared" si="135"/>
        <v>10</v>
      </c>
      <c r="DG118" s="233">
        <f t="shared" si="136"/>
        <v>10</v>
      </c>
      <c r="DH118" s="234">
        <f t="shared" si="137"/>
        <v>10</v>
      </c>
      <c r="DI118" s="232">
        <f t="shared" si="138"/>
        <v>10</v>
      </c>
      <c r="DJ118" s="233">
        <f t="shared" si="139"/>
        <v>10</v>
      </c>
      <c r="DK118" s="234">
        <f t="shared" si="140"/>
        <v>50</v>
      </c>
      <c r="DL118" s="232">
        <f t="shared" si="141"/>
        <v>50</v>
      </c>
      <c r="DM118" s="235">
        <f t="shared" si="142"/>
        <v>50</v>
      </c>
      <c r="DN118" s="231">
        <f t="shared" si="164"/>
        <v>20</v>
      </c>
      <c r="DO118" s="232">
        <f t="shared" si="144"/>
        <v>20</v>
      </c>
      <c r="DP118" s="233">
        <f t="shared" si="145"/>
        <v>20</v>
      </c>
      <c r="DQ118" s="234">
        <f t="shared" si="146"/>
        <v>80</v>
      </c>
      <c r="DR118" s="232">
        <f t="shared" si="147"/>
        <v>80</v>
      </c>
      <c r="DS118" s="233">
        <f t="shared" si="148"/>
        <v>80</v>
      </c>
      <c r="DT118" s="234">
        <f t="shared" si="149"/>
        <v>50</v>
      </c>
      <c r="DU118" s="232">
        <f t="shared" si="150"/>
        <v>50</v>
      </c>
      <c r="DV118" s="235">
        <f t="shared" si="151"/>
        <v>50</v>
      </c>
      <c r="DW118" s="231">
        <f t="shared" si="152"/>
        <v>60</v>
      </c>
      <c r="DX118" s="232">
        <f t="shared" si="153"/>
        <v>60</v>
      </c>
      <c r="DY118" s="233">
        <f t="shared" si="154"/>
        <v>60</v>
      </c>
      <c r="DZ118" s="234">
        <f t="shared" si="155"/>
        <v>30</v>
      </c>
      <c r="EA118" s="232">
        <f t="shared" si="156"/>
        <v>30</v>
      </c>
      <c r="EB118" s="233">
        <f t="shared" si="157"/>
        <v>30</v>
      </c>
      <c r="EC118" s="234">
        <f t="shared" si="158"/>
        <v>30</v>
      </c>
      <c r="ED118" s="232">
        <f t="shared" si="159"/>
        <v>30</v>
      </c>
      <c r="EE118" s="235">
        <f t="shared" si="160"/>
        <v>30</v>
      </c>
      <c r="EI118" s="293"/>
      <c r="EJ118" s="259"/>
      <c r="EK118" s="260"/>
      <c r="EL118" s="258"/>
      <c r="EM118" s="259"/>
      <c r="EN118" s="260"/>
      <c r="EO118" s="275"/>
      <c r="EP118" s="276">
        <v>8</v>
      </c>
      <c r="EQ118" s="298"/>
      <c r="ER118" s="311">
        <v>7</v>
      </c>
      <c r="ES118" s="267"/>
      <c r="ET118" s="268"/>
      <c r="EU118" s="389"/>
      <c r="EV118" s="390"/>
      <c r="EW118" s="391"/>
      <c r="EX118" s="275"/>
      <c r="EY118" s="276"/>
      <c r="EZ118" s="298"/>
      <c r="FA118" s="446"/>
      <c r="FB118" s="344">
        <v>8</v>
      </c>
      <c r="FC118" s="345"/>
      <c r="FD118" s="323"/>
      <c r="FE118" s="321">
        <v>8</v>
      </c>
      <c r="FF118" s="322"/>
      <c r="FG118" s="323"/>
      <c r="FH118" s="321">
        <v>8</v>
      </c>
      <c r="FI118" s="324"/>
      <c r="FM118" s="293"/>
      <c r="FN118" s="259"/>
      <c r="FO118" s="260"/>
      <c r="FP118" s="258"/>
      <c r="FQ118" s="259"/>
      <c r="FR118" s="260"/>
      <c r="FS118" s="275"/>
      <c r="FT118" s="276">
        <v>8</v>
      </c>
      <c r="FU118" s="298"/>
      <c r="FV118" s="311"/>
      <c r="FW118" s="267"/>
      <c r="FX118" s="268"/>
      <c r="FY118" s="389"/>
      <c r="FZ118" s="390"/>
      <c r="GA118" s="391"/>
      <c r="GB118" s="275"/>
      <c r="GC118" s="276"/>
      <c r="GD118" s="298"/>
      <c r="GE118" s="446"/>
      <c r="GF118" s="344"/>
      <c r="GG118" s="345"/>
      <c r="GH118" s="323"/>
      <c r="GI118" s="321"/>
      <c r="GJ118" s="322"/>
      <c r="GK118" s="323"/>
      <c r="GL118" s="321"/>
      <c r="GM118" s="324"/>
      <c r="GO118" s="537"/>
      <c r="GP118" s="538"/>
      <c r="GQ118" s="538"/>
      <c r="GR118" s="538"/>
      <c r="GS118" s="538"/>
      <c r="GT118" s="538"/>
      <c r="GU118" s="538"/>
      <c r="GV118" s="538"/>
      <c r="GW118" s="539"/>
      <c r="GY118"/>
      <c r="GZ118"/>
      <c r="HA118"/>
      <c r="HB118"/>
      <c r="HC118"/>
      <c r="HD118"/>
      <c r="HE118"/>
      <c r="HF118"/>
      <c r="HG118"/>
      <c r="HH118"/>
      <c r="HI118"/>
      <c r="HJ118"/>
      <c r="HK118"/>
      <c r="HL118"/>
      <c r="HM118"/>
      <c r="HN118"/>
      <c r="HO118"/>
      <c r="HP118"/>
      <c r="HQ118"/>
      <c r="HR118"/>
      <c r="HS118"/>
      <c r="HT118"/>
      <c r="HU118"/>
      <c r="HV118"/>
      <c r="HW118"/>
      <c r="HX118"/>
      <c r="HY118"/>
      <c r="HZ118"/>
      <c r="IA118"/>
    </row>
    <row r="119" spans="2:235" ht="15" customHeight="1">
      <c r="B119" s="69" t="str">
        <f t="shared" si="84"/>
        <v>x</v>
      </c>
      <c r="C119" s="70" t="str">
        <f t="shared" si="85"/>
        <v>x</v>
      </c>
      <c r="D119" s="70" t="str">
        <f t="shared" si="86"/>
        <v>x</v>
      </c>
      <c r="E119" s="70" t="str">
        <f t="shared" si="87"/>
        <v>x</v>
      </c>
      <c r="F119" s="70" t="str">
        <f t="shared" si="88"/>
        <v>x</v>
      </c>
      <c r="G119" s="70" t="str">
        <f t="shared" si="89"/>
        <v>x</v>
      </c>
      <c r="H119" s="70" t="str">
        <f t="shared" si="90"/>
        <v>x</v>
      </c>
      <c r="I119" s="70" t="str">
        <f t="shared" si="91"/>
        <v>x</v>
      </c>
      <c r="J119" s="71" t="str">
        <f t="shared" si="92"/>
        <v>x</v>
      </c>
      <c r="N119" s="104">
        <f>IF($B$81="x",-1,IF(AND($B$81=0,INDEX(KonZeile5,1)+INDEX(KonSpalte1,1)+INDEX(KonFeld1,1)=0),1,0))</f>
        <v>0</v>
      </c>
      <c r="O119" s="50">
        <f>IF($B$81="x",-1,IF(AND($B$81=0,INDEX(KonZeile5,2)+INDEX(KonSpalte1,2)+INDEX(KonFeld1,2)=0),2,0))</f>
        <v>0</v>
      </c>
      <c r="P119" s="51">
        <f>IF($B$81="x",-1,IF(AND($B$81=0,INDEX(KonZeile5,3)+INDEX(KonSpalte1,3)+INDEX(KonFeld1,3)=0),3,0))</f>
        <v>0</v>
      </c>
      <c r="Q119" s="52">
        <f>IF($C$81="x",-1,IF(AND($C$81=0,INDEX(KonZeile5,1)+INDEX(KonSpalte2,1)+INDEX(KonFeld1,1)=0),1,0))</f>
        <v>0</v>
      </c>
      <c r="R119" s="50">
        <f>IF($C$81="x",-1,IF(AND($C$81=0,INDEX(KonZeile5,2)+INDEX(KonSpalte2,2)+INDEX(KonFeld1,2)=0),2,0))</f>
        <v>0</v>
      </c>
      <c r="S119" s="51">
        <f>IF($C$81="x",-1,IF(AND($C$81=0,INDEX(KonZeile5,3)+INDEX(KonSpalte2,3)+INDEX(KonFeld1,3)=0),3,0))</f>
        <v>0</v>
      </c>
      <c r="T119" s="52">
        <f>IF($D$81="x",-1,IF(AND($D$81=0,INDEX(KonZeile5,1)+INDEX(KonSpalte3,1)+INDEX(KonFeld1,1)=0),1,0))</f>
        <v>-1</v>
      </c>
      <c r="U119" s="50">
        <f>IF($D$81="x",-1,IF(AND($D$81=0,INDEX(KonZeile5,2)+INDEX(KonSpalte3,2)+INDEX(KonFeld1,2)=0),2,0))</f>
        <v>-1</v>
      </c>
      <c r="V119" s="53">
        <f>IF($D$81="x",-1,IF(AND($D$81=0,INDEX(KonZeile5,3)+INDEX(KonSpalte3,3)+INDEX(KonFeld1,3)=0),3,0))</f>
        <v>-1</v>
      </c>
      <c r="W119" s="49">
        <f>IF($E$81="x",-1,IF(AND($E$81=0,INDEX(KonZeile5,1)+INDEX(KonSpalte4,1)+INDEX(KonFeld1,1)=0),1,0))</f>
        <v>-1</v>
      </c>
      <c r="X119" s="50">
        <f>IF($E$81="x",-1,IF(AND($E$81=0,INDEX(KonZeile5,2)+INDEX(KonSpalte4,2)+INDEX(KonFeld1,2)=0),2,0))</f>
        <v>-1</v>
      </c>
      <c r="Y119" s="51">
        <f>IF($E$81="x",-1,IF(AND($E$81=0,INDEX(KonZeile5,3)+INDEX(KonSpalte4,3)+INDEX(KonFeld1,3)=0),3,0))</f>
        <v>-1</v>
      </c>
      <c r="Z119" s="52">
        <f>IF($F$81="x",-1,IF(AND($F$81=0,INDEX(KonZeile5,1)+INDEX(KonSpalte5,1)+INDEX(KonFeld1,1)=0),1,0))</f>
        <v>-1</v>
      </c>
      <c r="AA119" s="50">
        <f>IF($F$81="x",-1,IF(AND($F$81=0,INDEX(KonZeile5,2)+INDEX(KonSpalte5,2)+INDEX(KonFeld1,2)=0),2,0))</f>
        <v>-1</v>
      </c>
      <c r="AB119" s="51">
        <f>IF($F$81="x",-1,IF(AND($F$81=0,INDEX(KonZeile5,3)+INDEX(KonSpalte5,3)+INDEX(KonFeld1,3)=0),3,0))</f>
        <v>-1</v>
      </c>
      <c r="AC119" s="52">
        <f>IF($G$81="x",-1,IF(AND($G$81=0,INDEX(KonZeile5,1)+INDEX(KonSpalte6,1)+INDEX(KonFeld1,1)=0),1,0))</f>
        <v>-1</v>
      </c>
      <c r="AD119" s="50">
        <f>IF($G$81="x",-1,IF(AND($G$81=0,INDEX(KonZeile5,2)+INDEX(KonSpalte6,2)+INDEX(KonFeld1,2)=0),2,0))</f>
        <v>-1</v>
      </c>
      <c r="AE119" s="53">
        <f>IF($G$81="x",-1,IF(AND($G$81=0,INDEX(KonZeile5,3)+INDEX(KonSpalte6,3)+INDEX(KonFeld1,3)=0),3,0))</f>
        <v>-1</v>
      </c>
      <c r="AF119" s="49">
        <f>IF($H$81="x",-1,IF(AND($H$81=0,INDEX(KonZeile5,1)+INDEX(KonSpalte7,1)+INDEX(KonFeld1,1)=0),1,0))</f>
        <v>-1</v>
      </c>
      <c r="AG119" s="50">
        <f>IF($H$81="x",-1,IF(AND($H$81=0,INDEX(KonZeile5,2)+INDEX(KonSpalte7,2)+INDEX(KonFeld1,2)=0),2,0))</f>
        <v>-1</v>
      </c>
      <c r="AH119" s="51">
        <f>IF($H$81="x",-1,IF(AND($H$81=0,INDEX(KonZeile5,3)+INDEX(KonSpalte7,3)+INDEX(KonFeld1,3)=0),3,0))</f>
        <v>-1</v>
      </c>
      <c r="AI119" s="52">
        <f>IF($I$81="x",-1,IF(AND($I$81=0,INDEX(KonZeile5,1)+INDEX(KonSpalte8,1)+INDEX(KonFeld1,1)=0),1,0))</f>
        <v>-1</v>
      </c>
      <c r="AJ119" s="50">
        <f>IF($I$81="x",-1,IF(AND($I$81=0,INDEX(KonZeile5,2)+INDEX(KonSpalte8,2)+INDEX(KonFeld1,2)=0),2,0))</f>
        <v>-1</v>
      </c>
      <c r="AK119" s="51">
        <f>IF($I$81="x",-1,IF(AND($I$81=0,INDEX(KonZeile5,3)+INDEX(KonSpalte8,3)+INDEX(KonFeld1,3)=0),3,0))</f>
        <v>-1</v>
      </c>
      <c r="AL119" s="52">
        <f>IF($J$81="x",-1,IF(AND($J$81=0,INDEX(KonZeile5,1)+INDEX(KonSpalte9,1)+INDEX(KonFeld1,1)=0),1,0))</f>
        <v>-1</v>
      </c>
      <c r="AM119" s="50">
        <f>IF($J$81="x",-1,IF(AND($J$81=0,INDEX(KonZeile5,2)+INDEX(KonSpalte9,2)+INDEX(KonFeld1,2)=0),2,0))</f>
        <v>-1</v>
      </c>
      <c r="AN119" s="105">
        <f>IF($J$81="x",-1,IF(AND($J$81=0,INDEX(KonZeile5,3)+INDEX(KonSpalte9,3)+INDEX(KonFeld1,3)=0),3,0))</f>
        <v>-1</v>
      </c>
      <c r="AO119" s="104">
        <f>IF($K$81="x",-1,IF(AND($K$81=0,INDEX(KonZeile5,1)+INDEX(KonSpalte1,1)+INDEX(KonFeld2,1)=0),1,0))</f>
        <v>-1</v>
      </c>
      <c r="AP119" s="50">
        <f>IF($K$81="x",-1,IF(AND($K$81=0,INDEX(KonZeile5,2)+INDEX(KonSpalte1,2)+INDEX(KonFeld2,2)=0),2,0))</f>
        <v>-1</v>
      </c>
      <c r="AQ119" s="51">
        <f>IF($K$81="x",-1,IF(AND($K$81=0,INDEX(KonZeile5,3)+INDEX(KonSpalte1,3)+INDEX(KonFeld2,3)=0),3,0))</f>
        <v>-1</v>
      </c>
      <c r="AR119" s="52">
        <f>IF($L$81="x",-1,IF(AND($L$81=0,INDEX(KonZeile5,1)+INDEX(KonSpalte2,1)+INDEX(KonFeld2,1)=0),1,0))</f>
        <v>-1</v>
      </c>
      <c r="AS119" s="50">
        <f>IF($L$81="x",-1,IF(AND($L$81=0,INDEX(KonZeile5,2)+INDEX(KonSpalte2,2)+INDEX(KonFeld2,2)=0),2,0))</f>
        <v>-1</v>
      </c>
      <c r="AT119" s="51">
        <f>IF($L$81="x",-1,IF(AND($L$81=0,INDEX(KonZeile5,3)+INDEX(KonSpalte2,3)+INDEX(KonFeld2,3)=0),3,0))</f>
        <v>-1</v>
      </c>
      <c r="AU119" s="52">
        <f>IF($M$81="x",-1,IF(AND($M$81=0,INDEX(KonZeile5,1)+INDEX(KonSpalte3,1)+INDEX(KonFeld2,1)=0),1,0))</f>
        <v>-1</v>
      </c>
      <c r="AV119" s="50">
        <f>IF($M$81="x",-1,IF(AND($M$81=0,INDEX(KonZeile5,2)+INDEX(KonSpalte3,2)+INDEX(KonFeld2,2)=0),2,0))</f>
        <v>-1</v>
      </c>
      <c r="AW119" s="53">
        <f>IF($M$81="x",-1,IF(AND($M$81=0,INDEX(KonZeile5,3)+INDEX(KonSpalte3,3)+INDEX(KonFeld2,3)=0),3,0))</f>
        <v>-1</v>
      </c>
      <c r="AX119" s="49">
        <f>IF($N$81="x",-1,IF(AND($N$81=0,INDEX(KonZeile5,1)+INDEX(KonSpalte4,1)+INDEX(KonFeld2,1)=0),1,0))</f>
        <v>-1</v>
      </c>
      <c r="AY119" s="50">
        <f>IF($N$81="x",-1,IF(AND($N$81=0,INDEX(KonZeile5,2)+INDEX(KonSpalte4,2)+INDEX(KonFeld2,2)=0),2,0))</f>
        <v>-1</v>
      </c>
      <c r="AZ119" s="51">
        <f>IF($N$81="x",-1,IF(AND($N$81=0,INDEX(KonZeile5,3)+INDEX(KonSpalte4,3)+INDEX(KonFeld2,3)=0),3,0))</f>
        <v>-1</v>
      </c>
      <c r="BA119" s="52">
        <f>IF($O$81="x",-1,IF(AND($O$81=0,INDEX(KonZeile5,1)+INDEX(KonSpalte5,1)+INDEX(KonFeld2,1)=0),1,0))</f>
        <v>0</v>
      </c>
      <c r="BB119" s="50">
        <f>IF($O$81="x",-1,IF(AND($O$81=0,INDEX(KonZeile5,2)+INDEX(KonSpalte5,2)+INDEX(KonFeld2,2)=0),2,0))</f>
        <v>0</v>
      </c>
      <c r="BC119" s="51">
        <f>IF($O$81="x",-1,IF(AND($O$81=0,INDEX(KonZeile5,3)+INDEX(KonSpalte5,3)+INDEX(KonFeld2,3)=0),3,0))</f>
        <v>0</v>
      </c>
      <c r="BD119" s="52">
        <f>IF($P$81="x",-1,IF(AND($P$81=0,INDEX(KonZeile5,1)+INDEX(KonSpalte6,1)+INDEX(KonFeld2,1)=0),1,0))</f>
        <v>0</v>
      </c>
      <c r="BE119" s="50">
        <f>IF($P$81="x",-1,IF(AND($P$81=0,INDEX(KonZeile5,2)+INDEX(KonSpalte6,2)+INDEX(KonFeld2,2)=0),2,0))</f>
        <v>0</v>
      </c>
      <c r="BF119" s="53">
        <f>IF($P$81="x",-1,IF(AND($P$81=0,INDEX(KonZeile5,3)+INDEX(KonSpalte6,3)+INDEX(KonFeld2,3)=0),3,0))</f>
        <v>0</v>
      </c>
      <c r="BG119" s="49">
        <f>IF($Q$81="x",-1,IF(AND($Q$81=0,INDEX(KonZeile5,1)+INDEX(KonSpalte7,1)+INDEX(KonFeld2,1)=0),1,0))</f>
        <v>-1</v>
      </c>
      <c r="BH119" s="50">
        <f>IF($Q$81="x",-1,IF(AND($Q$81=0,INDEX(KonZeile5,2)+INDEX(KonSpalte7,2)+INDEX(KonFeld2,2)=0),2,0))</f>
        <v>-1</v>
      </c>
      <c r="BI119" s="51">
        <f>IF($Q$81="x",-1,IF(AND($Q$81=0,INDEX(KonZeile5,3)+INDEX(KonSpalte7,3)+INDEX(KonFeld2,3)=0),3,0))</f>
        <v>-1</v>
      </c>
      <c r="BJ119" s="52">
        <f>IF($R$81="x",-1,IF(AND($R$81=0,INDEX(KonZeile5,1)+INDEX(KonSpalte8,1)+INDEX(KonFeld2,1)=0),1,0))</f>
        <v>-1</v>
      </c>
      <c r="BK119" s="50">
        <f>IF($R$81="x",-1,IF(AND($R$81=0,INDEX(KonZeile5,2)+INDEX(KonSpalte8,2)+INDEX(KonFeld2,2)=0),2,0))</f>
        <v>-1</v>
      </c>
      <c r="BL119" s="51">
        <f>IF($R$81="x",-1,IF(AND($R$81=0,INDEX(KonZeile5,3)+INDEX(KonSpalte8,3)+INDEX(KonFeld2,3)=0),3,0))</f>
        <v>-1</v>
      </c>
      <c r="BM119" s="52">
        <f>IF($S$81="x",-1,IF(AND($S$81=0,INDEX(KonZeile5,1)+INDEX(KonSpalte9,1)+INDEX(KonFeld2,1)=0),1,0))</f>
        <v>-1</v>
      </c>
      <c r="BN119" s="50">
        <f>IF($S$81="x",-1,IF(AND($S$81=0,INDEX(KonZeile5,2)+INDEX(KonSpalte9,2)+INDEX(KonFeld2,2)=0),2,0))</f>
        <v>-1</v>
      </c>
      <c r="BO119" s="105">
        <f>IF($S$81="x",-1,IF(AND($S$81=0,INDEX(KonZeile5,3)+INDEX(KonSpalte9,3)+INDEX(KonFeld2,3)=0),3,0))</f>
        <v>-1</v>
      </c>
      <c r="BP119" s="104">
        <f>IF($T$81="x",-1,IF(AND($T$81=0,INDEX(KonZeile5,1)+INDEX(KonSpalte1,1)+INDEX(KonFeld3,1)=0),1,0))</f>
        <v>-1</v>
      </c>
      <c r="BQ119" s="50">
        <f>IF($T$81="x",-1,IF(AND($T$81=0,INDEX(KonZeile5,2)+INDEX(KonSpalte1,2)+INDEX(KonFeld3,2)=0),2,0))</f>
        <v>-1</v>
      </c>
      <c r="BR119" s="51">
        <f>IF($T$81="x",-1,IF(AND($T$81=0,INDEX(KonZeile5,3)+INDEX(KonSpalte1,3)+INDEX(KonFeld3,3)=0),3,0))</f>
        <v>-1</v>
      </c>
      <c r="BS119" s="52">
        <f>IF($U$81="x",-1,IF(AND($U$81=0,INDEX(KonZeile5,1)+INDEX(KonSpalte2,1)+INDEX(KonFeld3,1)=0),1,0))</f>
        <v>-1</v>
      </c>
      <c r="BT119" s="50">
        <f>IF($U$81="x",-1,IF(AND($U$81=0,INDEX(KonZeile5,2)+INDEX(KonSpalte2,2)+INDEX(KonFeld3,2)=0),2,0))</f>
        <v>-1</v>
      </c>
      <c r="BU119" s="51">
        <f>IF($U$81="x",-1,IF(AND($U$81=0,INDEX(KonZeile5,3)+INDEX(KonSpalte2,3)+INDEX(KonFeld3,3)=0),3,0))</f>
        <v>-1</v>
      </c>
      <c r="BV119" s="52">
        <f>IF($V$81="x",-1,IF(AND($V$81=0,INDEX(KonZeile5,1)+INDEX(KonSpalte3,1)+INDEX(KonFeld3,1)=0),1,0))</f>
        <v>-1</v>
      </c>
      <c r="BW119" s="50">
        <f>IF($V$81="x",-1,IF(AND($V$81=0,INDEX(KonZeile5,2)+INDEX(KonSpalte3,2)+INDEX(KonFeld3,2)=0),2,0))</f>
        <v>-1</v>
      </c>
      <c r="BX119" s="53">
        <f>IF($V$81="x",-1,IF(AND($V$81=0,INDEX(KonZeile5,3)+INDEX(KonSpalte3,3)+INDEX(KonFeld3,3)=0),3,0))</f>
        <v>-1</v>
      </c>
      <c r="BY119" s="49">
        <f>IF($W$81="x",-1,IF(AND($W$81=0,INDEX(KonZeile5,1)+INDEX(KonSpalte4,1)+INDEX(KonFeld3,1)=0),1,0))</f>
        <v>-1</v>
      </c>
      <c r="BZ119" s="50">
        <f>IF($W$81="x",-1,IF(AND($W$81=0,INDEX(KonZeile5,2)+INDEX(KonSpalte4,2)+INDEX(KonFeld3,2)=0),2,0))</f>
        <v>-1</v>
      </c>
      <c r="CA119" s="51">
        <f>IF($W$81="x",-1,IF(AND($W$81=0,INDEX(KonZeile5,3)+INDEX(KonSpalte4,3)+INDEX(KonFeld3,3)=0),3,0))</f>
        <v>-1</v>
      </c>
      <c r="CB119" s="52">
        <f>IF($X$81="x",-1,IF(AND($X$81=0,INDEX(KonZeile5,1)+INDEX(KonSpalte5,1)+INDEX(KonFeld3,1)=0),1,0))</f>
        <v>-1</v>
      </c>
      <c r="CC119" s="50">
        <f>IF($X$81="x",-1,IF(AND($X$81=0,INDEX(KonZeile5,2)+INDEX(KonSpalte5,2)+INDEX(KonFeld3,2)=0),2,0))</f>
        <v>-1</v>
      </c>
      <c r="CD119" s="51">
        <f>IF($X$81="x",-1,IF(AND($X$81=0,INDEX(KonZeile5,3)+INDEX(KonSpalte5,3)+INDEX(KonFeld3,3)=0),3,0))</f>
        <v>-1</v>
      </c>
      <c r="CE119" s="52">
        <f>IF($Y$81="x",-1,IF(AND($Y$81=0,INDEX(KonZeile5,1)+INDEX(KonSpalte6,1)+INDEX(KonFeld3,1)=0),1,0))</f>
        <v>-1</v>
      </c>
      <c r="CF119" s="50">
        <f>IF($Y$81="x",-1,IF(AND($Y$81=0,INDEX(KonZeile5,2)+INDEX(KonSpalte6,2)+INDEX(KonFeld3,2)=0),2,0))</f>
        <v>-1</v>
      </c>
      <c r="CG119" s="53">
        <f>IF($Y$81="x",-1,IF(AND($Y$81=0,INDEX(KonZeile5,3)+INDEX(KonSpalte6,3)+INDEX(KonFeld3,3)=0),3,0))</f>
        <v>-1</v>
      </c>
      <c r="CH119" s="49">
        <f>IF($Z$81="x",-1,IF(AND($Z$81=0,INDEX(KonZeile5,1)+INDEX(KonSpalte7,1)+INDEX(KonFeld3,1)=0),1,0))</f>
        <v>-1</v>
      </c>
      <c r="CI119" s="50">
        <f>IF($Z$81="x",-1,IF(AND($Z$81=0,INDEX(KonZeile5,2)+INDEX(KonSpalte7,2)+INDEX(KonFeld3,2)=0),2,0))</f>
        <v>-1</v>
      </c>
      <c r="CJ119" s="51">
        <f>IF($Z$81="x",-1,IF(AND($Z$81=0,INDEX(KonZeile5,3)+INDEX(KonSpalte7,3)+INDEX(KonFeld3,3)=0),3,0))</f>
        <v>-1</v>
      </c>
      <c r="CK119" s="52">
        <f>IF($AA$81="x",-1,IF(AND($AA$81=0,INDEX(KonZeile5,1)+INDEX(KonSpalte8,1)+INDEX(KonFeld3,1)=0),1,0))</f>
        <v>-1</v>
      </c>
      <c r="CL119" s="50">
        <f>IF($AA$81="x",-1,IF(AND($AA$81=0,INDEX(KonZeile5,2)+INDEX(KonSpalte8,2)+INDEX(KonFeld3,2)=0),2,0))</f>
        <v>-1</v>
      </c>
      <c r="CM119" s="51">
        <f>IF($AA$81="x",-1,IF(AND($AA$81=0,INDEX(KonZeile5,3)+INDEX(KonSpalte8,3)+INDEX(KonFeld3,3)=0),3,0))</f>
        <v>-1</v>
      </c>
      <c r="CN119" s="52">
        <f>IF($AB$81="x",-1,IF(AND($AB$81=0,INDEX(KonZeile5,1)+INDEX(KonSpalte9,1)+INDEX(KonFeld3,1)=0),1,0))</f>
        <v>0</v>
      </c>
      <c r="CO119" s="50">
        <f>IF($AB$81="x",-1,IF(AND($AB$81=0,INDEX(KonZeile5,2)+INDEX(KonSpalte9,2)+INDEX(KonFeld3,2)=0),2,0))</f>
        <v>0</v>
      </c>
      <c r="CP119" s="105">
        <f>IF($AB$81="x",-1,IF(AND($AB$81=0,INDEX(KonZeile5,3)+INDEX(KonSpalte9,3)+INDEX(KonFeld3,3)=0),3,0))</f>
        <v>0</v>
      </c>
      <c r="CR119" s="52">
        <f>COUNTIF(N119:CP119,1)</f>
        <v>0</v>
      </c>
      <c r="CS119" s="50">
        <f>COUNTIF(N119:CP119,2)</f>
        <v>0</v>
      </c>
      <c r="CT119" s="51">
        <f>COUNTIF(N119:CP119,3)</f>
        <v>0</v>
      </c>
      <c r="CU119" s="39"/>
      <c r="CV119" s="39"/>
      <c r="CX119" s="91">
        <f t="shared" si="104"/>
        <v>0</v>
      </c>
      <c r="CY119" s="92">
        <f t="shared" si="105"/>
        <v>0</v>
      </c>
      <c r="CZ119" s="93">
        <f t="shared" si="106"/>
        <v>0</v>
      </c>
      <c r="DE119" s="236">
        <f>IF(N119&gt;=0,10+N119,IF(AO119&gt;=0,20+AO119,IF(BP119&gt;=0,30+BP119,IF(N146&gt;=0,40+N146,IF(AO146&gt;=0,50+AO146,IF(BP146&gt;=0,60+BP146,IF(N173&gt;=0,70+N173,IF(AO173&gt;=0,80+AO173,IF(BP173&gt;=0,90+BP173,"")))))))))</f>
        <v>10</v>
      </c>
      <c r="DF119" s="237">
        <f t="shared" si="135"/>
        <v>10</v>
      </c>
      <c r="DG119" s="238">
        <f t="shared" si="136"/>
        <v>10</v>
      </c>
      <c r="DH119" s="239">
        <f t="shared" si="137"/>
        <v>10</v>
      </c>
      <c r="DI119" s="237">
        <f t="shared" si="138"/>
        <v>10</v>
      </c>
      <c r="DJ119" s="238">
        <f t="shared" si="139"/>
        <v>10</v>
      </c>
      <c r="DK119" s="239">
        <f t="shared" si="140"/>
        <v>40</v>
      </c>
      <c r="DL119" s="237">
        <f t="shared" si="141"/>
        <v>40</v>
      </c>
      <c r="DM119" s="240">
        <f t="shared" si="142"/>
        <v>40</v>
      </c>
      <c r="DN119" s="236">
        <f>IF(W119&gt;=0,10+W119,IF(AX119&gt;=0,20+AX119,IF(BY119&gt;=0,30+BY119,IF(W146&gt;=0,40+W146,IF(AX146&gt;=0,50+AX146,IF(BY146&gt;=0,60+BY146,IF(W173&gt;=0,70+W173,IF(AX173&gt;=0,80+AX173,IF(BY173&gt;=0,90+BY173,"")))))))))</f>
        <v>80</v>
      </c>
      <c r="DO119" s="237">
        <f t="shared" si="144"/>
        <v>80</v>
      </c>
      <c r="DP119" s="238">
        <f t="shared" si="145"/>
        <v>80</v>
      </c>
      <c r="DQ119" s="239">
        <f t="shared" si="146"/>
        <v>20</v>
      </c>
      <c r="DR119" s="237">
        <f t="shared" si="147"/>
        <v>20</v>
      </c>
      <c r="DS119" s="238">
        <f t="shared" si="148"/>
        <v>20</v>
      </c>
      <c r="DT119" s="239">
        <f t="shared" si="149"/>
        <v>20</v>
      </c>
      <c r="DU119" s="237">
        <f t="shared" si="150"/>
        <v>20</v>
      </c>
      <c r="DV119" s="240">
        <f t="shared" si="151"/>
        <v>20</v>
      </c>
      <c r="DW119" s="236">
        <f t="shared" si="152"/>
        <v>60</v>
      </c>
      <c r="DX119" s="237">
        <f t="shared" si="153"/>
        <v>60</v>
      </c>
      <c r="DY119" s="238">
        <f t="shared" si="154"/>
        <v>60</v>
      </c>
      <c r="DZ119" s="239">
        <f t="shared" si="155"/>
        <v>60</v>
      </c>
      <c r="EA119" s="237">
        <f t="shared" si="156"/>
        <v>60</v>
      </c>
      <c r="EB119" s="238">
        <f t="shared" si="157"/>
        <v>60</v>
      </c>
      <c r="EC119" s="239">
        <f t="shared" si="158"/>
        <v>30</v>
      </c>
      <c r="ED119" s="237">
        <f t="shared" si="159"/>
        <v>30</v>
      </c>
      <c r="EE119" s="240">
        <f t="shared" si="160"/>
        <v>30</v>
      </c>
      <c r="EI119" s="295"/>
      <c r="EJ119" s="253"/>
      <c r="EK119" s="254"/>
      <c r="EL119" s="252"/>
      <c r="EM119" s="253"/>
      <c r="EN119" s="254"/>
      <c r="EO119" s="278"/>
      <c r="EP119" s="279"/>
      <c r="EQ119" s="350"/>
      <c r="ER119" s="365"/>
      <c r="ES119" s="363"/>
      <c r="ET119" s="366"/>
      <c r="EU119" s="261"/>
      <c r="EV119" s="262"/>
      <c r="EW119" s="263"/>
      <c r="EX119" s="261"/>
      <c r="EY119" s="262"/>
      <c r="EZ119" s="421"/>
      <c r="FA119" s="453"/>
      <c r="FB119" s="351"/>
      <c r="FC119" s="352"/>
      <c r="FD119" s="353"/>
      <c r="FE119" s="351"/>
      <c r="FF119" s="352"/>
      <c r="FG119" s="315"/>
      <c r="FH119" s="313"/>
      <c r="FI119" s="316"/>
      <c r="FM119" s="295"/>
      <c r="FN119" s="253"/>
      <c r="FO119" s="254"/>
      <c r="FP119" s="252"/>
      <c r="FQ119" s="253"/>
      <c r="FR119" s="254"/>
      <c r="FS119" s="278"/>
      <c r="FT119" s="279"/>
      <c r="FU119" s="350"/>
      <c r="FV119" s="365"/>
      <c r="FW119" s="363"/>
      <c r="FX119" s="366"/>
      <c r="FY119" s="261"/>
      <c r="FZ119" s="262"/>
      <c r="GA119" s="263"/>
      <c r="GB119" s="261"/>
      <c r="GC119" s="262"/>
      <c r="GD119" s="421"/>
      <c r="GE119" s="453"/>
      <c r="GF119" s="351"/>
      <c r="GG119" s="352"/>
      <c r="GH119" s="353"/>
      <c r="GI119" s="351"/>
      <c r="GJ119" s="352"/>
      <c r="GK119" s="315"/>
      <c r="GL119" s="313"/>
      <c r="GM119" s="316"/>
      <c r="GY119"/>
      <c r="GZ119"/>
      <c r="HA119"/>
      <c r="HB119"/>
      <c r="HC119"/>
      <c r="HD119"/>
      <c r="HE119"/>
      <c r="HF119"/>
      <c r="HG119"/>
      <c r="HH119"/>
      <c r="HI119"/>
      <c r="HJ119"/>
      <c r="HK119"/>
      <c r="HL119"/>
      <c r="HM119"/>
      <c r="HN119"/>
      <c r="HO119"/>
      <c r="HP119"/>
      <c r="HQ119"/>
      <c r="HR119"/>
      <c r="HS119"/>
      <c r="HT119"/>
      <c r="HU119"/>
      <c r="HV119"/>
      <c r="HW119"/>
      <c r="HX119"/>
      <c r="HY119"/>
      <c r="HZ119"/>
      <c r="IA119"/>
    </row>
    <row r="120" spans="2:235" ht="15" customHeight="1">
      <c r="B120" s="69" t="str">
        <f t="shared" si="84"/>
        <v>x</v>
      </c>
      <c r="C120" s="70" t="str">
        <f t="shared" si="85"/>
        <v>x</v>
      </c>
      <c r="D120" s="70" t="str">
        <f t="shared" si="86"/>
        <v>x</v>
      </c>
      <c r="E120" s="70" t="str">
        <f t="shared" si="87"/>
        <v>x</v>
      </c>
      <c r="F120" s="70" t="str">
        <f t="shared" si="88"/>
        <v>x</v>
      </c>
      <c r="G120" s="70" t="str">
        <f t="shared" si="89"/>
        <v>x</v>
      </c>
      <c r="H120" s="70" t="str">
        <f t="shared" si="90"/>
        <v>x</v>
      </c>
      <c r="I120" s="70" t="str">
        <f t="shared" si="91"/>
        <v>x</v>
      </c>
      <c r="J120" s="71" t="str">
        <f t="shared" si="92"/>
        <v>x</v>
      </c>
      <c r="N120" s="94">
        <f>IF($B$81="x",-1,IF(AND($B$81=0,INDEX(KonZeile5,4)+INDEX(KonSpalte1,4)+INDEX(KonFeld1,4)=0),4,0))</f>
        <v>0</v>
      </c>
      <c r="O120" s="39">
        <f>IF($B$81="x",-1,IF(AND($B$81=0,INDEX(KonZeile5,5)+INDEX(KonSpalte1,5)+INDEX(KonFeld1,5)=0),5,0))</f>
        <v>0</v>
      </c>
      <c r="P120" s="41">
        <f>IF($B$81="x",-1,IF(AND($B$81=0,INDEX(KonZeile5,6)+INDEX(KonSpalte1,6)+INDEX(KonFeld1,6)=0),6,0))</f>
        <v>0</v>
      </c>
      <c r="Q120" s="40">
        <f>IF($C$81="x",-1,IF(AND($C$81=0,INDEX(KonZeile5,4)+INDEX(KonSpalte2,4)+INDEX(KonFeld1,4)=0),4,0))</f>
        <v>0</v>
      </c>
      <c r="R120" s="39">
        <f>IF($C$81="x",-1,IF(AND($C$81=0,INDEX(KonZeile5,5)+INDEX(KonSpalte2,5)+INDEX(KonFeld1,5)=0),5,0))</f>
        <v>0</v>
      </c>
      <c r="S120" s="41">
        <f>IF($C$81="x",-1,IF(AND($C$81=0,INDEX(KonZeile5,6)+INDEX(KonSpalte2,6)+INDEX(KonFeld1,6)=0),6,0))</f>
        <v>0</v>
      </c>
      <c r="T120" s="40">
        <f>IF($D$81="x",-1,IF(AND($D$81=0,INDEX(KonZeile5,4)+INDEX(KonSpalte3,4)+INDEX(KonFeld1,4)=0),4,0))</f>
        <v>-1</v>
      </c>
      <c r="U120" s="39">
        <f>IF($D$81="x",-1,IF(AND($D$81=0,INDEX(KonZeile5,5)+INDEX(KonSpalte3,5)+INDEX(KonFeld1,5)=0),5,0))</f>
        <v>-1</v>
      </c>
      <c r="V120" s="42">
        <f>IF($D$81="x",-1,IF(AND($D$81=0,INDEX(KonZeile5,6)+INDEX(KonSpalte3,6)+INDEX(KonFeld1,6)=0),6,0))</f>
        <v>-1</v>
      </c>
      <c r="W120" s="43">
        <f>IF($E$81="x",-1,IF(AND($E$81=0,INDEX(KonZeile5,4)+INDEX(KonSpalte4,4)+INDEX(KonFeld1,4)=0),4,0))</f>
        <v>-1</v>
      </c>
      <c r="X120" s="39">
        <f>IF($E$81="x",-1,IF(AND($E$81=0,INDEX(KonZeile5,5)+INDEX(KonSpalte4,5)+INDEX(KonFeld1,5)=0),5,0))</f>
        <v>-1</v>
      </c>
      <c r="Y120" s="41">
        <f>IF($E$81="x",-1,IF(AND($E$81=0,INDEX(KonZeile5,6)+INDEX(KonSpalte4,6)+INDEX(KonFeld1,6)=0),6,0))</f>
        <v>-1</v>
      </c>
      <c r="Z120" s="40">
        <f>IF($F$81="x",-1,IF(AND($F$81=0,INDEX(KonZeile5,4)+INDEX(KonSpalte5,4)+INDEX(KonFeld1,4)=0),4,0))</f>
        <v>-1</v>
      </c>
      <c r="AA120" s="39">
        <f>IF($F$81="x",-1,IF(AND($F$81=0,INDEX(KonZeile5,5)+INDEX(KonSpalte5,5)+INDEX(KonFeld1,5)=0),5,0))</f>
        <v>-1</v>
      </c>
      <c r="AB120" s="41">
        <f>IF($F$81="x",-1,IF(AND($F$81=0,INDEX(KonZeile5,6)+INDEX(KonSpalte5,6)+INDEX(KonFeld1,6)=0),6,0))</f>
        <v>-1</v>
      </c>
      <c r="AC120" s="40">
        <f>IF($G$81="x",-1,IF(AND($G$81=0,INDEX(KonZeile5,4)+INDEX(KonSpalte6,4)+INDEX(KonFeld1,4)=0),4,0))</f>
        <v>-1</v>
      </c>
      <c r="AD120" s="39">
        <f>IF($G$81="x",-1,IF(AND($G$81=0,INDEX(KonZeile5,5)+INDEX(KonSpalte6,5)+INDEX(KonFeld1,5)=0),5,0))</f>
        <v>-1</v>
      </c>
      <c r="AE120" s="42">
        <f>IF($G$81="x",-1,IF(AND($G$81=0,INDEX(KonZeile5,6)+INDEX(KonSpalte6,6)+INDEX(KonFeld1,6)=0),6,0))</f>
        <v>-1</v>
      </c>
      <c r="AF120" s="43">
        <f>IF($H$81="x",-1,IF(AND($H$81=0,INDEX(KonZeile5,4)+INDEX(KonSpalte7,4)+INDEX(KonFeld1,4)=0),4,0))</f>
        <v>-1</v>
      </c>
      <c r="AG120" s="39">
        <f>IF($H$81="x",-1,IF(AND($H$81=0,INDEX(KonZeile5,5)+INDEX(KonSpalte7,5)+INDEX(KonFeld1,5)=0),5,0))</f>
        <v>-1</v>
      </c>
      <c r="AH120" s="41">
        <f>IF($H$81="x",-1,IF(AND($H$81=0,INDEX(KonZeile5,6)+INDEX(KonSpalte7,6)+INDEX(KonFeld1,6)=0),6,0))</f>
        <v>-1</v>
      </c>
      <c r="AI120" s="40">
        <f>IF($I$81="x",-1,IF(AND($I$81=0,INDEX(KonZeile5,4)+INDEX(KonSpalte8,4)+INDEX(KonFeld1,4)=0),4,0))</f>
        <v>-1</v>
      </c>
      <c r="AJ120" s="39">
        <f>IF($I$81="x",-1,IF(AND($I$81=0,INDEX(KonZeile5,5)+INDEX(KonSpalte8,5)+INDEX(KonFeld1,5)=0),5,0))</f>
        <v>-1</v>
      </c>
      <c r="AK120" s="41">
        <f>IF($I$81="x",-1,IF(AND($I$81=0,INDEX(KonZeile5,6)+INDEX(KonSpalte8,6)+INDEX(KonFeld1,6)=0),6,0))</f>
        <v>-1</v>
      </c>
      <c r="AL120" s="40">
        <f>IF($J$81="x",-1,IF(AND($J$81=0,INDEX(KonZeile5,4)+INDEX(KonSpalte9,4)+INDEX(KonFeld1,4)=0),4,0))</f>
        <v>-1</v>
      </c>
      <c r="AM120" s="39">
        <f>IF($J$81="x",-1,IF(AND($J$81=0,INDEX(KonZeile5,5)+INDEX(KonSpalte9,5)+INDEX(KonFeld1,5)=0),5,0))</f>
        <v>-1</v>
      </c>
      <c r="AN120" s="95">
        <f>IF($J$81="x",-1,IF(AND($J$81=0,INDEX(KonZeile5,6)+INDEX(KonSpalte9,6)+INDEX(KonFeld1,6)=0),6,0))</f>
        <v>-1</v>
      </c>
      <c r="AO120" s="94">
        <f>IF($K$81="x",-1,IF(AND($K$81=0,INDEX(KonZeile5,4)+INDEX(KonSpalte1,4)+INDEX(KonFeld2,4)=0),4,0))</f>
        <v>-1</v>
      </c>
      <c r="AP120" s="39">
        <f>IF($K$81="x",-1,IF(AND($K$81=0,INDEX(KonZeile5,5)+INDEX(KonSpalte1,5)+INDEX(KonFeld2,5)=0),5,0))</f>
        <v>-1</v>
      </c>
      <c r="AQ120" s="41">
        <f>IF($K$81="x",-1,IF(AND($K$81=0,INDEX(KonZeile5,6)+INDEX(KonSpalte1,6)+INDEX(KonFeld2,6)=0),6,0))</f>
        <v>-1</v>
      </c>
      <c r="AR120" s="40">
        <f>IF($L$81="x",-1,IF(AND($L$81=0,INDEX(KonZeile5,4)+INDEX(KonSpalte2,4)+INDEX(KonFeld2,4)=0),4,0))</f>
        <v>-1</v>
      </c>
      <c r="AS120" s="39">
        <f>IF($L$81="x",-1,IF(AND($L$81=0,INDEX(KonZeile5,5)+INDEX(KonSpalte2,5)+INDEX(KonFeld2,5)=0),5,0))</f>
        <v>-1</v>
      </c>
      <c r="AT120" s="41">
        <f>IF($L$81="x",-1,IF(AND($L$81=0,INDEX(KonZeile5,6)+INDEX(KonSpalte2,6)+INDEX(KonFeld2,6)=0),6,0))</f>
        <v>-1</v>
      </c>
      <c r="AU120" s="40">
        <f>IF($M$81="x",-1,IF(AND($M$81=0,INDEX(KonZeile5,4)+INDEX(KonSpalte3,4)+INDEX(KonFeld2,4)=0),4,0))</f>
        <v>-1</v>
      </c>
      <c r="AV120" s="39">
        <f>IF($M$81="x",-1,IF(AND($M$81=0,INDEX(KonZeile5,5)+INDEX(KonSpalte3,5)+INDEX(KonFeld2,5)=0),5,0))</f>
        <v>-1</v>
      </c>
      <c r="AW120" s="42">
        <f>IF($M$81="x",-1,IF(AND($M$81=0,INDEX(KonZeile5,6)+INDEX(KonSpalte3,6)+INDEX(KonFeld2,6)=0),6,0))</f>
        <v>-1</v>
      </c>
      <c r="AX120" s="43">
        <f>IF($N$81="x",-1,IF(AND($N$81=0,INDEX(KonZeile5,4)+INDEX(KonSpalte4,4)+INDEX(KonFeld2,4)=0),4,0))</f>
        <v>-1</v>
      </c>
      <c r="AY120" s="39">
        <f>IF($N$81="x",-1,IF(AND($N$81=0,INDEX(KonZeile5,5)+INDEX(KonSpalte4,5)+INDEX(KonFeld2,5)=0),5,0))</f>
        <v>-1</v>
      </c>
      <c r="AZ120" s="41">
        <f>IF($N$81="x",-1,IF(AND($N$81=0,INDEX(KonZeile5,6)+INDEX(KonSpalte4,6)+INDEX(KonFeld2,6)=0),6,0))</f>
        <v>-1</v>
      </c>
      <c r="BA120" s="40">
        <f>IF($O$81="x",-1,IF(AND($O$81=0,INDEX(KonZeile5,4)+INDEX(KonSpalte5,4)+INDEX(KonFeld2,4)=0),4,0))</f>
        <v>0</v>
      </c>
      <c r="BB120" s="39">
        <f>IF($O$81="x",-1,IF(AND($O$81=0,INDEX(KonZeile5,5)+INDEX(KonSpalte5,5)+INDEX(KonFeld2,5)=0),5,0))</f>
        <v>0</v>
      </c>
      <c r="BC120" s="41">
        <f>IF($O$81="x",-1,IF(AND($O$81=0,INDEX(KonZeile5,6)+INDEX(KonSpalte5,6)+INDEX(KonFeld2,6)=0),6,0))</f>
        <v>0</v>
      </c>
      <c r="BD120" s="40">
        <f>IF($P$81="x",-1,IF(AND($P$81=0,INDEX(KonZeile5,4)+INDEX(KonSpalte6,4)+INDEX(KonFeld2,4)=0),4,0))</f>
        <v>0</v>
      </c>
      <c r="BE120" s="39">
        <f>IF($P$81="x",-1,IF(AND($P$81=0,INDEX(KonZeile5,5)+INDEX(KonSpalte6,5)+INDEX(KonFeld2,5)=0),5,0))</f>
        <v>0</v>
      </c>
      <c r="BF120" s="42">
        <f>IF($P$81="x",-1,IF(AND($P$81=0,INDEX(KonZeile5,6)+INDEX(KonSpalte6,6)+INDEX(KonFeld2,6)=0),6,0))</f>
        <v>0</v>
      </c>
      <c r="BG120" s="43">
        <f>IF($Q$81="x",-1,IF(AND($Q$81=0,INDEX(KonZeile5,4)+INDEX(KonSpalte7,4)+INDEX(KonFeld2,4)=0),4,0))</f>
        <v>-1</v>
      </c>
      <c r="BH120" s="39">
        <f>IF($Q$81="x",-1,IF(AND($Q$81=0,INDEX(KonZeile5,5)+INDEX(KonSpalte7,5)+INDEX(KonFeld2,5)=0),5,0))</f>
        <v>-1</v>
      </c>
      <c r="BI120" s="41">
        <f>IF($Q$81="x",-1,IF(AND($Q$81=0,INDEX(KonZeile5,6)+INDEX(KonSpalte7,6)+INDEX(KonFeld2,6)=0),6,0))</f>
        <v>-1</v>
      </c>
      <c r="BJ120" s="40">
        <f>IF($R$81="x",-1,IF(AND($R$81=0,INDEX(KonZeile5,4)+INDEX(KonSpalte8,4)+INDEX(KonFeld2,4)=0),4,0))</f>
        <v>-1</v>
      </c>
      <c r="BK120" s="39">
        <f>IF($R$81="x",-1,IF(AND($R$81=0,INDEX(KonZeile5,5)+INDEX(KonSpalte8,5)+INDEX(KonFeld2,5)=0),5,0))</f>
        <v>-1</v>
      </c>
      <c r="BL120" s="41">
        <f>IF($R$81="x",-1,IF(AND($R$81=0,INDEX(KonZeile5,6)+INDEX(KonSpalte8,6)+INDEX(KonFeld2,6)=0),6,0))</f>
        <v>-1</v>
      </c>
      <c r="BM120" s="40">
        <f>IF($S$81="x",-1,IF(AND($S$81=0,INDEX(KonZeile5,4)+INDEX(KonSpalte9,4)+INDEX(KonFeld2,4)=0),4,0))</f>
        <v>-1</v>
      </c>
      <c r="BN120" s="39">
        <f>IF($S$81="x",-1,IF(AND($S$81=0,INDEX(KonZeile5,5)+INDEX(KonSpalte9,5)+INDEX(KonFeld2,5)=0),5,0))</f>
        <v>-1</v>
      </c>
      <c r="BO120" s="95">
        <f>IF($S$81="x",-1,IF(AND($S$81=0,INDEX(KonZeile5,6)+INDEX(KonSpalte9,6)+INDEX(KonFeld2,6)=0),6,0))</f>
        <v>-1</v>
      </c>
      <c r="BP120" s="94">
        <f>IF($T$81="x",-1,IF(AND($T$81=0,INDEX(KonZeile5,4)+INDEX(KonSpalte1,4)+INDEX(KonFeld3,4)=0),4,0))</f>
        <v>-1</v>
      </c>
      <c r="BQ120" s="39">
        <f>IF($T$81="x",-1,IF(AND($T$81=0,INDEX(KonZeile5,5)+INDEX(KonSpalte1,5)+INDEX(KonFeld3,5)=0),5,0))</f>
        <v>-1</v>
      </c>
      <c r="BR120" s="41">
        <f>IF($T$81="x",-1,IF(AND($T$81=0,INDEX(KonZeile5,6)+INDEX(KonSpalte1,6)+INDEX(KonFeld3,6)=0),6,0))</f>
        <v>-1</v>
      </c>
      <c r="BS120" s="40">
        <f>IF($U$81="x",-1,IF(AND($U$81=0,INDEX(KonZeile5,4)+INDEX(KonSpalte2,4)+INDEX(KonFeld3,4)=0),4,0))</f>
        <v>-1</v>
      </c>
      <c r="BT120" s="39">
        <f>IF($U$81="x",-1,IF(AND($U$81=0,INDEX(KonZeile5,5)+INDEX(KonSpalte2,5)+INDEX(KonFeld3,5)=0),5,0))</f>
        <v>-1</v>
      </c>
      <c r="BU120" s="41">
        <f>IF($U$81="x",-1,IF(AND($U$81=0,INDEX(KonZeile5,6)+INDEX(KonSpalte2,6)+INDEX(KonFeld3,6)=0),6,0))</f>
        <v>-1</v>
      </c>
      <c r="BV120" s="40">
        <f>IF($V$81="x",-1,IF(AND($V$81=0,INDEX(KonZeile5,4)+INDEX(KonSpalte3,4)+INDEX(KonFeld3,4)=0),4,0))</f>
        <v>-1</v>
      </c>
      <c r="BW120" s="39">
        <f>IF($V$81="x",-1,IF(AND($V$81=0,INDEX(KonZeile5,5)+INDEX(KonSpalte3,5)+INDEX(KonFeld3,5)=0),5,0))</f>
        <v>-1</v>
      </c>
      <c r="BX120" s="42">
        <f>IF($V$81="x",-1,IF(AND($V$81=0,INDEX(KonZeile5,6)+INDEX(KonSpalte3,6)+INDEX(KonFeld3,6)=0),6,0))</f>
        <v>-1</v>
      </c>
      <c r="BY120" s="43">
        <f>IF($W$81="x",-1,IF(AND($W$81=0,INDEX(KonZeile5,4)+INDEX(KonSpalte4,4)+INDEX(KonFeld3,4)=0),4,0))</f>
        <v>-1</v>
      </c>
      <c r="BZ120" s="39">
        <f>IF($W$81="x",-1,IF(AND($W$81=0,INDEX(KonZeile5,5)+INDEX(KonSpalte4,5)+INDEX(KonFeld3,5)=0),5,0))</f>
        <v>-1</v>
      </c>
      <c r="CA120" s="41">
        <f>IF($W$81="x",-1,IF(AND($W$81=0,INDEX(KonZeile5,6)+INDEX(KonSpalte4,6)+INDEX(KonFeld3,6)=0),6,0))</f>
        <v>-1</v>
      </c>
      <c r="CB120" s="40">
        <f>IF($X$81="x",-1,IF(AND($X$81=0,INDEX(KonZeile5,4)+INDEX(KonSpalte5,4)+INDEX(KonFeld3,4)=0),4,0))</f>
        <v>-1</v>
      </c>
      <c r="CC120" s="39">
        <f>IF($X$81="x",-1,IF(AND($X$81=0,INDEX(KonZeile5,5)+INDEX(KonSpalte5,5)+INDEX(KonFeld3,5)=0),5,0))</f>
        <v>-1</v>
      </c>
      <c r="CD120" s="41">
        <f>IF($X$81="x",-1,IF(AND($X$81=0,INDEX(KonZeile5,6)+INDEX(KonSpalte5,6)+INDEX(KonFeld3,6)=0),6,0))</f>
        <v>-1</v>
      </c>
      <c r="CE120" s="40">
        <f>IF($Y$81="x",-1,IF(AND($Y$81=0,INDEX(KonZeile5,4)+INDEX(KonSpalte6,4)+INDEX(KonFeld3,4)=0),4,0))</f>
        <v>-1</v>
      </c>
      <c r="CF120" s="39">
        <f>IF($Y$81="x",-1,IF(AND($Y$81=0,INDEX(KonZeile5,5)+INDEX(KonSpalte6,5)+INDEX(KonFeld3,5)=0),5,0))</f>
        <v>-1</v>
      </c>
      <c r="CG120" s="42">
        <f>IF($Y$81="x",-1,IF(AND($Y$81=0,INDEX(KonZeile5,6)+INDEX(KonSpalte6,6)+INDEX(KonFeld3,6)=0),6,0))</f>
        <v>-1</v>
      </c>
      <c r="CH120" s="43">
        <f>IF($Z$81="x",-1,IF(AND($Z$81=0,INDEX(KonZeile5,4)+INDEX(KonSpalte7,4)+INDEX(KonFeld3,4)=0),4,0))</f>
        <v>-1</v>
      </c>
      <c r="CI120" s="39">
        <f>IF($Z$81="x",-1,IF(AND($Z$81=0,INDEX(KonZeile5,5)+INDEX(KonSpalte7,5)+INDEX(KonFeld3,5)=0),5,0))</f>
        <v>-1</v>
      </c>
      <c r="CJ120" s="41">
        <f>IF($Z$81="x",-1,IF(AND($Z$81=0,INDEX(KonZeile5,6)+INDEX(KonSpalte7,6)+INDEX(KonFeld3,6)=0),6,0))</f>
        <v>-1</v>
      </c>
      <c r="CK120" s="40">
        <f>IF($AA$81="x",-1,IF(AND($AA$81=0,INDEX(KonZeile5,4)+INDEX(KonSpalte8,4)+INDEX(KonFeld3,4)=0),4,0))</f>
        <v>-1</v>
      </c>
      <c r="CL120" s="39">
        <f>IF($AA$81="x",-1,IF(AND($AA$81=0,INDEX(KonZeile5,5)+INDEX(KonSpalte8,5)+INDEX(KonFeld3,5)=0),5,0))</f>
        <v>-1</v>
      </c>
      <c r="CM120" s="41">
        <f>IF($AA$81="x",-1,IF(AND($AA$81=0,INDEX(KonZeile5,6)+INDEX(KonSpalte8,6)+INDEX(KonFeld3,6)=0),6,0))</f>
        <v>-1</v>
      </c>
      <c r="CN120" s="40">
        <f>IF($AB$81="x",-1,IF(AND($AB$81=0,INDEX(KonZeile5,4)+INDEX(KonSpalte9,4)+INDEX(KonFeld3,4)=0),4,0))</f>
        <v>0</v>
      </c>
      <c r="CO120" s="39">
        <f>IF($AB$81="x",-1,IF(AND($AB$81=0,INDEX(KonZeile5,5)+INDEX(KonSpalte9,5)+INDEX(KonFeld3,5)=0),5,0))</f>
        <v>0</v>
      </c>
      <c r="CP120" s="95">
        <f>IF($AB$81="x",-1,IF(AND($AB$81=0,INDEX(KonZeile5,6)+INDEX(KonSpalte9,6)+INDEX(KonFeld3,6)=0),6,0))</f>
        <v>0</v>
      </c>
      <c r="CR120" s="40">
        <f>COUNTIF(N120:CP120,4)</f>
        <v>0</v>
      </c>
      <c r="CS120" s="39">
        <f>COUNTIF(N120:CP120,5)</f>
        <v>0</v>
      </c>
      <c r="CT120" s="41">
        <f>COUNTIF(N120:CP120,6)</f>
        <v>0</v>
      </c>
      <c r="CU120" s="39"/>
      <c r="CV120" s="39"/>
      <c r="CX120" s="96">
        <f t="shared" si="104"/>
        <v>0</v>
      </c>
      <c r="CY120" s="97">
        <f t="shared" si="105"/>
        <v>0</v>
      </c>
      <c r="CZ120" s="98">
        <f t="shared" si="106"/>
        <v>0</v>
      </c>
      <c r="DE120" s="226">
        <f t="shared" ref="DE120:DE121" si="165">IF(N120&gt;=0,10+N120,IF(AO120&gt;=0,20+AO120,IF(BP120&gt;=0,30+BP120,IF(N147&gt;=0,40+N147,IF(AO147&gt;=0,50+AO147,IF(BP147&gt;=0,60+BP147,IF(N174&gt;=0,70+N174,IF(AO174&gt;=0,80+AO174,IF(BP174&gt;=0,90+BP174,"")))))))))</f>
        <v>10</v>
      </c>
      <c r="DF120" s="227">
        <f t="shared" si="135"/>
        <v>10</v>
      </c>
      <c r="DG120" s="228">
        <f t="shared" si="136"/>
        <v>10</v>
      </c>
      <c r="DH120" s="229">
        <f t="shared" si="137"/>
        <v>10</v>
      </c>
      <c r="DI120" s="227">
        <f t="shared" si="138"/>
        <v>10</v>
      </c>
      <c r="DJ120" s="228">
        <f t="shared" si="139"/>
        <v>10</v>
      </c>
      <c r="DK120" s="229">
        <f t="shared" si="140"/>
        <v>40</v>
      </c>
      <c r="DL120" s="227">
        <f t="shared" si="141"/>
        <v>40</v>
      </c>
      <c r="DM120" s="230">
        <f t="shared" si="142"/>
        <v>40</v>
      </c>
      <c r="DN120" s="226">
        <f t="shared" ref="DN120:DN121" si="166">IF(W120&gt;=0,10+W120,IF(AX120&gt;=0,20+AX120,IF(BY120&gt;=0,30+BY120,IF(W147&gt;=0,40+W147,IF(AX147&gt;=0,50+AX147,IF(BY147&gt;=0,60+BY147,IF(W174&gt;=0,70+W174,IF(AX174&gt;=0,80+AX174,IF(BY174&gt;=0,90+BY174,"")))))))))</f>
        <v>80</v>
      </c>
      <c r="DO120" s="227">
        <f t="shared" si="144"/>
        <v>80</v>
      </c>
      <c r="DP120" s="228">
        <f t="shared" si="145"/>
        <v>80</v>
      </c>
      <c r="DQ120" s="229">
        <f t="shared" si="146"/>
        <v>20</v>
      </c>
      <c r="DR120" s="227">
        <f t="shared" si="147"/>
        <v>20</v>
      </c>
      <c r="DS120" s="228">
        <f t="shared" si="148"/>
        <v>20</v>
      </c>
      <c r="DT120" s="229">
        <f t="shared" si="149"/>
        <v>20</v>
      </c>
      <c r="DU120" s="227">
        <f t="shared" si="150"/>
        <v>20</v>
      </c>
      <c r="DV120" s="230">
        <f t="shared" si="151"/>
        <v>20</v>
      </c>
      <c r="DW120" s="226">
        <f t="shared" si="152"/>
        <v>60</v>
      </c>
      <c r="DX120" s="227">
        <f t="shared" si="153"/>
        <v>60</v>
      </c>
      <c r="DY120" s="228">
        <f t="shared" si="154"/>
        <v>60</v>
      </c>
      <c r="DZ120" s="229">
        <f t="shared" si="155"/>
        <v>60</v>
      </c>
      <c r="EA120" s="227">
        <f t="shared" si="156"/>
        <v>60</v>
      </c>
      <c r="EB120" s="228">
        <f t="shared" si="157"/>
        <v>60</v>
      </c>
      <c r="EC120" s="229">
        <f t="shared" si="158"/>
        <v>30</v>
      </c>
      <c r="ED120" s="227">
        <f t="shared" si="159"/>
        <v>30</v>
      </c>
      <c r="EE120" s="230">
        <f t="shared" si="160"/>
        <v>30</v>
      </c>
      <c r="EI120" s="292"/>
      <c r="EJ120" s="256"/>
      <c r="EK120" s="257"/>
      <c r="EL120" s="255"/>
      <c r="EM120" s="256"/>
      <c r="EN120" s="257"/>
      <c r="EO120" s="281"/>
      <c r="EP120" s="282"/>
      <c r="EQ120" s="357"/>
      <c r="ER120" s="371"/>
      <c r="ES120" s="369"/>
      <c r="ET120" s="372"/>
      <c r="EU120" s="264"/>
      <c r="EV120" s="70"/>
      <c r="EW120" s="265"/>
      <c r="EX120" s="264"/>
      <c r="EY120" s="70"/>
      <c r="EZ120" s="71"/>
      <c r="FA120" s="445"/>
      <c r="FB120" s="339"/>
      <c r="FC120" s="340"/>
      <c r="FD120" s="338"/>
      <c r="FE120" s="339"/>
      <c r="FF120" s="340"/>
      <c r="FG120" s="319"/>
      <c r="FH120" s="317"/>
      <c r="FI120" s="320"/>
      <c r="FM120" s="292"/>
      <c r="FN120" s="256"/>
      <c r="FO120" s="257"/>
      <c r="FP120" s="255"/>
      <c r="FQ120" s="256"/>
      <c r="FR120" s="257"/>
      <c r="FS120" s="281"/>
      <c r="FT120" s="282"/>
      <c r="FU120" s="357"/>
      <c r="FV120" s="371"/>
      <c r="FW120" s="369"/>
      <c r="FX120" s="372"/>
      <c r="FY120" s="264"/>
      <c r="FZ120" s="70"/>
      <c r="GA120" s="265"/>
      <c r="GB120" s="264"/>
      <c r="GC120" s="70"/>
      <c r="GD120" s="71"/>
      <c r="GE120" s="445"/>
      <c r="GF120" s="339"/>
      <c r="GG120" s="340"/>
      <c r="GH120" s="338"/>
      <c r="GI120" s="339"/>
      <c r="GJ120" s="340"/>
      <c r="GK120" s="319"/>
      <c r="GL120" s="317"/>
      <c r="GM120" s="320"/>
      <c r="GY120"/>
      <c r="GZ120"/>
      <c r="HA120"/>
      <c r="HB120"/>
      <c r="HC120"/>
      <c r="HD120"/>
      <c r="HE120"/>
      <c r="HF120"/>
      <c r="HG120"/>
      <c r="HH120"/>
      <c r="HI120"/>
      <c r="HJ120"/>
      <c r="HK120"/>
      <c r="HL120"/>
      <c r="HM120"/>
      <c r="HN120"/>
      <c r="HO120"/>
      <c r="HP120"/>
      <c r="HQ120"/>
      <c r="HR120"/>
      <c r="HS120"/>
      <c r="HT120"/>
      <c r="HU120"/>
      <c r="HV120"/>
      <c r="HW120"/>
      <c r="HX120"/>
      <c r="HY120"/>
      <c r="HZ120"/>
      <c r="IA120"/>
    </row>
    <row r="121" spans="2:235" ht="15" customHeight="1" thickBot="1">
      <c r="B121" s="69" t="str">
        <f t="shared" si="84"/>
        <v>x</v>
      </c>
      <c r="C121" s="70" t="str">
        <f t="shared" si="85"/>
        <v>x</v>
      </c>
      <c r="D121" s="70" t="str">
        <f t="shared" si="86"/>
        <v>x</v>
      </c>
      <c r="E121" s="70" t="str">
        <f t="shared" si="87"/>
        <v>x</v>
      </c>
      <c r="F121" s="70" t="str">
        <f t="shared" si="88"/>
        <v>x</v>
      </c>
      <c r="G121" s="70" t="str">
        <f t="shared" si="89"/>
        <v>x</v>
      </c>
      <c r="H121" s="70" t="str">
        <f t="shared" si="90"/>
        <v>x</v>
      </c>
      <c r="I121" s="70" t="str">
        <f t="shared" si="91"/>
        <v>x</v>
      </c>
      <c r="J121" s="71" t="str">
        <f t="shared" si="92"/>
        <v>x</v>
      </c>
      <c r="N121" s="99">
        <f>IF($B$81="x",-1,IF(AND($B$81=0,INDEX(KonZeile5,7)+INDEX(KonSpalte1,7)+INDEX(KonFeld1,7)=0),7,0))</f>
        <v>0</v>
      </c>
      <c r="O121" s="45">
        <f>IF($B$81="x",-1,IF(AND($B$81=0,INDEX(KonZeile5,8)+INDEX(KonSpalte1,8)+INDEX(KonFeld1,8)=0),8,0))</f>
        <v>0</v>
      </c>
      <c r="P121" s="47">
        <f>IF($B$81="x",-1,IF(AND($B$81=0,INDEX(KonZeile5,9)+INDEX(KonSpalte1,9)+INDEX(KonFeld1,9)=0),9,0))</f>
        <v>0</v>
      </c>
      <c r="Q121" s="46">
        <f>IF($C$81="x",-1,IF(AND($C$81=0,INDEX(KonZeile5,7)+INDEX(KonSpalte2,7)+INDEX(KonFeld1,7)=0),7,0))</f>
        <v>0</v>
      </c>
      <c r="R121" s="45">
        <f>IF($C$81="x",-1,IF(AND($C$81=0,INDEX(KonZeile5,8)+INDEX(KonSpalte2,8)+INDEX(KonFeld1,8)=0),8,0))</f>
        <v>0</v>
      </c>
      <c r="S121" s="47">
        <f>IF($C$81="x",-1,IF(AND($C$81=0,INDEX(KonZeile5,9)+INDEX(KonSpalte2,9)+INDEX(KonFeld1,9)=0),9,0))</f>
        <v>0</v>
      </c>
      <c r="T121" s="46">
        <f>IF($D$81="x",-1,IF(AND($D$81=0,INDEX(KonZeile5,7)+INDEX(KonSpalte3,7)+INDEX(KonFeld1,7)=0),7,0))</f>
        <v>-1</v>
      </c>
      <c r="U121" s="45">
        <f>IF($D$81="x",-1,IF(AND($D$81=0,INDEX(KonZeile5,8)+INDEX(KonSpalte3,8)+INDEX(KonFeld1,8)=0),8,0))</f>
        <v>-1</v>
      </c>
      <c r="V121" s="48">
        <f>IF($D$81="x",-1,IF(AND($D$81=0,INDEX(KonZeile5,9)+INDEX(KonSpalte3,9)+INDEX(KonFeld1,9)=0),9,0))</f>
        <v>-1</v>
      </c>
      <c r="W121" s="44">
        <f>IF($E$81="x",-1,IF(AND($E$81=0,INDEX(KonZeile5,7)+INDEX(KonSpalte4,7)+INDEX(KonFeld1,7)=0),7,0))</f>
        <v>-1</v>
      </c>
      <c r="X121" s="45">
        <f>IF($E$81="x",-1,IF(AND($E$81=0,INDEX(KonZeile5,8)+INDEX(KonSpalte4,8)+INDEX(KonFeld1,8)=0),8,0))</f>
        <v>-1</v>
      </c>
      <c r="Y121" s="47">
        <f>IF($E$81="x",-1,IF(AND($E$81=0,INDEX(KonZeile5,9)+INDEX(KonSpalte4,9)+INDEX(KonFeld1,9)=0),9,0))</f>
        <v>-1</v>
      </c>
      <c r="Z121" s="46">
        <f>IF($F$81="x",-1,IF(AND($F$81=0,INDEX(KonZeile5,7)+INDEX(KonSpalte5,7)+INDEX(KonFeld1,7)=0),7,0))</f>
        <v>-1</v>
      </c>
      <c r="AA121" s="45">
        <f>IF($F$81="x",-1,IF(AND($F$81=0,INDEX(KonZeile5,8)+INDEX(KonSpalte5,8)+INDEX(KonFeld1,8)=0),8,0))</f>
        <v>-1</v>
      </c>
      <c r="AB121" s="47">
        <f>IF($F$81="x",-1,IF(AND($F$81=0,INDEX(KonZeile5,9)+INDEX(KonSpalte5,9)+INDEX(KonFeld1,9)=0),9,0))</f>
        <v>-1</v>
      </c>
      <c r="AC121" s="46">
        <f>IF($G$81="x",-1,IF(AND($G$81=0,INDEX(KonZeile5,7)+INDEX(KonSpalte6,7)+INDEX(KonFeld1,7)=0),7,0))</f>
        <v>-1</v>
      </c>
      <c r="AD121" s="45">
        <f>IF($G$81="x",-1,IF(AND($G$81=0,INDEX(KonZeile5,8)+INDEX(KonSpalte6,8)+INDEX(KonFeld1,8)=0),8,0))</f>
        <v>-1</v>
      </c>
      <c r="AE121" s="48">
        <f>IF($G$81="x",-1,IF(AND($G$81=0,INDEX(KonZeile5,9)+INDEX(KonSpalte6,9)+INDEX(KonFeld1,9)=0),9,0))</f>
        <v>-1</v>
      </c>
      <c r="AF121" s="44">
        <f>IF($H$81="x",-1,IF(AND($H$81=0,INDEX(KonZeile5,7)+INDEX(KonSpalte7,7)+INDEX(KonFeld1,7)=0),7,0))</f>
        <v>-1</v>
      </c>
      <c r="AG121" s="45">
        <f>IF($H$81="x",-1,IF(AND($H$81=0,INDEX(KonZeile5,8)+INDEX(KonSpalte7,8)+INDEX(KonFeld1,8)=0),8,0))</f>
        <v>-1</v>
      </c>
      <c r="AH121" s="47">
        <f>IF($H$81="x",-1,IF(AND($H$81=0,INDEX(KonZeile5,9)+INDEX(KonSpalte7,9)+INDEX(KonFeld1,9)=0),9,0))</f>
        <v>-1</v>
      </c>
      <c r="AI121" s="46">
        <f>IF($I$81="x",-1,IF(AND($I$81=0,INDEX(KonZeile5,7)+INDEX(KonSpalte8,7)+INDEX(KonFeld1,7)=0),7,0))</f>
        <v>-1</v>
      </c>
      <c r="AJ121" s="45">
        <f>IF($I$81="x",-1,IF(AND($I$81=0,INDEX(KonZeile5,8)+INDEX(KonSpalte8,8)+INDEX(KonFeld1,8)=0),8,0))</f>
        <v>-1</v>
      </c>
      <c r="AK121" s="47">
        <f>IF($I$81="x",-1,IF(AND($I$81=0,INDEX(KonZeile5,9)+INDEX(KonSpalte8,9)+INDEX(KonFeld1,9)=0),9,0))</f>
        <v>-1</v>
      </c>
      <c r="AL121" s="46">
        <f>IF($J$81="x",-1,IF(AND($J$81=0,INDEX(KonZeile5,7)+INDEX(KonSpalte9,7)+INDEX(KonFeld1,7)=0),7,0))</f>
        <v>-1</v>
      </c>
      <c r="AM121" s="45">
        <f>IF($J$81="x",-1,IF(AND($J$81=0,INDEX(KonZeile5,8)+INDEX(KonSpalte9,8)+INDEX(KonFeld1,8)=0),8,0))</f>
        <v>-1</v>
      </c>
      <c r="AN121" s="100">
        <f>IF($J$81="x",-1,IF(AND($J$81=0,INDEX(KonZeile5,9)+INDEX(KonSpalte9,9)+INDEX(KonFeld1,9)=0),9,0))</f>
        <v>-1</v>
      </c>
      <c r="AO121" s="99">
        <f>IF($K$81="x",-1,IF(AND($K$81=0,INDEX(KonZeile5,7)+INDEX(KonSpalte1,7)+INDEX(KonFeld2,7)=0),7,0))</f>
        <v>-1</v>
      </c>
      <c r="AP121" s="45">
        <f>IF($K$81="x",-1,IF(AND($K$81=0,INDEX(KonZeile5,8)+INDEX(KonSpalte1,8)+INDEX(KonFeld2,8)=0),8,0))</f>
        <v>-1</v>
      </c>
      <c r="AQ121" s="47">
        <f>IF($K$81="x",-1,IF(AND($K$81=0,INDEX(KonZeile5,9)+INDEX(KonSpalte1,9)+INDEX(KonFeld2,9)=0),9,0))</f>
        <v>-1</v>
      </c>
      <c r="AR121" s="46">
        <f>IF($L$81="x",-1,IF(AND($L$81=0,INDEX(KonZeile5,7)+INDEX(KonSpalte2,7)+INDEX(KonFeld2,7)=0),7,0))</f>
        <v>-1</v>
      </c>
      <c r="AS121" s="45">
        <f>IF($L$81="x",-1,IF(AND($L$81=0,INDEX(KonZeile5,8)+INDEX(KonSpalte2,8)+INDEX(KonFeld2,8)=0),8,0))</f>
        <v>-1</v>
      </c>
      <c r="AT121" s="47">
        <f>IF($L$81="x",-1,IF(AND($L$81=0,INDEX(KonZeile5,9)+INDEX(KonSpalte2,9)+INDEX(KonFeld2,9)=0),9,0))</f>
        <v>-1</v>
      </c>
      <c r="AU121" s="46">
        <f>IF($M$81="x",-1,IF(AND($M$81=0,INDEX(KonZeile5,7)+INDEX(KonSpalte3,7)+INDEX(KonFeld2,7)=0),7,0))</f>
        <v>-1</v>
      </c>
      <c r="AV121" s="45">
        <f>IF($M$81="x",-1,IF(AND($M$81=0,INDEX(KonZeile5,8)+INDEX(KonSpalte3,8)+INDEX(KonFeld2,8)=0),8,0))</f>
        <v>-1</v>
      </c>
      <c r="AW121" s="48">
        <f>IF($M$81="x",-1,IF(AND($M$81=0,INDEX(KonZeile5,9)+INDEX(KonSpalte3,9)+INDEX(KonFeld2,9)=0),9,0))</f>
        <v>-1</v>
      </c>
      <c r="AX121" s="44">
        <f>IF($N$81="x",-1,IF(AND($N$81=0,INDEX(KonZeile5,7)+INDEX(KonSpalte4,7)+INDEX(KonFeld2,7)=0),7,0))</f>
        <v>-1</v>
      </c>
      <c r="AY121" s="45">
        <f>IF($N$81="x",-1,IF(AND($N$81=0,INDEX(KonZeile5,8)+INDEX(KonSpalte4,8)+INDEX(KonFeld2,8)=0),8,0))</f>
        <v>-1</v>
      </c>
      <c r="AZ121" s="47">
        <f>IF($N$81="x",-1,IF(AND($N$81=0,INDEX(KonZeile5,9)+INDEX(KonSpalte4,9)+INDEX(KonFeld2,9)=0),9,0))</f>
        <v>-1</v>
      </c>
      <c r="BA121" s="46">
        <f>IF($O$81="x",-1,IF(AND($O$81=0,INDEX(KonZeile5,7)+INDEX(KonSpalte5,7)+INDEX(KonFeld2,7)=0),7,0))</f>
        <v>0</v>
      </c>
      <c r="BB121" s="45">
        <f>IF($O$81="x",-1,IF(AND($O$81=0,INDEX(KonZeile5,8)+INDEX(KonSpalte5,8)+INDEX(KonFeld2,8)=0),8,0))</f>
        <v>0</v>
      </c>
      <c r="BC121" s="47">
        <f>IF($O$81="x",-1,IF(AND($O$81=0,INDEX(KonZeile5,9)+INDEX(KonSpalte5,9)+INDEX(KonFeld2,9)=0),9,0))</f>
        <v>0</v>
      </c>
      <c r="BD121" s="46">
        <f>IF($P$81="x",-1,IF(AND($P$81=0,INDEX(KonZeile5,7)+INDEX(KonSpalte6,7)+INDEX(KonFeld2,7)=0),7,0))</f>
        <v>0</v>
      </c>
      <c r="BE121" s="45">
        <f>IF($P$81="x",-1,IF(AND($P$81=0,INDEX(KonZeile5,8)+INDEX(KonSpalte6,8)+INDEX(KonFeld2,8)=0),8,0))</f>
        <v>0</v>
      </c>
      <c r="BF121" s="48">
        <f>IF($P$81="x",-1,IF(AND($P$81=0,INDEX(KonZeile5,9)+INDEX(KonSpalte6,9)+INDEX(KonFeld2,9)=0),9,0))</f>
        <v>0</v>
      </c>
      <c r="BG121" s="44">
        <f>IF($Q$81="x",-1,IF(AND($Q$81=0,INDEX(KonZeile5,7)+INDEX(KonSpalte7,7)+INDEX(KonFeld2,7)=0),7,0))</f>
        <v>-1</v>
      </c>
      <c r="BH121" s="45">
        <f>IF($Q$81="x",-1,IF(AND($Q$81=0,INDEX(KonZeile5,8)+INDEX(KonSpalte7,8)+INDEX(KonFeld2,8)=0),8,0))</f>
        <v>-1</v>
      </c>
      <c r="BI121" s="47">
        <f>IF($Q$81="x",-1,IF(AND($Q$81=0,INDEX(KonZeile5,9)+INDEX(KonSpalte7,9)+INDEX(KonFeld2,9)=0),9,0))</f>
        <v>-1</v>
      </c>
      <c r="BJ121" s="46">
        <f>IF($R$81="x",-1,IF(AND($R$81=0,INDEX(KonZeile5,7)+INDEX(KonSpalte8,7)+INDEX(KonFeld2,7)=0),7,0))</f>
        <v>-1</v>
      </c>
      <c r="BK121" s="45">
        <f>IF($R$81="x",-1,IF(AND($R$81=0,INDEX(KonZeile5,8)+INDEX(KonSpalte8,8)+INDEX(KonFeld2,8)=0),8,0))</f>
        <v>-1</v>
      </c>
      <c r="BL121" s="47">
        <f>IF($R$81="x",-1,IF(AND($R$81=0,INDEX(KonZeile5,9)+INDEX(KonSpalte8,9)+INDEX(KonFeld2,9)=0),9,0))</f>
        <v>-1</v>
      </c>
      <c r="BM121" s="46">
        <f>IF($S$81="x",-1,IF(AND($S$81=0,INDEX(KonZeile5,7)+INDEX(KonSpalte9,7)+INDEX(KonFeld2,7)=0),7,0))</f>
        <v>-1</v>
      </c>
      <c r="BN121" s="45">
        <f>IF($S$81="x",-1,IF(AND($S$81=0,INDEX(KonZeile5,8)+INDEX(KonSpalte9,8)+INDEX(KonFeld2,8)=0),8,0))</f>
        <v>-1</v>
      </c>
      <c r="BO121" s="100">
        <f>IF($S$81="x",-1,IF(AND($S$81=0,INDEX(KonZeile5,9)+INDEX(KonSpalte9,9)+INDEX(KonFeld2,9)=0),9,0))</f>
        <v>-1</v>
      </c>
      <c r="BP121" s="99">
        <f>IF($T$81="x",-1,IF(AND($T$81=0,INDEX(KonZeile5,7)+INDEX(KonSpalte1,7)+INDEX(KonFeld3,7)=0),7,0))</f>
        <v>-1</v>
      </c>
      <c r="BQ121" s="45">
        <f>IF($T$81="x",-1,IF(AND($T$81=0,INDEX(KonZeile5,8)+INDEX(KonSpalte1,8)+INDEX(KonFeld3,8)=0),8,0))</f>
        <v>-1</v>
      </c>
      <c r="BR121" s="47">
        <f>IF($T$81="x",-1,IF(AND($T$81=0,INDEX(KonZeile5,9)+INDEX(KonSpalte1,9)+INDEX(KonFeld3,9)=0),9,0))</f>
        <v>-1</v>
      </c>
      <c r="BS121" s="46">
        <f>IF($U$81="x",-1,IF(AND($U$81=0,INDEX(KonZeile5,7)+INDEX(KonSpalte2,7)+INDEX(KonFeld3,7)=0),7,0))</f>
        <v>-1</v>
      </c>
      <c r="BT121" s="45">
        <f>IF($U$81="x",-1,IF(AND($U$81=0,INDEX(KonZeile5,8)+INDEX(KonSpalte2,8)+INDEX(KonFeld3,8)=0),8,0))</f>
        <v>-1</v>
      </c>
      <c r="BU121" s="47">
        <f>IF($U$81="x",-1,IF(AND($U$81=0,INDEX(KonZeile5,9)+INDEX(KonSpalte2,9)+INDEX(KonFeld3,9)=0),9,0))</f>
        <v>-1</v>
      </c>
      <c r="BV121" s="46">
        <f>IF($V$81="x",-1,IF(AND($V$81=0,INDEX(KonZeile5,7)+INDEX(KonSpalte3,7)+INDEX(KonFeld3,7)=0),7,0))</f>
        <v>-1</v>
      </c>
      <c r="BW121" s="45">
        <f>IF($V$81="x",-1,IF(AND($V$81=0,INDEX(KonZeile5,8)+INDEX(KonSpalte3,8)+INDEX(KonFeld3,8)=0),8,0))</f>
        <v>-1</v>
      </c>
      <c r="BX121" s="48">
        <f>IF($V$81="x",-1,IF(AND($V$81=0,INDEX(KonZeile5,9)+INDEX(KonSpalte3,9)+INDEX(KonFeld3,9)=0),9,0))</f>
        <v>-1</v>
      </c>
      <c r="BY121" s="44">
        <f>IF($W$81="x",-1,IF(AND($W$81=0,INDEX(KonZeile5,7)+INDEX(KonSpalte4,7)+INDEX(KonFeld3,7)=0),7,0))</f>
        <v>-1</v>
      </c>
      <c r="BZ121" s="45">
        <f>IF($W$81="x",-1,IF(AND($W$81=0,INDEX(KonZeile5,8)+INDEX(KonSpalte4,8)+INDEX(KonFeld3,8)=0),8,0))</f>
        <v>-1</v>
      </c>
      <c r="CA121" s="47">
        <f>IF($W$81="x",-1,IF(AND($W$81=0,INDEX(KonZeile5,9)+INDEX(KonSpalte4,9)+INDEX(KonFeld3,9)=0),9,0))</f>
        <v>-1</v>
      </c>
      <c r="CB121" s="46">
        <f>IF($X$81="x",-1,IF(AND($X$81=0,INDEX(KonZeile5,7)+INDEX(KonSpalte5,7)+INDEX(KonFeld3,7)=0),7,0))</f>
        <v>-1</v>
      </c>
      <c r="CC121" s="45">
        <f>IF($X$81="x",-1,IF(AND($X$81=0,INDEX(KonZeile5,8)+INDEX(KonSpalte5,8)+INDEX(KonFeld3,8)=0),8,0))</f>
        <v>-1</v>
      </c>
      <c r="CD121" s="47">
        <f>IF($X$81="x",-1,IF(AND($X$81=0,INDEX(KonZeile5,9)+INDEX(KonSpalte5,9)+INDEX(KonFeld3,9)=0),9,0))</f>
        <v>-1</v>
      </c>
      <c r="CE121" s="46">
        <f>IF($Y$81="x",-1,IF(AND($Y$81=0,INDEX(KonZeile5,7)+INDEX(KonSpalte6,7)+INDEX(KonFeld3,7)=0),7,0))</f>
        <v>-1</v>
      </c>
      <c r="CF121" s="45">
        <f>IF($Y$81="x",-1,IF(AND($Y$81=0,INDEX(KonZeile5,8)+INDEX(KonSpalte6,8)+INDEX(KonFeld3,8)=0),8,0))</f>
        <v>-1</v>
      </c>
      <c r="CG121" s="48">
        <f>IF($Y$81="x",-1,IF(AND($Y$81=0,INDEX(KonZeile5,9)+INDEX(KonSpalte6,9)+INDEX(KonFeld3,9)=0),9,0))</f>
        <v>-1</v>
      </c>
      <c r="CH121" s="44">
        <f>IF($Z$81="x",-1,IF(AND($Z$81=0,INDEX(KonZeile5,7)+INDEX(KonSpalte7,7)+INDEX(KonFeld3,7)=0),7,0))</f>
        <v>-1</v>
      </c>
      <c r="CI121" s="45">
        <f>IF($Z$81="x",-1,IF(AND($Z$81=0,INDEX(KonZeile5,8)+INDEX(KonSpalte7,8)+INDEX(KonFeld3,8)=0),8,0))</f>
        <v>-1</v>
      </c>
      <c r="CJ121" s="47">
        <f>IF($Z$81="x",-1,IF(AND($Z$81=0,INDEX(KonZeile5,9)+INDEX(KonSpalte7,9)+INDEX(KonFeld3,9)=0),9,0))</f>
        <v>-1</v>
      </c>
      <c r="CK121" s="46">
        <f>IF($AA$81="x",-1,IF(AND($AA$81=0,INDEX(KonZeile5,7)+INDEX(KonSpalte8,7)+INDEX(KonFeld3,7)=0),7,0))</f>
        <v>-1</v>
      </c>
      <c r="CL121" s="45">
        <f>IF($AA$81="x",-1,IF(AND($AA$81=0,INDEX(KonZeile5,8)+INDEX(KonSpalte8,8)+INDEX(KonFeld3,8)=0),8,0))</f>
        <v>-1</v>
      </c>
      <c r="CM121" s="47">
        <f>IF($AA$81="x",-1,IF(AND($AA$81=0,INDEX(KonZeile5,9)+INDEX(KonSpalte8,9)+INDEX(KonFeld3,9)=0),9,0))</f>
        <v>-1</v>
      </c>
      <c r="CN121" s="46">
        <f>IF($AB$81="x",-1,IF(AND($AB$81=0,INDEX(KonZeile5,7)+INDEX(KonSpalte9,7)+INDEX(KonFeld3,7)=0),7,0))</f>
        <v>0</v>
      </c>
      <c r="CO121" s="45">
        <f>IF($AB$81="x",-1,IF(AND($AB$81=0,INDEX(KonZeile5,8)+INDEX(KonSpalte9,8)+INDEX(KonFeld3,8)=0),8,0))</f>
        <v>0</v>
      </c>
      <c r="CP121" s="100">
        <f>IF($AB$81="x",-1,IF(AND($AB$81=0,INDEX(KonZeile5,9)+INDEX(KonSpalte9,9)+INDEX(KonFeld3,9)=0),9,0))</f>
        <v>0</v>
      </c>
      <c r="CR121" s="46">
        <f>COUNTIF(N121:CP121,7)</f>
        <v>0</v>
      </c>
      <c r="CS121" s="45">
        <f>COUNTIF(N121:CP121,8)</f>
        <v>0</v>
      </c>
      <c r="CT121" s="47">
        <f>COUNTIF(N121:CP121,9)</f>
        <v>0</v>
      </c>
      <c r="CU121" s="39"/>
      <c r="CV121" s="39"/>
      <c r="CX121" s="101">
        <f t="shared" si="104"/>
        <v>0</v>
      </c>
      <c r="CY121" s="102">
        <f t="shared" si="105"/>
        <v>0</v>
      </c>
      <c r="CZ121" s="103">
        <f t="shared" si="106"/>
        <v>0</v>
      </c>
      <c r="DE121" s="231">
        <f t="shared" si="165"/>
        <v>10</v>
      </c>
      <c r="DF121" s="232">
        <f t="shared" si="135"/>
        <v>10</v>
      </c>
      <c r="DG121" s="233">
        <f t="shared" si="136"/>
        <v>10</v>
      </c>
      <c r="DH121" s="234">
        <f t="shared" si="137"/>
        <v>10</v>
      </c>
      <c r="DI121" s="232">
        <f t="shared" si="138"/>
        <v>10</v>
      </c>
      <c r="DJ121" s="233">
        <f t="shared" si="139"/>
        <v>10</v>
      </c>
      <c r="DK121" s="234">
        <f t="shared" si="140"/>
        <v>40</v>
      </c>
      <c r="DL121" s="232">
        <f t="shared" si="141"/>
        <v>40</v>
      </c>
      <c r="DM121" s="235">
        <f t="shared" si="142"/>
        <v>40</v>
      </c>
      <c r="DN121" s="231">
        <f t="shared" si="166"/>
        <v>80</v>
      </c>
      <c r="DO121" s="232">
        <f t="shared" si="144"/>
        <v>80</v>
      </c>
      <c r="DP121" s="233">
        <f t="shared" si="145"/>
        <v>80</v>
      </c>
      <c r="DQ121" s="234">
        <f t="shared" si="146"/>
        <v>20</v>
      </c>
      <c r="DR121" s="232">
        <f t="shared" si="147"/>
        <v>20</v>
      </c>
      <c r="DS121" s="233">
        <f t="shared" si="148"/>
        <v>20</v>
      </c>
      <c r="DT121" s="234">
        <f t="shared" si="149"/>
        <v>20</v>
      </c>
      <c r="DU121" s="232">
        <f t="shared" si="150"/>
        <v>20</v>
      </c>
      <c r="DV121" s="235">
        <f t="shared" si="151"/>
        <v>20</v>
      </c>
      <c r="DW121" s="231">
        <f t="shared" si="152"/>
        <v>60</v>
      </c>
      <c r="DX121" s="232">
        <f t="shared" si="153"/>
        <v>60</v>
      </c>
      <c r="DY121" s="233">
        <f t="shared" si="154"/>
        <v>60</v>
      </c>
      <c r="DZ121" s="234">
        <f t="shared" si="155"/>
        <v>60</v>
      </c>
      <c r="EA121" s="232">
        <f t="shared" si="156"/>
        <v>60</v>
      </c>
      <c r="EB121" s="233">
        <f t="shared" si="157"/>
        <v>60</v>
      </c>
      <c r="EC121" s="234">
        <f t="shared" si="158"/>
        <v>30</v>
      </c>
      <c r="ED121" s="232">
        <f t="shared" si="159"/>
        <v>30</v>
      </c>
      <c r="EE121" s="235">
        <f t="shared" si="160"/>
        <v>30</v>
      </c>
      <c r="EI121" s="293"/>
      <c r="EJ121" s="259"/>
      <c r="EK121" s="260"/>
      <c r="EL121" s="258"/>
      <c r="EM121" s="259"/>
      <c r="EN121" s="260"/>
      <c r="EO121" s="284"/>
      <c r="EP121" s="285"/>
      <c r="EQ121" s="435"/>
      <c r="ER121" s="469"/>
      <c r="ES121" s="390"/>
      <c r="ET121" s="391"/>
      <c r="EU121" s="266"/>
      <c r="EV121" s="267"/>
      <c r="EW121" s="268"/>
      <c r="EX121" s="266"/>
      <c r="EY121" s="267"/>
      <c r="EZ121" s="294"/>
      <c r="FA121" s="446"/>
      <c r="FB121" s="344"/>
      <c r="FC121" s="345"/>
      <c r="FD121" s="343"/>
      <c r="FE121" s="344"/>
      <c r="FF121" s="345"/>
      <c r="FG121" s="323"/>
      <c r="FH121" s="321"/>
      <c r="FI121" s="324"/>
      <c r="FM121" s="293"/>
      <c r="FN121" s="259"/>
      <c r="FO121" s="260"/>
      <c r="FP121" s="258"/>
      <c r="FQ121" s="259"/>
      <c r="FR121" s="260"/>
      <c r="FS121" s="284"/>
      <c r="FT121" s="285"/>
      <c r="FU121" s="435"/>
      <c r="FV121" s="469"/>
      <c r="FW121" s="390"/>
      <c r="FX121" s="391"/>
      <c r="FY121" s="266"/>
      <c r="FZ121" s="267"/>
      <c r="GA121" s="268"/>
      <c r="GB121" s="266"/>
      <c r="GC121" s="267"/>
      <c r="GD121" s="294"/>
      <c r="GE121" s="446"/>
      <c r="GF121" s="344"/>
      <c r="GG121" s="345"/>
      <c r="GH121" s="343"/>
      <c r="GI121" s="344"/>
      <c r="GJ121" s="345"/>
      <c r="GK121" s="323"/>
      <c r="GL121" s="321"/>
      <c r="GM121" s="324"/>
      <c r="GY121"/>
      <c r="GZ121"/>
      <c r="HA121"/>
      <c r="HB121"/>
      <c r="HC121"/>
      <c r="HD121"/>
      <c r="HE121"/>
      <c r="HF121"/>
      <c r="HG121"/>
      <c r="HH121"/>
      <c r="HI121"/>
      <c r="HJ121"/>
      <c r="HK121"/>
      <c r="HL121"/>
      <c r="HM121"/>
      <c r="HN121"/>
      <c r="HO121"/>
      <c r="HP121"/>
      <c r="HQ121"/>
      <c r="HR121"/>
      <c r="HS121"/>
      <c r="HT121"/>
      <c r="HU121"/>
      <c r="HV121"/>
      <c r="HW121"/>
      <c r="HX121"/>
      <c r="HY121"/>
      <c r="HZ121"/>
      <c r="IA121"/>
    </row>
    <row r="122" spans="2:235" ht="15" customHeight="1">
      <c r="B122" s="62" t="str">
        <f t="shared" si="84"/>
        <v>x</v>
      </c>
      <c r="C122" s="63" t="str">
        <f t="shared" si="85"/>
        <v>x</v>
      </c>
      <c r="D122" s="63" t="str">
        <f t="shared" si="86"/>
        <v>x</v>
      </c>
      <c r="E122" s="63" t="str">
        <f t="shared" si="87"/>
        <v>x</v>
      </c>
      <c r="F122" s="63" t="str">
        <f t="shared" si="88"/>
        <v>x</v>
      </c>
      <c r="G122" s="63" t="str">
        <f t="shared" si="89"/>
        <v>x</v>
      </c>
      <c r="H122" s="63" t="str">
        <f t="shared" si="90"/>
        <v>x</v>
      </c>
      <c r="I122" s="63" t="str">
        <f t="shared" si="91"/>
        <v>x</v>
      </c>
      <c r="J122" s="64" t="str">
        <f t="shared" si="92"/>
        <v>x</v>
      </c>
      <c r="N122" s="104">
        <f>IF($B$82="x",-1,IF(AND($B$82=0,INDEX(KonZeile6,1)+INDEX(KonSpalte1,1)+INDEX(KonFeld1,1)=0),1,0))</f>
        <v>-1</v>
      </c>
      <c r="O122" s="50">
        <f>IF($B$82="x",-1,IF(AND($B$82=0,INDEX(KonZeile6,2)+INDEX(KonSpalte1,2)+INDEX(KonFeld1,2)=0),2,0))</f>
        <v>-1</v>
      </c>
      <c r="P122" s="51">
        <f>IF($B$82="x",-1,IF(AND($B$82=0,INDEX(KonZeile6,3)+INDEX(KonSpalte1,3)+INDEX(KonFeld1,3)=0),3,0))</f>
        <v>-1</v>
      </c>
      <c r="Q122" s="52">
        <f>IF($C$82="x",-1,IF(AND($C$82=0,INDEX(KonZeile6,1)+INDEX(KonSpalte2,1)+INDEX(KonFeld1,1)=0),1,0))</f>
        <v>-1</v>
      </c>
      <c r="R122" s="50">
        <f>IF($C$82="x",-1,IF(AND($C$82=0,INDEX(KonZeile6,2)+INDEX(KonSpalte2,2)+INDEX(KonFeld1,2)=0),2,0))</f>
        <v>-1</v>
      </c>
      <c r="S122" s="51">
        <f>IF($C$82="x",-1,IF(AND($C$82=0,INDEX(KonZeile6,3)+INDEX(KonSpalte2,3)+INDEX(KonFeld1,3)=0),3,0))</f>
        <v>-1</v>
      </c>
      <c r="T122" s="52">
        <f>IF($D$82="x",-1,IF(AND($D$82=0,INDEX(KonZeile6,1)+INDEX(KonSpalte3,1)+INDEX(KonFeld1,1)=0),1,0))</f>
        <v>-1</v>
      </c>
      <c r="U122" s="50">
        <f>IF($D$82="x",-1,IF(AND($D$82=0,INDEX(KonZeile6,2)+INDEX(KonSpalte3,2)+INDEX(KonFeld1,2)=0),2,0))</f>
        <v>-1</v>
      </c>
      <c r="V122" s="53">
        <f>IF($D$82="x",-1,IF(AND($D$82=0,INDEX(KonZeile6,3)+INDEX(KonSpalte3,3)+INDEX(KonFeld1,3)=0),3,0))</f>
        <v>-1</v>
      </c>
      <c r="W122" s="49">
        <f>IF($E$82="x",-1,IF(AND($E$82=0,INDEX(KonZeile6,1)+INDEX(KonSpalte4,1)+INDEX(KonFeld1,1)=0),1,0))</f>
        <v>-1</v>
      </c>
      <c r="X122" s="50">
        <f>IF($E$82="x",-1,IF(AND($E$82=0,INDEX(KonZeile6,2)+INDEX(KonSpalte4,2)+INDEX(KonFeld1,2)=0),2,0))</f>
        <v>-1</v>
      </c>
      <c r="Y122" s="51">
        <f>IF($E$82="x",-1,IF(AND($E$82=0,INDEX(KonZeile6,3)+INDEX(KonSpalte4,3)+INDEX(KonFeld1,3)=0),3,0))</f>
        <v>-1</v>
      </c>
      <c r="Z122" s="52">
        <f>IF($F$82="x",-1,IF(AND($F$82=0,INDEX(KonZeile6,1)+INDEX(KonSpalte5,1)+INDEX(KonFeld1,1)=0),1,0))</f>
        <v>-1</v>
      </c>
      <c r="AA122" s="50">
        <f>IF($F$82="x",-1,IF(AND($F$82=0,INDEX(KonZeile6,2)+INDEX(KonSpalte5,2)+INDEX(KonFeld1,2)=0),2,0))</f>
        <v>-1</v>
      </c>
      <c r="AB122" s="51">
        <f>IF($F$82="x",-1,IF(AND($F$82=0,INDEX(KonZeile6,3)+INDEX(KonSpalte5,3)+INDEX(KonFeld1,3)=0),3,0))</f>
        <v>-1</v>
      </c>
      <c r="AC122" s="52">
        <f>IF($G$82="x",-1,IF(AND($G$82=0,INDEX(KonZeile6,1)+INDEX(KonSpalte6,1)+INDEX(KonFeld1,1)=0),1,0))</f>
        <v>-1</v>
      </c>
      <c r="AD122" s="50">
        <f>IF($G$82="x",-1,IF(AND($G$82=0,INDEX(KonZeile6,2)+INDEX(KonSpalte6,2)+INDEX(KonFeld1,2)=0),2,0))</f>
        <v>-1</v>
      </c>
      <c r="AE122" s="53">
        <f>IF($G$82="x",-1,IF(AND($G$82=0,INDEX(KonZeile6,3)+INDEX(KonSpalte6,3)+INDEX(KonFeld1,3)=0),3,0))</f>
        <v>-1</v>
      </c>
      <c r="AF122" s="49">
        <f>IF($H$82="x",-1,IF(AND($H$82=0,INDEX(KonZeile6,1)+INDEX(KonSpalte7,1)+INDEX(KonFeld1,1)=0),1,0))</f>
        <v>-1</v>
      </c>
      <c r="AG122" s="50">
        <f>IF($H$82="x",-1,IF(AND($H$82=0,INDEX(KonZeile6,2)+INDEX(KonSpalte7,2)+INDEX(KonFeld1,2)=0),2,0))</f>
        <v>-1</v>
      </c>
      <c r="AH122" s="51">
        <f>IF($H$82="x",-1,IF(AND($H$82=0,INDEX(KonZeile6,3)+INDEX(KonSpalte7,3)+INDEX(KonFeld1,3)=0),3,0))</f>
        <v>-1</v>
      </c>
      <c r="AI122" s="52">
        <f>IF($I$82="x",-1,IF(AND($I$82=0,INDEX(KonZeile6,1)+INDEX(KonSpalte8,1)+INDEX(KonFeld1,1)=0),1,0))</f>
        <v>-1</v>
      </c>
      <c r="AJ122" s="50">
        <f>IF($I$82="x",-1,IF(AND($I$82=0,INDEX(KonZeile6,2)+INDEX(KonSpalte8,2)+INDEX(KonFeld1,2)=0),2,0))</f>
        <v>-1</v>
      </c>
      <c r="AK122" s="51">
        <f>IF($I$82="x",-1,IF(AND($I$82=0,INDEX(KonZeile6,3)+INDEX(KonSpalte8,3)+INDEX(KonFeld1,3)=0),3,0))</f>
        <v>-1</v>
      </c>
      <c r="AL122" s="52">
        <f>IF($J$82="x",-1,IF(AND($J$82=0,INDEX(KonZeile6,1)+INDEX(KonSpalte9,1)+INDEX(KonFeld1,1)=0),1,0))</f>
        <v>-1</v>
      </c>
      <c r="AM122" s="50">
        <f>IF($J$82="x",-1,IF(AND($J$82=0,INDEX(KonZeile6,2)+INDEX(KonSpalte9,2)+INDEX(KonFeld1,2)=0),2,0))</f>
        <v>-1</v>
      </c>
      <c r="AN122" s="105">
        <f>IF($J$82="x",-1,IF(AND($J$82=0,INDEX(KonZeile6,3)+INDEX(KonSpalte9,3)+INDEX(KonFeld1,3)=0),3,0))</f>
        <v>-1</v>
      </c>
      <c r="AO122" s="104">
        <f>IF($K$82="x",-1,IF(AND($K$82=0,INDEX(KonZeile6,1)+INDEX(KonSpalte1,1)+INDEX(KonFeld2,1)=0),1,0))</f>
        <v>-1</v>
      </c>
      <c r="AP122" s="50">
        <f>IF($K$82="x",-1,IF(AND($K$82=0,INDEX(KonZeile6,2)+INDEX(KonSpalte1,2)+INDEX(KonFeld2,2)=0),2,0))</f>
        <v>-1</v>
      </c>
      <c r="AQ122" s="51">
        <f>IF($K$82="x",-1,IF(AND($K$82=0,INDEX(KonZeile6,3)+INDEX(KonSpalte1,3)+INDEX(KonFeld2,3)=0),3,0))</f>
        <v>-1</v>
      </c>
      <c r="AR122" s="52">
        <f>IF($L$82="x",-1,IF(AND($L$82=0,INDEX(KonZeile6,1)+INDEX(KonSpalte2,1)+INDEX(KonFeld2,1)=0),1,0))</f>
        <v>-1</v>
      </c>
      <c r="AS122" s="50">
        <f>IF($L$82="x",-1,IF(AND($L$82=0,INDEX(KonZeile6,2)+INDEX(KonSpalte2,2)+INDEX(KonFeld2,2)=0),2,0))</f>
        <v>-1</v>
      </c>
      <c r="AT122" s="51">
        <f>IF($L$82="x",-1,IF(AND($L$82=0,INDEX(KonZeile6,3)+INDEX(KonSpalte2,3)+INDEX(KonFeld2,3)=0),3,0))</f>
        <v>-1</v>
      </c>
      <c r="AU122" s="52">
        <f>IF($M$82="x",-1,IF(AND($M$82=0,INDEX(KonZeile6,1)+INDEX(KonSpalte3,1)+INDEX(KonFeld2,1)=0),1,0))</f>
        <v>-1</v>
      </c>
      <c r="AV122" s="50">
        <f>IF($M$82="x",-1,IF(AND($M$82=0,INDEX(KonZeile6,2)+INDEX(KonSpalte3,2)+INDEX(KonFeld2,2)=0),2,0))</f>
        <v>-1</v>
      </c>
      <c r="AW122" s="53">
        <f>IF($M$82="x",-1,IF(AND($M$82=0,INDEX(KonZeile6,3)+INDEX(KonSpalte3,3)+INDEX(KonFeld2,3)=0),3,0))</f>
        <v>-1</v>
      </c>
      <c r="AX122" s="49">
        <f>IF($N$82="x",-1,IF(AND($N$82=0,INDEX(KonZeile6,1)+INDEX(KonSpalte4,1)+INDEX(KonFeld2,1)=0),1,0))</f>
        <v>-1</v>
      </c>
      <c r="AY122" s="50">
        <f>IF($N$82="x",-1,IF(AND($N$82=0,INDEX(KonZeile6,2)+INDEX(KonSpalte4,2)+INDEX(KonFeld2,2)=0),2,0))</f>
        <v>-1</v>
      </c>
      <c r="AZ122" s="51">
        <f>IF($N$82="x",-1,IF(AND($N$82=0,INDEX(KonZeile6,3)+INDEX(KonSpalte4,3)+INDEX(KonFeld2,3)=0),3,0))</f>
        <v>-1</v>
      </c>
      <c r="BA122" s="52">
        <f>IF($O$82="x",-1,IF(AND($O$82=0,INDEX(KonZeile6,1)+INDEX(KonSpalte5,1)+INDEX(KonFeld2,1)=0),1,0))</f>
        <v>-1</v>
      </c>
      <c r="BB122" s="50">
        <f>IF($O$82="x",-1,IF(AND($O$82=0,INDEX(KonZeile6,2)+INDEX(KonSpalte5,2)+INDEX(KonFeld2,2)=0),2,0))</f>
        <v>-1</v>
      </c>
      <c r="BC122" s="51">
        <f>IF($O$82="x",-1,IF(AND($O$82=0,INDEX(KonZeile6,3)+INDEX(KonSpalte5,3)+INDEX(KonFeld2,3)=0),3,0))</f>
        <v>-1</v>
      </c>
      <c r="BD122" s="52">
        <f>IF($P$82="x",-1,IF(AND($P$82=0,INDEX(KonZeile6,1)+INDEX(KonSpalte6,1)+INDEX(KonFeld2,1)=0),1,0))</f>
        <v>-1</v>
      </c>
      <c r="BE122" s="50">
        <f>IF($P$82="x",-1,IF(AND($P$82=0,INDEX(KonZeile6,2)+INDEX(KonSpalte6,2)+INDEX(KonFeld2,2)=0),2,0))</f>
        <v>-1</v>
      </c>
      <c r="BF122" s="53">
        <f>IF($P$82="x",-1,IF(AND($P$82=0,INDEX(KonZeile6,3)+INDEX(KonSpalte6,3)+INDEX(KonFeld2,3)=0),3,0))</f>
        <v>-1</v>
      </c>
      <c r="BG122" s="49">
        <f>IF($Q$82="x",-1,IF(AND($Q$82=0,INDEX(KonZeile6,1)+INDEX(KonSpalte7,1)+INDEX(KonFeld2,1)=0),1,0))</f>
        <v>-1</v>
      </c>
      <c r="BH122" s="50">
        <f>IF($Q$82="x",-1,IF(AND($Q$82=0,INDEX(KonZeile6,2)+INDEX(KonSpalte7,2)+INDEX(KonFeld2,2)=0),2,0))</f>
        <v>-1</v>
      </c>
      <c r="BI122" s="51">
        <f>IF($Q$82="x",-1,IF(AND($Q$82=0,INDEX(KonZeile6,3)+INDEX(KonSpalte7,3)+INDEX(KonFeld2,3)=0),3,0))</f>
        <v>-1</v>
      </c>
      <c r="BJ122" s="52">
        <f>IF($R$82="x",-1,IF(AND($R$82=0,INDEX(KonZeile6,1)+INDEX(KonSpalte8,1)+INDEX(KonFeld2,1)=0),1,0))</f>
        <v>-1</v>
      </c>
      <c r="BK122" s="50">
        <f>IF($R$82="x",-1,IF(AND($R$82=0,INDEX(KonZeile6,2)+INDEX(KonSpalte8,2)+INDEX(KonFeld2,2)=0),2,0))</f>
        <v>-1</v>
      </c>
      <c r="BL122" s="51">
        <f>IF($R$82="x",-1,IF(AND($R$82=0,INDEX(KonZeile6,3)+INDEX(KonSpalte8,3)+INDEX(KonFeld2,3)=0),3,0))</f>
        <v>-1</v>
      </c>
      <c r="BM122" s="52">
        <f>IF($S$82="x",-1,IF(AND($S$82=0,INDEX(KonZeile6,1)+INDEX(KonSpalte9,1)+INDEX(KonFeld2,1)=0),1,0))</f>
        <v>-1</v>
      </c>
      <c r="BN122" s="50">
        <f>IF($S$82="x",-1,IF(AND($S$82=0,INDEX(KonZeile6,2)+INDEX(KonSpalte9,2)+INDEX(KonFeld2,2)=0),2,0))</f>
        <v>-1</v>
      </c>
      <c r="BO122" s="105">
        <f>IF($S$82="x",-1,IF(AND($S$82=0,INDEX(KonZeile6,3)+INDEX(KonSpalte9,3)+INDEX(KonFeld2,3)=0),3,0))</f>
        <v>-1</v>
      </c>
      <c r="BP122" s="104">
        <f>IF($T$82="x",-1,IF(AND($T$82=0,INDEX(KonZeile6,1)+INDEX(KonSpalte1,1)+INDEX(KonFeld3,1)=0),1,0))</f>
        <v>-1</v>
      </c>
      <c r="BQ122" s="50">
        <f>IF($T$82="x",-1,IF(AND($T$82=0,INDEX(KonZeile6,2)+INDEX(KonSpalte1,2)+INDEX(KonFeld3,2)=0),2,0))</f>
        <v>-1</v>
      </c>
      <c r="BR122" s="51">
        <f>IF($T$82="x",-1,IF(AND($T$82=0,INDEX(KonZeile6,3)+INDEX(KonSpalte1,3)+INDEX(KonFeld3,3)=0),3,0))</f>
        <v>-1</v>
      </c>
      <c r="BS122" s="52">
        <f>IF($U$82="x",-1,IF(AND($U$82=0,INDEX(KonZeile6,1)+INDEX(KonSpalte2,1)+INDEX(KonFeld3,1)=0),1,0))</f>
        <v>-1</v>
      </c>
      <c r="BT122" s="50">
        <f>IF($U$82="x",-1,IF(AND($U$82=0,INDEX(KonZeile6,2)+INDEX(KonSpalte2,2)+INDEX(KonFeld3,2)=0),2,0))</f>
        <v>-1</v>
      </c>
      <c r="BU122" s="51">
        <f>IF($U$82="x",-1,IF(AND($U$82=0,INDEX(KonZeile6,3)+INDEX(KonSpalte2,3)+INDEX(KonFeld3,3)=0),3,0))</f>
        <v>-1</v>
      </c>
      <c r="BV122" s="52">
        <f>IF($V$82="x",-1,IF(AND($V$82=0,INDEX(KonZeile6,1)+INDEX(KonSpalte3,1)+INDEX(KonFeld3,1)=0),1,0))</f>
        <v>-1</v>
      </c>
      <c r="BW122" s="50">
        <f>IF($V$82="x",-1,IF(AND($V$82=0,INDEX(KonZeile6,2)+INDEX(KonSpalte3,2)+INDEX(KonFeld3,2)=0),2,0))</f>
        <v>-1</v>
      </c>
      <c r="BX122" s="53">
        <f>IF($V$82="x",-1,IF(AND($V$82=0,INDEX(KonZeile6,3)+INDEX(KonSpalte3,3)+INDEX(KonFeld3,3)=0),3,0))</f>
        <v>-1</v>
      </c>
      <c r="BY122" s="49">
        <f>IF($W$82="x",-1,IF(AND($W$82=0,INDEX(KonZeile6,1)+INDEX(KonSpalte4,1)+INDEX(KonFeld3,1)=0),1,0))</f>
        <v>-1</v>
      </c>
      <c r="BZ122" s="50">
        <f>IF($W$82="x",-1,IF(AND($W$82=0,INDEX(KonZeile6,2)+INDEX(KonSpalte4,2)+INDEX(KonFeld3,2)=0),2,0))</f>
        <v>-1</v>
      </c>
      <c r="CA122" s="51">
        <f>IF($W$82="x",-1,IF(AND($W$82=0,INDEX(KonZeile6,3)+INDEX(KonSpalte4,3)+INDEX(KonFeld3,3)=0),3,0))</f>
        <v>-1</v>
      </c>
      <c r="CB122" s="52">
        <f>IF($X$82="x",-1,IF(AND($X$82=0,INDEX(KonZeile6,1)+INDEX(KonSpalte5,1)+INDEX(KonFeld3,1)=0),1,0))</f>
        <v>-1</v>
      </c>
      <c r="CC122" s="50">
        <f>IF($X$82="x",-1,IF(AND($X$82=0,INDEX(KonZeile6,2)+INDEX(KonSpalte5,2)+INDEX(KonFeld3,2)=0),2,0))</f>
        <v>-1</v>
      </c>
      <c r="CD122" s="51">
        <f>IF($X$82="x",-1,IF(AND($X$82=0,INDEX(KonZeile6,3)+INDEX(KonSpalte5,3)+INDEX(KonFeld3,3)=0),3,0))</f>
        <v>-1</v>
      </c>
      <c r="CE122" s="52">
        <f>IF($Y$82="x",-1,IF(AND($Y$82=0,INDEX(KonZeile6,1)+INDEX(KonSpalte6,1)+INDEX(KonFeld3,1)=0),1,0))</f>
        <v>-1</v>
      </c>
      <c r="CF122" s="50">
        <f>IF($Y$82="x",-1,IF(AND($Y$82=0,INDEX(KonZeile6,2)+INDEX(KonSpalte6,2)+INDEX(KonFeld3,2)=0),2,0))</f>
        <v>-1</v>
      </c>
      <c r="CG122" s="53">
        <f>IF($Y$82="x",-1,IF(AND($Y$82=0,INDEX(KonZeile6,3)+INDEX(KonSpalte6,3)+INDEX(KonFeld3,3)=0),3,0))</f>
        <v>-1</v>
      </c>
      <c r="CH122" s="49">
        <f>IF($Z$82="x",-1,IF(AND($Z$82=0,INDEX(KonZeile6,1)+INDEX(KonSpalte7,1)+INDEX(KonFeld3,1)=0),1,0))</f>
        <v>-1</v>
      </c>
      <c r="CI122" s="50">
        <f>IF($Z$82="x",-1,IF(AND($Z$82=0,INDEX(KonZeile6,2)+INDEX(KonSpalte7,2)+INDEX(KonFeld3,2)=0),2,0))</f>
        <v>-1</v>
      </c>
      <c r="CJ122" s="51">
        <f>IF($Z$82="x",-1,IF(AND($Z$82=0,INDEX(KonZeile6,3)+INDEX(KonSpalte7,3)+INDEX(KonFeld3,3)=0),3,0))</f>
        <v>-1</v>
      </c>
      <c r="CK122" s="52">
        <f>IF($AA$82="x",-1,IF(AND($AA$82=0,INDEX(KonZeile6,1)+INDEX(KonSpalte8,1)+INDEX(KonFeld3,1)=0),1,0))</f>
        <v>-1</v>
      </c>
      <c r="CL122" s="50">
        <f>IF($AA$82="x",-1,IF(AND($AA$82=0,INDEX(KonZeile6,2)+INDEX(KonSpalte8,2)+INDEX(KonFeld3,2)=0),2,0))</f>
        <v>-1</v>
      </c>
      <c r="CM122" s="51">
        <f>IF($AA$82="x",-1,IF(AND($AA$82=0,INDEX(KonZeile6,3)+INDEX(KonSpalte8,3)+INDEX(KonFeld3,3)=0),3,0))</f>
        <v>-1</v>
      </c>
      <c r="CN122" s="52">
        <f>IF($AB$82="x",-1,IF(AND($AB$82=0,INDEX(KonZeile6,1)+INDEX(KonSpalte9,1)+INDEX(KonFeld3,1)=0),1,0))</f>
        <v>0</v>
      </c>
      <c r="CO122" s="50">
        <f>IF($AB$82="x",-1,IF(AND($AB$82=0,INDEX(KonZeile6,2)+INDEX(KonSpalte9,2)+INDEX(KonFeld3,2)=0),2,0))</f>
        <v>0</v>
      </c>
      <c r="CP122" s="105">
        <f>IF($AB$82="x",-1,IF(AND($AB$82=0,INDEX(KonZeile6,3)+INDEX(KonSpalte9,3)+INDEX(KonFeld3,3)=0),3,0))</f>
        <v>0</v>
      </c>
      <c r="CR122" s="52">
        <f>COUNTIF(N122:CP122,1)</f>
        <v>0</v>
      </c>
      <c r="CS122" s="50">
        <f>COUNTIF(N122:CP122,2)</f>
        <v>0</v>
      </c>
      <c r="CT122" s="51">
        <f>COUNTIF(N122:CP122,3)</f>
        <v>0</v>
      </c>
      <c r="CU122" s="39"/>
      <c r="CV122" s="39"/>
      <c r="CX122" s="91">
        <f t="shared" si="104"/>
        <v>0</v>
      </c>
      <c r="CY122" s="92">
        <f t="shared" si="105"/>
        <v>0</v>
      </c>
      <c r="CZ122" s="93">
        <f t="shared" si="106"/>
        <v>0</v>
      </c>
      <c r="DE122" s="236">
        <f>IF(N122&gt;=0,10+N122,IF(AO122&gt;=0,20+AO122,IF(BP122&gt;=0,30+BP122,IF(N149&gt;=0,40+N149,IF(AO149&gt;=0,50+AO149,IF(BP149&gt;=0,60+BP149,IF(N176&gt;=0,70+N176,IF(AO176&gt;=0,80+AO176,IF(BP176&gt;=0,90+BP176,"")))))))))</f>
        <v>40</v>
      </c>
      <c r="DF122" s="237">
        <f t="shared" si="135"/>
        <v>40</v>
      </c>
      <c r="DG122" s="238">
        <f t="shared" si="136"/>
        <v>40</v>
      </c>
      <c r="DH122" s="239">
        <f t="shared" si="137"/>
        <v>40</v>
      </c>
      <c r="DI122" s="237">
        <f t="shared" si="138"/>
        <v>40</v>
      </c>
      <c r="DJ122" s="238">
        <f t="shared" si="139"/>
        <v>40</v>
      </c>
      <c r="DK122" s="239">
        <f t="shared" si="140"/>
        <v>40</v>
      </c>
      <c r="DL122" s="237">
        <f t="shared" si="141"/>
        <v>40</v>
      </c>
      <c r="DM122" s="240">
        <f t="shared" si="142"/>
        <v>40</v>
      </c>
      <c r="DN122" s="236">
        <f>IF(W122&gt;=0,10+W122,IF(AX122&gt;=0,20+AX122,IF(BY122&gt;=0,30+BY122,IF(W149&gt;=0,40+W149,IF(AX149&gt;=0,50+AX149,IF(BY149&gt;=0,60+BY149,IF(W176&gt;=0,70+W176,IF(AX176&gt;=0,80+AX176,IF(BY176&gt;=0,90+BY176,"")))))))))</f>
        <v>40</v>
      </c>
      <c r="DO122" s="237">
        <f t="shared" si="144"/>
        <v>40</v>
      </c>
      <c r="DP122" s="238">
        <f t="shared" si="145"/>
        <v>40</v>
      </c>
      <c r="DQ122" s="239">
        <f t="shared" si="146"/>
        <v>80</v>
      </c>
      <c r="DR122" s="237">
        <f t="shared" si="147"/>
        <v>80</v>
      </c>
      <c r="DS122" s="238">
        <f t="shared" si="148"/>
        <v>80</v>
      </c>
      <c r="DT122" s="239">
        <f t="shared" si="149"/>
        <v>80</v>
      </c>
      <c r="DU122" s="237">
        <f t="shared" si="150"/>
        <v>80</v>
      </c>
      <c r="DV122" s="240">
        <f t="shared" si="151"/>
        <v>80</v>
      </c>
      <c r="DW122" s="236">
        <f t="shared" si="152"/>
        <v>80</v>
      </c>
      <c r="DX122" s="237">
        <f t="shared" si="153"/>
        <v>80</v>
      </c>
      <c r="DY122" s="238">
        <f t="shared" si="154"/>
        <v>80</v>
      </c>
      <c r="DZ122" s="239">
        <f t="shared" si="155"/>
        <v>60</v>
      </c>
      <c r="EA122" s="237">
        <f t="shared" si="156"/>
        <v>60</v>
      </c>
      <c r="EB122" s="238">
        <f t="shared" si="157"/>
        <v>60</v>
      </c>
      <c r="EC122" s="239">
        <f t="shared" si="158"/>
        <v>30</v>
      </c>
      <c r="ED122" s="237">
        <f t="shared" si="159"/>
        <v>30</v>
      </c>
      <c r="EE122" s="240">
        <f t="shared" si="160"/>
        <v>30</v>
      </c>
      <c r="EI122" s="299">
        <v>1</v>
      </c>
      <c r="EJ122" s="279">
        <v>2</v>
      </c>
      <c r="EK122" s="280"/>
      <c r="EL122" s="278">
        <v>1</v>
      </c>
      <c r="EM122" s="279">
        <v>2</v>
      </c>
      <c r="EN122" s="280"/>
      <c r="EO122" s="278"/>
      <c r="EP122" s="279"/>
      <c r="EQ122" s="350"/>
      <c r="ER122" s="299">
        <v>1</v>
      </c>
      <c r="ES122" s="279">
        <v>2</v>
      </c>
      <c r="ET122" s="280"/>
      <c r="EU122" s="362">
        <v>1</v>
      </c>
      <c r="EV122" s="363"/>
      <c r="EW122" s="366"/>
      <c r="EX122" s="362"/>
      <c r="EY122" s="363"/>
      <c r="EZ122" s="364">
        <v>3</v>
      </c>
      <c r="FA122" s="365"/>
      <c r="FB122" s="363"/>
      <c r="FC122" s="366">
        <v>3</v>
      </c>
      <c r="FD122" s="353">
        <v>1</v>
      </c>
      <c r="FE122" s="351"/>
      <c r="FF122" s="352"/>
      <c r="FG122" s="315"/>
      <c r="FH122" s="313"/>
      <c r="FI122" s="316"/>
      <c r="FM122" s="299">
        <v>1</v>
      </c>
      <c r="FN122" s="279">
        <v>2</v>
      </c>
      <c r="FO122" s="280"/>
      <c r="FP122" s="278"/>
      <c r="FQ122" s="279"/>
      <c r="FR122" s="280"/>
      <c r="FS122" s="278"/>
      <c r="FT122" s="279"/>
      <c r="FU122" s="350"/>
      <c r="FV122" s="299"/>
      <c r="FW122" s="279"/>
      <c r="FX122" s="280"/>
      <c r="FY122" s="362">
        <v>1</v>
      </c>
      <c r="FZ122" s="363"/>
      <c r="GA122" s="366"/>
      <c r="GB122" s="362"/>
      <c r="GC122" s="363"/>
      <c r="GD122" s="364">
        <v>3</v>
      </c>
      <c r="GE122" s="365"/>
      <c r="GF122" s="363"/>
      <c r="GG122" s="366">
        <v>3</v>
      </c>
      <c r="GH122" s="353">
        <v>1</v>
      </c>
      <c r="GI122" s="351"/>
      <c r="GJ122" s="352"/>
      <c r="GK122" s="315"/>
      <c r="GL122" s="313"/>
      <c r="GM122" s="316"/>
      <c r="GY122"/>
      <c r="GZ122"/>
      <c r="HA122"/>
      <c r="HB122"/>
      <c r="HC122"/>
      <c r="HD122"/>
      <c r="HE122"/>
      <c r="HF122"/>
      <c r="HG122"/>
      <c r="HH122"/>
      <c r="HI122"/>
      <c r="HJ122"/>
      <c r="HK122"/>
      <c r="HL122"/>
      <c r="HM122"/>
      <c r="HN122"/>
      <c r="HO122"/>
      <c r="HP122"/>
      <c r="HQ122"/>
      <c r="HR122"/>
      <c r="HS122"/>
      <c r="HT122"/>
      <c r="HU122"/>
      <c r="HV122"/>
      <c r="HW122"/>
      <c r="HX122"/>
      <c r="HY122"/>
      <c r="HZ122"/>
      <c r="IA122"/>
    </row>
    <row r="123" spans="2:235" ht="15" customHeight="1" thickBot="1">
      <c r="B123" s="69" t="str">
        <f t="shared" si="84"/>
        <v>x</v>
      </c>
      <c r="C123" s="70" t="str">
        <f t="shared" si="85"/>
        <v>x</v>
      </c>
      <c r="D123" s="70" t="str">
        <f t="shared" si="86"/>
        <v>x</v>
      </c>
      <c r="E123" s="70" t="str">
        <f t="shared" si="87"/>
        <v>x</v>
      </c>
      <c r="F123" s="70" t="str">
        <f t="shared" si="88"/>
        <v>x</v>
      </c>
      <c r="G123" s="70" t="str">
        <f t="shared" si="89"/>
        <v>x</v>
      </c>
      <c r="H123" s="70" t="str">
        <f t="shared" si="90"/>
        <v>x</v>
      </c>
      <c r="I123" s="70" t="str">
        <f t="shared" si="91"/>
        <v>x</v>
      </c>
      <c r="J123" s="71" t="str">
        <f t="shared" si="92"/>
        <v>x</v>
      </c>
      <c r="N123" s="94">
        <f>IF($B$82="x",-1,IF(AND($B$82=0,INDEX(KonZeile6,4)+INDEX(KonSpalte1,4)+INDEX(KonFeld1,4)=0),4,0))</f>
        <v>-1</v>
      </c>
      <c r="O123" s="39">
        <f>IF($B$82="x",-1,IF(AND($B$82=0,INDEX(KonZeile6,5)+INDEX(KonSpalte1,5)+INDEX(KonFeld1,5)=0),5,0))</f>
        <v>-1</v>
      </c>
      <c r="P123" s="41">
        <f>IF($B$82="x",-1,IF(AND($B$82=0,INDEX(KonZeile6,6)+INDEX(KonSpalte1,6)+INDEX(KonFeld1,6)=0),6,0))</f>
        <v>-1</v>
      </c>
      <c r="Q123" s="40">
        <f>IF($C$82="x",-1,IF(AND($C$82=0,INDEX(KonZeile6,4)+INDEX(KonSpalte2,4)+INDEX(KonFeld1,4)=0),4,0))</f>
        <v>-1</v>
      </c>
      <c r="R123" s="39">
        <f>IF($C$82="x",-1,IF(AND($C$82=0,INDEX(KonZeile6,5)+INDEX(KonSpalte2,5)+INDEX(KonFeld1,5)=0),5,0))</f>
        <v>-1</v>
      </c>
      <c r="S123" s="41">
        <f>IF($C$82="x",-1,IF(AND($C$82=0,INDEX(KonZeile6,6)+INDEX(KonSpalte2,6)+INDEX(KonFeld1,6)=0),6,0))</f>
        <v>-1</v>
      </c>
      <c r="T123" s="40">
        <f>IF($D$82="x",-1,IF(AND($D$82=0,INDEX(KonZeile6,4)+INDEX(KonSpalte3,4)+INDEX(KonFeld1,4)=0),4,0))</f>
        <v>-1</v>
      </c>
      <c r="U123" s="39">
        <f>IF($D$82="x",-1,IF(AND($D$82=0,INDEX(KonZeile6,5)+INDEX(KonSpalte3,5)+INDEX(KonFeld1,5)=0),5,0))</f>
        <v>-1</v>
      </c>
      <c r="V123" s="42">
        <f>IF($D$82="x",-1,IF(AND($D$82=0,INDEX(KonZeile6,6)+INDEX(KonSpalte3,6)+INDEX(KonFeld1,6)=0),6,0))</f>
        <v>-1</v>
      </c>
      <c r="W123" s="43">
        <f>IF($E$82="x",-1,IF(AND($E$82=0,INDEX(KonZeile6,4)+INDEX(KonSpalte4,4)+INDEX(KonFeld1,4)=0),4,0))</f>
        <v>-1</v>
      </c>
      <c r="X123" s="39">
        <f>IF($E$82="x",-1,IF(AND($E$82=0,INDEX(KonZeile6,5)+INDEX(KonSpalte4,5)+INDEX(KonFeld1,5)=0),5,0))</f>
        <v>-1</v>
      </c>
      <c r="Y123" s="41">
        <f>IF($E$82="x",-1,IF(AND($E$82=0,INDEX(KonZeile6,6)+INDEX(KonSpalte4,6)+INDEX(KonFeld1,6)=0),6,0))</f>
        <v>-1</v>
      </c>
      <c r="Z123" s="40">
        <f>IF($F$82="x",-1,IF(AND($F$82=0,INDEX(KonZeile6,4)+INDEX(KonSpalte5,4)+INDEX(KonFeld1,4)=0),4,0))</f>
        <v>-1</v>
      </c>
      <c r="AA123" s="39">
        <f>IF($F$82="x",-1,IF(AND($F$82=0,INDEX(KonZeile6,5)+INDEX(KonSpalte5,5)+INDEX(KonFeld1,5)=0),5,0))</f>
        <v>-1</v>
      </c>
      <c r="AB123" s="41">
        <f>IF($F$82="x",-1,IF(AND($F$82=0,INDEX(KonZeile6,6)+INDEX(KonSpalte5,6)+INDEX(KonFeld1,6)=0),6,0))</f>
        <v>-1</v>
      </c>
      <c r="AC123" s="40">
        <f>IF($G$82="x",-1,IF(AND($G$82=0,INDEX(KonZeile6,4)+INDEX(KonSpalte6,4)+INDEX(KonFeld1,4)=0),4,0))</f>
        <v>-1</v>
      </c>
      <c r="AD123" s="39">
        <f>IF($G$82="x",-1,IF(AND($G$82=0,INDEX(KonZeile6,5)+INDEX(KonSpalte6,5)+INDEX(KonFeld1,5)=0),5,0))</f>
        <v>-1</v>
      </c>
      <c r="AE123" s="42">
        <f>IF($G$82="x",-1,IF(AND($G$82=0,INDEX(KonZeile6,6)+INDEX(KonSpalte6,6)+INDEX(KonFeld1,6)=0),6,0))</f>
        <v>-1</v>
      </c>
      <c r="AF123" s="43">
        <f>IF($H$82="x",-1,IF(AND($H$82=0,INDEX(KonZeile6,4)+INDEX(KonSpalte7,4)+INDEX(KonFeld1,4)=0),4,0))</f>
        <v>-1</v>
      </c>
      <c r="AG123" s="39">
        <f>IF($H$82="x",-1,IF(AND($H$82=0,INDEX(KonZeile6,5)+INDEX(KonSpalte7,5)+INDEX(KonFeld1,5)=0),5,0))</f>
        <v>-1</v>
      </c>
      <c r="AH123" s="41">
        <f>IF($H$82="x",-1,IF(AND($H$82=0,INDEX(KonZeile6,6)+INDEX(KonSpalte7,6)+INDEX(KonFeld1,6)=0),6,0))</f>
        <v>-1</v>
      </c>
      <c r="AI123" s="40">
        <f>IF($I$82="x",-1,IF(AND($I$82=0,INDEX(KonZeile6,4)+INDEX(KonSpalte8,4)+INDEX(KonFeld1,4)=0),4,0))</f>
        <v>-1</v>
      </c>
      <c r="AJ123" s="39">
        <f>IF($I$82="x",-1,IF(AND($I$82=0,INDEX(KonZeile6,5)+INDEX(KonSpalte8,5)+INDEX(KonFeld1,5)=0),5,0))</f>
        <v>-1</v>
      </c>
      <c r="AK123" s="41">
        <f>IF($I$82="x",-1,IF(AND($I$82=0,INDEX(KonZeile6,6)+INDEX(KonSpalte8,6)+INDEX(KonFeld1,6)=0),6,0))</f>
        <v>-1</v>
      </c>
      <c r="AL123" s="40">
        <f>IF($J$82="x",-1,IF(AND($J$82=0,INDEX(KonZeile6,4)+INDEX(KonSpalte9,4)+INDEX(KonFeld1,4)=0),4,0))</f>
        <v>-1</v>
      </c>
      <c r="AM123" s="39">
        <f>IF($J$82="x",-1,IF(AND($J$82=0,INDEX(KonZeile6,5)+INDEX(KonSpalte9,5)+INDEX(KonFeld1,5)=0),5,0))</f>
        <v>-1</v>
      </c>
      <c r="AN123" s="95">
        <f>IF($J$82="x",-1,IF(AND($J$82=0,INDEX(KonZeile6,6)+INDEX(KonSpalte9,6)+INDEX(KonFeld1,6)=0),6,0))</f>
        <v>-1</v>
      </c>
      <c r="AO123" s="94">
        <f>IF($K$82="x",-1,IF(AND($K$82=0,INDEX(KonZeile6,4)+INDEX(KonSpalte1,4)+INDEX(KonFeld2,4)=0),4,0))</f>
        <v>-1</v>
      </c>
      <c r="AP123" s="39">
        <f>IF($K$82="x",-1,IF(AND($K$82=0,INDEX(KonZeile6,5)+INDEX(KonSpalte1,5)+INDEX(KonFeld2,5)=0),5,0))</f>
        <v>-1</v>
      </c>
      <c r="AQ123" s="41">
        <f>IF($K$82="x",-1,IF(AND($K$82=0,INDEX(KonZeile6,6)+INDEX(KonSpalte1,6)+INDEX(KonFeld2,6)=0),6,0))</f>
        <v>-1</v>
      </c>
      <c r="AR123" s="40">
        <f>IF($L$82="x",-1,IF(AND($L$82=0,INDEX(KonZeile6,4)+INDEX(KonSpalte2,4)+INDEX(KonFeld2,4)=0),4,0))</f>
        <v>-1</v>
      </c>
      <c r="AS123" s="39">
        <f>IF($L$82="x",-1,IF(AND($L$82=0,INDEX(KonZeile6,5)+INDEX(KonSpalte2,5)+INDEX(KonFeld2,5)=0),5,0))</f>
        <v>-1</v>
      </c>
      <c r="AT123" s="41">
        <f>IF($L$82="x",-1,IF(AND($L$82=0,INDEX(KonZeile6,6)+INDEX(KonSpalte2,6)+INDEX(KonFeld2,6)=0),6,0))</f>
        <v>-1</v>
      </c>
      <c r="AU123" s="40">
        <f>IF($M$82="x",-1,IF(AND($M$82=0,INDEX(KonZeile6,4)+INDEX(KonSpalte3,4)+INDEX(KonFeld2,4)=0),4,0))</f>
        <v>-1</v>
      </c>
      <c r="AV123" s="39">
        <f>IF($M$82="x",-1,IF(AND($M$82=0,INDEX(KonZeile6,5)+INDEX(KonSpalte3,5)+INDEX(KonFeld2,5)=0),5,0))</f>
        <v>-1</v>
      </c>
      <c r="AW123" s="42">
        <f>IF($M$82="x",-1,IF(AND($M$82=0,INDEX(KonZeile6,6)+INDEX(KonSpalte3,6)+INDEX(KonFeld2,6)=0),6,0))</f>
        <v>-1</v>
      </c>
      <c r="AX123" s="43">
        <f>IF($N$82="x",-1,IF(AND($N$82=0,INDEX(KonZeile6,4)+INDEX(KonSpalte4,4)+INDEX(KonFeld2,4)=0),4,0))</f>
        <v>-1</v>
      </c>
      <c r="AY123" s="39">
        <f>IF($N$82="x",-1,IF(AND($N$82=0,INDEX(KonZeile6,5)+INDEX(KonSpalte4,5)+INDEX(KonFeld2,5)=0),5,0))</f>
        <v>-1</v>
      </c>
      <c r="AZ123" s="41">
        <f>IF($N$82="x",-1,IF(AND($N$82=0,INDEX(KonZeile6,6)+INDEX(KonSpalte4,6)+INDEX(KonFeld2,6)=0),6,0))</f>
        <v>-1</v>
      </c>
      <c r="BA123" s="40">
        <f>IF($O$82="x",-1,IF(AND($O$82=0,INDEX(KonZeile6,4)+INDEX(KonSpalte5,4)+INDEX(KonFeld2,4)=0),4,0))</f>
        <v>-1</v>
      </c>
      <c r="BB123" s="39">
        <f>IF($O$82="x",-1,IF(AND($O$82=0,INDEX(KonZeile6,5)+INDEX(KonSpalte5,5)+INDEX(KonFeld2,5)=0),5,0))</f>
        <v>-1</v>
      </c>
      <c r="BC123" s="41">
        <f>IF($O$82="x",-1,IF(AND($O$82=0,INDEX(KonZeile6,6)+INDEX(KonSpalte5,6)+INDEX(KonFeld2,6)=0),6,0))</f>
        <v>-1</v>
      </c>
      <c r="BD123" s="40">
        <f>IF($P$82="x",-1,IF(AND($P$82=0,INDEX(KonZeile6,4)+INDEX(KonSpalte6,4)+INDEX(KonFeld2,4)=0),4,0))</f>
        <v>-1</v>
      </c>
      <c r="BE123" s="39">
        <f>IF($P$82="x",-1,IF(AND($P$82=0,INDEX(KonZeile6,5)+INDEX(KonSpalte6,5)+INDEX(KonFeld2,5)=0),5,0))</f>
        <v>-1</v>
      </c>
      <c r="BF123" s="42">
        <f>IF($P$82="x",-1,IF(AND($P$82=0,INDEX(KonZeile6,6)+INDEX(KonSpalte6,6)+INDEX(KonFeld2,6)=0),6,0))</f>
        <v>-1</v>
      </c>
      <c r="BG123" s="43">
        <f>IF($Q$82="x",-1,IF(AND($Q$82=0,INDEX(KonZeile6,4)+INDEX(KonSpalte7,4)+INDEX(KonFeld2,4)=0),4,0))</f>
        <v>-1</v>
      </c>
      <c r="BH123" s="39">
        <f>IF($Q$82="x",-1,IF(AND($Q$82=0,INDEX(KonZeile6,5)+INDEX(KonSpalte7,5)+INDEX(KonFeld2,5)=0),5,0))</f>
        <v>-1</v>
      </c>
      <c r="BI123" s="41">
        <f>IF($Q$82="x",-1,IF(AND($Q$82=0,INDEX(KonZeile6,6)+INDEX(KonSpalte7,6)+INDEX(KonFeld2,6)=0),6,0))</f>
        <v>-1</v>
      </c>
      <c r="BJ123" s="40">
        <f>IF($R$82="x",-1,IF(AND($R$82=0,INDEX(KonZeile6,4)+INDEX(KonSpalte8,4)+INDEX(KonFeld2,4)=0),4,0))</f>
        <v>-1</v>
      </c>
      <c r="BK123" s="39">
        <f>IF($R$82="x",-1,IF(AND($R$82=0,INDEX(KonZeile6,5)+INDEX(KonSpalte8,5)+INDEX(KonFeld2,5)=0),5,0))</f>
        <v>-1</v>
      </c>
      <c r="BL123" s="41">
        <f>IF($R$82="x",-1,IF(AND($R$82=0,INDEX(KonZeile6,6)+INDEX(KonSpalte8,6)+INDEX(KonFeld2,6)=0),6,0))</f>
        <v>-1</v>
      </c>
      <c r="BM123" s="40">
        <f>IF($S$82="x",-1,IF(AND($S$82=0,INDEX(KonZeile6,4)+INDEX(KonSpalte9,4)+INDEX(KonFeld2,4)=0),4,0))</f>
        <v>-1</v>
      </c>
      <c r="BN123" s="39">
        <f>IF($S$82="x",-1,IF(AND($S$82=0,INDEX(KonZeile6,5)+INDEX(KonSpalte9,5)+INDEX(KonFeld2,5)=0),5,0))</f>
        <v>-1</v>
      </c>
      <c r="BO123" s="95">
        <f>IF($S$82="x",-1,IF(AND($S$82=0,INDEX(KonZeile6,6)+INDEX(KonSpalte9,6)+INDEX(KonFeld2,6)=0),6,0))</f>
        <v>-1</v>
      </c>
      <c r="BP123" s="94">
        <f>IF($T$82="x",-1,IF(AND($T$82=0,INDEX(KonZeile6,4)+INDEX(KonSpalte1,4)+INDEX(KonFeld3,4)=0),4,0))</f>
        <v>-1</v>
      </c>
      <c r="BQ123" s="39">
        <f>IF($T$82="x",-1,IF(AND($T$82=0,INDEX(KonZeile6,5)+INDEX(KonSpalte1,5)+INDEX(KonFeld3,5)=0),5,0))</f>
        <v>-1</v>
      </c>
      <c r="BR123" s="41">
        <f>IF($T$82="x",-1,IF(AND($T$82=0,INDEX(KonZeile6,6)+INDEX(KonSpalte1,6)+INDEX(KonFeld3,6)=0),6,0))</f>
        <v>-1</v>
      </c>
      <c r="BS123" s="40">
        <f>IF($U$82="x",-1,IF(AND($U$82=0,INDEX(KonZeile6,4)+INDEX(KonSpalte2,4)+INDEX(KonFeld3,4)=0),4,0))</f>
        <v>-1</v>
      </c>
      <c r="BT123" s="39">
        <f>IF($U$82="x",-1,IF(AND($U$82=0,INDEX(KonZeile6,5)+INDEX(KonSpalte2,5)+INDEX(KonFeld3,5)=0),5,0))</f>
        <v>-1</v>
      </c>
      <c r="BU123" s="41">
        <f>IF($U$82="x",-1,IF(AND($U$82=0,INDEX(KonZeile6,6)+INDEX(KonSpalte2,6)+INDEX(KonFeld3,6)=0),6,0))</f>
        <v>-1</v>
      </c>
      <c r="BV123" s="40">
        <f>IF($V$82="x",-1,IF(AND($V$82=0,INDEX(KonZeile6,4)+INDEX(KonSpalte3,4)+INDEX(KonFeld3,4)=0),4,0))</f>
        <v>-1</v>
      </c>
      <c r="BW123" s="39">
        <f>IF($V$82="x",-1,IF(AND($V$82=0,INDEX(KonZeile6,5)+INDEX(KonSpalte3,5)+INDEX(KonFeld3,5)=0),5,0))</f>
        <v>-1</v>
      </c>
      <c r="BX123" s="42">
        <f>IF($V$82="x",-1,IF(AND($V$82=0,INDEX(KonZeile6,6)+INDEX(KonSpalte3,6)+INDEX(KonFeld3,6)=0),6,0))</f>
        <v>-1</v>
      </c>
      <c r="BY123" s="43">
        <f>IF($W$82="x",-1,IF(AND($W$82=0,INDEX(KonZeile6,4)+INDEX(KonSpalte4,4)+INDEX(KonFeld3,4)=0),4,0))</f>
        <v>-1</v>
      </c>
      <c r="BZ123" s="39">
        <f>IF($W$82="x",-1,IF(AND($W$82=0,INDEX(KonZeile6,5)+INDEX(KonSpalte4,5)+INDEX(KonFeld3,5)=0),5,0))</f>
        <v>-1</v>
      </c>
      <c r="CA123" s="41">
        <f>IF($W$82="x",-1,IF(AND($W$82=0,INDEX(KonZeile6,6)+INDEX(KonSpalte4,6)+INDEX(KonFeld3,6)=0),6,0))</f>
        <v>-1</v>
      </c>
      <c r="CB123" s="40">
        <f>IF($X$82="x",-1,IF(AND($X$82=0,INDEX(KonZeile6,4)+INDEX(KonSpalte5,4)+INDEX(KonFeld3,4)=0),4,0))</f>
        <v>-1</v>
      </c>
      <c r="CC123" s="39">
        <f>IF($X$82="x",-1,IF(AND($X$82=0,INDEX(KonZeile6,5)+INDEX(KonSpalte5,5)+INDEX(KonFeld3,5)=0),5,0))</f>
        <v>-1</v>
      </c>
      <c r="CD123" s="41">
        <f>IF($X$82="x",-1,IF(AND($X$82=0,INDEX(KonZeile6,6)+INDEX(KonSpalte5,6)+INDEX(KonFeld3,6)=0),6,0))</f>
        <v>-1</v>
      </c>
      <c r="CE123" s="40">
        <f>IF($Y$82="x",-1,IF(AND($Y$82=0,INDEX(KonZeile6,4)+INDEX(KonSpalte6,4)+INDEX(KonFeld3,4)=0),4,0))</f>
        <v>-1</v>
      </c>
      <c r="CF123" s="39">
        <f>IF($Y$82="x",-1,IF(AND($Y$82=0,INDEX(KonZeile6,5)+INDEX(KonSpalte6,5)+INDEX(KonFeld3,5)=0),5,0))</f>
        <v>-1</v>
      </c>
      <c r="CG123" s="42">
        <f>IF($Y$82="x",-1,IF(AND($Y$82=0,INDEX(KonZeile6,6)+INDEX(KonSpalte6,6)+INDEX(KonFeld3,6)=0),6,0))</f>
        <v>-1</v>
      </c>
      <c r="CH123" s="43">
        <f>IF($Z$82="x",-1,IF(AND($Z$82=0,INDEX(KonZeile6,4)+INDEX(KonSpalte7,4)+INDEX(KonFeld3,4)=0),4,0))</f>
        <v>-1</v>
      </c>
      <c r="CI123" s="39">
        <f>IF($Z$82="x",-1,IF(AND($Z$82=0,INDEX(KonZeile6,5)+INDEX(KonSpalte7,5)+INDEX(KonFeld3,5)=0),5,0))</f>
        <v>-1</v>
      </c>
      <c r="CJ123" s="41">
        <f>IF($Z$82="x",-1,IF(AND($Z$82=0,INDEX(KonZeile6,6)+INDEX(KonSpalte7,6)+INDEX(KonFeld3,6)=0),6,0))</f>
        <v>-1</v>
      </c>
      <c r="CK123" s="40">
        <f>IF($AA$82="x",-1,IF(AND($AA$82=0,INDEX(KonZeile6,4)+INDEX(KonSpalte8,4)+INDEX(KonFeld3,4)=0),4,0))</f>
        <v>-1</v>
      </c>
      <c r="CL123" s="39">
        <f>IF($AA$82="x",-1,IF(AND($AA$82=0,INDEX(KonZeile6,5)+INDEX(KonSpalte8,5)+INDEX(KonFeld3,5)=0),5,0))</f>
        <v>-1</v>
      </c>
      <c r="CM123" s="41">
        <f>IF($AA$82="x",-1,IF(AND($AA$82=0,INDEX(KonZeile6,6)+INDEX(KonSpalte8,6)+INDEX(KonFeld3,6)=0),6,0))</f>
        <v>-1</v>
      </c>
      <c r="CN123" s="40">
        <f>IF($AB$82="x",-1,IF(AND($AB$82=0,INDEX(KonZeile6,4)+INDEX(KonSpalte9,4)+INDEX(KonFeld3,4)=0),4,0))</f>
        <v>0</v>
      </c>
      <c r="CO123" s="39">
        <f>IF($AB$82="x",-1,IF(AND($AB$82=0,INDEX(KonZeile6,5)+INDEX(KonSpalte9,5)+INDEX(KonFeld3,5)=0),5,0))</f>
        <v>0</v>
      </c>
      <c r="CP123" s="95">
        <f>IF($AB$82="x",-1,IF(AND($AB$82=0,INDEX(KonZeile6,6)+INDEX(KonSpalte9,6)+INDEX(KonFeld3,6)=0),6,0))</f>
        <v>0</v>
      </c>
      <c r="CR123" s="40">
        <f>COUNTIF(N123:CP123,4)</f>
        <v>0</v>
      </c>
      <c r="CS123" s="39">
        <f>COUNTIF(N123:CP123,5)</f>
        <v>0</v>
      </c>
      <c r="CT123" s="41">
        <f>COUNTIF(N123:CP123,6)</f>
        <v>0</v>
      </c>
      <c r="CU123" s="39"/>
      <c r="CV123" s="39"/>
      <c r="CX123" s="96">
        <f t="shared" si="104"/>
        <v>0</v>
      </c>
      <c r="CY123" s="97">
        <f t="shared" si="105"/>
        <v>0</v>
      </c>
      <c r="CZ123" s="98">
        <f t="shared" si="106"/>
        <v>0</v>
      </c>
      <c r="DE123" s="226">
        <f t="shared" ref="DE123:DE124" si="167">IF(N123&gt;=0,10+N123,IF(AO123&gt;=0,20+AO123,IF(BP123&gt;=0,30+BP123,IF(N150&gt;=0,40+N150,IF(AO150&gt;=0,50+AO150,IF(BP150&gt;=0,60+BP150,IF(N177&gt;=0,70+N177,IF(AO177&gt;=0,80+AO177,IF(BP177&gt;=0,90+BP177,"")))))))))</f>
        <v>40</v>
      </c>
      <c r="DF123" s="227">
        <f t="shared" si="135"/>
        <v>40</v>
      </c>
      <c r="DG123" s="228">
        <f t="shared" si="136"/>
        <v>40</v>
      </c>
      <c r="DH123" s="229">
        <f t="shared" si="137"/>
        <v>40</v>
      </c>
      <c r="DI123" s="227">
        <f t="shared" si="138"/>
        <v>40</v>
      </c>
      <c r="DJ123" s="228">
        <f t="shared" si="139"/>
        <v>40</v>
      </c>
      <c r="DK123" s="229">
        <f t="shared" si="140"/>
        <v>40</v>
      </c>
      <c r="DL123" s="227">
        <f t="shared" si="141"/>
        <v>40</v>
      </c>
      <c r="DM123" s="230">
        <f t="shared" si="142"/>
        <v>40</v>
      </c>
      <c r="DN123" s="226">
        <f t="shared" ref="DN123:DN124" si="168">IF(W123&gt;=0,10+W123,IF(AX123&gt;=0,20+AX123,IF(BY123&gt;=0,30+BY123,IF(W150&gt;=0,40+W150,IF(AX150&gt;=0,50+AX150,IF(BY150&gt;=0,60+BY150,IF(W177&gt;=0,70+W177,IF(AX177&gt;=0,80+AX177,IF(BY177&gt;=0,90+BY177,"")))))))))</f>
        <v>40</v>
      </c>
      <c r="DO123" s="227">
        <f t="shared" si="144"/>
        <v>40</v>
      </c>
      <c r="DP123" s="228">
        <f t="shared" si="145"/>
        <v>40</v>
      </c>
      <c r="DQ123" s="229">
        <f t="shared" si="146"/>
        <v>80</v>
      </c>
      <c r="DR123" s="227">
        <f t="shared" si="147"/>
        <v>80</v>
      </c>
      <c r="DS123" s="228">
        <f t="shared" si="148"/>
        <v>80</v>
      </c>
      <c r="DT123" s="229">
        <f t="shared" si="149"/>
        <v>80</v>
      </c>
      <c r="DU123" s="227">
        <f t="shared" si="150"/>
        <v>80</v>
      </c>
      <c r="DV123" s="230">
        <f t="shared" si="151"/>
        <v>80</v>
      </c>
      <c r="DW123" s="226">
        <f t="shared" si="152"/>
        <v>80</v>
      </c>
      <c r="DX123" s="227">
        <f t="shared" si="153"/>
        <v>80</v>
      </c>
      <c r="DY123" s="228">
        <f t="shared" si="154"/>
        <v>80</v>
      </c>
      <c r="DZ123" s="229">
        <f t="shared" si="155"/>
        <v>60</v>
      </c>
      <c r="EA123" s="227">
        <f t="shared" si="156"/>
        <v>60</v>
      </c>
      <c r="EB123" s="228">
        <f t="shared" si="157"/>
        <v>60</v>
      </c>
      <c r="EC123" s="229">
        <f t="shared" si="158"/>
        <v>30</v>
      </c>
      <c r="ED123" s="227">
        <f t="shared" si="159"/>
        <v>30</v>
      </c>
      <c r="EE123" s="230">
        <f t="shared" si="160"/>
        <v>30</v>
      </c>
      <c r="EI123" s="300"/>
      <c r="EJ123" s="282"/>
      <c r="EK123" s="283"/>
      <c r="EL123" s="281"/>
      <c r="EM123" s="282"/>
      <c r="EN123" s="283">
        <v>6</v>
      </c>
      <c r="EO123" s="281"/>
      <c r="EP123" s="282">
        <v>5</v>
      </c>
      <c r="EQ123" s="357"/>
      <c r="ER123" s="300"/>
      <c r="ES123" s="282"/>
      <c r="ET123" s="283">
        <v>6</v>
      </c>
      <c r="EU123" s="368">
        <v>4</v>
      </c>
      <c r="EV123" s="369"/>
      <c r="EW123" s="372"/>
      <c r="EX123" s="368"/>
      <c r="EY123" s="369"/>
      <c r="EZ123" s="370"/>
      <c r="FA123" s="371"/>
      <c r="FB123" s="369"/>
      <c r="FC123" s="372"/>
      <c r="FD123" s="338"/>
      <c r="FE123" s="339"/>
      <c r="FF123" s="340"/>
      <c r="FG123" s="319"/>
      <c r="FH123" s="317"/>
      <c r="FI123" s="320"/>
      <c r="FM123" s="300"/>
      <c r="FN123" s="282"/>
      <c r="FO123" s="283"/>
      <c r="FP123" s="281"/>
      <c r="FQ123" s="282"/>
      <c r="FR123" s="283"/>
      <c r="FS123" s="281"/>
      <c r="FT123" s="282"/>
      <c r="FU123" s="357"/>
      <c r="FV123" s="300"/>
      <c r="FW123" s="282"/>
      <c r="FX123" s="283"/>
      <c r="FY123" s="368">
        <v>4</v>
      </c>
      <c r="FZ123" s="369"/>
      <c r="GA123" s="372"/>
      <c r="GB123" s="368"/>
      <c r="GC123" s="369"/>
      <c r="GD123" s="370"/>
      <c r="GE123" s="371"/>
      <c r="GF123" s="369"/>
      <c r="GG123" s="372"/>
      <c r="GH123" s="338"/>
      <c r="GI123" s="339"/>
      <c r="GJ123" s="340"/>
      <c r="GK123" s="319"/>
      <c r="GL123" s="317"/>
      <c r="GM123" s="320"/>
      <c r="GY123"/>
      <c r="GZ123"/>
      <c r="HA123"/>
      <c r="HB123"/>
      <c r="HC123"/>
      <c r="HD123"/>
      <c r="HE123"/>
      <c r="HF123"/>
      <c r="HG123"/>
      <c r="HH123"/>
      <c r="HI123"/>
      <c r="HJ123"/>
      <c r="HK123"/>
      <c r="HL123"/>
      <c r="HM123"/>
      <c r="HN123"/>
      <c r="HO123"/>
      <c r="HP123"/>
      <c r="HQ123"/>
      <c r="HR123"/>
      <c r="HS123"/>
      <c r="HT123"/>
      <c r="HU123"/>
      <c r="HV123"/>
      <c r="HW123"/>
      <c r="HX123"/>
      <c r="HY123"/>
      <c r="HZ123"/>
      <c r="IA123"/>
    </row>
    <row r="124" spans="2:235" ht="15" customHeight="1" thickBot="1">
      <c r="B124" s="69" t="str">
        <f t="shared" si="84"/>
        <v>x</v>
      </c>
      <c r="C124" s="70" t="str">
        <f t="shared" si="85"/>
        <v>x</v>
      </c>
      <c r="D124" s="70" t="str">
        <f t="shared" si="86"/>
        <v>x</v>
      </c>
      <c r="E124" s="70" t="str">
        <f t="shared" si="87"/>
        <v>x</v>
      </c>
      <c r="F124" s="70" t="str">
        <f t="shared" si="88"/>
        <v>x</v>
      </c>
      <c r="G124" s="70">
        <f t="shared" si="89"/>
        <v>7</v>
      </c>
      <c r="H124" s="70" t="str">
        <f t="shared" si="90"/>
        <v>x</v>
      </c>
      <c r="I124" s="70" t="str">
        <f t="shared" si="91"/>
        <v>x</v>
      </c>
      <c r="J124" s="71" t="str">
        <f t="shared" si="92"/>
        <v>x</v>
      </c>
      <c r="N124" s="106">
        <f>IF($B$82="x",-1,IF(AND($B$82=0,INDEX(KonZeile6,7)+INDEX(KonSpalte1,7)+INDEX(KonFeld1,7)=0),7,0))</f>
        <v>-1</v>
      </c>
      <c r="O124" s="55">
        <f>IF($B$82="x",-1,IF(AND($B$82=0,INDEX(KonZeile6,8)+INDEX(KonSpalte1,8)+INDEX(KonFeld1,8)=0),8,0))</f>
        <v>-1</v>
      </c>
      <c r="P124" s="56">
        <f>IF($B$82="x",-1,IF(AND($B$82=0,INDEX(KonZeile6,9)+INDEX(KonSpalte1,9)+INDEX(KonFeld1,9)=0),9,0))</f>
        <v>-1</v>
      </c>
      <c r="Q124" s="57">
        <f>IF($C$82="x",-1,IF(AND($C$82=0,INDEX(KonZeile6,7)+INDEX(KonSpalte2,7)+INDEX(KonFeld1,7)=0),7,0))</f>
        <v>-1</v>
      </c>
      <c r="R124" s="55">
        <f>IF($C$82="x",-1,IF(AND($C$82=0,INDEX(KonZeile6,8)+INDEX(KonSpalte2,8)+INDEX(KonFeld1,8)=0),8,0))</f>
        <v>-1</v>
      </c>
      <c r="S124" s="56">
        <f>IF($C$82="x",-1,IF(AND($C$82=0,INDEX(KonZeile6,9)+INDEX(KonSpalte2,9)+INDEX(KonFeld1,9)=0),9,0))</f>
        <v>-1</v>
      </c>
      <c r="T124" s="57">
        <f>IF($D$82="x",-1,IF(AND($D$82=0,INDEX(KonZeile6,7)+INDEX(KonSpalte3,7)+INDEX(KonFeld1,7)=0),7,0))</f>
        <v>-1</v>
      </c>
      <c r="U124" s="55">
        <f>IF($D$82="x",-1,IF(AND($D$82=0,INDEX(KonZeile6,8)+INDEX(KonSpalte3,8)+INDEX(KonFeld1,8)=0),8,0))</f>
        <v>-1</v>
      </c>
      <c r="V124" s="58">
        <f>IF($D$82="x",-1,IF(AND($D$82=0,INDEX(KonZeile6,9)+INDEX(KonSpalte3,9)+INDEX(KonFeld1,9)=0),9,0))</f>
        <v>-1</v>
      </c>
      <c r="W124" s="54">
        <f>IF($E$82="x",-1,IF(AND($E$82=0,INDEX(KonZeile6,7)+INDEX(KonSpalte4,7)+INDEX(KonFeld1,7)=0),7,0))</f>
        <v>-1</v>
      </c>
      <c r="X124" s="55">
        <f>IF($E$82="x",-1,IF(AND($E$82=0,INDEX(KonZeile6,8)+INDEX(KonSpalte4,8)+INDEX(KonFeld1,8)=0),8,0))</f>
        <v>-1</v>
      </c>
      <c r="Y124" s="56">
        <f>IF($E$82="x",-1,IF(AND($E$82=0,INDEX(KonZeile6,9)+INDEX(KonSpalte4,9)+INDEX(KonFeld1,9)=0),9,0))</f>
        <v>-1</v>
      </c>
      <c r="Z124" s="57">
        <f>IF($F$82="x",-1,IF(AND($F$82=0,INDEX(KonZeile6,7)+INDEX(KonSpalte5,7)+INDEX(KonFeld1,7)=0),7,0))</f>
        <v>-1</v>
      </c>
      <c r="AA124" s="55">
        <f>IF($F$82="x",-1,IF(AND($F$82=0,INDEX(KonZeile6,8)+INDEX(KonSpalte5,8)+INDEX(KonFeld1,8)=0),8,0))</f>
        <v>-1</v>
      </c>
      <c r="AB124" s="56">
        <f>IF($F$82="x",-1,IF(AND($F$82=0,INDEX(KonZeile6,9)+INDEX(KonSpalte5,9)+INDEX(KonFeld1,9)=0),9,0))</f>
        <v>-1</v>
      </c>
      <c r="AC124" s="57">
        <f>IF($G$82="x",-1,IF(AND($G$82=0,INDEX(KonZeile6,7)+INDEX(KonSpalte6,7)+INDEX(KonFeld1,7)=0),7,0))</f>
        <v>-1</v>
      </c>
      <c r="AD124" s="55">
        <f>IF($G$82="x",-1,IF(AND($G$82=0,INDEX(KonZeile6,8)+INDEX(KonSpalte6,8)+INDEX(KonFeld1,8)=0),8,0))</f>
        <v>-1</v>
      </c>
      <c r="AE124" s="58">
        <f>IF($G$82="x",-1,IF(AND($G$82=0,INDEX(KonZeile6,9)+INDEX(KonSpalte6,9)+INDEX(KonFeld1,9)=0),9,0))</f>
        <v>-1</v>
      </c>
      <c r="AF124" s="54">
        <f>IF($H$82="x",-1,IF(AND($H$82=0,INDEX(KonZeile6,7)+INDEX(KonSpalte7,7)+INDEX(KonFeld1,7)=0),7,0))</f>
        <v>-1</v>
      </c>
      <c r="AG124" s="55">
        <f>IF($H$82="x",-1,IF(AND($H$82=0,INDEX(KonZeile6,8)+INDEX(KonSpalte7,8)+INDEX(KonFeld1,8)=0),8,0))</f>
        <v>-1</v>
      </c>
      <c r="AH124" s="56">
        <f>IF($H$82="x",-1,IF(AND($H$82=0,INDEX(KonZeile6,9)+INDEX(KonSpalte7,9)+INDEX(KonFeld1,9)=0),9,0))</f>
        <v>-1</v>
      </c>
      <c r="AI124" s="57">
        <f>IF($I$82="x",-1,IF(AND($I$82=0,INDEX(KonZeile6,7)+INDEX(KonSpalte8,7)+INDEX(KonFeld1,7)=0),7,0))</f>
        <v>-1</v>
      </c>
      <c r="AJ124" s="55">
        <f>IF($I$82="x",-1,IF(AND($I$82=0,INDEX(KonZeile6,8)+INDEX(KonSpalte8,8)+INDEX(KonFeld1,8)=0),8,0))</f>
        <v>-1</v>
      </c>
      <c r="AK124" s="56">
        <f>IF($I$82="x",-1,IF(AND($I$82=0,INDEX(KonZeile6,9)+INDEX(KonSpalte8,9)+INDEX(KonFeld1,9)=0),9,0))</f>
        <v>-1</v>
      </c>
      <c r="AL124" s="57">
        <f>IF($J$82="x",-1,IF(AND($J$82=0,INDEX(KonZeile6,7)+INDEX(KonSpalte9,7)+INDEX(KonFeld1,7)=0),7,0))</f>
        <v>-1</v>
      </c>
      <c r="AM124" s="55">
        <f>IF($J$82="x",-1,IF(AND($J$82=0,INDEX(KonZeile6,8)+INDEX(KonSpalte9,8)+INDEX(KonFeld1,8)=0),8,0))</f>
        <v>-1</v>
      </c>
      <c r="AN124" s="107">
        <f>IF($J$82="x",-1,IF(AND($J$82=0,INDEX(KonZeile6,9)+INDEX(KonSpalte9,9)+INDEX(KonFeld1,9)=0),9,0))</f>
        <v>-1</v>
      </c>
      <c r="AO124" s="106">
        <f>IF($K$82="x",-1,IF(AND($K$82=0,INDEX(KonZeile6,7)+INDEX(KonSpalte1,7)+INDEX(KonFeld2,7)=0),7,0))</f>
        <v>-1</v>
      </c>
      <c r="AP124" s="55">
        <f>IF($K$82="x",-1,IF(AND($K$82=0,INDEX(KonZeile6,8)+INDEX(KonSpalte1,8)+INDEX(KonFeld2,8)=0),8,0))</f>
        <v>-1</v>
      </c>
      <c r="AQ124" s="56">
        <f>IF($K$82="x",-1,IF(AND($K$82=0,INDEX(KonZeile6,9)+INDEX(KonSpalte1,9)+INDEX(KonFeld2,9)=0),9,0))</f>
        <v>-1</v>
      </c>
      <c r="AR124" s="57">
        <f>IF($L$82="x",-1,IF(AND($L$82=0,INDEX(KonZeile6,7)+INDEX(KonSpalte2,7)+INDEX(KonFeld2,7)=0),7,0))</f>
        <v>-1</v>
      </c>
      <c r="AS124" s="55">
        <f>IF($L$82="x",-1,IF(AND($L$82=0,INDEX(KonZeile6,8)+INDEX(KonSpalte2,8)+INDEX(KonFeld2,8)=0),8,0))</f>
        <v>-1</v>
      </c>
      <c r="AT124" s="56">
        <f>IF($L$82="x",-1,IF(AND($L$82=0,INDEX(KonZeile6,9)+INDEX(KonSpalte2,9)+INDEX(KonFeld2,9)=0),9,0))</f>
        <v>-1</v>
      </c>
      <c r="AU124" s="57">
        <f>IF($M$82="x",-1,IF(AND($M$82=0,INDEX(KonZeile6,7)+INDEX(KonSpalte3,7)+INDEX(KonFeld2,7)=0),7,0))</f>
        <v>-1</v>
      </c>
      <c r="AV124" s="55">
        <f>IF($M$82="x",-1,IF(AND($M$82=0,INDEX(KonZeile6,8)+INDEX(KonSpalte3,8)+INDEX(KonFeld2,8)=0),8,0))</f>
        <v>-1</v>
      </c>
      <c r="AW124" s="58">
        <f>IF($M$82="x",-1,IF(AND($M$82=0,INDEX(KonZeile6,9)+INDEX(KonSpalte3,9)+INDEX(KonFeld2,9)=0),9,0))</f>
        <v>-1</v>
      </c>
      <c r="AX124" s="54">
        <f>IF($N$82="x",-1,IF(AND($N$82=0,INDEX(KonZeile6,7)+INDEX(KonSpalte4,7)+INDEX(KonFeld2,7)=0),7,0))</f>
        <v>-1</v>
      </c>
      <c r="AY124" s="55">
        <f>IF($N$82="x",-1,IF(AND($N$82=0,INDEX(KonZeile6,8)+INDEX(KonSpalte4,8)+INDEX(KonFeld2,8)=0),8,0))</f>
        <v>-1</v>
      </c>
      <c r="AZ124" s="56">
        <f>IF($N$82="x",-1,IF(AND($N$82=0,INDEX(KonZeile6,9)+INDEX(KonSpalte4,9)+INDEX(KonFeld2,9)=0),9,0))</f>
        <v>-1</v>
      </c>
      <c r="BA124" s="57">
        <f>IF($O$82="x",-1,IF(AND($O$82=0,INDEX(KonZeile6,7)+INDEX(KonSpalte5,7)+INDEX(KonFeld2,7)=0),7,0))</f>
        <v>-1</v>
      </c>
      <c r="BB124" s="55">
        <f>IF($O$82="x",-1,IF(AND($O$82=0,INDEX(KonZeile6,8)+INDEX(KonSpalte5,8)+INDEX(KonFeld2,8)=0),8,0))</f>
        <v>-1</v>
      </c>
      <c r="BC124" s="56">
        <f>IF($O$82="x",-1,IF(AND($O$82=0,INDEX(KonZeile6,9)+INDEX(KonSpalte5,9)+INDEX(KonFeld2,9)=0),9,0))</f>
        <v>-1</v>
      </c>
      <c r="BD124" s="57">
        <f>IF($P$82="x",-1,IF(AND($P$82=0,INDEX(KonZeile6,7)+INDEX(KonSpalte6,7)+INDEX(KonFeld2,7)=0),7,0))</f>
        <v>-1</v>
      </c>
      <c r="BE124" s="55">
        <f>IF($P$82="x",-1,IF(AND($P$82=0,INDEX(KonZeile6,8)+INDEX(KonSpalte6,8)+INDEX(KonFeld2,8)=0),8,0))</f>
        <v>-1</v>
      </c>
      <c r="BF124" s="58">
        <f>IF($P$82="x",-1,IF(AND($P$82=0,INDEX(KonZeile6,9)+INDEX(KonSpalte6,9)+INDEX(KonFeld2,9)=0),9,0))</f>
        <v>-1</v>
      </c>
      <c r="BG124" s="54">
        <f>IF($Q$82="x",-1,IF(AND($Q$82=0,INDEX(KonZeile6,7)+INDEX(KonSpalte7,7)+INDEX(KonFeld2,7)=0),7,0))</f>
        <v>-1</v>
      </c>
      <c r="BH124" s="55">
        <f>IF($Q$82="x",-1,IF(AND($Q$82=0,INDEX(KonZeile6,8)+INDEX(KonSpalte7,8)+INDEX(KonFeld2,8)=0),8,0))</f>
        <v>-1</v>
      </c>
      <c r="BI124" s="56">
        <f>IF($Q$82="x",-1,IF(AND($Q$82=0,INDEX(KonZeile6,9)+INDEX(KonSpalte7,9)+INDEX(KonFeld2,9)=0),9,0))</f>
        <v>-1</v>
      </c>
      <c r="BJ124" s="57">
        <f>IF($R$82="x",-1,IF(AND($R$82=0,INDEX(KonZeile6,7)+INDEX(KonSpalte8,7)+INDEX(KonFeld2,7)=0),7,0))</f>
        <v>-1</v>
      </c>
      <c r="BK124" s="55">
        <f>IF($R$82="x",-1,IF(AND($R$82=0,INDEX(KonZeile6,8)+INDEX(KonSpalte8,8)+INDEX(KonFeld2,8)=0),8,0))</f>
        <v>-1</v>
      </c>
      <c r="BL124" s="56">
        <f>IF($R$82="x",-1,IF(AND($R$82=0,INDEX(KonZeile6,9)+INDEX(KonSpalte8,9)+INDEX(KonFeld2,9)=0),9,0))</f>
        <v>-1</v>
      </c>
      <c r="BM124" s="57">
        <f>IF($S$82="x",-1,IF(AND($S$82=0,INDEX(KonZeile6,7)+INDEX(KonSpalte9,7)+INDEX(KonFeld2,7)=0),7,0))</f>
        <v>-1</v>
      </c>
      <c r="BN124" s="55">
        <f>IF($S$82="x",-1,IF(AND($S$82=0,INDEX(KonZeile6,8)+INDEX(KonSpalte9,8)+INDEX(KonFeld2,8)=0),8,0))</f>
        <v>-1</v>
      </c>
      <c r="BO124" s="107">
        <f>IF($S$82="x",-1,IF(AND($S$82=0,INDEX(KonZeile6,9)+INDEX(KonSpalte9,9)+INDEX(KonFeld2,9)=0),9,0))</f>
        <v>-1</v>
      </c>
      <c r="BP124" s="106">
        <f>IF($T$82="x",-1,IF(AND($T$82=0,INDEX(KonZeile6,7)+INDEX(KonSpalte1,7)+INDEX(KonFeld3,7)=0),7,0))</f>
        <v>-1</v>
      </c>
      <c r="BQ124" s="55">
        <f>IF($T$82="x",-1,IF(AND($T$82=0,INDEX(KonZeile6,8)+INDEX(KonSpalte1,8)+INDEX(KonFeld3,8)=0),8,0))</f>
        <v>-1</v>
      </c>
      <c r="BR124" s="56">
        <f>IF($T$82="x",-1,IF(AND($T$82=0,INDEX(KonZeile6,9)+INDEX(KonSpalte1,9)+INDEX(KonFeld3,9)=0),9,0))</f>
        <v>-1</v>
      </c>
      <c r="BS124" s="57">
        <f>IF($U$82="x",-1,IF(AND($U$82=0,INDEX(KonZeile6,7)+INDEX(KonSpalte2,7)+INDEX(KonFeld3,7)=0),7,0))</f>
        <v>-1</v>
      </c>
      <c r="BT124" s="55">
        <f>IF($U$82="x",-1,IF(AND($U$82=0,INDEX(KonZeile6,8)+INDEX(KonSpalte2,8)+INDEX(KonFeld3,8)=0),8,0))</f>
        <v>-1</v>
      </c>
      <c r="BU124" s="56">
        <f>IF($U$82="x",-1,IF(AND($U$82=0,INDEX(KonZeile6,9)+INDEX(KonSpalte2,9)+INDEX(KonFeld3,9)=0),9,0))</f>
        <v>-1</v>
      </c>
      <c r="BV124" s="57">
        <f>IF($V$82="x",-1,IF(AND($V$82=0,INDEX(KonZeile6,7)+INDEX(KonSpalte3,7)+INDEX(KonFeld3,7)=0),7,0))</f>
        <v>-1</v>
      </c>
      <c r="BW124" s="55">
        <f>IF($V$82="x",-1,IF(AND($V$82=0,INDEX(KonZeile6,8)+INDEX(KonSpalte3,8)+INDEX(KonFeld3,8)=0),8,0))</f>
        <v>-1</v>
      </c>
      <c r="BX124" s="58">
        <f>IF($V$82="x",-1,IF(AND($V$82=0,INDEX(KonZeile6,9)+INDEX(KonSpalte3,9)+INDEX(KonFeld3,9)=0),9,0))</f>
        <v>-1</v>
      </c>
      <c r="BY124" s="54">
        <f>IF($W$82="x",-1,IF(AND($W$82=0,INDEX(KonZeile6,7)+INDEX(KonSpalte4,7)+INDEX(KonFeld3,7)=0),7,0))</f>
        <v>-1</v>
      </c>
      <c r="BZ124" s="55">
        <f>IF($W$82="x",-1,IF(AND($W$82=0,INDEX(KonZeile6,8)+INDEX(KonSpalte4,8)+INDEX(KonFeld3,8)=0),8,0))</f>
        <v>-1</v>
      </c>
      <c r="CA124" s="56">
        <f>IF($W$82="x",-1,IF(AND($W$82=0,INDEX(KonZeile6,9)+INDEX(KonSpalte4,9)+INDEX(KonFeld3,9)=0),9,0))</f>
        <v>-1</v>
      </c>
      <c r="CB124" s="57">
        <f>IF($X$82="x",-1,IF(AND($X$82=0,INDEX(KonZeile6,7)+INDEX(KonSpalte5,7)+INDEX(KonFeld3,7)=0),7,0))</f>
        <v>-1</v>
      </c>
      <c r="CC124" s="55">
        <f>IF($X$82="x",-1,IF(AND($X$82=0,INDEX(KonZeile6,8)+INDEX(KonSpalte5,8)+INDEX(KonFeld3,8)=0),8,0))</f>
        <v>-1</v>
      </c>
      <c r="CD124" s="56">
        <f>IF($X$82="x",-1,IF(AND($X$82=0,INDEX(KonZeile6,9)+INDEX(KonSpalte5,9)+INDEX(KonFeld3,9)=0),9,0))</f>
        <v>-1</v>
      </c>
      <c r="CE124" s="57">
        <f>IF($Y$82="x",-1,IF(AND($Y$82=0,INDEX(KonZeile6,7)+INDEX(KonSpalte6,7)+INDEX(KonFeld3,7)=0),7,0))</f>
        <v>-1</v>
      </c>
      <c r="CF124" s="55">
        <f>IF($Y$82="x",-1,IF(AND($Y$82=0,INDEX(KonZeile6,8)+INDEX(KonSpalte6,8)+INDEX(KonFeld3,8)=0),8,0))</f>
        <v>-1</v>
      </c>
      <c r="CG124" s="58">
        <f>IF($Y$82="x",-1,IF(AND($Y$82=0,INDEX(KonZeile6,9)+INDEX(KonSpalte6,9)+INDEX(KonFeld3,9)=0),9,0))</f>
        <v>-1</v>
      </c>
      <c r="CH124" s="54">
        <f>IF($Z$82="x",-1,IF(AND($Z$82=0,INDEX(KonZeile6,7)+INDEX(KonSpalte7,7)+INDEX(KonFeld3,7)=0),7,0))</f>
        <v>-1</v>
      </c>
      <c r="CI124" s="55">
        <f>IF($Z$82="x",-1,IF(AND($Z$82=0,INDEX(KonZeile6,8)+INDEX(KonSpalte7,8)+INDEX(KonFeld3,8)=0),8,0))</f>
        <v>-1</v>
      </c>
      <c r="CJ124" s="56">
        <f>IF($Z$82="x",-1,IF(AND($Z$82=0,INDEX(KonZeile6,9)+INDEX(KonSpalte7,9)+INDEX(KonFeld3,9)=0),9,0))</f>
        <v>-1</v>
      </c>
      <c r="CK124" s="57">
        <f>IF($AA$82="x",-1,IF(AND($AA$82=0,INDEX(KonZeile6,7)+INDEX(KonSpalte8,7)+INDEX(KonFeld3,7)=0),7,0))</f>
        <v>-1</v>
      </c>
      <c r="CL124" s="55">
        <f>IF($AA$82="x",-1,IF(AND($AA$82=0,INDEX(KonZeile6,8)+INDEX(KonSpalte8,8)+INDEX(KonFeld3,8)=0),8,0))</f>
        <v>-1</v>
      </c>
      <c r="CM124" s="56">
        <f>IF($AA$82="x",-1,IF(AND($AA$82=0,INDEX(KonZeile6,9)+INDEX(KonSpalte8,9)+INDEX(KonFeld3,9)=0),9,0))</f>
        <v>-1</v>
      </c>
      <c r="CN124" s="57">
        <f>IF($AB$82="x",-1,IF(AND($AB$82=0,INDEX(KonZeile6,7)+INDEX(KonSpalte9,7)+INDEX(KonFeld3,7)=0),7,0))</f>
        <v>0</v>
      </c>
      <c r="CO124" s="55">
        <f>IF($AB$82="x",-1,IF(AND($AB$82=0,INDEX(KonZeile6,8)+INDEX(KonSpalte9,8)+INDEX(KonFeld3,8)=0),8,0))</f>
        <v>0</v>
      </c>
      <c r="CP124" s="107">
        <f>IF($AB$82="x",-1,IF(AND($AB$82=0,INDEX(KonZeile6,9)+INDEX(KonSpalte9,9)+INDEX(KonFeld3,9)=0),9,0))</f>
        <v>0</v>
      </c>
      <c r="CR124" s="46">
        <f>COUNTIF(N124:CP124,7)</f>
        <v>0</v>
      </c>
      <c r="CS124" s="45">
        <f>COUNTIF(N124:CP124,8)</f>
        <v>0</v>
      </c>
      <c r="CT124" s="47">
        <f>COUNTIF(N124:CP124,9)</f>
        <v>0</v>
      </c>
      <c r="CU124" s="39"/>
      <c r="CV124" s="39"/>
      <c r="CX124" s="101">
        <f t="shared" si="104"/>
        <v>0</v>
      </c>
      <c r="CY124" s="102">
        <f t="shared" si="105"/>
        <v>0</v>
      </c>
      <c r="CZ124" s="103">
        <f t="shared" si="106"/>
        <v>0</v>
      </c>
      <c r="DE124" s="241">
        <f t="shared" si="167"/>
        <v>40</v>
      </c>
      <c r="DF124" s="242">
        <f t="shared" si="135"/>
        <v>40</v>
      </c>
      <c r="DG124" s="243">
        <f t="shared" si="136"/>
        <v>40</v>
      </c>
      <c r="DH124" s="244">
        <f t="shared" si="137"/>
        <v>40</v>
      </c>
      <c r="DI124" s="242">
        <f t="shared" si="138"/>
        <v>40</v>
      </c>
      <c r="DJ124" s="243">
        <f t="shared" si="139"/>
        <v>40</v>
      </c>
      <c r="DK124" s="244">
        <f t="shared" si="140"/>
        <v>40</v>
      </c>
      <c r="DL124" s="242">
        <f t="shared" si="141"/>
        <v>40</v>
      </c>
      <c r="DM124" s="245">
        <f t="shared" si="142"/>
        <v>40</v>
      </c>
      <c r="DN124" s="241">
        <f t="shared" si="168"/>
        <v>40</v>
      </c>
      <c r="DO124" s="242">
        <f t="shared" si="144"/>
        <v>40</v>
      </c>
      <c r="DP124" s="243">
        <f t="shared" si="145"/>
        <v>40</v>
      </c>
      <c r="DQ124" s="244">
        <f t="shared" si="146"/>
        <v>80</v>
      </c>
      <c r="DR124" s="242">
        <f t="shared" si="147"/>
        <v>80</v>
      </c>
      <c r="DS124" s="243">
        <f t="shared" si="148"/>
        <v>80</v>
      </c>
      <c r="DT124" s="244">
        <f t="shared" si="149"/>
        <v>80</v>
      </c>
      <c r="DU124" s="242">
        <f t="shared" si="150"/>
        <v>80</v>
      </c>
      <c r="DV124" s="245">
        <f t="shared" si="151"/>
        <v>80</v>
      </c>
      <c r="DW124" s="241">
        <f t="shared" si="152"/>
        <v>80</v>
      </c>
      <c r="DX124" s="242">
        <f t="shared" si="153"/>
        <v>80</v>
      </c>
      <c r="DY124" s="243">
        <f t="shared" si="154"/>
        <v>80</v>
      </c>
      <c r="DZ124" s="244">
        <f t="shared" si="155"/>
        <v>60</v>
      </c>
      <c r="EA124" s="242">
        <f t="shared" si="156"/>
        <v>60</v>
      </c>
      <c r="EB124" s="243">
        <f t="shared" si="157"/>
        <v>60</v>
      </c>
      <c r="EC124" s="244">
        <f t="shared" si="158"/>
        <v>30</v>
      </c>
      <c r="ED124" s="242">
        <f t="shared" si="159"/>
        <v>30</v>
      </c>
      <c r="EE124" s="245">
        <f t="shared" si="160"/>
        <v>30</v>
      </c>
      <c r="EI124" s="447"/>
      <c r="EJ124" s="301"/>
      <c r="EK124" s="302"/>
      <c r="EL124" s="376"/>
      <c r="EM124" s="301"/>
      <c r="EN124" s="302"/>
      <c r="EO124" s="376"/>
      <c r="EP124" s="301"/>
      <c r="EQ124" s="528"/>
      <c r="ER124" s="447"/>
      <c r="ES124" s="301"/>
      <c r="ET124" s="302"/>
      <c r="EU124" s="379"/>
      <c r="EV124" s="380"/>
      <c r="EW124" s="438"/>
      <c r="EX124" s="379"/>
      <c r="EY124" s="380">
        <v>8</v>
      </c>
      <c r="EZ124" s="381"/>
      <c r="FA124" s="529"/>
      <c r="FB124" s="380">
        <v>8</v>
      </c>
      <c r="FC124" s="438"/>
      <c r="FD124" s="382">
        <v>7</v>
      </c>
      <c r="FE124" s="383"/>
      <c r="FF124" s="384"/>
      <c r="FG124" s="327"/>
      <c r="FH124" s="325"/>
      <c r="FI124" s="428"/>
      <c r="FM124" s="447"/>
      <c r="FN124" s="301"/>
      <c r="FO124" s="302"/>
      <c r="FP124" s="376"/>
      <c r="FQ124" s="301"/>
      <c r="FR124" s="302"/>
      <c r="FS124" s="376"/>
      <c r="FT124" s="301"/>
      <c r="FU124" s="528"/>
      <c r="FV124" s="447"/>
      <c r="FW124" s="301"/>
      <c r="FX124" s="302"/>
      <c r="FY124" s="379"/>
      <c r="FZ124" s="380"/>
      <c r="GA124" s="438"/>
      <c r="GB124" s="379"/>
      <c r="GC124" s="380">
        <v>8</v>
      </c>
      <c r="GD124" s="381"/>
      <c r="GE124" s="529"/>
      <c r="GF124" s="380">
        <v>8</v>
      </c>
      <c r="GG124" s="438"/>
      <c r="GH124" s="382">
        <v>7</v>
      </c>
      <c r="GI124" s="383"/>
      <c r="GJ124" s="384"/>
      <c r="GK124" s="327"/>
      <c r="GL124" s="325"/>
      <c r="GM124" s="428"/>
      <c r="GO124" s="537"/>
      <c r="GP124" s="538"/>
      <c r="GQ124" s="538"/>
      <c r="GR124" s="538"/>
      <c r="GS124" s="538"/>
      <c r="GT124" s="538"/>
      <c r="GU124" s="538"/>
      <c r="GV124" s="538"/>
      <c r="GW124" s="539"/>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2:235" ht="15" customHeight="1">
      <c r="B125" s="69" t="str">
        <f t="shared" si="84"/>
        <v>x</v>
      </c>
      <c r="C125" s="70" t="str">
        <f t="shared" si="85"/>
        <v>x</v>
      </c>
      <c r="D125" s="70" t="str">
        <f t="shared" si="86"/>
        <v>x</v>
      </c>
      <c r="E125" s="70" t="str">
        <f t="shared" si="87"/>
        <v>x</v>
      </c>
      <c r="F125" s="70">
        <f t="shared" si="88"/>
        <v>1</v>
      </c>
      <c r="G125" s="70" t="str">
        <f t="shared" si="89"/>
        <v>x</v>
      </c>
      <c r="H125" s="70" t="str">
        <f t="shared" si="90"/>
        <v>x</v>
      </c>
      <c r="I125" s="70" t="str">
        <f t="shared" si="91"/>
        <v>x</v>
      </c>
      <c r="J125" s="71" t="str">
        <f t="shared" si="92"/>
        <v>x</v>
      </c>
      <c r="N125" s="108">
        <f>IF($B$83="x",-1,IF(AND($B$83=0,INDEX(KonZeile7,1)+INDEX(KonSpalte1,1)+INDEX(KonFeld1,1)=0),1,0))</f>
        <v>-1</v>
      </c>
      <c r="O125" s="37">
        <f>IF($B$83="x",-1,IF(AND($B$83=0,INDEX(KonZeile7,2)+INDEX(KonSpalte1,2)+INDEX(KonFeld1,2)=0),2,0))</f>
        <v>-1</v>
      </c>
      <c r="P125" s="35">
        <f>IF($B$83="x",-1,IF(AND($B$83=0,INDEX(KonZeile7,3)+INDEX(KonSpalte1,3)+INDEX(KonFeld1,3)=0),3,0))</f>
        <v>-1</v>
      </c>
      <c r="Q125" s="36">
        <f>IF($C$83="x",-1,IF(AND($C$83=0,INDEX(KonZeile7,1)+INDEX(KonSpalte2,1)+INDEX(KonFeld1,1)=0),1,0))</f>
        <v>-1</v>
      </c>
      <c r="R125" s="37">
        <f>IF($C$83="x",-1,IF(AND($C$83=0,INDEX(KonZeile7,2)+INDEX(KonSpalte2,2)+INDEX(KonFeld1,2)=0),2,0))</f>
        <v>-1</v>
      </c>
      <c r="S125" s="35">
        <f>IF($C$83="x",-1,IF(AND($C$83=0,INDEX(KonZeile7,3)+INDEX(KonSpalte2,3)+INDEX(KonFeld1,3)=0),3,0))</f>
        <v>-1</v>
      </c>
      <c r="T125" s="36">
        <f>IF($D$83="x",-1,IF(AND($D$83=0,INDEX(KonZeile7,1)+INDEX(KonSpalte3,1)+INDEX(KonFeld1,1)=0),1,0))</f>
        <v>-1</v>
      </c>
      <c r="U125" s="37">
        <f>IF($D$83="x",-1,IF(AND($D$83=0,INDEX(KonZeile7,2)+INDEX(KonSpalte3,2)+INDEX(KonFeld1,2)=0),2,0))</f>
        <v>-1</v>
      </c>
      <c r="V125" s="38">
        <f>IF($D$83="x",-1,IF(AND($D$83=0,INDEX(KonZeile7,3)+INDEX(KonSpalte3,3)+INDEX(KonFeld1,3)=0),3,0))</f>
        <v>-1</v>
      </c>
      <c r="W125" s="34">
        <f>IF($E$83="x",-1,IF(AND($E$83=0,INDEX(KonZeile7,1)+INDEX(KonSpalte4,1)+INDEX(KonFeld1,1)=0),1,0))</f>
        <v>-1</v>
      </c>
      <c r="X125" s="37">
        <f>IF($E$83="x",-1,IF(AND($E$83=0,INDEX(KonZeile7,2)+INDEX(KonSpalte4,2)+INDEX(KonFeld1,2)=0),2,0))</f>
        <v>-1</v>
      </c>
      <c r="Y125" s="35">
        <f>IF($E$83="x",-1,IF(AND($E$83=0,INDEX(KonZeile7,3)+INDEX(KonSpalte4,3)+INDEX(KonFeld1,3)=0),3,0))</f>
        <v>-1</v>
      </c>
      <c r="Z125" s="36">
        <f>IF($F$83="x",-1,IF(AND($F$83=0,INDEX(KonZeile7,1)+INDEX(KonSpalte5,1)+INDEX(KonFeld1,1)=0),1,0))</f>
        <v>-1</v>
      </c>
      <c r="AA125" s="37">
        <f>IF($F$83="x",-1,IF(AND($F$83=0,INDEX(KonZeile7,2)+INDEX(KonSpalte5,2)+INDEX(KonFeld1,2)=0),2,0))</f>
        <v>-1</v>
      </c>
      <c r="AB125" s="35">
        <f>IF($F$83="x",-1,IF(AND($F$83=0,INDEX(KonZeile7,3)+INDEX(KonSpalte5,3)+INDEX(KonFeld1,3)=0),3,0))</f>
        <v>-1</v>
      </c>
      <c r="AC125" s="36">
        <f>IF($G$83="x",-1,IF(AND($G$83=0,INDEX(KonZeile7,1)+INDEX(KonSpalte6,1)+INDEX(KonFeld1,1)=0),1,0))</f>
        <v>-1</v>
      </c>
      <c r="AD125" s="37">
        <f>IF($G$83="x",-1,IF(AND($G$83=0,INDEX(KonZeile7,2)+INDEX(KonSpalte6,2)+INDEX(KonFeld1,2)=0),2,0))</f>
        <v>-1</v>
      </c>
      <c r="AE125" s="38">
        <f>IF($G$83="x",-1,IF(AND($G$83=0,INDEX(KonZeile7,3)+INDEX(KonSpalte6,3)+INDEX(KonFeld1,3)=0),3,0))</f>
        <v>-1</v>
      </c>
      <c r="AF125" s="34">
        <f>IF($H$83="x",-1,IF(AND($H$83=0,INDEX(KonZeile7,1)+INDEX(KonSpalte7,1)+INDEX(KonFeld1,1)=0),1,0))</f>
        <v>-1</v>
      </c>
      <c r="AG125" s="37">
        <f>IF($H$83="x",-1,IF(AND($H$83=0,INDEX(KonZeile7,2)+INDEX(KonSpalte7,2)+INDEX(KonFeld1,2)=0),2,0))</f>
        <v>-1</v>
      </c>
      <c r="AH125" s="35">
        <f>IF($H$83="x",-1,IF(AND($H$83=0,INDEX(KonZeile7,3)+INDEX(KonSpalte7,3)+INDEX(KonFeld1,3)=0),3,0))</f>
        <v>-1</v>
      </c>
      <c r="AI125" s="36">
        <f>IF($I$83="x",-1,IF(AND($I$83=0,INDEX(KonZeile7,1)+INDEX(KonSpalte8,1)+INDEX(KonFeld1,1)=0),1,0))</f>
        <v>-1</v>
      </c>
      <c r="AJ125" s="37">
        <f>IF($I$83="x",-1,IF(AND($I$83=0,INDEX(KonZeile7,2)+INDEX(KonSpalte8,2)+INDEX(KonFeld1,2)=0),2,0))</f>
        <v>-1</v>
      </c>
      <c r="AK125" s="35">
        <f>IF($I$83="x",-1,IF(AND($I$83=0,INDEX(KonZeile7,3)+INDEX(KonSpalte8,3)+INDEX(KonFeld1,3)=0),3,0))</f>
        <v>-1</v>
      </c>
      <c r="AL125" s="36">
        <f>IF($J$83="x",-1,IF(AND($J$83=0,INDEX(KonZeile7,1)+INDEX(KonSpalte9,1)+INDEX(KonFeld1,1)=0),1,0))</f>
        <v>-1</v>
      </c>
      <c r="AM125" s="37">
        <f>IF($J$83="x",-1,IF(AND($J$83=0,INDEX(KonZeile7,2)+INDEX(KonSpalte9,2)+INDEX(KonFeld1,2)=0),2,0))</f>
        <v>-1</v>
      </c>
      <c r="AN125" s="109">
        <f>IF($J$83="x",-1,IF(AND($J$83=0,INDEX(KonZeile7,3)+INDEX(KonSpalte9,3)+INDEX(KonFeld1,3)=0),3,0))</f>
        <v>-1</v>
      </c>
      <c r="AO125" s="108">
        <f>IF($K$83="x",-1,IF(AND($K$83=0,INDEX(KonZeile7,1)+INDEX(KonSpalte1,1)+INDEX(KonFeld2,1)=0),1,0))</f>
        <v>-1</v>
      </c>
      <c r="AP125" s="37">
        <f>IF($K$83="x",-1,IF(AND($K$83=0,INDEX(KonZeile7,2)+INDEX(KonSpalte1,2)+INDEX(KonFeld2,2)=0),2,0))</f>
        <v>-1</v>
      </c>
      <c r="AQ125" s="35">
        <f>IF($K$83="x",-1,IF(AND($K$83=0,INDEX(KonZeile7,3)+INDEX(KonSpalte1,3)+INDEX(KonFeld2,3)=0),3,0))</f>
        <v>-1</v>
      </c>
      <c r="AR125" s="36">
        <f>IF($L$83="x",-1,IF(AND($L$83=0,INDEX(KonZeile7,1)+INDEX(KonSpalte2,1)+INDEX(KonFeld2,1)=0),1,0))</f>
        <v>-1</v>
      </c>
      <c r="AS125" s="37">
        <f>IF($L$83="x",-1,IF(AND($L$83=0,INDEX(KonZeile7,2)+INDEX(KonSpalte2,2)+INDEX(KonFeld2,2)=0),2,0))</f>
        <v>-1</v>
      </c>
      <c r="AT125" s="35">
        <f>IF($L$83="x",-1,IF(AND($L$83=0,INDEX(KonZeile7,3)+INDEX(KonSpalte2,3)+INDEX(KonFeld2,3)=0),3,0))</f>
        <v>-1</v>
      </c>
      <c r="AU125" s="36">
        <f>IF($M$83="x",-1,IF(AND($M$83=0,INDEX(KonZeile7,1)+INDEX(KonSpalte3,1)+INDEX(KonFeld2,1)=0),1,0))</f>
        <v>-1</v>
      </c>
      <c r="AV125" s="37">
        <f>IF($M$83="x",-1,IF(AND($M$83=0,INDEX(KonZeile7,2)+INDEX(KonSpalte3,2)+INDEX(KonFeld2,2)=0),2,0))</f>
        <v>-1</v>
      </c>
      <c r="AW125" s="38">
        <f>IF($M$83="x",-1,IF(AND($M$83=0,INDEX(KonZeile7,3)+INDEX(KonSpalte3,3)+INDEX(KonFeld2,3)=0),3,0))</f>
        <v>-1</v>
      </c>
      <c r="AX125" s="34">
        <f>IF($N$83="x",-1,IF(AND($N$83=0,INDEX(KonZeile7,1)+INDEX(KonSpalte4,1)+INDEX(KonFeld2,1)=0),1,0))</f>
        <v>-1</v>
      </c>
      <c r="AY125" s="37">
        <f>IF($N$83="x",-1,IF(AND($N$83=0,INDEX(KonZeile7,2)+INDEX(KonSpalte4,2)+INDEX(KonFeld2,2)=0),2,0))</f>
        <v>-1</v>
      </c>
      <c r="AZ125" s="35">
        <f>IF($N$83="x",-1,IF(AND($N$83=0,INDEX(KonZeile7,3)+INDEX(KonSpalte4,3)+INDEX(KonFeld2,3)=0),3,0))</f>
        <v>-1</v>
      </c>
      <c r="BA125" s="36">
        <f>IF($O$83="x",-1,IF(AND($O$83=0,INDEX(KonZeile7,1)+INDEX(KonSpalte5,1)+INDEX(KonFeld2,1)=0),1,0))</f>
        <v>-1</v>
      </c>
      <c r="BB125" s="37">
        <f>IF($O$83="x",-1,IF(AND($O$83=0,INDEX(KonZeile7,2)+INDEX(KonSpalte5,2)+INDEX(KonFeld2,2)=0),2,0))</f>
        <v>-1</v>
      </c>
      <c r="BC125" s="35">
        <f>IF($O$83="x",-1,IF(AND($O$83=0,INDEX(KonZeile7,3)+INDEX(KonSpalte5,3)+INDEX(KonFeld2,3)=0),3,0))</f>
        <v>-1</v>
      </c>
      <c r="BD125" s="36">
        <f>IF($P$83="x",-1,IF(AND($P$83=0,INDEX(KonZeile7,1)+INDEX(KonSpalte6,1)+INDEX(KonFeld2,1)=0),1,0))</f>
        <v>-1</v>
      </c>
      <c r="BE125" s="37">
        <f>IF($P$83="x",-1,IF(AND($P$83=0,INDEX(KonZeile7,2)+INDEX(KonSpalte6,2)+INDEX(KonFeld2,2)=0),2,0))</f>
        <v>-1</v>
      </c>
      <c r="BF125" s="38">
        <f>IF($P$83="x",-1,IF(AND($P$83=0,INDEX(KonZeile7,3)+INDEX(KonSpalte6,3)+INDEX(KonFeld2,3)=0),3,0))</f>
        <v>-1</v>
      </c>
      <c r="BG125" s="34">
        <f>IF($Q$83="x",-1,IF(AND($Q$83=0,INDEX(KonZeile7,1)+INDEX(KonSpalte7,1)+INDEX(KonFeld2,1)=0),1,0))</f>
        <v>-1</v>
      </c>
      <c r="BH125" s="37">
        <f>IF($Q$83="x",-1,IF(AND($Q$83=0,INDEX(KonZeile7,2)+INDEX(KonSpalte7,2)+INDEX(KonFeld2,2)=0),2,0))</f>
        <v>-1</v>
      </c>
      <c r="BI125" s="35">
        <f>IF($Q$83="x",-1,IF(AND($Q$83=0,INDEX(KonZeile7,3)+INDEX(KonSpalte7,3)+INDEX(KonFeld2,3)=0),3,0))</f>
        <v>-1</v>
      </c>
      <c r="BJ125" s="36">
        <f>IF($R$83="x",-1,IF(AND($R$83=0,INDEX(KonZeile7,1)+INDEX(KonSpalte8,1)+INDEX(KonFeld2,1)=0),1,0))</f>
        <v>-1</v>
      </c>
      <c r="BK125" s="37">
        <f>IF($R$83="x",-1,IF(AND($R$83=0,INDEX(KonZeile7,2)+INDEX(KonSpalte8,2)+INDEX(KonFeld2,2)=0),2,0))</f>
        <v>-1</v>
      </c>
      <c r="BL125" s="35">
        <f>IF($R$83="x",-1,IF(AND($R$83=0,INDEX(KonZeile7,3)+INDEX(KonSpalte8,3)+INDEX(KonFeld2,3)=0),3,0))</f>
        <v>-1</v>
      </c>
      <c r="BM125" s="36">
        <f>IF($S$83="x",-1,IF(AND($S$83=0,INDEX(KonZeile7,1)+INDEX(KonSpalte9,1)+INDEX(KonFeld2,1)=0),1,0))</f>
        <v>-1</v>
      </c>
      <c r="BN125" s="37">
        <f>IF($S$83="x",-1,IF(AND($S$83=0,INDEX(KonZeile7,2)+INDEX(KonSpalte9,2)+INDEX(KonFeld2,2)=0),2,0))</f>
        <v>-1</v>
      </c>
      <c r="BO125" s="109">
        <f>IF($S$83="x",-1,IF(AND($S$83=0,INDEX(KonZeile7,3)+INDEX(KonSpalte9,3)+INDEX(KonFeld2,3)=0),3,0))</f>
        <v>-1</v>
      </c>
      <c r="BP125" s="108">
        <f>IF($T$83="x",-1,IF(AND($T$83=0,INDEX(KonZeile7,1)+INDEX(KonSpalte1,1)+INDEX(KonFeld3,1)=0),1,0))</f>
        <v>-1</v>
      </c>
      <c r="BQ125" s="37">
        <f>IF($T$83="x",-1,IF(AND($T$83=0,INDEX(KonZeile7,2)+INDEX(KonSpalte1,2)+INDEX(KonFeld3,2)=0),2,0))</f>
        <v>-1</v>
      </c>
      <c r="BR125" s="35">
        <f>IF($T$83="x",-1,IF(AND($T$83=0,INDEX(KonZeile7,3)+INDEX(KonSpalte1,3)+INDEX(KonFeld3,3)=0),3,0))</f>
        <v>-1</v>
      </c>
      <c r="BS125" s="36">
        <f>IF($U$83="x",-1,IF(AND($U$83=0,INDEX(KonZeile7,1)+INDEX(KonSpalte2,1)+INDEX(KonFeld3,1)=0),1,0))</f>
        <v>-1</v>
      </c>
      <c r="BT125" s="37">
        <f>IF($U$83="x",-1,IF(AND($U$83=0,INDEX(KonZeile7,2)+INDEX(KonSpalte2,2)+INDEX(KonFeld3,2)=0),2,0))</f>
        <v>-1</v>
      </c>
      <c r="BU125" s="35">
        <f>IF($U$83="x",-1,IF(AND($U$83=0,INDEX(KonZeile7,3)+INDEX(KonSpalte2,3)+INDEX(KonFeld3,3)=0),3,0))</f>
        <v>-1</v>
      </c>
      <c r="BV125" s="36">
        <f>IF($V$83="x",-1,IF(AND($V$83=0,INDEX(KonZeile7,1)+INDEX(KonSpalte3,1)+INDEX(KonFeld3,1)=0),1,0))</f>
        <v>-1</v>
      </c>
      <c r="BW125" s="37">
        <f>IF($V$83="x",-1,IF(AND($V$83=0,INDEX(KonZeile7,2)+INDEX(KonSpalte3,2)+INDEX(KonFeld3,2)=0),2,0))</f>
        <v>-1</v>
      </c>
      <c r="BX125" s="38">
        <f>IF($V$83="x",-1,IF(AND($V$83=0,INDEX(KonZeile7,3)+INDEX(KonSpalte3,3)+INDEX(KonFeld3,3)=0),3,0))</f>
        <v>-1</v>
      </c>
      <c r="BY125" s="34">
        <f>IF($W$83="x",-1,IF(AND($W$83=0,INDEX(KonZeile7,1)+INDEX(KonSpalte4,1)+INDEX(KonFeld3,1)=0),1,0))</f>
        <v>-1</v>
      </c>
      <c r="BZ125" s="37">
        <f>IF($W$83="x",-1,IF(AND($W$83=0,INDEX(KonZeile7,2)+INDEX(KonSpalte4,2)+INDEX(KonFeld3,2)=0),2,0))</f>
        <v>-1</v>
      </c>
      <c r="CA125" s="35">
        <f>IF($W$83="x",-1,IF(AND($W$83=0,INDEX(KonZeile7,3)+INDEX(KonSpalte4,3)+INDEX(KonFeld3,3)=0),3,0))</f>
        <v>-1</v>
      </c>
      <c r="CB125" s="36">
        <f>IF($X$83="x",-1,IF(AND($X$83=0,INDEX(KonZeile7,1)+INDEX(KonSpalte5,1)+INDEX(KonFeld3,1)=0),1,0))</f>
        <v>-1</v>
      </c>
      <c r="CC125" s="37">
        <f>IF($X$83="x",-1,IF(AND($X$83=0,INDEX(KonZeile7,2)+INDEX(KonSpalte5,2)+INDEX(KonFeld3,2)=0),2,0))</f>
        <v>-1</v>
      </c>
      <c r="CD125" s="35">
        <f>IF($X$83="x",-1,IF(AND($X$83=0,INDEX(KonZeile7,3)+INDEX(KonSpalte5,3)+INDEX(KonFeld3,3)=0),3,0))</f>
        <v>-1</v>
      </c>
      <c r="CE125" s="36">
        <f>IF($Y$83="x",-1,IF(AND($Y$83=0,INDEX(KonZeile7,1)+INDEX(KonSpalte6,1)+INDEX(KonFeld3,1)=0),1,0))</f>
        <v>-1</v>
      </c>
      <c r="CF125" s="37">
        <f>IF($Y$83="x",-1,IF(AND($Y$83=0,INDEX(KonZeile7,2)+INDEX(KonSpalte6,2)+INDEX(KonFeld3,2)=0),2,0))</f>
        <v>-1</v>
      </c>
      <c r="CG125" s="38">
        <f>IF($Y$83="x",-1,IF(AND($Y$83=0,INDEX(KonZeile7,3)+INDEX(KonSpalte6,3)+INDEX(KonFeld3,3)=0),3,0))</f>
        <v>-1</v>
      </c>
      <c r="CH125" s="34">
        <f>IF($Z$83="x",-1,IF(AND($Z$83=0,INDEX(KonZeile7,1)+INDEX(KonSpalte7,1)+INDEX(KonFeld3,1)=0),1,0))</f>
        <v>-1</v>
      </c>
      <c r="CI125" s="37">
        <f>IF($Z$83="x",-1,IF(AND($Z$83=0,INDEX(KonZeile7,2)+INDEX(KonSpalte7,2)+INDEX(KonFeld3,2)=0),2,0))</f>
        <v>-1</v>
      </c>
      <c r="CJ125" s="35">
        <f>IF($Z$83="x",-1,IF(AND($Z$83=0,INDEX(KonZeile7,3)+INDEX(KonSpalte7,3)+INDEX(KonFeld3,3)=0),3,0))</f>
        <v>-1</v>
      </c>
      <c r="CK125" s="36">
        <f>IF($AA$83="x",-1,IF(AND($AA$83=0,INDEX(KonZeile7,1)+INDEX(KonSpalte8,1)+INDEX(KonFeld3,1)=0),1,0))</f>
        <v>-1</v>
      </c>
      <c r="CL125" s="37">
        <f>IF($AA$83="x",-1,IF(AND($AA$83=0,INDEX(KonZeile7,2)+INDEX(KonSpalte8,2)+INDEX(KonFeld3,2)=0),2,0))</f>
        <v>-1</v>
      </c>
      <c r="CM125" s="35">
        <f>IF($AA$83="x",-1,IF(AND($AA$83=0,INDEX(KonZeile7,3)+INDEX(KonSpalte8,3)+INDEX(KonFeld3,3)=0),3,0))</f>
        <v>-1</v>
      </c>
      <c r="CN125" s="36">
        <f>IF($AB$83="x",-1,IF(AND($AB$83=0,INDEX(KonZeile7,1)+INDEX(KonSpalte9,1)+INDEX(KonFeld3,1)=0),1,0))</f>
        <v>0</v>
      </c>
      <c r="CO125" s="37">
        <f>IF($AB$83="x",-1,IF(AND($AB$83=0,INDEX(KonZeile7,2)+INDEX(KonSpalte9,2)+INDEX(KonFeld3,2)=0),2,0))</f>
        <v>0</v>
      </c>
      <c r="CP125" s="109">
        <f>IF($AB$83="x",-1,IF(AND($AB$83=0,INDEX(KonZeile7,3)+INDEX(KonSpalte9,3)+INDEX(KonFeld3,3)=0),3,0))</f>
        <v>0</v>
      </c>
      <c r="CR125" s="52">
        <f>COUNTIF(N125:CP125,1)</f>
        <v>0</v>
      </c>
      <c r="CS125" s="50">
        <f>COUNTIF(N125:CP125,2)</f>
        <v>0</v>
      </c>
      <c r="CT125" s="51">
        <f>COUNTIF(N125:CP125,3)</f>
        <v>0</v>
      </c>
      <c r="CU125" s="39"/>
      <c r="CV125" s="39"/>
      <c r="CX125" s="91">
        <f t="shared" si="104"/>
        <v>0</v>
      </c>
      <c r="CY125" s="92">
        <f t="shared" si="105"/>
        <v>0</v>
      </c>
      <c r="CZ125" s="93">
        <f t="shared" si="106"/>
        <v>0</v>
      </c>
      <c r="DE125" s="250">
        <f>IF(N125&gt;=0,10+N125,IF(AO125&gt;=0,20+AO125,IF(BP125&gt;=0,30+BP125,IF(N152&gt;=0,40+N152,IF(AO152&gt;=0,50+AO152,IF(BP152&gt;=0,60+BP152,IF(N179&gt;=0,70+N179,IF(AO179&gt;=0,80+AO179,IF(BP179&gt;=0,90+BP179,"")))))))))</f>
        <v>40</v>
      </c>
      <c r="DF125" s="246">
        <f t="shared" si="135"/>
        <v>40</v>
      </c>
      <c r="DG125" s="247">
        <f t="shared" si="136"/>
        <v>40</v>
      </c>
      <c r="DH125" s="248">
        <f t="shared" si="137"/>
        <v>40</v>
      </c>
      <c r="DI125" s="246">
        <f t="shared" si="138"/>
        <v>40</v>
      </c>
      <c r="DJ125" s="247">
        <f t="shared" si="139"/>
        <v>40</v>
      </c>
      <c r="DK125" s="248">
        <f t="shared" si="140"/>
        <v>40</v>
      </c>
      <c r="DL125" s="246">
        <f t="shared" si="141"/>
        <v>40</v>
      </c>
      <c r="DM125" s="249">
        <f t="shared" si="142"/>
        <v>40</v>
      </c>
      <c r="DN125" s="250">
        <f>IF(W125&gt;=0,10+W125,IF(AX125&gt;=0,20+AX125,IF(BY125&gt;=0,30+BY125,IF(W152&gt;=0,40+W152,IF(AX152&gt;=0,50+AX152,IF(BY152&gt;=0,60+BY152,IF(W179&gt;=0,70+W179,IF(AX179&gt;=0,80+AX179,IF(BY179&gt;=0,90+BY179,"")))))))))</f>
        <v>80</v>
      </c>
      <c r="DO125" s="246">
        <f t="shared" si="144"/>
        <v>80</v>
      </c>
      <c r="DP125" s="247">
        <f t="shared" si="145"/>
        <v>80</v>
      </c>
      <c r="DQ125" s="248">
        <f t="shared" si="146"/>
        <v>80</v>
      </c>
      <c r="DR125" s="246">
        <f t="shared" si="147"/>
        <v>80</v>
      </c>
      <c r="DS125" s="247">
        <f t="shared" si="148"/>
        <v>80</v>
      </c>
      <c r="DT125" s="248">
        <f t="shared" si="149"/>
        <v>70</v>
      </c>
      <c r="DU125" s="246">
        <f t="shared" si="150"/>
        <v>70</v>
      </c>
      <c r="DV125" s="249">
        <f t="shared" si="151"/>
        <v>70</v>
      </c>
      <c r="DW125" s="250">
        <f t="shared" si="152"/>
        <v>60</v>
      </c>
      <c r="DX125" s="246">
        <f t="shared" si="153"/>
        <v>60</v>
      </c>
      <c r="DY125" s="247">
        <f t="shared" si="154"/>
        <v>60</v>
      </c>
      <c r="DZ125" s="248">
        <f t="shared" si="155"/>
        <v>80</v>
      </c>
      <c r="EA125" s="246">
        <f t="shared" si="156"/>
        <v>80</v>
      </c>
      <c r="EB125" s="247">
        <f t="shared" si="157"/>
        <v>80</v>
      </c>
      <c r="EC125" s="248">
        <f t="shared" si="158"/>
        <v>30</v>
      </c>
      <c r="ED125" s="246">
        <f t="shared" si="159"/>
        <v>30</v>
      </c>
      <c r="EE125" s="249">
        <f t="shared" si="160"/>
        <v>30</v>
      </c>
      <c r="EI125" s="530">
        <v>1</v>
      </c>
      <c r="EJ125" s="328"/>
      <c r="EK125" s="329"/>
      <c r="EL125" s="429">
        <v>1</v>
      </c>
      <c r="EM125" s="328"/>
      <c r="EN125" s="329"/>
      <c r="EO125" s="429"/>
      <c r="EP125" s="328"/>
      <c r="EQ125" s="437">
        <v>3</v>
      </c>
      <c r="ER125" s="468"/>
      <c r="ES125" s="386"/>
      <c r="ET125" s="387"/>
      <c r="EU125" s="385"/>
      <c r="EV125" s="386"/>
      <c r="EW125" s="387"/>
      <c r="EX125" s="448"/>
      <c r="EY125" s="436"/>
      <c r="EZ125" s="531"/>
      <c r="FA125" s="444">
        <v>1</v>
      </c>
      <c r="FB125" s="336"/>
      <c r="FC125" s="337"/>
      <c r="FD125" s="385"/>
      <c r="FE125" s="386"/>
      <c r="FF125" s="387"/>
      <c r="FG125" s="333"/>
      <c r="FH125" s="330"/>
      <c r="FI125" s="334"/>
      <c r="FM125" s="530">
        <v>1</v>
      </c>
      <c r="FN125" s="328"/>
      <c r="FO125" s="329"/>
      <c r="FP125" s="429"/>
      <c r="FQ125" s="328"/>
      <c r="FR125" s="329"/>
      <c r="FS125" s="429"/>
      <c r="FT125" s="328"/>
      <c r="FU125" s="437"/>
      <c r="FV125" s="468"/>
      <c r="FW125" s="386"/>
      <c r="FX125" s="387"/>
      <c r="FY125" s="385"/>
      <c r="FZ125" s="386"/>
      <c r="GA125" s="387"/>
      <c r="GB125" s="448"/>
      <c r="GC125" s="436"/>
      <c r="GD125" s="531"/>
      <c r="GE125" s="444"/>
      <c r="GF125" s="336"/>
      <c r="GG125" s="337"/>
      <c r="GH125" s="385"/>
      <c r="GI125" s="386"/>
      <c r="GJ125" s="387"/>
      <c r="GK125" s="333"/>
      <c r="GL125" s="330"/>
      <c r="GM125" s="334"/>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2:235" ht="15" customHeight="1">
      <c r="B126" s="69" t="str">
        <f t="shared" si="84"/>
        <v>x</v>
      </c>
      <c r="C126" s="70" t="str">
        <f t="shared" si="85"/>
        <v>x</v>
      </c>
      <c r="D126" s="70" t="str">
        <f t="shared" si="86"/>
        <v>x</v>
      </c>
      <c r="E126" s="70">
        <f t="shared" si="87"/>
        <v>9</v>
      </c>
      <c r="F126" s="70" t="str">
        <f t="shared" si="88"/>
        <v>x</v>
      </c>
      <c r="G126" s="70" t="str">
        <f t="shared" si="89"/>
        <v>x</v>
      </c>
      <c r="H126" s="70" t="str">
        <f t="shared" si="90"/>
        <v>x</v>
      </c>
      <c r="I126" s="70" t="str">
        <f t="shared" si="91"/>
        <v>x</v>
      </c>
      <c r="J126" s="71" t="str">
        <f t="shared" si="92"/>
        <v>x</v>
      </c>
      <c r="N126" s="94">
        <f>IF($B$83="x",-1,IF(AND($B$83=0,INDEX(KonZeile7,4)+INDEX(KonSpalte1,4)+INDEX(KonFeld1,4)=0),4,0))</f>
        <v>-1</v>
      </c>
      <c r="O126" s="39">
        <f>IF($B$83="x",-1,IF(AND($B$83=0,INDEX(KonZeile7,5)+INDEX(KonSpalte1,5)+INDEX(KonFeld1,5)=0),5,0))</f>
        <v>-1</v>
      </c>
      <c r="P126" s="41">
        <f>IF($B$83="x",-1,IF(AND($B$83=0,INDEX(KonZeile7,6)+INDEX(KonSpalte1,6)+INDEX(KonFeld1,6)=0),6,0))</f>
        <v>-1</v>
      </c>
      <c r="Q126" s="40">
        <f>IF($C$83="x",-1,IF(AND($C$83=0,INDEX(KonZeile7,4)+INDEX(KonSpalte2,4)+INDEX(KonFeld1,4)=0),4,0))</f>
        <v>-1</v>
      </c>
      <c r="R126" s="39">
        <f>IF($C$83="x",-1,IF(AND($C$83=0,INDEX(KonZeile7,5)+INDEX(KonSpalte2,5)+INDEX(KonFeld1,5)=0),5,0))</f>
        <v>-1</v>
      </c>
      <c r="S126" s="41">
        <f>IF($C$83="x",-1,IF(AND($C$83=0,INDEX(KonZeile7,6)+INDEX(KonSpalte2,6)+INDEX(KonFeld1,6)=0),6,0))</f>
        <v>-1</v>
      </c>
      <c r="T126" s="40">
        <f>IF($D$83="x",-1,IF(AND($D$83=0,INDEX(KonZeile7,4)+INDEX(KonSpalte3,4)+INDEX(KonFeld1,4)=0),4,0))</f>
        <v>-1</v>
      </c>
      <c r="U126" s="39">
        <f>IF($D$83="x",-1,IF(AND($D$83=0,INDEX(KonZeile7,5)+INDEX(KonSpalte3,5)+INDEX(KonFeld1,5)=0),5,0))</f>
        <v>-1</v>
      </c>
      <c r="V126" s="42">
        <f>IF($D$83="x",-1,IF(AND($D$83=0,INDEX(KonZeile7,6)+INDEX(KonSpalte3,6)+INDEX(KonFeld1,6)=0),6,0))</f>
        <v>-1</v>
      </c>
      <c r="W126" s="43">
        <f>IF($E$83="x",-1,IF(AND($E$83=0,INDEX(KonZeile7,4)+INDEX(KonSpalte4,4)+INDEX(KonFeld1,4)=0),4,0))</f>
        <v>-1</v>
      </c>
      <c r="X126" s="39">
        <f>IF($E$83="x",-1,IF(AND($E$83=0,INDEX(KonZeile7,5)+INDEX(KonSpalte4,5)+INDEX(KonFeld1,5)=0),5,0))</f>
        <v>-1</v>
      </c>
      <c r="Y126" s="41">
        <f>IF($E$83="x",-1,IF(AND($E$83=0,INDEX(KonZeile7,6)+INDEX(KonSpalte4,6)+INDEX(KonFeld1,6)=0),6,0))</f>
        <v>-1</v>
      </c>
      <c r="Z126" s="40">
        <f>IF($F$83="x",-1,IF(AND($F$83=0,INDEX(KonZeile7,4)+INDEX(KonSpalte5,4)+INDEX(KonFeld1,4)=0),4,0))</f>
        <v>-1</v>
      </c>
      <c r="AA126" s="39">
        <f>IF($F$83="x",-1,IF(AND($F$83=0,INDEX(KonZeile7,5)+INDEX(KonSpalte5,5)+INDEX(KonFeld1,5)=0),5,0))</f>
        <v>-1</v>
      </c>
      <c r="AB126" s="41">
        <f>IF($F$83="x",-1,IF(AND($F$83=0,INDEX(KonZeile7,6)+INDEX(KonSpalte5,6)+INDEX(KonFeld1,6)=0),6,0))</f>
        <v>-1</v>
      </c>
      <c r="AC126" s="40">
        <f>IF($G$83="x",-1,IF(AND($G$83=0,INDEX(KonZeile7,4)+INDEX(KonSpalte6,4)+INDEX(KonFeld1,4)=0),4,0))</f>
        <v>-1</v>
      </c>
      <c r="AD126" s="39">
        <f>IF($G$83="x",-1,IF(AND($G$83=0,INDEX(KonZeile7,5)+INDEX(KonSpalte6,5)+INDEX(KonFeld1,5)=0),5,0))</f>
        <v>-1</v>
      </c>
      <c r="AE126" s="42">
        <f>IF($G$83="x",-1,IF(AND($G$83=0,INDEX(KonZeile7,6)+INDEX(KonSpalte6,6)+INDEX(KonFeld1,6)=0),6,0))</f>
        <v>-1</v>
      </c>
      <c r="AF126" s="43">
        <f>IF($H$83="x",-1,IF(AND($H$83=0,INDEX(KonZeile7,4)+INDEX(KonSpalte7,4)+INDEX(KonFeld1,4)=0),4,0))</f>
        <v>-1</v>
      </c>
      <c r="AG126" s="39">
        <f>IF($H$83="x",-1,IF(AND($H$83=0,INDEX(KonZeile7,5)+INDEX(KonSpalte7,5)+INDEX(KonFeld1,5)=0),5,0))</f>
        <v>-1</v>
      </c>
      <c r="AH126" s="41">
        <f>IF($H$83="x",-1,IF(AND($H$83=0,INDEX(KonZeile7,6)+INDEX(KonSpalte7,6)+INDEX(KonFeld1,6)=0),6,0))</f>
        <v>-1</v>
      </c>
      <c r="AI126" s="40">
        <f>IF($I$83="x",-1,IF(AND($I$83=0,INDEX(KonZeile7,4)+INDEX(KonSpalte8,4)+INDEX(KonFeld1,4)=0),4,0))</f>
        <v>-1</v>
      </c>
      <c r="AJ126" s="39">
        <f>IF($I$83="x",-1,IF(AND($I$83=0,INDEX(KonZeile7,5)+INDEX(KonSpalte8,5)+INDEX(KonFeld1,5)=0),5,0))</f>
        <v>-1</v>
      </c>
      <c r="AK126" s="41">
        <f>IF($I$83="x",-1,IF(AND($I$83=0,INDEX(KonZeile7,6)+INDEX(KonSpalte8,6)+INDEX(KonFeld1,6)=0),6,0))</f>
        <v>-1</v>
      </c>
      <c r="AL126" s="40">
        <f>IF($J$83="x",-1,IF(AND($J$83=0,INDEX(KonZeile7,4)+INDEX(KonSpalte9,4)+INDEX(KonFeld1,4)=0),4,0))</f>
        <v>-1</v>
      </c>
      <c r="AM126" s="39">
        <f>IF($J$83="x",-1,IF(AND($J$83=0,INDEX(KonZeile7,5)+INDEX(KonSpalte9,5)+INDEX(KonFeld1,5)=0),5,0))</f>
        <v>-1</v>
      </c>
      <c r="AN126" s="95">
        <f>IF($J$83="x",-1,IF(AND($J$83=0,INDEX(KonZeile7,6)+INDEX(KonSpalte9,6)+INDEX(KonFeld1,6)=0),6,0))</f>
        <v>-1</v>
      </c>
      <c r="AO126" s="94">
        <f>IF($K$83="x",-1,IF(AND($K$83=0,INDEX(KonZeile7,4)+INDEX(KonSpalte1,4)+INDEX(KonFeld2,4)=0),4,0))</f>
        <v>-1</v>
      </c>
      <c r="AP126" s="39">
        <f>IF($K$83="x",-1,IF(AND($K$83=0,INDEX(KonZeile7,5)+INDEX(KonSpalte1,5)+INDEX(KonFeld2,5)=0),5,0))</f>
        <v>-1</v>
      </c>
      <c r="AQ126" s="41">
        <f>IF($K$83="x",-1,IF(AND($K$83=0,INDEX(KonZeile7,6)+INDEX(KonSpalte1,6)+INDEX(KonFeld2,6)=0),6,0))</f>
        <v>-1</v>
      </c>
      <c r="AR126" s="40">
        <f>IF($L$83="x",-1,IF(AND($L$83=0,INDEX(KonZeile7,4)+INDEX(KonSpalte2,4)+INDEX(KonFeld2,4)=0),4,0))</f>
        <v>-1</v>
      </c>
      <c r="AS126" s="39">
        <f>IF($L$83="x",-1,IF(AND($L$83=0,INDEX(KonZeile7,5)+INDEX(KonSpalte2,5)+INDEX(KonFeld2,5)=0),5,0))</f>
        <v>-1</v>
      </c>
      <c r="AT126" s="41">
        <f>IF($L$83="x",-1,IF(AND($L$83=0,INDEX(KonZeile7,6)+INDEX(KonSpalte2,6)+INDEX(KonFeld2,6)=0),6,0))</f>
        <v>-1</v>
      </c>
      <c r="AU126" s="40">
        <f>IF($M$83="x",-1,IF(AND($M$83=0,INDEX(KonZeile7,4)+INDEX(KonSpalte3,4)+INDEX(KonFeld2,4)=0),4,0))</f>
        <v>-1</v>
      </c>
      <c r="AV126" s="39">
        <f>IF($M$83="x",-1,IF(AND($M$83=0,INDEX(KonZeile7,5)+INDEX(KonSpalte3,5)+INDEX(KonFeld2,5)=0),5,0))</f>
        <v>-1</v>
      </c>
      <c r="AW126" s="42">
        <f>IF($M$83="x",-1,IF(AND($M$83=0,INDEX(KonZeile7,6)+INDEX(KonSpalte3,6)+INDEX(KonFeld2,6)=0),6,0))</f>
        <v>-1</v>
      </c>
      <c r="AX126" s="43">
        <f>IF($N$83="x",-1,IF(AND($N$83=0,INDEX(KonZeile7,4)+INDEX(KonSpalte4,4)+INDEX(KonFeld2,4)=0),4,0))</f>
        <v>-1</v>
      </c>
      <c r="AY126" s="39">
        <f>IF($N$83="x",-1,IF(AND($N$83=0,INDEX(KonZeile7,5)+INDEX(KonSpalte4,5)+INDEX(KonFeld2,5)=0),5,0))</f>
        <v>-1</v>
      </c>
      <c r="AZ126" s="41">
        <f>IF($N$83="x",-1,IF(AND($N$83=0,INDEX(KonZeile7,6)+INDEX(KonSpalte4,6)+INDEX(KonFeld2,6)=0),6,0))</f>
        <v>-1</v>
      </c>
      <c r="BA126" s="40">
        <f>IF($O$83="x",-1,IF(AND($O$83=0,INDEX(KonZeile7,4)+INDEX(KonSpalte5,4)+INDEX(KonFeld2,4)=0),4,0))</f>
        <v>-1</v>
      </c>
      <c r="BB126" s="39">
        <f>IF($O$83="x",-1,IF(AND($O$83=0,INDEX(KonZeile7,5)+INDEX(KonSpalte5,5)+INDEX(KonFeld2,5)=0),5,0))</f>
        <v>-1</v>
      </c>
      <c r="BC126" s="41">
        <f>IF($O$83="x",-1,IF(AND($O$83=0,INDEX(KonZeile7,6)+INDEX(KonSpalte5,6)+INDEX(KonFeld2,6)=0),6,0))</f>
        <v>-1</v>
      </c>
      <c r="BD126" s="40">
        <f>IF($P$83="x",-1,IF(AND($P$83=0,INDEX(KonZeile7,4)+INDEX(KonSpalte6,4)+INDEX(KonFeld2,4)=0),4,0))</f>
        <v>-1</v>
      </c>
      <c r="BE126" s="39">
        <f>IF($P$83="x",-1,IF(AND($P$83=0,INDEX(KonZeile7,5)+INDEX(KonSpalte6,5)+INDEX(KonFeld2,5)=0),5,0))</f>
        <v>-1</v>
      </c>
      <c r="BF126" s="42">
        <f>IF($P$83="x",-1,IF(AND($P$83=0,INDEX(KonZeile7,6)+INDEX(KonSpalte6,6)+INDEX(KonFeld2,6)=0),6,0))</f>
        <v>-1</v>
      </c>
      <c r="BG126" s="43">
        <f>IF($Q$83="x",-1,IF(AND($Q$83=0,INDEX(KonZeile7,4)+INDEX(KonSpalte7,4)+INDEX(KonFeld2,4)=0),4,0))</f>
        <v>-1</v>
      </c>
      <c r="BH126" s="39">
        <f>IF($Q$83="x",-1,IF(AND($Q$83=0,INDEX(KonZeile7,5)+INDEX(KonSpalte7,5)+INDEX(KonFeld2,5)=0),5,0))</f>
        <v>-1</v>
      </c>
      <c r="BI126" s="41">
        <f>IF($Q$83="x",-1,IF(AND($Q$83=0,INDEX(KonZeile7,6)+INDEX(KonSpalte7,6)+INDEX(KonFeld2,6)=0),6,0))</f>
        <v>-1</v>
      </c>
      <c r="BJ126" s="40">
        <f>IF($R$83="x",-1,IF(AND($R$83=0,INDEX(KonZeile7,4)+INDEX(KonSpalte8,4)+INDEX(KonFeld2,4)=0),4,0))</f>
        <v>-1</v>
      </c>
      <c r="BK126" s="39">
        <f>IF($R$83="x",-1,IF(AND($R$83=0,INDEX(KonZeile7,5)+INDEX(KonSpalte8,5)+INDEX(KonFeld2,5)=0),5,0))</f>
        <v>-1</v>
      </c>
      <c r="BL126" s="41">
        <f>IF($R$83="x",-1,IF(AND($R$83=0,INDEX(KonZeile7,6)+INDEX(KonSpalte8,6)+INDEX(KonFeld2,6)=0),6,0))</f>
        <v>-1</v>
      </c>
      <c r="BM126" s="40">
        <f>IF($S$83="x",-1,IF(AND($S$83=0,INDEX(KonZeile7,4)+INDEX(KonSpalte9,4)+INDEX(KonFeld2,4)=0),4,0))</f>
        <v>-1</v>
      </c>
      <c r="BN126" s="39">
        <f>IF($S$83="x",-1,IF(AND($S$83=0,INDEX(KonZeile7,5)+INDEX(KonSpalte9,5)+INDEX(KonFeld2,5)=0),5,0))</f>
        <v>-1</v>
      </c>
      <c r="BO126" s="95">
        <f>IF($S$83="x",-1,IF(AND($S$83=0,INDEX(KonZeile7,6)+INDEX(KonSpalte9,6)+INDEX(KonFeld2,6)=0),6,0))</f>
        <v>-1</v>
      </c>
      <c r="BP126" s="94">
        <f>IF($T$83="x",-1,IF(AND($T$83=0,INDEX(KonZeile7,4)+INDEX(KonSpalte1,4)+INDEX(KonFeld3,4)=0),4,0))</f>
        <v>-1</v>
      </c>
      <c r="BQ126" s="39">
        <f>IF($T$83="x",-1,IF(AND($T$83=0,INDEX(KonZeile7,5)+INDEX(KonSpalte1,5)+INDEX(KonFeld3,5)=0),5,0))</f>
        <v>-1</v>
      </c>
      <c r="BR126" s="41">
        <f>IF($T$83="x",-1,IF(AND($T$83=0,INDEX(KonZeile7,6)+INDEX(KonSpalte1,6)+INDEX(KonFeld3,6)=0),6,0))</f>
        <v>-1</v>
      </c>
      <c r="BS126" s="40">
        <f>IF($U$83="x",-1,IF(AND($U$83=0,INDEX(KonZeile7,4)+INDEX(KonSpalte2,4)+INDEX(KonFeld3,4)=0),4,0))</f>
        <v>-1</v>
      </c>
      <c r="BT126" s="39">
        <f>IF($U$83="x",-1,IF(AND($U$83=0,INDEX(KonZeile7,5)+INDEX(KonSpalte2,5)+INDEX(KonFeld3,5)=0),5,0))</f>
        <v>-1</v>
      </c>
      <c r="BU126" s="41">
        <f>IF($U$83="x",-1,IF(AND($U$83=0,INDEX(KonZeile7,6)+INDEX(KonSpalte2,6)+INDEX(KonFeld3,6)=0),6,0))</f>
        <v>-1</v>
      </c>
      <c r="BV126" s="40">
        <f>IF($V$83="x",-1,IF(AND($V$83=0,INDEX(KonZeile7,4)+INDEX(KonSpalte3,4)+INDEX(KonFeld3,4)=0),4,0))</f>
        <v>-1</v>
      </c>
      <c r="BW126" s="39">
        <f>IF($V$83="x",-1,IF(AND($V$83=0,INDEX(KonZeile7,5)+INDEX(KonSpalte3,5)+INDEX(KonFeld3,5)=0),5,0))</f>
        <v>-1</v>
      </c>
      <c r="BX126" s="42">
        <f>IF($V$83="x",-1,IF(AND($V$83=0,INDEX(KonZeile7,6)+INDEX(KonSpalte3,6)+INDEX(KonFeld3,6)=0),6,0))</f>
        <v>-1</v>
      </c>
      <c r="BY126" s="43">
        <f>IF($W$83="x",-1,IF(AND($W$83=0,INDEX(KonZeile7,4)+INDEX(KonSpalte4,4)+INDEX(KonFeld3,4)=0),4,0))</f>
        <v>-1</v>
      </c>
      <c r="BZ126" s="39">
        <f>IF($W$83="x",-1,IF(AND($W$83=0,INDEX(KonZeile7,5)+INDEX(KonSpalte4,5)+INDEX(KonFeld3,5)=0),5,0))</f>
        <v>-1</v>
      </c>
      <c r="CA126" s="41">
        <f>IF($W$83="x",-1,IF(AND($W$83=0,INDEX(KonZeile7,6)+INDEX(KonSpalte4,6)+INDEX(KonFeld3,6)=0),6,0))</f>
        <v>-1</v>
      </c>
      <c r="CB126" s="40">
        <f>IF($X$83="x",-1,IF(AND($X$83=0,INDEX(KonZeile7,4)+INDEX(KonSpalte5,4)+INDEX(KonFeld3,4)=0),4,0))</f>
        <v>-1</v>
      </c>
      <c r="CC126" s="39">
        <f>IF($X$83="x",-1,IF(AND($X$83=0,INDEX(KonZeile7,5)+INDEX(KonSpalte5,5)+INDEX(KonFeld3,5)=0),5,0))</f>
        <v>-1</v>
      </c>
      <c r="CD126" s="41">
        <f>IF($X$83="x",-1,IF(AND($X$83=0,INDEX(KonZeile7,6)+INDEX(KonSpalte5,6)+INDEX(KonFeld3,6)=0),6,0))</f>
        <v>-1</v>
      </c>
      <c r="CE126" s="40">
        <f>IF($Y$83="x",-1,IF(AND($Y$83=0,INDEX(KonZeile7,4)+INDEX(KonSpalte6,4)+INDEX(KonFeld3,4)=0),4,0))</f>
        <v>-1</v>
      </c>
      <c r="CF126" s="39">
        <f>IF($Y$83="x",-1,IF(AND($Y$83=0,INDEX(KonZeile7,5)+INDEX(KonSpalte6,5)+INDEX(KonFeld3,5)=0),5,0))</f>
        <v>-1</v>
      </c>
      <c r="CG126" s="42">
        <f>IF($Y$83="x",-1,IF(AND($Y$83=0,INDEX(KonZeile7,6)+INDEX(KonSpalte6,6)+INDEX(KonFeld3,6)=0),6,0))</f>
        <v>-1</v>
      </c>
      <c r="CH126" s="43">
        <f>IF($Z$83="x",-1,IF(AND($Z$83=0,INDEX(KonZeile7,4)+INDEX(KonSpalte7,4)+INDEX(KonFeld3,4)=0),4,0))</f>
        <v>-1</v>
      </c>
      <c r="CI126" s="39">
        <f>IF($Z$83="x",-1,IF(AND($Z$83=0,INDEX(KonZeile7,5)+INDEX(KonSpalte7,5)+INDEX(KonFeld3,5)=0),5,0))</f>
        <v>-1</v>
      </c>
      <c r="CJ126" s="41">
        <f>IF($Z$83="x",-1,IF(AND($Z$83=0,INDEX(KonZeile7,6)+INDEX(KonSpalte7,6)+INDEX(KonFeld3,6)=0),6,0))</f>
        <v>-1</v>
      </c>
      <c r="CK126" s="40">
        <f>IF($AA$83="x",-1,IF(AND($AA$83=0,INDEX(KonZeile7,4)+INDEX(KonSpalte8,4)+INDEX(KonFeld3,4)=0),4,0))</f>
        <v>-1</v>
      </c>
      <c r="CL126" s="39">
        <f>IF($AA$83="x",-1,IF(AND($AA$83=0,INDEX(KonZeile7,5)+INDEX(KonSpalte8,5)+INDEX(KonFeld3,5)=0),5,0))</f>
        <v>-1</v>
      </c>
      <c r="CM126" s="41">
        <f>IF($AA$83="x",-1,IF(AND($AA$83=0,INDEX(KonZeile7,6)+INDEX(KonSpalte8,6)+INDEX(KonFeld3,6)=0),6,0))</f>
        <v>-1</v>
      </c>
      <c r="CN126" s="40">
        <f>IF($AB$83="x",-1,IF(AND($AB$83=0,INDEX(KonZeile7,4)+INDEX(KonSpalte9,4)+INDEX(KonFeld3,4)=0),4,0))</f>
        <v>0</v>
      </c>
      <c r="CO126" s="39">
        <f>IF($AB$83="x",-1,IF(AND($AB$83=0,INDEX(KonZeile7,5)+INDEX(KonSpalte9,5)+INDEX(KonFeld3,5)=0),5,0))</f>
        <v>0</v>
      </c>
      <c r="CP126" s="95">
        <f>IF($AB$83="x",-1,IF(AND($AB$83=0,INDEX(KonZeile7,6)+INDEX(KonSpalte9,6)+INDEX(KonFeld3,6)=0),6,0))</f>
        <v>0</v>
      </c>
      <c r="CR126" s="40">
        <f>COUNTIF(N126:CP126,4)</f>
        <v>0</v>
      </c>
      <c r="CS126" s="39">
        <f>COUNTIF(N126:CP126,5)</f>
        <v>0</v>
      </c>
      <c r="CT126" s="41">
        <f>COUNTIF(N126:CP126,6)</f>
        <v>0</v>
      </c>
      <c r="CU126" s="39"/>
      <c r="CV126" s="39"/>
      <c r="CX126" s="96">
        <f t="shared" si="104"/>
        <v>0</v>
      </c>
      <c r="CY126" s="97">
        <f t="shared" si="105"/>
        <v>0</v>
      </c>
      <c r="CZ126" s="98">
        <f t="shared" si="106"/>
        <v>0</v>
      </c>
      <c r="DE126" s="226">
        <f t="shared" ref="DE126:DE127" si="169">IF(N126&gt;=0,10+N126,IF(AO126&gt;=0,20+AO126,IF(BP126&gt;=0,30+BP126,IF(N153&gt;=0,40+N153,IF(AO153&gt;=0,50+AO153,IF(BP153&gt;=0,60+BP153,IF(N180&gt;=0,70+N180,IF(AO180&gt;=0,80+AO180,IF(BP180&gt;=0,90+BP180,"")))))))))</f>
        <v>40</v>
      </c>
      <c r="DF126" s="227">
        <f t="shared" si="135"/>
        <v>40</v>
      </c>
      <c r="DG126" s="228">
        <f t="shared" si="136"/>
        <v>40</v>
      </c>
      <c r="DH126" s="229">
        <f t="shared" si="137"/>
        <v>40</v>
      </c>
      <c r="DI126" s="227">
        <f t="shared" si="138"/>
        <v>40</v>
      </c>
      <c r="DJ126" s="228">
        <f t="shared" si="139"/>
        <v>40</v>
      </c>
      <c r="DK126" s="229">
        <f t="shared" si="140"/>
        <v>40</v>
      </c>
      <c r="DL126" s="227">
        <f t="shared" si="141"/>
        <v>40</v>
      </c>
      <c r="DM126" s="230">
        <f t="shared" si="142"/>
        <v>40</v>
      </c>
      <c r="DN126" s="226">
        <f t="shared" ref="DN126:DN127" si="170">IF(W126&gt;=0,10+W126,IF(AX126&gt;=0,20+AX126,IF(BY126&gt;=0,30+BY126,IF(W153&gt;=0,40+W153,IF(AX153&gt;=0,50+AX153,IF(BY153&gt;=0,60+BY153,IF(W180&gt;=0,70+W180,IF(AX180&gt;=0,80+AX180,IF(BY180&gt;=0,90+BY180,"")))))))))</f>
        <v>80</v>
      </c>
      <c r="DO126" s="227">
        <f t="shared" si="144"/>
        <v>80</v>
      </c>
      <c r="DP126" s="228">
        <f t="shared" si="145"/>
        <v>80</v>
      </c>
      <c r="DQ126" s="229">
        <f t="shared" si="146"/>
        <v>80</v>
      </c>
      <c r="DR126" s="227">
        <f t="shared" si="147"/>
        <v>80</v>
      </c>
      <c r="DS126" s="228">
        <f t="shared" si="148"/>
        <v>80</v>
      </c>
      <c r="DT126" s="229">
        <f t="shared" si="149"/>
        <v>70</v>
      </c>
      <c r="DU126" s="227">
        <f t="shared" si="150"/>
        <v>70</v>
      </c>
      <c r="DV126" s="230">
        <f t="shared" si="151"/>
        <v>70</v>
      </c>
      <c r="DW126" s="226">
        <f t="shared" si="152"/>
        <v>60</v>
      </c>
      <c r="DX126" s="227">
        <f t="shared" si="153"/>
        <v>60</v>
      </c>
      <c r="DY126" s="228">
        <f t="shared" si="154"/>
        <v>60</v>
      </c>
      <c r="DZ126" s="229">
        <f t="shared" si="155"/>
        <v>80</v>
      </c>
      <c r="EA126" s="227">
        <f t="shared" si="156"/>
        <v>80</v>
      </c>
      <c r="EB126" s="228">
        <f t="shared" si="157"/>
        <v>80</v>
      </c>
      <c r="EC126" s="229">
        <f t="shared" si="158"/>
        <v>30</v>
      </c>
      <c r="ED126" s="227">
        <f t="shared" si="159"/>
        <v>30</v>
      </c>
      <c r="EE126" s="230">
        <f t="shared" si="160"/>
        <v>30</v>
      </c>
      <c r="EI126" s="300">
        <v>4</v>
      </c>
      <c r="EJ126" s="282"/>
      <c r="EK126" s="283"/>
      <c r="EL126" s="281">
        <v>4</v>
      </c>
      <c r="EM126" s="282"/>
      <c r="EN126" s="283"/>
      <c r="EO126" s="281"/>
      <c r="EP126" s="282"/>
      <c r="EQ126" s="357"/>
      <c r="ER126" s="371"/>
      <c r="ES126" s="369"/>
      <c r="ET126" s="372"/>
      <c r="EU126" s="368"/>
      <c r="EV126" s="369"/>
      <c r="EW126" s="372"/>
      <c r="EX126" s="354"/>
      <c r="EY126" s="355"/>
      <c r="EZ126" s="450"/>
      <c r="FA126" s="445"/>
      <c r="FB126" s="339"/>
      <c r="FC126" s="340"/>
      <c r="FD126" s="368"/>
      <c r="FE126" s="369"/>
      <c r="FF126" s="372"/>
      <c r="FG126" s="319"/>
      <c r="FH126" s="317"/>
      <c r="FI126" s="320"/>
      <c r="FM126" s="300">
        <v>4</v>
      </c>
      <c r="FN126" s="282"/>
      <c r="FO126" s="283"/>
      <c r="FP126" s="281"/>
      <c r="FQ126" s="282"/>
      <c r="FR126" s="283"/>
      <c r="FS126" s="281"/>
      <c r="FT126" s="282"/>
      <c r="FU126" s="357"/>
      <c r="FV126" s="371"/>
      <c r="FW126" s="369"/>
      <c r="FX126" s="372"/>
      <c r="FY126" s="368"/>
      <c r="FZ126" s="369"/>
      <c r="GA126" s="372"/>
      <c r="GB126" s="354"/>
      <c r="GC126" s="355"/>
      <c r="GD126" s="450"/>
      <c r="GE126" s="445"/>
      <c r="GF126" s="339"/>
      <c r="GG126" s="340"/>
      <c r="GH126" s="368"/>
      <c r="GI126" s="369"/>
      <c r="GJ126" s="372"/>
      <c r="GK126" s="319"/>
      <c r="GL126" s="317"/>
      <c r="GM126" s="320"/>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2:235" ht="15" customHeight="1" thickBot="1">
      <c r="B127" s="69" t="str">
        <f t="shared" si="84"/>
        <v>x</v>
      </c>
      <c r="C127" s="70" t="str">
        <f t="shared" si="85"/>
        <v>x</v>
      </c>
      <c r="D127" s="70" t="str">
        <f t="shared" si="86"/>
        <v>x</v>
      </c>
      <c r="E127" s="70" t="str">
        <f t="shared" si="87"/>
        <v>x</v>
      </c>
      <c r="F127" s="70">
        <f t="shared" si="88"/>
        <v>4</v>
      </c>
      <c r="G127" s="70">
        <f t="shared" si="89"/>
        <v>8</v>
      </c>
      <c r="H127" s="70">
        <f t="shared" si="90"/>
        <v>3</v>
      </c>
      <c r="I127" s="70" t="str">
        <f t="shared" si="91"/>
        <v>x</v>
      </c>
      <c r="J127" s="71" t="str">
        <f t="shared" si="92"/>
        <v>x</v>
      </c>
      <c r="N127" s="99">
        <f>IF($B$83="x",-1,IF(AND($B$83=0,INDEX(KonZeile7,7)+INDEX(KonSpalte1,7)+INDEX(KonFeld1,7)=0),7,0))</f>
        <v>-1</v>
      </c>
      <c r="O127" s="45">
        <f>IF($B$83="x",-1,IF(AND($B$83=0,INDEX(KonZeile7,8)+INDEX(KonSpalte1,8)+INDEX(KonFeld1,8)=0),8,0))</f>
        <v>-1</v>
      </c>
      <c r="P127" s="47">
        <f>IF($B$83="x",-1,IF(AND($B$83=0,INDEX(KonZeile7,9)+INDEX(KonSpalte1,9)+INDEX(KonFeld1,9)=0),9,0))</f>
        <v>-1</v>
      </c>
      <c r="Q127" s="46">
        <f>IF($C$83="x",-1,IF(AND($C$83=0,INDEX(KonZeile7,7)+INDEX(KonSpalte2,7)+INDEX(KonFeld1,7)=0),7,0))</f>
        <v>-1</v>
      </c>
      <c r="R127" s="45">
        <f>IF($C$83="x",-1,IF(AND($C$83=0,INDEX(KonZeile7,8)+INDEX(KonSpalte2,8)+INDEX(KonFeld1,8)=0),8,0))</f>
        <v>-1</v>
      </c>
      <c r="S127" s="47">
        <f>IF($C$83="x",-1,IF(AND($C$83=0,INDEX(KonZeile7,9)+INDEX(KonSpalte2,9)+INDEX(KonFeld1,9)=0),9,0))</f>
        <v>-1</v>
      </c>
      <c r="T127" s="46">
        <f>IF($D$83="x",-1,IF(AND($D$83=0,INDEX(KonZeile7,7)+INDEX(KonSpalte3,7)+INDEX(KonFeld1,7)=0),7,0))</f>
        <v>-1</v>
      </c>
      <c r="U127" s="45">
        <f>IF($D$83="x",-1,IF(AND($D$83=0,INDEX(KonZeile7,8)+INDEX(KonSpalte3,8)+INDEX(KonFeld1,8)=0),8,0))</f>
        <v>-1</v>
      </c>
      <c r="V127" s="48">
        <f>IF($D$83="x",-1,IF(AND($D$83=0,INDEX(KonZeile7,9)+INDEX(KonSpalte3,9)+INDEX(KonFeld1,9)=0),9,0))</f>
        <v>-1</v>
      </c>
      <c r="W127" s="44">
        <f>IF($E$83="x",-1,IF(AND($E$83=0,INDEX(KonZeile7,7)+INDEX(KonSpalte4,7)+INDEX(KonFeld1,7)=0),7,0))</f>
        <v>-1</v>
      </c>
      <c r="X127" s="45">
        <f>IF($E$83="x",-1,IF(AND($E$83=0,INDEX(KonZeile7,8)+INDEX(KonSpalte4,8)+INDEX(KonFeld1,8)=0),8,0))</f>
        <v>-1</v>
      </c>
      <c r="Y127" s="47">
        <f>IF($E$83="x",-1,IF(AND($E$83=0,INDEX(KonZeile7,9)+INDEX(KonSpalte4,9)+INDEX(KonFeld1,9)=0),9,0))</f>
        <v>-1</v>
      </c>
      <c r="Z127" s="46">
        <f>IF($F$83="x",-1,IF(AND($F$83=0,INDEX(KonZeile7,7)+INDEX(KonSpalte5,7)+INDEX(KonFeld1,7)=0),7,0))</f>
        <v>-1</v>
      </c>
      <c r="AA127" s="45">
        <f>IF($F$83="x",-1,IF(AND($F$83=0,INDEX(KonZeile7,8)+INDEX(KonSpalte5,8)+INDEX(KonFeld1,8)=0),8,0))</f>
        <v>-1</v>
      </c>
      <c r="AB127" s="47">
        <f>IF($F$83="x",-1,IF(AND($F$83=0,INDEX(KonZeile7,9)+INDEX(KonSpalte5,9)+INDEX(KonFeld1,9)=0),9,0))</f>
        <v>-1</v>
      </c>
      <c r="AC127" s="46">
        <f>IF($G$83="x",-1,IF(AND($G$83=0,INDEX(KonZeile7,7)+INDEX(KonSpalte6,7)+INDEX(KonFeld1,7)=0),7,0))</f>
        <v>-1</v>
      </c>
      <c r="AD127" s="45">
        <f>IF($G$83="x",-1,IF(AND($G$83=0,INDEX(KonZeile7,8)+INDEX(KonSpalte6,8)+INDEX(KonFeld1,8)=0),8,0))</f>
        <v>-1</v>
      </c>
      <c r="AE127" s="48">
        <f>IF($G$83="x",-1,IF(AND($G$83=0,INDEX(KonZeile7,9)+INDEX(KonSpalte6,9)+INDEX(KonFeld1,9)=0),9,0))</f>
        <v>-1</v>
      </c>
      <c r="AF127" s="44">
        <f>IF($H$83="x",-1,IF(AND($H$83=0,INDEX(KonZeile7,7)+INDEX(KonSpalte7,7)+INDEX(KonFeld1,7)=0),7,0))</f>
        <v>-1</v>
      </c>
      <c r="AG127" s="45">
        <f>IF($H$83="x",-1,IF(AND($H$83=0,INDEX(KonZeile7,8)+INDEX(KonSpalte7,8)+INDEX(KonFeld1,8)=0),8,0))</f>
        <v>-1</v>
      </c>
      <c r="AH127" s="47">
        <f>IF($H$83="x",-1,IF(AND($H$83=0,INDEX(KonZeile7,9)+INDEX(KonSpalte7,9)+INDEX(KonFeld1,9)=0),9,0))</f>
        <v>-1</v>
      </c>
      <c r="AI127" s="46">
        <f>IF($I$83="x",-1,IF(AND($I$83=0,INDEX(KonZeile7,7)+INDEX(KonSpalte8,7)+INDEX(KonFeld1,7)=0),7,0))</f>
        <v>-1</v>
      </c>
      <c r="AJ127" s="45">
        <f>IF($I$83="x",-1,IF(AND($I$83=0,INDEX(KonZeile7,8)+INDEX(KonSpalte8,8)+INDEX(KonFeld1,8)=0),8,0))</f>
        <v>-1</v>
      </c>
      <c r="AK127" s="47">
        <f>IF($I$83="x",-1,IF(AND($I$83=0,INDEX(KonZeile7,9)+INDEX(KonSpalte8,9)+INDEX(KonFeld1,9)=0),9,0))</f>
        <v>-1</v>
      </c>
      <c r="AL127" s="46">
        <f>IF($J$83="x",-1,IF(AND($J$83=0,INDEX(KonZeile7,7)+INDEX(KonSpalte9,7)+INDEX(KonFeld1,7)=0),7,0))</f>
        <v>-1</v>
      </c>
      <c r="AM127" s="45">
        <f>IF($J$83="x",-1,IF(AND($J$83=0,INDEX(KonZeile7,8)+INDEX(KonSpalte9,8)+INDEX(KonFeld1,8)=0),8,0))</f>
        <v>-1</v>
      </c>
      <c r="AN127" s="100">
        <f>IF($J$83="x",-1,IF(AND($J$83=0,INDEX(KonZeile7,9)+INDEX(KonSpalte9,9)+INDEX(KonFeld1,9)=0),9,0))</f>
        <v>-1</v>
      </c>
      <c r="AO127" s="99">
        <f>IF($K$83="x",-1,IF(AND($K$83=0,INDEX(KonZeile7,7)+INDEX(KonSpalte1,7)+INDEX(KonFeld2,7)=0),7,0))</f>
        <v>-1</v>
      </c>
      <c r="AP127" s="45">
        <f>IF($K$83="x",-1,IF(AND($K$83=0,INDEX(KonZeile7,8)+INDEX(KonSpalte1,8)+INDEX(KonFeld2,8)=0),8,0))</f>
        <v>-1</v>
      </c>
      <c r="AQ127" s="47">
        <f>IF($K$83="x",-1,IF(AND($K$83=0,INDEX(KonZeile7,9)+INDEX(KonSpalte1,9)+INDEX(KonFeld2,9)=0),9,0))</f>
        <v>-1</v>
      </c>
      <c r="AR127" s="46">
        <f>IF($L$83="x",-1,IF(AND($L$83=0,INDEX(KonZeile7,7)+INDEX(KonSpalte2,7)+INDEX(KonFeld2,7)=0),7,0))</f>
        <v>-1</v>
      </c>
      <c r="AS127" s="45">
        <f>IF($L$83="x",-1,IF(AND($L$83=0,INDEX(KonZeile7,8)+INDEX(KonSpalte2,8)+INDEX(KonFeld2,8)=0),8,0))</f>
        <v>-1</v>
      </c>
      <c r="AT127" s="47">
        <f>IF($L$83="x",-1,IF(AND($L$83=0,INDEX(KonZeile7,9)+INDEX(KonSpalte2,9)+INDEX(KonFeld2,9)=0),9,0))</f>
        <v>-1</v>
      </c>
      <c r="AU127" s="46">
        <f>IF($M$83="x",-1,IF(AND($M$83=0,INDEX(KonZeile7,7)+INDEX(KonSpalte3,7)+INDEX(KonFeld2,7)=0),7,0))</f>
        <v>-1</v>
      </c>
      <c r="AV127" s="45">
        <f>IF($M$83="x",-1,IF(AND($M$83=0,INDEX(KonZeile7,8)+INDEX(KonSpalte3,8)+INDEX(KonFeld2,8)=0),8,0))</f>
        <v>-1</v>
      </c>
      <c r="AW127" s="48">
        <f>IF($M$83="x",-1,IF(AND($M$83=0,INDEX(KonZeile7,9)+INDEX(KonSpalte3,9)+INDEX(KonFeld2,9)=0),9,0))</f>
        <v>-1</v>
      </c>
      <c r="AX127" s="44">
        <f>IF($N$83="x",-1,IF(AND($N$83=0,INDEX(KonZeile7,7)+INDEX(KonSpalte4,7)+INDEX(KonFeld2,7)=0),7,0))</f>
        <v>-1</v>
      </c>
      <c r="AY127" s="45">
        <f>IF($N$83="x",-1,IF(AND($N$83=0,INDEX(KonZeile7,8)+INDEX(KonSpalte4,8)+INDEX(KonFeld2,8)=0),8,0))</f>
        <v>-1</v>
      </c>
      <c r="AZ127" s="47">
        <f>IF($N$83="x",-1,IF(AND($N$83=0,INDEX(KonZeile7,9)+INDEX(KonSpalte4,9)+INDEX(KonFeld2,9)=0),9,0))</f>
        <v>-1</v>
      </c>
      <c r="BA127" s="46">
        <f>IF($O$83="x",-1,IF(AND($O$83=0,INDEX(KonZeile7,7)+INDEX(KonSpalte5,7)+INDEX(KonFeld2,7)=0),7,0))</f>
        <v>-1</v>
      </c>
      <c r="BB127" s="45">
        <f>IF($O$83="x",-1,IF(AND($O$83=0,INDEX(KonZeile7,8)+INDEX(KonSpalte5,8)+INDEX(KonFeld2,8)=0),8,0))</f>
        <v>-1</v>
      </c>
      <c r="BC127" s="47">
        <f>IF($O$83="x",-1,IF(AND($O$83=0,INDEX(KonZeile7,9)+INDEX(KonSpalte5,9)+INDEX(KonFeld2,9)=0),9,0))</f>
        <v>-1</v>
      </c>
      <c r="BD127" s="46">
        <f>IF($P$83="x",-1,IF(AND($P$83=0,INDEX(KonZeile7,7)+INDEX(KonSpalte6,7)+INDEX(KonFeld2,7)=0),7,0))</f>
        <v>-1</v>
      </c>
      <c r="BE127" s="45">
        <f>IF($P$83="x",-1,IF(AND($P$83=0,INDEX(KonZeile7,8)+INDEX(KonSpalte6,8)+INDEX(KonFeld2,8)=0),8,0))</f>
        <v>-1</v>
      </c>
      <c r="BF127" s="48">
        <f>IF($P$83="x",-1,IF(AND($P$83=0,INDEX(KonZeile7,9)+INDEX(KonSpalte6,9)+INDEX(KonFeld2,9)=0),9,0))</f>
        <v>-1</v>
      </c>
      <c r="BG127" s="44">
        <f>IF($Q$83="x",-1,IF(AND($Q$83=0,INDEX(KonZeile7,7)+INDEX(KonSpalte7,7)+INDEX(KonFeld2,7)=0),7,0))</f>
        <v>-1</v>
      </c>
      <c r="BH127" s="45">
        <f>IF($Q$83="x",-1,IF(AND($Q$83=0,INDEX(KonZeile7,8)+INDEX(KonSpalte7,8)+INDEX(KonFeld2,8)=0),8,0))</f>
        <v>-1</v>
      </c>
      <c r="BI127" s="47">
        <f>IF($Q$83="x",-1,IF(AND($Q$83=0,INDEX(KonZeile7,9)+INDEX(KonSpalte7,9)+INDEX(KonFeld2,9)=0),9,0))</f>
        <v>-1</v>
      </c>
      <c r="BJ127" s="46">
        <f>IF($R$83="x",-1,IF(AND($R$83=0,INDEX(KonZeile7,7)+INDEX(KonSpalte8,7)+INDEX(KonFeld2,7)=0),7,0))</f>
        <v>-1</v>
      </c>
      <c r="BK127" s="45">
        <f>IF($R$83="x",-1,IF(AND($R$83=0,INDEX(KonZeile7,8)+INDEX(KonSpalte8,8)+INDEX(KonFeld2,8)=0),8,0))</f>
        <v>-1</v>
      </c>
      <c r="BL127" s="47">
        <f>IF($R$83="x",-1,IF(AND($R$83=0,INDEX(KonZeile7,9)+INDEX(KonSpalte8,9)+INDEX(KonFeld2,9)=0),9,0))</f>
        <v>-1</v>
      </c>
      <c r="BM127" s="46">
        <f>IF($S$83="x",-1,IF(AND($S$83=0,INDEX(KonZeile7,7)+INDEX(KonSpalte9,7)+INDEX(KonFeld2,7)=0),7,0))</f>
        <v>-1</v>
      </c>
      <c r="BN127" s="45">
        <f>IF($S$83="x",-1,IF(AND($S$83=0,INDEX(KonZeile7,8)+INDEX(KonSpalte9,8)+INDEX(KonFeld2,8)=0),8,0))</f>
        <v>-1</v>
      </c>
      <c r="BO127" s="100">
        <f>IF($S$83="x",-1,IF(AND($S$83=0,INDEX(KonZeile7,9)+INDEX(KonSpalte9,9)+INDEX(KonFeld2,9)=0),9,0))</f>
        <v>-1</v>
      </c>
      <c r="BP127" s="99">
        <f>IF($T$83="x",-1,IF(AND($T$83=0,INDEX(KonZeile7,7)+INDEX(KonSpalte1,7)+INDEX(KonFeld3,7)=0),7,0))</f>
        <v>-1</v>
      </c>
      <c r="BQ127" s="45">
        <f>IF($T$83="x",-1,IF(AND($T$83=0,INDEX(KonZeile7,8)+INDEX(KonSpalte1,8)+INDEX(KonFeld3,8)=0),8,0))</f>
        <v>-1</v>
      </c>
      <c r="BR127" s="47">
        <f>IF($T$83="x",-1,IF(AND($T$83=0,INDEX(KonZeile7,9)+INDEX(KonSpalte1,9)+INDEX(KonFeld3,9)=0),9,0))</f>
        <v>-1</v>
      </c>
      <c r="BS127" s="46">
        <f>IF($U$83="x",-1,IF(AND($U$83=0,INDEX(KonZeile7,7)+INDEX(KonSpalte2,7)+INDEX(KonFeld3,7)=0),7,0))</f>
        <v>-1</v>
      </c>
      <c r="BT127" s="45">
        <f>IF($U$83="x",-1,IF(AND($U$83=0,INDEX(KonZeile7,8)+INDEX(KonSpalte2,8)+INDEX(KonFeld3,8)=0),8,0))</f>
        <v>-1</v>
      </c>
      <c r="BU127" s="47">
        <f>IF($U$83="x",-1,IF(AND($U$83=0,INDEX(KonZeile7,9)+INDEX(KonSpalte2,9)+INDEX(KonFeld3,9)=0),9,0))</f>
        <v>-1</v>
      </c>
      <c r="BV127" s="46">
        <f>IF($V$83="x",-1,IF(AND($V$83=0,INDEX(KonZeile7,7)+INDEX(KonSpalte3,7)+INDEX(KonFeld3,7)=0),7,0))</f>
        <v>-1</v>
      </c>
      <c r="BW127" s="45">
        <f>IF($V$83="x",-1,IF(AND($V$83=0,INDEX(KonZeile7,8)+INDEX(KonSpalte3,8)+INDEX(KonFeld3,8)=0),8,0))</f>
        <v>-1</v>
      </c>
      <c r="BX127" s="48">
        <f>IF($V$83="x",-1,IF(AND($V$83=0,INDEX(KonZeile7,9)+INDEX(KonSpalte3,9)+INDEX(KonFeld3,9)=0),9,0))</f>
        <v>-1</v>
      </c>
      <c r="BY127" s="44">
        <f>IF($W$83="x",-1,IF(AND($W$83=0,INDEX(KonZeile7,7)+INDEX(KonSpalte4,7)+INDEX(KonFeld3,7)=0),7,0))</f>
        <v>-1</v>
      </c>
      <c r="BZ127" s="45">
        <f>IF($W$83="x",-1,IF(AND($W$83=0,INDEX(KonZeile7,8)+INDEX(KonSpalte4,8)+INDEX(KonFeld3,8)=0),8,0))</f>
        <v>-1</v>
      </c>
      <c r="CA127" s="47">
        <f>IF($W$83="x",-1,IF(AND($W$83=0,INDEX(KonZeile7,9)+INDEX(KonSpalte4,9)+INDEX(KonFeld3,9)=0),9,0))</f>
        <v>-1</v>
      </c>
      <c r="CB127" s="46">
        <f>IF($X$83="x",-1,IF(AND($X$83=0,INDEX(KonZeile7,7)+INDEX(KonSpalte5,7)+INDEX(KonFeld3,7)=0),7,0))</f>
        <v>-1</v>
      </c>
      <c r="CC127" s="45">
        <f>IF($X$83="x",-1,IF(AND($X$83=0,INDEX(KonZeile7,8)+INDEX(KonSpalte5,8)+INDEX(KonFeld3,8)=0),8,0))</f>
        <v>-1</v>
      </c>
      <c r="CD127" s="47">
        <f>IF($X$83="x",-1,IF(AND($X$83=0,INDEX(KonZeile7,9)+INDEX(KonSpalte5,9)+INDEX(KonFeld3,9)=0),9,0))</f>
        <v>-1</v>
      </c>
      <c r="CE127" s="46">
        <f>IF($Y$83="x",-1,IF(AND($Y$83=0,INDEX(KonZeile7,7)+INDEX(KonSpalte6,7)+INDEX(KonFeld3,7)=0),7,0))</f>
        <v>-1</v>
      </c>
      <c r="CF127" s="45">
        <f>IF($Y$83="x",-1,IF(AND($Y$83=0,INDEX(KonZeile7,8)+INDEX(KonSpalte6,8)+INDEX(KonFeld3,8)=0),8,0))</f>
        <v>-1</v>
      </c>
      <c r="CG127" s="48">
        <f>IF($Y$83="x",-1,IF(AND($Y$83=0,INDEX(KonZeile7,9)+INDEX(KonSpalte6,9)+INDEX(KonFeld3,9)=0),9,0))</f>
        <v>-1</v>
      </c>
      <c r="CH127" s="44">
        <f>IF($Z$83="x",-1,IF(AND($Z$83=0,INDEX(KonZeile7,7)+INDEX(KonSpalte7,7)+INDEX(KonFeld3,7)=0),7,0))</f>
        <v>-1</v>
      </c>
      <c r="CI127" s="45">
        <f>IF($Z$83="x",-1,IF(AND($Z$83=0,INDEX(KonZeile7,8)+INDEX(KonSpalte7,8)+INDEX(KonFeld3,8)=0),8,0))</f>
        <v>-1</v>
      </c>
      <c r="CJ127" s="47">
        <f>IF($Z$83="x",-1,IF(AND($Z$83=0,INDEX(KonZeile7,9)+INDEX(KonSpalte7,9)+INDEX(KonFeld3,9)=0),9,0))</f>
        <v>-1</v>
      </c>
      <c r="CK127" s="46">
        <f>IF($AA$83="x",-1,IF(AND($AA$83=0,INDEX(KonZeile7,7)+INDEX(KonSpalte8,7)+INDEX(KonFeld3,7)=0),7,0))</f>
        <v>-1</v>
      </c>
      <c r="CL127" s="45">
        <f>IF($AA$83="x",-1,IF(AND($AA$83=0,INDEX(KonZeile7,8)+INDEX(KonSpalte8,8)+INDEX(KonFeld3,8)=0),8,0))</f>
        <v>-1</v>
      </c>
      <c r="CM127" s="47">
        <f>IF($AA$83="x",-1,IF(AND($AA$83=0,INDEX(KonZeile7,9)+INDEX(KonSpalte8,9)+INDEX(KonFeld3,9)=0),9,0))</f>
        <v>-1</v>
      </c>
      <c r="CN127" s="46">
        <f>IF($AB$83="x",-1,IF(AND($AB$83=0,INDEX(KonZeile7,7)+INDEX(KonSpalte9,7)+INDEX(KonFeld3,7)=0),7,0))</f>
        <v>0</v>
      </c>
      <c r="CO127" s="45">
        <f>IF($AB$83="x",-1,IF(AND($AB$83=0,INDEX(KonZeile7,8)+INDEX(KonSpalte9,8)+INDEX(KonFeld3,8)=0),8,0))</f>
        <v>0</v>
      </c>
      <c r="CP127" s="100">
        <f>IF($AB$83="x",-1,IF(AND($AB$83=0,INDEX(KonZeile7,9)+INDEX(KonSpalte9,9)+INDEX(KonFeld3,9)=0),9,0))</f>
        <v>0</v>
      </c>
      <c r="CR127" s="46">
        <f>COUNTIF(N127:CP127,7)</f>
        <v>0</v>
      </c>
      <c r="CS127" s="45">
        <f>COUNTIF(N127:CP127,8)</f>
        <v>0</v>
      </c>
      <c r="CT127" s="47">
        <f>COUNTIF(N127:CP127,9)</f>
        <v>0</v>
      </c>
      <c r="CU127" s="39"/>
      <c r="CV127" s="39"/>
      <c r="CX127" s="101">
        <f t="shared" si="104"/>
        <v>0</v>
      </c>
      <c r="CY127" s="102">
        <f t="shared" si="105"/>
        <v>0</v>
      </c>
      <c r="CZ127" s="103">
        <f t="shared" si="106"/>
        <v>0</v>
      </c>
      <c r="DE127" s="231">
        <f t="shared" si="169"/>
        <v>40</v>
      </c>
      <c r="DF127" s="232">
        <f t="shared" si="135"/>
        <v>40</v>
      </c>
      <c r="DG127" s="233">
        <f t="shared" si="136"/>
        <v>40</v>
      </c>
      <c r="DH127" s="234">
        <f t="shared" si="137"/>
        <v>40</v>
      </c>
      <c r="DI127" s="232">
        <f t="shared" si="138"/>
        <v>40</v>
      </c>
      <c r="DJ127" s="233">
        <f t="shared" si="139"/>
        <v>40</v>
      </c>
      <c r="DK127" s="234">
        <f t="shared" si="140"/>
        <v>40</v>
      </c>
      <c r="DL127" s="232">
        <f t="shared" si="141"/>
        <v>40</v>
      </c>
      <c r="DM127" s="235">
        <f t="shared" si="142"/>
        <v>40</v>
      </c>
      <c r="DN127" s="231">
        <f t="shared" si="170"/>
        <v>80</v>
      </c>
      <c r="DO127" s="232">
        <f t="shared" si="144"/>
        <v>80</v>
      </c>
      <c r="DP127" s="233">
        <f t="shared" si="145"/>
        <v>80</v>
      </c>
      <c r="DQ127" s="234">
        <f t="shared" si="146"/>
        <v>80</v>
      </c>
      <c r="DR127" s="232">
        <f t="shared" si="147"/>
        <v>80</v>
      </c>
      <c r="DS127" s="233">
        <f t="shared" si="148"/>
        <v>80</v>
      </c>
      <c r="DT127" s="234">
        <f t="shared" si="149"/>
        <v>70</v>
      </c>
      <c r="DU127" s="232">
        <f t="shared" si="150"/>
        <v>70</v>
      </c>
      <c r="DV127" s="235">
        <f t="shared" si="151"/>
        <v>70</v>
      </c>
      <c r="DW127" s="231">
        <f t="shared" si="152"/>
        <v>60</v>
      </c>
      <c r="DX127" s="232">
        <f t="shared" si="153"/>
        <v>60</v>
      </c>
      <c r="DY127" s="233">
        <f t="shared" si="154"/>
        <v>60</v>
      </c>
      <c r="DZ127" s="234">
        <f t="shared" si="155"/>
        <v>80</v>
      </c>
      <c r="EA127" s="232">
        <f t="shared" si="156"/>
        <v>80</v>
      </c>
      <c r="EB127" s="233">
        <f t="shared" si="157"/>
        <v>80</v>
      </c>
      <c r="EC127" s="234">
        <f t="shared" si="158"/>
        <v>30</v>
      </c>
      <c r="ED127" s="232">
        <f t="shared" si="159"/>
        <v>30</v>
      </c>
      <c r="EE127" s="235">
        <f t="shared" si="160"/>
        <v>30</v>
      </c>
      <c r="EI127" s="342"/>
      <c r="EJ127" s="285"/>
      <c r="EK127" s="286"/>
      <c r="EL127" s="284"/>
      <c r="EM127" s="285">
        <v>8</v>
      </c>
      <c r="EN127" s="286"/>
      <c r="EO127" s="284"/>
      <c r="EP127" s="285"/>
      <c r="EQ127" s="435"/>
      <c r="ER127" s="469"/>
      <c r="ES127" s="390"/>
      <c r="ET127" s="391"/>
      <c r="EU127" s="389"/>
      <c r="EV127" s="390"/>
      <c r="EW127" s="391"/>
      <c r="EX127" s="358"/>
      <c r="EY127" s="359"/>
      <c r="EZ127" s="451"/>
      <c r="FA127" s="446"/>
      <c r="FB127" s="344"/>
      <c r="FC127" s="345"/>
      <c r="FD127" s="389"/>
      <c r="FE127" s="390"/>
      <c r="FF127" s="391"/>
      <c r="FG127" s="323"/>
      <c r="FH127" s="321"/>
      <c r="FI127" s="324"/>
      <c r="FM127" s="342"/>
      <c r="FN127" s="285"/>
      <c r="FO127" s="286"/>
      <c r="FP127" s="284"/>
      <c r="FQ127" s="285"/>
      <c r="FR127" s="286"/>
      <c r="FS127" s="284"/>
      <c r="FT127" s="285"/>
      <c r="FU127" s="435"/>
      <c r="FV127" s="469"/>
      <c r="FW127" s="390"/>
      <c r="FX127" s="391"/>
      <c r="FY127" s="389"/>
      <c r="FZ127" s="390"/>
      <c r="GA127" s="391"/>
      <c r="GB127" s="358"/>
      <c r="GC127" s="359"/>
      <c r="GD127" s="451"/>
      <c r="GE127" s="446"/>
      <c r="GF127" s="344"/>
      <c r="GG127" s="345"/>
      <c r="GH127" s="389"/>
      <c r="GI127" s="390"/>
      <c r="GJ127" s="391"/>
      <c r="GK127" s="323"/>
      <c r="GL127" s="321"/>
      <c r="GM127" s="324"/>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2:235" ht="15" customHeight="1">
      <c r="B128" s="69" t="str">
        <f t="shared" si="84"/>
        <v>x</v>
      </c>
      <c r="C128" s="70" t="str">
        <f t="shared" si="85"/>
        <v>x</v>
      </c>
      <c r="D128" s="70" t="str">
        <f t="shared" si="86"/>
        <v>x</v>
      </c>
      <c r="E128" s="70">
        <f t="shared" si="87"/>
        <v>5</v>
      </c>
      <c r="F128" s="70">
        <f t="shared" si="88"/>
        <v>2</v>
      </c>
      <c r="G128" s="70" t="str">
        <f t="shared" si="89"/>
        <v>x</v>
      </c>
      <c r="H128" s="70" t="str">
        <f t="shared" si="90"/>
        <v>x</v>
      </c>
      <c r="I128" s="70">
        <f t="shared" si="91"/>
        <v>6</v>
      </c>
      <c r="J128" s="71" t="str">
        <f t="shared" si="92"/>
        <v>x</v>
      </c>
      <c r="N128" s="104">
        <f>IF($B$84="x",-1,IF(AND($B$84=0,INDEX(KonZeile8,1)+INDEX(KonSpalte1,1)+INDEX(KonFeld1,1)=0),1,0))</f>
        <v>-1</v>
      </c>
      <c r="O128" s="50">
        <f>IF($B$84="x",-1,IF(AND($B$84=0,INDEX(KonZeile8,2)+INDEX(KonSpalte1,2)+INDEX(KonFeld1,2)=0),2,0))</f>
        <v>-1</v>
      </c>
      <c r="P128" s="51">
        <f>IF($B$84="x",-1,IF(AND($B$84=0,INDEX(KonZeile8,3)+INDEX(KonSpalte1,3)+INDEX(KonFeld1,3)=0),3,0))</f>
        <v>-1</v>
      </c>
      <c r="Q128" s="52">
        <f>IF($C$84="x",-1,IF(AND($C$84=0,INDEX(KonZeile8,1)+INDEX(KonSpalte2,1)+INDEX(KonFeld1,1)=0),1,0))</f>
        <v>-1</v>
      </c>
      <c r="R128" s="50">
        <f>IF($C$84="x",-1,IF(AND($C$84=0,INDEX(KonZeile8,2)+INDEX(KonSpalte2,2)+INDEX(KonFeld1,2)=0),2,0))</f>
        <v>-1</v>
      </c>
      <c r="S128" s="51">
        <f>IF($C$84="x",-1,IF(AND($C$84=0,INDEX(KonZeile8,3)+INDEX(KonSpalte2,3)+INDEX(KonFeld1,3)=0),3,0))</f>
        <v>-1</v>
      </c>
      <c r="T128" s="52">
        <f>IF($D$84="x",-1,IF(AND($D$84=0,INDEX(KonZeile8,1)+INDEX(KonSpalte3,1)+INDEX(KonFeld1,1)=0),1,0))</f>
        <v>-1</v>
      </c>
      <c r="U128" s="50">
        <f>IF($D$84="x",-1,IF(AND($D$84=0,INDEX(KonZeile8,2)+INDEX(KonSpalte3,2)+INDEX(KonFeld1,2)=0),2,0))</f>
        <v>-1</v>
      </c>
      <c r="V128" s="53">
        <f>IF($D$84="x",-1,IF(AND($D$84=0,INDEX(KonZeile8,3)+INDEX(KonSpalte3,3)+INDEX(KonFeld1,3)=0),3,0))</f>
        <v>-1</v>
      </c>
      <c r="W128" s="49">
        <f>IF($E$84="x",-1,IF(AND($E$84=0,INDEX(KonZeile8,1)+INDEX(KonSpalte4,1)+INDEX(KonFeld1,1)=0),1,0))</f>
        <v>-1</v>
      </c>
      <c r="X128" s="50">
        <f>IF($E$84="x",-1,IF(AND($E$84=0,INDEX(KonZeile8,2)+INDEX(KonSpalte4,2)+INDEX(KonFeld1,2)=0),2,0))</f>
        <v>-1</v>
      </c>
      <c r="Y128" s="51">
        <f>IF($E$84="x",-1,IF(AND($E$84=0,INDEX(KonZeile8,3)+INDEX(KonSpalte4,3)+INDEX(KonFeld1,3)=0),3,0))</f>
        <v>-1</v>
      </c>
      <c r="Z128" s="52">
        <f>IF($F$84="x",-1,IF(AND($F$84=0,INDEX(KonZeile8,1)+INDEX(KonSpalte5,1)+INDEX(KonFeld1,1)=0),1,0))</f>
        <v>-1</v>
      </c>
      <c r="AA128" s="50">
        <f>IF($F$84="x",-1,IF(AND($F$84=0,INDEX(KonZeile8,2)+INDEX(KonSpalte5,2)+INDEX(KonFeld1,2)=0),2,0))</f>
        <v>-1</v>
      </c>
      <c r="AB128" s="51">
        <f>IF($F$84="x",-1,IF(AND($F$84=0,INDEX(KonZeile8,3)+INDEX(KonSpalte5,3)+INDEX(KonFeld1,3)=0),3,0))</f>
        <v>-1</v>
      </c>
      <c r="AC128" s="52">
        <f>IF($G$84="x",-1,IF(AND($G$84=0,INDEX(KonZeile8,1)+INDEX(KonSpalte6,1)+INDEX(KonFeld1,1)=0),1,0))</f>
        <v>-1</v>
      </c>
      <c r="AD128" s="50">
        <f>IF($G$84="x",-1,IF(AND($G$84=0,INDEX(KonZeile8,2)+INDEX(KonSpalte6,2)+INDEX(KonFeld1,2)=0),2,0))</f>
        <v>-1</v>
      </c>
      <c r="AE128" s="53">
        <f>IF($G$84="x",-1,IF(AND($G$84=0,INDEX(KonZeile8,3)+INDEX(KonSpalte6,3)+INDEX(KonFeld1,3)=0),3,0))</f>
        <v>-1</v>
      </c>
      <c r="AF128" s="49">
        <f>IF($H$84="x",-1,IF(AND($H$84=0,INDEX(KonZeile8,1)+INDEX(KonSpalte7,1)+INDEX(KonFeld1,1)=0),1,0))</f>
        <v>-1</v>
      </c>
      <c r="AG128" s="50">
        <f>IF($H$84="x",-1,IF(AND($H$84=0,INDEX(KonZeile8,2)+INDEX(KonSpalte7,2)+INDEX(KonFeld1,2)=0),2,0))</f>
        <v>-1</v>
      </c>
      <c r="AH128" s="51">
        <f>IF($H$84="x",-1,IF(AND($H$84=0,INDEX(KonZeile8,3)+INDEX(KonSpalte7,3)+INDEX(KonFeld1,3)=0),3,0))</f>
        <v>-1</v>
      </c>
      <c r="AI128" s="52">
        <f>IF($I$84="x",-1,IF(AND($I$84=0,INDEX(KonZeile8,1)+INDEX(KonSpalte8,1)+INDEX(KonFeld1,1)=0),1,0))</f>
        <v>-1</v>
      </c>
      <c r="AJ128" s="50">
        <f>IF($I$84="x",-1,IF(AND($I$84=0,INDEX(KonZeile8,2)+INDEX(KonSpalte8,2)+INDEX(KonFeld1,2)=0),2,0))</f>
        <v>-1</v>
      </c>
      <c r="AK128" s="51">
        <f>IF($I$84="x",-1,IF(AND($I$84=0,INDEX(KonZeile8,3)+INDEX(KonSpalte8,3)+INDEX(KonFeld1,3)=0),3,0))</f>
        <v>-1</v>
      </c>
      <c r="AL128" s="52">
        <f>IF($J$84="x",-1,IF(AND($J$84=0,INDEX(KonZeile8,1)+INDEX(KonSpalte9,1)+INDEX(KonFeld1,1)=0),1,0))</f>
        <v>-1</v>
      </c>
      <c r="AM128" s="50">
        <f>IF($J$84="x",-1,IF(AND($J$84=0,INDEX(KonZeile8,2)+INDEX(KonSpalte9,2)+INDEX(KonFeld1,2)=0),2,0))</f>
        <v>-1</v>
      </c>
      <c r="AN128" s="105">
        <f>IF($J$84="x",-1,IF(AND($J$84=0,INDEX(KonZeile8,3)+INDEX(KonSpalte9,3)+INDEX(KonFeld1,3)=0),3,0))</f>
        <v>-1</v>
      </c>
      <c r="AO128" s="104">
        <f>IF($K$84="x",-1,IF(AND($K$84=0,INDEX(KonZeile8,1)+INDEX(KonSpalte1,1)+INDEX(KonFeld2,1)=0),1,0))</f>
        <v>-1</v>
      </c>
      <c r="AP128" s="50">
        <f>IF($K$84="x",-1,IF(AND($K$84=0,INDEX(KonZeile8,2)+INDEX(KonSpalte1,2)+INDEX(KonFeld2,2)=0),2,0))</f>
        <v>-1</v>
      </c>
      <c r="AQ128" s="51">
        <f>IF($K$84="x",-1,IF(AND($K$84=0,INDEX(KonZeile8,3)+INDEX(KonSpalte1,3)+INDEX(KonFeld2,3)=0),3,0))</f>
        <v>-1</v>
      </c>
      <c r="AR128" s="52">
        <f>IF($L$84="x",-1,IF(AND($L$84=0,INDEX(KonZeile8,1)+INDEX(KonSpalte2,1)+INDEX(KonFeld2,1)=0),1,0))</f>
        <v>-1</v>
      </c>
      <c r="AS128" s="50">
        <f>IF($L$84="x",-1,IF(AND($L$84=0,INDEX(KonZeile8,2)+INDEX(KonSpalte2,2)+INDEX(KonFeld2,2)=0),2,0))</f>
        <v>-1</v>
      </c>
      <c r="AT128" s="51">
        <f>IF($L$84="x",-1,IF(AND($L$84=0,INDEX(KonZeile8,3)+INDEX(KonSpalte2,3)+INDEX(KonFeld2,3)=0),3,0))</f>
        <v>-1</v>
      </c>
      <c r="AU128" s="52">
        <f>IF($M$84="x",-1,IF(AND($M$84=0,INDEX(KonZeile8,1)+INDEX(KonSpalte3,1)+INDEX(KonFeld2,1)=0),1,0))</f>
        <v>-1</v>
      </c>
      <c r="AV128" s="50">
        <f>IF($M$84="x",-1,IF(AND($M$84=0,INDEX(KonZeile8,2)+INDEX(KonSpalte3,2)+INDEX(KonFeld2,2)=0),2,0))</f>
        <v>-1</v>
      </c>
      <c r="AW128" s="53">
        <f>IF($M$84="x",-1,IF(AND($M$84=0,INDEX(KonZeile8,3)+INDEX(KonSpalte3,3)+INDEX(KonFeld2,3)=0),3,0))</f>
        <v>-1</v>
      </c>
      <c r="AX128" s="49">
        <f>IF($N$84="x",-1,IF(AND($N$84=0,INDEX(KonZeile8,1)+INDEX(KonSpalte4,1)+INDEX(KonFeld2,1)=0),1,0))</f>
        <v>-1</v>
      </c>
      <c r="AY128" s="50">
        <f>IF($N$84="x",-1,IF(AND($N$84=0,INDEX(KonZeile8,2)+INDEX(KonSpalte4,2)+INDEX(KonFeld2,2)=0),2,0))</f>
        <v>-1</v>
      </c>
      <c r="AZ128" s="51">
        <f>IF($N$84="x",-1,IF(AND($N$84=0,INDEX(KonZeile8,3)+INDEX(KonSpalte4,3)+INDEX(KonFeld2,3)=0),3,0))</f>
        <v>-1</v>
      </c>
      <c r="BA128" s="52">
        <f>IF($O$84="x",-1,IF(AND($O$84=0,INDEX(KonZeile8,1)+INDEX(KonSpalte5,1)+INDEX(KonFeld2,1)=0),1,0))</f>
        <v>-1</v>
      </c>
      <c r="BB128" s="50">
        <f>IF($O$84="x",-1,IF(AND($O$84=0,INDEX(KonZeile8,2)+INDEX(KonSpalte5,2)+INDEX(KonFeld2,2)=0),2,0))</f>
        <v>-1</v>
      </c>
      <c r="BC128" s="51">
        <f>IF($O$84="x",-1,IF(AND($O$84=0,INDEX(KonZeile8,3)+INDEX(KonSpalte5,3)+INDEX(KonFeld2,3)=0),3,0))</f>
        <v>-1</v>
      </c>
      <c r="BD128" s="52">
        <f>IF($P$84="x",-1,IF(AND($P$84=0,INDEX(KonZeile8,1)+INDEX(KonSpalte6,1)+INDEX(KonFeld2,1)=0),1,0))</f>
        <v>-1</v>
      </c>
      <c r="BE128" s="50">
        <f>IF($P$84="x",-1,IF(AND($P$84=0,INDEX(KonZeile8,2)+INDEX(KonSpalte6,2)+INDEX(KonFeld2,2)=0),2,0))</f>
        <v>-1</v>
      </c>
      <c r="BF128" s="53">
        <f>IF($P$84="x",-1,IF(AND($P$84=0,INDEX(KonZeile8,3)+INDEX(KonSpalte6,3)+INDEX(KonFeld2,3)=0),3,0))</f>
        <v>-1</v>
      </c>
      <c r="BG128" s="49">
        <f>IF($Q$84="x",-1,IF(AND($Q$84=0,INDEX(KonZeile8,1)+INDEX(KonSpalte7,1)+INDEX(KonFeld2,1)=0),1,0))</f>
        <v>-1</v>
      </c>
      <c r="BH128" s="50">
        <f>IF($Q$84="x",-1,IF(AND($Q$84=0,INDEX(KonZeile8,2)+INDEX(KonSpalte7,2)+INDEX(KonFeld2,2)=0),2,0))</f>
        <v>-1</v>
      </c>
      <c r="BI128" s="51">
        <f>IF($Q$84="x",-1,IF(AND($Q$84=0,INDEX(KonZeile8,3)+INDEX(KonSpalte7,3)+INDEX(KonFeld2,3)=0),3,0))</f>
        <v>-1</v>
      </c>
      <c r="BJ128" s="52">
        <f>IF($R$84="x",-1,IF(AND($R$84=0,INDEX(KonZeile8,1)+INDEX(KonSpalte8,1)+INDEX(KonFeld2,1)=0),1,0))</f>
        <v>-1</v>
      </c>
      <c r="BK128" s="50">
        <f>IF($R$84="x",-1,IF(AND($R$84=0,INDEX(KonZeile8,2)+INDEX(KonSpalte8,2)+INDEX(KonFeld2,2)=0),2,0))</f>
        <v>-1</v>
      </c>
      <c r="BL128" s="51">
        <f>IF($R$84="x",-1,IF(AND($R$84=0,INDEX(KonZeile8,3)+INDEX(KonSpalte8,3)+INDEX(KonFeld2,3)=0),3,0))</f>
        <v>-1</v>
      </c>
      <c r="BM128" s="52">
        <f>IF($S$84="x",-1,IF(AND($S$84=0,INDEX(KonZeile8,1)+INDEX(KonSpalte9,1)+INDEX(KonFeld2,1)=0),1,0))</f>
        <v>-1</v>
      </c>
      <c r="BN128" s="50">
        <f>IF($S$84="x",-1,IF(AND($S$84=0,INDEX(KonZeile8,2)+INDEX(KonSpalte9,2)+INDEX(KonFeld2,2)=0),2,0))</f>
        <v>-1</v>
      </c>
      <c r="BO128" s="105">
        <f>IF($S$84="x",-1,IF(AND($S$84=0,INDEX(KonZeile8,3)+INDEX(KonSpalte9,3)+INDEX(KonFeld2,3)=0),3,0))</f>
        <v>-1</v>
      </c>
      <c r="BP128" s="104">
        <f>IF($T$84="x",-1,IF(AND($T$84=0,INDEX(KonZeile8,1)+INDEX(KonSpalte1,1)+INDEX(KonFeld3,1)=0),1,0))</f>
        <v>-1</v>
      </c>
      <c r="BQ128" s="50">
        <f>IF($T$84="x",-1,IF(AND($T$84=0,INDEX(KonZeile8,2)+INDEX(KonSpalte1,2)+INDEX(KonFeld3,2)=0),2,0))</f>
        <v>-1</v>
      </c>
      <c r="BR128" s="51">
        <f>IF($T$84="x",-1,IF(AND($T$84=0,INDEX(KonZeile8,3)+INDEX(KonSpalte1,3)+INDEX(KonFeld3,3)=0),3,0))</f>
        <v>-1</v>
      </c>
      <c r="BS128" s="52">
        <f>IF($U$84="x",-1,IF(AND($U$84=0,INDEX(KonZeile8,1)+INDEX(KonSpalte2,1)+INDEX(KonFeld3,1)=0),1,0))</f>
        <v>-1</v>
      </c>
      <c r="BT128" s="50">
        <f>IF($U$84="x",-1,IF(AND($U$84=0,INDEX(KonZeile8,2)+INDEX(KonSpalte2,2)+INDEX(KonFeld3,2)=0),2,0))</f>
        <v>-1</v>
      </c>
      <c r="BU128" s="51">
        <f>IF($U$84="x",-1,IF(AND($U$84=0,INDEX(KonZeile8,3)+INDEX(KonSpalte2,3)+INDEX(KonFeld3,3)=0),3,0))</f>
        <v>-1</v>
      </c>
      <c r="BV128" s="52">
        <f>IF($V$84="x",-1,IF(AND($V$84=0,INDEX(KonZeile8,1)+INDEX(KonSpalte3,1)+INDEX(KonFeld3,1)=0),1,0))</f>
        <v>-1</v>
      </c>
      <c r="BW128" s="50">
        <f>IF($V$84="x",-1,IF(AND($V$84=0,INDEX(KonZeile8,2)+INDEX(KonSpalte3,2)+INDEX(KonFeld3,2)=0),2,0))</f>
        <v>-1</v>
      </c>
      <c r="BX128" s="53">
        <f>IF($V$84="x",-1,IF(AND($V$84=0,INDEX(KonZeile8,3)+INDEX(KonSpalte3,3)+INDEX(KonFeld3,3)=0),3,0))</f>
        <v>-1</v>
      </c>
      <c r="BY128" s="49">
        <f>IF($W$84="x",-1,IF(AND($W$84=0,INDEX(KonZeile8,1)+INDEX(KonSpalte4,1)+INDEX(KonFeld3,1)=0),1,0))</f>
        <v>-1</v>
      </c>
      <c r="BZ128" s="50">
        <f>IF($W$84="x",-1,IF(AND($W$84=0,INDEX(KonZeile8,2)+INDEX(KonSpalte4,2)+INDEX(KonFeld3,2)=0),2,0))</f>
        <v>-1</v>
      </c>
      <c r="CA128" s="51">
        <f>IF($W$84="x",-1,IF(AND($W$84=0,INDEX(KonZeile8,3)+INDEX(KonSpalte4,3)+INDEX(KonFeld3,3)=0),3,0))</f>
        <v>-1</v>
      </c>
      <c r="CB128" s="52">
        <f>IF($X$84="x",-1,IF(AND($X$84=0,INDEX(KonZeile8,1)+INDEX(KonSpalte5,1)+INDEX(KonFeld3,1)=0),1,0))</f>
        <v>-1</v>
      </c>
      <c r="CC128" s="50">
        <f>IF($X$84="x",-1,IF(AND($X$84=0,INDEX(KonZeile8,2)+INDEX(KonSpalte5,2)+INDEX(KonFeld3,2)=0),2,0))</f>
        <v>-1</v>
      </c>
      <c r="CD128" s="51">
        <f>IF($X$84="x",-1,IF(AND($X$84=0,INDEX(KonZeile8,3)+INDEX(KonSpalte5,3)+INDEX(KonFeld3,3)=0),3,0))</f>
        <v>-1</v>
      </c>
      <c r="CE128" s="52">
        <f>IF($Y$84="x",-1,IF(AND($Y$84=0,INDEX(KonZeile8,1)+INDEX(KonSpalte6,1)+INDEX(KonFeld3,1)=0),1,0))</f>
        <v>-1</v>
      </c>
      <c r="CF128" s="50">
        <f>IF($Y$84="x",-1,IF(AND($Y$84=0,INDEX(KonZeile8,2)+INDEX(KonSpalte6,2)+INDEX(KonFeld3,2)=0),2,0))</f>
        <v>-1</v>
      </c>
      <c r="CG128" s="53">
        <f>IF($Y$84="x",-1,IF(AND($Y$84=0,INDEX(KonZeile8,3)+INDEX(KonSpalte6,3)+INDEX(KonFeld3,3)=0),3,0))</f>
        <v>-1</v>
      </c>
      <c r="CH128" s="49">
        <f>IF($Z$84="x",-1,IF(AND($Z$84=0,INDEX(KonZeile8,1)+INDEX(KonSpalte7,1)+INDEX(KonFeld3,1)=0),1,0))</f>
        <v>-1</v>
      </c>
      <c r="CI128" s="50">
        <f>IF($Z$84="x",-1,IF(AND($Z$84=0,INDEX(KonZeile8,2)+INDEX(KonSpalte7,2)+INDEX(KonFeld3,2)=0),2,0))</f>
        <v>-1</v>
      </c>
      <c r="CJ128" s="51">
        <f>IF($Z$84="x",-1,IF(AND($Z$84=0,INDEX(KonZeile8,3)+INDEX(KonSpalte7,3)+INDEX(KonFeld3,3)=0),3,0))</f>
        <v>-1</v>
      </c>
      <c r="CK128" s="52">
        <f>IF($AA$84="x",-1,IF(AND($AA$84=0,INDEX(KonZeile8,1)+INDEX(KonSpalte8,1)+INDEX(KonFeld3,1)=0),1,0))</f>
        <v>-1</v>
      </c>
      <c r="CL128" s="50">
        <f>IF($AA$84="x",-1,IF(AND($AA$84=0,INDEX(KonZeile8,2)+INDEX(KonSpalte8,2)+INDEX(KonFeld3,2)=0),2,0))</f>
        <v>-1</v>
      </c>
      <c r="CM128" s="51">
        <f>IF($AA$84="x",-1,IF(AND($AA$84=0,INDEX(KonZeile8,3)+INDEX(KonSpalte8,3)+INDEX(KonFeld3,3)=0),3,0))</f>
        <v>-1</v>
      </c>
      <c r="CN128" s="52">
        <f>IF($AB$84="x",-1,IF(AND($AB$84=0,INDEX(KonZeile8,1)+INDEX(KonSpalte9,1)+INDEX(KonFeld3,1)=0),1,0))</f>
        <v>-1</v>
      </c>
      <c r="CO128" s="50">
        <f>IF($AB$84="x",-1,IF(AND($AB$84=0,INDEX(KonZeile8,2)+INDEX(KonSpalte9,2)+INDEX(KonFeld3,2)=0),2,0))</f>
        <v>-1</v>
      </c>
      <c r="CP128" s="105">
        <f>IF($AB$84="x",-1,IF(AND($AB$84=0,INDEX(KonZeile8,3)+INDEX(KonSpalte9,3)+INDEX(KonFeld3,3)=0),3,0))</f>
        <v>-1</v>
      </c>
      <c r="CR128" s="52">
        <f>COUNTIF(N128:CP128,1)</f>
        <v>0</v>
      </c>
      <c r="CS128" s="50">
        <f>COUNTIF(N128:CP128,2)</f>
        <v>0</v>
      </c>
      <c r="CT128" s="51">
        <f>COUNTIF(N128:CP128,3)</f>
        <v>0</v>
      </c>
      <c r="CU128" s="39"/>
      <c r="CV128" s="39"/>
      <c r="CX128" s="91">
        <f t="shared" si="104"/>
        <v>0</v>
      </c>
      <c r="CY128" s="92">
        <f t="shared" si="105"/>
        <v>0</v>
      </c>
      <c r="CZ128" s="93">
        <f t="shared" si="106"/>
        <v>0</v>
      </c>
      <c r="DE128" s="236">
        <f>IF(N128&gt;=0,10+N128,IF(AO128&gt;=0,20+AO128,IF(BP128&gt;=0,30+BP128,IF(N155&gt;=0,40+N155,IF(AO155&gt;=0,50+AO155,IF(BP155&gt;=0,60+BP155,IF(N182&gt;=0,70+N182,IF(AO182&gt;=0,80+AO182,IF(BP182&gt;=0,90+BP182,"")))))))))</f>
        <v>70</v>
      </c>
      <c r="DF128" s="237">
        <f t="shared" si="135"/>
        <v>70</v>
      </c>
      <c r="DG128" s="238">
        <f t="shared" si="136"/>
        <v>70</v>
      </c>
      <c r="DH128" s="239">
        <f t="shared" si="137"/>
        <v>70</v>
      </c>
      <c r="DI128" s="237">
        <f t="shared" si="138"/>
        <v>70</v>
      </c>
      <c r="DJ128" s="238">
        <f t="shared" si="139"/>
        <v>70</v>
      </c>
      <c r="DK128" s="239">
        <f t="shared" si="140"/>
        <v>40</v>
      </c>
      <c r="DL128" s="237">
        <f t="shared" si="141"/>
        <v>40</v>
      </c>
      <c r="DM128" s="240">
        <f t="shared" si="142"/>
        <v>40</v>
      </c>
      <c r="DN128" s="236">
        <f>IF(W128&gt;=0,10+W128,IF(AX128&gt;=0,20+AX128,IF(BY128&gt;=0,30+BY128,IF(W155&gt;=0,40+W155,IF(AX155&gt;=0,50+AX155,IF(BY155&gt;=0,60+BY155,IF(W182&gt;=0,70+W182,IF(AX182&gt;=0,80+AX182,IF(BY182&gt;=0,90+BY182,"")))))))))</f>
        <v>70</v>
      </c>
      <c r="DO128" s="237">
        <f t="shared" si="144"/>
        <v>70</v>
      </c>
      <c r="DP128" s="238">
        <f t="shared" si="145"/>
        <v>70</v>
      </c>
      <c r="DQ128" s="239">
        <f t="shared" si="146"/>
        <v>70</v>
      </c>
      <c r="DR128" s="237">
        <f t="shared" si="147"/>
        <v>70</v>
      </c>
      <c r="DS128" s="238">
        <f t="shared" si="148"/>
        <v>70</v>
      </c>
      <c r="DT128" s="239">
        <f t="shared" si="149"/>
        <v>90</v>
      </c>
      <c r="DU128" s="237">
        <f t="shared" si="150"/>
        <v>90</v>
      </c>
      <c r="DV128" s="240">
        <f t="shared" si="151"/>
        <v>90</v>
      </c>
      <c r="DW128" s="236">
        <f t="shared" si="152"/>
        <v>90</v>
      </c>
      <c r="DX128" s="237">
        <f t="shared" si="153"/>
        <v>90</v>
      </c>
      <c r="DY128" s="238">
        <f t="shared" si="154"/>
        <v>90</v>
      </c>
      <c r="DZ128" s="239">
        <f t="shared" si="155"/>
        <v>90</v>
      </c>
      <c r="EA128" s="237">
        <f t="shared" si="156"/>
        <v>90</v>
      </c>
      <c r="EB128" s="238">
        <f t="shared" si="157"/>
        <v>90</v>
      </c>
      <c r="EC128" s="239">
        <f t="shared" si="158"/>
        <v>90</v>
      </c>
      <c r="ED128" s="237">
        <f t="shared" si="159"/>
        <v>90</v>
      </c>
      <c r="EE128" s="240">
        <f t="shared" si="160"/>
        <v>90</v>
      </c>
      <c r="EI128" s="361">
        <v>1</v>
      </c>
      <c r="EJ128" s="348"/>
      <c r="EK128" s="349">
        <v>3</v>
      </c>
      <c r="EL128" s="347">
        <v>1</v>
      </c>
      <c r="EM128" s="348"/>
      <c r="EN128" s="349"/>
      <c r="EO128" s="278"/>
      <c r="EP128" s="279"/>
      <c r="EQ128" s="350"/>
      <c r="ER128" s="361">
        <v>1</v>
      </c>
      <c r="ES128" s="348"/>
      <c r="ET128" s="349"/>
      <c r="EU128" s="347"/>
      <c r="EV128" s="348"/>
      <c r="EW128" s="349"/>
      <c r="EX128" s="395">
        <v>1</v>
      </c>
      <c r="EY128" s="393">
        <v>2</v>
      </c>
      <c r="EZ128" s="396">
        <v>3</v>
      </c>
      <c r="FA128" s="392">
        <v>1</v>
      </c>
      <c r="FB128" s="393"/>
      <c r="FC128" s="394">
        <v>3</v>
      </c>
      <c r="FD128" s="395">
        <v>1</v>
      </c>
      <c r="FE128" s="393">
        <v>2</v>
      </c>
      <c r="FF128" s="394">
        <v>3</v>
      </c>
      <c r="FG128" s="395"/>
      <c r="FH128" s="393">
        <v>2</v>
      </c>
      <c r="FI128" s="396">
        <v>3</v>
      </c>
      <c r="FM128" s="361"/>
      <c r="FN128" s="348"/>
      <c r="FO128" s="349"/>
      <c r="FP128" s="347"/>
      <c r="FQ128" s="348"/>
      <c r="FR128" s="349"/>
      <c r="FS128" s="278"/>
      <c r="FT128" s="279"/>
      <c r="FU128" s="350"/>
      <c r="FV128" s="361"/>
      <c r="FW128" s="348"/>
      <c r="FX128" s="349"/>
      <c r="FY128" s="347"/>
      <c r="FZ128" s="348"/>
      <c r="GA128" s="349"/>
      <c r="GB128" s="395"/>
      <c r="GC128" s="393"/>
      <c r="GD128" s="396"/>
      <c r="GE128" s="392"/>
      <c r="GF128" s="393"/>
      <c r="GG128" s="394"/>
      <c r="GH128" s="395"/>
      <c r="GI128" s="393"/>
      <c r="GJ128" s="394"/>
      <c r="GK128" s="395"/>
      <c r="GL128" s="393"/>
      <c r="GM128" s="396"/>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2:235" ht="15" customHeight="1">
      <c r="B129" s="69" t="str">
        <f t="shared" si="84"/>
        <v>x</v>
      </c>
      <c r="C129" s="70" t="str">
        <f t="shared" si="85"/>
        <v>x</v>
      </c>
      <c r="D129" s="70" t="str">
        <f t="shared" si="86"/>
        <v>x</v>
      </c>
      <c r="E129" s="70" t="str">
        <f t="shared" si="87"/>
        <v>x</v>
      </c>
      <c r="F129" s="70" t="str">
        <f t="shared" si="88"/>
        <v>x</v>
      </c>
      <c r="G129" s="70" t="str">
        <f t="shared" si="89"/>
        <v>x</v>
      </c>
      <c r="H129" s="70" t="str">
        <f t="shared" si="90"/>
        <v>x</v>
      </c>
      <c r="I129" s="70" t="str">
        <f t="shared" si="91"/>
        <v>x</v>
      </c>
      <c r="J129" s="71" t="str">
        <f t="shared" si="92"/>
        <v>x</v>
      </c>
      <c r="N129" s="94">
        <f>IF($B$84="x",-1,IF(AND($B$84=0,INDEX(KonZeile8,4)+INDEX(KonSpalte1,4)+INDEX(KonFeld1,4)=0),4,0))</f>
        <v>-1</v>
      </c>
      <c r="O129" s="39">
        <f>IF($B$84="x",-1,IF(AND($B$84=0,INDEX(KonZeile8,5)+INDEX(KonSpalte1,5)+INDEX(KonFeld1,5)=0),5,0))</f>
        <v>-1</v>
      </c>
      <c r="P129" s="41">
        <f>IF($B$84="x",-1,IF(AND($B$84=0,INDEX(KonZeile8,6)+INDEX(KonSpalte1,6)+INDEX(KonFeld1,6)=0),6,0))</f>
        <v>-1</v>
      </c>
      <c r="Q129" s="40">
        <f>IF($C$84="x",-1,IF(AND($C$84=0,INDEX(KonZeile8,4)+INDEX(KonSpalte2,4)+INDEX(KonFeld1,4)=0),4,0))</f>
        <v>-1</v>
      </c>
      <c r="R129" s="39">
        <f>IF($C$84="x",-1,IF(AND($C$84=0,INDEX(KonZeile8,5)+INDEX(KonSpalte2,5)+INDEX(KonFeld1,5)=0),5,0))</f>
        <v>-1</v>
      </c>
      <c r="S129" s="41">
        <f>IF($C$84="x",-1,IF(AND($C$84=0,INDEX(KonZeile8,6)+INDEX(KonSpalte2,6)+INDEX(KonFeld1,6)=0),6,0))</f>
        <v>-1</v>
      </c>
      <c r="T129" s="40">
        <f>IF($D$84="x",-1,IF(AND($D$84=0,INDEX(KonZeile8,4)+INDEX(KonSpalte3,4)+INDEX(KonFeld1,4)=0),4,0))</f>
        <v>-1</v>
      </c>
      <c r="U129" s="39">
        <f>IF($D$84="x",-1,IF(AND($D$84=0,INDEX(KonZeile8,5)+INDEX(KonSpalte3,5)+INDEX(KonFeld1,5)=0),5,0))</f>
        <v>-1</v>
      </c>
      <c r="V129" s="42">
        <f>IF($D$84="x",-1,IF(AND($D$84=0,INDEX(KonZeile8,6)+INDEX(KonSpalte3,6)+INDEX(KonFeld1,6)=0),6,0))</f>
        <v>-1</v>
      </c>
      <c r="W129" s="43">
        <f>IF($E$84="x",-1,IF(AND($E$84=0,INDEX(KonZeile8,4)+INDEX(KonSpalte4,4)+INDEX(KonFeld1,4)=0),4,0))</f>
        <v>-1</v>
      </c>
      <c r="X129" s="39">
        <f>IF($E$84="x",-1,IF(AND($E$84=0,INDEX(KonZeile8,5)+INDEX(KonSpalte4,5)+INDEX(KonFeld1,5)=0),5,0))</f>
        <v>-1</v>
      </c>
      <c r="Y129" s="41">
        <f>IF($E$84="x",-1,IF(AND($E$84=0,INDEX(KonZeile8,6)+INDEX(KonSpalte4,6)+INDEX(KonFeld1,6)=0),6,0))</f>
        <v>-1</v>
      </c>
      <c r="Z129" s="40">
        <f>IF($F$84="x",-1,IF(AND($F$84=0,INDEX(KonZeile8,4)+INDEX(KonSpalte5,4)+INDEX(KonFeld1,4)=0),4,0))</f>
        <v>-1</v>
      </c>
      <c r="AA129" s="39">
        <f>IF($F$84="x",-1,IF(AND($F$84=0,INDEX(KonZeile8,5)+INDEX(KonSpalte5,5)+INDEX(KonFeld1,5)=0),5,0))</f>
        <v>-1</v>
      </c>
      <c r="AB129" s="41">
        <f>IF($F$84="x",-1,IF(AND($F$84=0,INDEX(KonZeile8,6)+INDEX(KonSpalte5,6)+INDEX(KonFeld1,6)=0),6,0))</f>
        <v>-1</v>
      </c>
      <c r="AC129" s="40">
        <f>IF($G$84="x",-1,IF(AND($G$84=0,INDEX(KonZeile8,4)+INDEX(KonSpalte6,4)+INDEX(KonFeld1,4)=0),4,0))</f>
        <v>-1</v>
      </c>
      <c r="AD129" s="39">
        <f>IF($G$84="x",-1,IF(AND($G$84=0,INDEX(KonZeile8,5)+INDEX(KonSpalte6,5)+INDEX(KonFeld1,5)=0),5,0))</f>
        <v>-1</v>
      </c>
      <c r="AE129" s="42">
        <f>IF($G$84="x",-1,IF(AND($G$84=0,INDEX(KonZeile8,6)+INDEX(KonSpalte6,6)+INDEX(KonFeld1,6)=0),6,0))</f>
        <v>-1</v>
      </c>
      <c r="AF129" s="43">
        <f>IF($H$84="x",-1,IF(AND($H$84=0,INDEX(KonZeile8,4)+INDEX(KonSpalte7,4)+INDEX(KonFeld1,4)=0),4,0))</f>
        <v>-1</v>
      </c>
      <c r="AG129" s="39">
        <f>IF($H$84="x",-1,IF(AND($H$84=0,INDEX(KonZeile8,5)+INDEX(KonSpalte7,5)+INDEX(KonFeld1,5)=0),5,0))</f>
        <v>-1</v>
      </c>
      <c r="AH129" s="41">
        <f>IF($H$84="x",-1,IF(AND($H$84=0,INDEX(KonZeile8,6)+INDEX(KonSpalte7,6)+INDEX(KonFeld1,6)=0),6,0))</f>
        <v>-1</v>
      </c>
      <c r="AI129" s="40">
        <f>IF($I$84="x",-1,IF(AND($I$84=0,INDEX(KonZeile8,4)+INDEX(KonSpalte8,4)+INDEX(KonFeld1,4)=0),4,0))</f>
        <v>-1</v>
      </c>
      <c r="AJ129" s="39">
        <f>IF($I$84="x",-1,IF(AND($I$84=0,INDEX(KonZeile8,5)+INDEX(KonSpalte8,5)+INDEX(KonFeld1,5)=0),5,0))</f>
        <v>-1</v>
      </c>
      <c r="AK129" s="41">
        <f>IF($I$84="x",-1,IF(AND($I$84=0,INDEX(KonZeile8,6)+INDEX(KonSpalte8,6)+INDEX(KonFeld1,6)=0),6,0))</f>
        <v>-1</v>
      </c>
      <c r="AL129" s="40">
        <f>IF($J$84="x",-1,IF(AND($J$84=0,INDEX(KonZeile8,4)+INDEX(KonSpalte9,4)+INDEX(KonFeld1,4)=0),4,0))</f>
        <v>-1</v>
      </c>
      <c r="AM129" s="39">
        <f>IF($J$84="x",-1,IF(AND($J$84=0,INDEX(KonZeile8,5)+INDEX(KonSpalte9,5)+INDEX(KonFeld1,5)=0),5,0))</f>
        <v>-1</v>
      </c>
      <c r="AN129" s="95">
        <f>IF($J$84="x",-1,IF(AND($J$84=0,INDEX(KonZeile8,6)+INDEX(KonSpalte9,6)+INDEX(KonFeld1,6)=0),6,0))</f>
        <v>-1</v>
      </c>
      <c r="AO129" s="94">
        <f>IF($K$84="x",-1,IF(AND($K$84=0,INDEX(KonZeile8,4)+INDEX(KonSpalte1,4)+INDEX(KonFeld2,4)=0),4,0))</f>
        <v>-1</v>
      </c>
      <c r="AP129" s="39">
        <f>IF($K$84="x",-1,IF(AND($K$84=0,INDEX(KonZeile8,5)+INDEX(KonSpalte1,5)+INDEX(KonFeld2,5)=0),5,0))</f>
        <v>-1</v>
      </c>
      <c r="AQ129" s="41">
        <f>IF($K$84="x",-1,IF(AND($K$84=0,INDEX(KonZeile8,6)+INDEX(KonSpalte1,6)+INDEX(KonFeld2,6)=0),6,0))</f>
        <v>-1</v>
      </c>
      <c r="AR129" s="40">
        <f>IF($L$84="x",-1,IF(AND($L$84=0,INDEX(KonZeile8,4)+INDEX(KonSpalte2,4)+INDEX(KonFeld2,4)=0),4,0))</f>
        <v>-1</v>
      </c>
      <c r="AS129" s="39">
        <f>IF($L$84="x",-1,IF(AND($L$84=0,INDEX(KonZeile8,5)+INDEX(KonSpalte2,5)+INDEX(KonFeld2,5)=0),5,0))</f>
        <v>-1</v>
      </c>
      <c r="AT129" s="41">
        <f>IF($L$84="x",-1,IF(AND($L$84=0,INDEX(KonZeile8,6)+INDEX(KonSpalte2,6)+INDEX(KonFeld2,6)=0),6,0))</f>
        <v>-1</v>
      </c>
      <c r="AU129" s="40">
        <f>IF($M$84="x",-1,IF(AND($M$84=0,INDEX(KonZeile8,4)+INDEX(KonSpalte3,4)+INDEX(KonFeld2,4)=0),4,0))</f>
        <v>-1</v>
      </c>
      <c r="AV129" s="39">
        <f>IF($M$84="x",-1,IF(AND($M$84=0,INDEX(KonZeile8,5)+INDEX(KonSpalte3,5)+INDEX(KonFeld2,5)=0),5,0))</f>
        <v>-1</v>
      </c>
      <c r="AW129" s="42">
        <f>IF($M$84="x",-1,IF(AND($M$84=0,INDEX(KonZeile8,6)+INDEX(KonSpalte3,6)+INDEX(KonFeld2,6)=0),6,0))</f>
        <v>-1</v>
      </c>
      <c r="AX129" s="43">
        <f>IF($N$84="x",-1,IF(AND($N$84=0,INDEX(KonZeile8,4)+INDEX(KonSpalte4,4)+INDEX(KonFeld2,4)=0),4,0))</f>
        <v>-1</v>
      </c>
      <c r="AY129" s="39">
        <f>IF($N$84="x",-1,IF(AND($N$84=0,INDEX(KonZeile8,5)+INDEX(KonSpalte4,5)+INDEX(KonFeld2,5)=0),5,0))</f>
        <v>-1</v>
      </c>
      <c r="AZ129" s="41">
        <f>IF($N$84="x",-1,IF(AND($N$84=0,INDEX(KonZeile8,6)+INDEX(KonSpalte4,6)+INDEX(KonFeld2,6)=0),6,0))</f>
        <v>-1</v>
      </c>
      <c r="BA129" s="40">
        <f>IF($O$84="x",-1,IF(AND($O$84=0,INDEX(KonZeile8,4)+INDEX(KonSpalte5,4)+INDEX(KonFeld2,4)=0),4,0))</f>
        <v>-1</v>
      </c>
      <c r="BB129" s="39">
        <f>IF($O$84="x",-1,IF(AND($O$84=0,INDEX(KonZeile8,5)+INDEX(KonSpalte5,5)+INDEX(KonFeld2,5)=0),5,0))</f>
        <v>-1</v>
      </c>
      <c r="BC129" s="41">
        <f>IF($O$84="x",-1,IF(AND($O$84=0,INDEX(KonZeile8,6)+INDEX(KonSpalte5,6)+INDEX(KonFeld2,6)=0),6,0))</f>
        <v>-1</v>
      </c>
      <c r="BD129" s="40">
        <f>IF($P$84="x",-1,IF(AND($P$84=0,INDEX(KonZeile8,4)+INDEX(KonSpalte6,4)+INDEX(KonFeld2,4)=0),4,0))</f>
        <v>-1</v>
      </c>
      <c r="BE129" s="39">
        <f>IF($P$84="x",-1,IF(AND($P$84=0,INDEX(KonZeile8,5)+INDEX(KonSpalte6,5)+INDEX(KonFeld2,5)=0),5,0))</f>
        <v>-1</v>
      </c>
      <c r="BF129" s="42">
        <f>IF($P$84="x",-1,IF(AND($P$84=0,INDEX(KonZeile8,6)+INDEX(KonSpalte6,6)+INDEX(KonFeld2,6)=0),6,0))</f>
        <v>-1</v>
      </c>
      <c r="BG129" s="43">
        <f>IF($Q$84="x",-1,IF(AND($Q$84=0,INDEX(KonZeile8,4)+INDEX(KonSpalte7,4)+INDEX(KonFeld2,4)=0),4,0))</f>
        <v>-1</v>
      </c>
      <c r="BH129" s="39">
        <f>IF($Q$84="x",-1,IF(AND($Q$84=0,INDEX(KonZeile8,5)+INDEX(KonSpalte7,5)+INDEX(KonFeld2,5)=0),5,0))</f>
        <v>-1</v>
      </c>
      <c r="BI129" s="41">
        <f>IF($Q$84="x",-1,IF(AND($Q$84=0,INDEX(KonZeile8,6)+INDEX(KonSpalte7,6)+INDEX(KonFeld2,6)=0),6,0))</f>
        <v>-1</v>
      </c>
      <c r="BJ129" s="40">
        <f>IF($R$84="x",-1,IF(AND($R$84=0,INDEX(KonZeile8,4)+INDEX(KonSpalte8,4)+INDEX(KonFeld2,4)=0),4,0))</f>
        <v>-1</v>
      </c>
      <c r="BK129" s="39">
        <f>IF($R$84="x",-1,IF(AND($R$84=0,INDEX(KonZeile8,5)+INDEX(KonSpalte8,5)+INDEX(KonFeld2,5)=0),5,0))</f>
        <v>-1</v>
      </c>
      <c r="BL129" s="41">
        <f>IF($R$84="x",-1,IF(AND($R$84=0,INDEX(KonZeile8,6)+INDEX(KonSpalte8,6)+INDEX(KonFeld2,6)=0),6,0))</f>
        <v>-1</v>
      </c>
      <c r="BM129" s="40">
        <f>IF($S$84="x",-1,IF(AND($S$84=0,INDEX(KonZeile8,4)+INDEX(KonSpalte9,4)+INDEX(KonFeld2,4)=0),4,0))</f>
        <v>-1</v>
      </c>
      <c r="BN129" s="39">
        <f>IF($S$84="x",-1,IF(AND($S$84=0,INDEX(KonZeile8,5)+INDEX(KonSpalte9,5)+INDEX(KonFeld2,5)=0),5,0))</f>
        <v>-1</v>
      </c>
      <c r="BO129" s="95">
        <f>IF($S$84="x",-1,IF(AND($S$84=0,INDEX(KonZeile8,6)+INDEX(KonSpalte9,6)+INDEX(KonFeld2,6)=0),6,0))</f>
        <v>-1</v>
      </c>
      <c r="BP129" s="94">
        <f>IF($T$84="x",-1,IF(AND($T$84=0,INDEX(KonZeile8,4)+INDEX(KonSpalte1,4)+INDEX(KonFeld3,4)=0),4,0))</f>
        <v>-1</v>
      </c>
      <c r="BQ129" s="39">
        <f>IF($T$84="x",-1,IF(AND($T$84=0,INDEX(KonZeile8,5)+INDEX(KonSpalte1,5)+INDEX(KonFeld3,5)=0),5,0))</f>
        <v>-1</v>
      </c>
      <c r="BR129" s="41">
        <f>IF($T$84="x",-1,IF(AND($T$84=0,INDEX(KonZeile8,6)+INDEX(KonSpalte1,6)+INDEX(KonFeld3,6)=0),6,0))</f>
        <v>-1</v>
      </c>
      <c r="BS129" s="40">
        <f>IF($U$84="x",-1,IF(AND($U$84=0,INDEX(KonZeile8,4)+INDEX(KonSpalte2,4)+INDEX(KonFeld3,4)=0),4,0))</f>
        <v>-1</v>
      </c>
      <c r="BT129" s="39">
        <f>IF($U$84="x",-1,IF(AND($U$84=0,INDEX(KonZeile8,5)+INDEX(KonSpalte2,5)+INDEX(KonFeld3,5)=0),5,0))</f>
        <v>-1</v>
      </c>
      <c r="BU129" s="41">
        <f>IF($U$84="x",-1,IF(AND($U$84=0,INDEX(KonZeile8,6)+INDEX(KonSpalte2,6)+INDEX(KonFeld3,6)=0),6,0))</f>
        <v>-1</v>
      </c>
      <c r="BV129" s="40">
        <f>IF($V$84="x",-1,IF(AND($V$84=0,INDEX(KonZeile8,4)+INDEX(KonSpalte3,4)+INDEX(KonFeld3,4)=0),4,0))</f>
        <v>-1</v>
      </c>
      <c r="BW129" s="39">
        <f>IF($V$84="x",-1,IF(AND($V$84=0,INDEX(KonZeile8,5)+INDEX(KonSpalte3,5)+INDEX(KonFeld3,5)=0),5,0))</f>
        <v>-1</v>
      </c>
      <c r="BX129" s="42">
        <f>IF($V$84="x",-1,IF(AND($V$84=0,INDEX(KonZeile8,6)+INDEX(KonSpalte3,6)+INDEX(KonFeld3,6)=0),6,0))</f>
        <v>-1</v>
      </c>
      <c r="BY129" s="43">
        <f>IF($W$84="x",-1,IF(AND($W$84=0,INDEX(KonZeile8,4)+INDEX(KonSpalte4,4)+INDEX(KonFeld3,4)=0),4,0))</f>
        <v>-1</v>
      </c>
      <c r="BZ129" s="39">
        <f>IF($W$84="x",-1,IF(AND($W$84=0,INDEX(KonZeile8,5)+INDEX(KonSpalte4,5)+INDEX(KonFeld3,5)=0),5,0))</f>
        <v>-1</v>
      </c>
      <c r="CA129" s="41">
        <f>IF($W$84="x",-1,IF(AND($W$84=0,INDEX(KonZeile8,6)+INDEX(KonSpalte4,6)+INDEX(KonFeld3,6)=0),6,0))</f>
        <v>-1</v>
      </c>
      <c r="CB129" s="40">
        <f>IF($X$84="x",-1,IF(AND($X$84=0,INDEX(KonZeile8,4)+INDEX(KonSpalte5,4)+INDEX(KonFeld3,4)=0),4,0))</f>
        <v>-1</v>
      </c>
      <c r="CC129" s="39">
        <f>IF($X$84="x",-1,IF(AND($X$84=0,INDEX(KonZeile8,5)+INDEX(KonSpalte5,5)+INDEX(KonFeld3,5)=0),5,0))</f>
        <v>-1</v>
      </c>
      <c r="CD129" s="41">
        <f>IF($X$84="x",-1,IF(AND($X$84=0,INDEX(KonZeile8,6)+INDEX(KonSpalte5,6)+INDEX(KonFeld3,6)=0),6,0))</f>
        <v>-1</v>
      </c>
      <c r="CE129" s="40">
        <f>IF($Y$84="x",-1,IF(AND($Y$84=0,INDEX(KonZeile8,4)+INDEX(KonSpalte6,4)+INDEX(KonFeld3,4)=0),4,0))</f>
        <v>-1</v>
      </c>
      <c r="CF129" s="39">
        <f>IF($Y$84="x",-1,IF(AND($Y$84=0,INDEX(KonZeile8,5)+INDEX(KonSpalte6,5)+INDEX(KonFeld3,5)=0),5,0))</f>
        <v>-1</v>
      </c>
      <c r="CG129" s="42">
        <f>IF($Y$84="x",-1,IF(AND($Y$84=0,INDEX(KonZeile8,6)+INDEX(KonSpalte6,6)+INDEX(KonFeld3,6)=0),6,0))</f>
        <v>-1</v>
      </c>
      <c r="CH129" s="43">
        <f>IF($Z$84="x",-1,IF(AND($Z$84=0,INDEX(KonZeile8,4)+INDEX(KonSpalte7,4)+INDEX(KonFeld3,4)=0),4,0))</f>
        <v>-1</v>
      </c>
      <c r="CI129" s="39">
        <f>IF($Z$84="x",-1,IF(AND($Z$84=0,INDEX(KonZeile8,5)+INDEX(KonSpalte7,5)+INDEX(KonFeld3,5)=0),5,0))</f>
        <v>-1</v>
      </c>
      <c r="CJ129" s="41">
        <f>IF($Z$84="x",-1,IF(AND($Z$84=0,INDEX(KonZeile8,6)+INDEX(KonSpalte7,6)+INDEX(KonFeld3,6)=0),6,0))</f>
        <v>-1</v>
      </c>
      <c r="CK129" s="40">
        <f>IF($AA$84="x",-1,IF(AND($AA$84=0,INDEX(KonZeile8,4)+INDEX(KonSpalte8,4)+INDEX(KonFeld3,4)=0),4,0))</f>
        <v>-1</v>
      </c>
      <c r="CL129" s="39">
        <f>IF($AA$84="x",-1,IF(AND($AA$84=0,INDEX(KonZeile8,5)+INDEX(KonSpalte8,5)+INDEX(KonFeld3,5)=0),5,0))</f>
        <v>-1</v>
      </c>
      <c r="CM129" s="41">
        <f>IF($AA$84="x",-1,IF(AND($AA$84=0,INDEX(KonZeile8,6)+INDEX(KonSpalte8,6)+INDEX(KonFeld3,6)=0),6,0))</f>
        <v>-1</v>
      </c>
      <c r="CN129" s="40">
        <f>IF($AB$84="x",-1,IF(AND($AB$84=0,INDEX(KonZeile8,4)+INDEX(KonSpalte9,4)+INDEX(KonFeld3,4)=0),4,0))</f>
        <v>-1</v>
      </c>
      <c r="CO129" s="39">
        <f>IF($AB$84="x",-1,IF(AND($AB$84=0,INDEX(KonZeile8,5)+INDEX(KonSpalte9,5)+INDEX(KonFeld3,5)=0),5,0))</f>
        <v>-1</v>
      </c>
      <c r="CP129" s="95">
        <f>IF($AB$84="x",-1,IF(AND($AB$84=0,INDEX(KonZeile8,6)+INDEX(KonSpalte9,6)+INDEX(KonFeld3,6)=0),6,0))</f>
        <v>-1</v>
      </c>
      <c r="CR129" s="40">
        <f>COUNTIF(N129:CP129,4)</f>
        <v>0</v>
      </c>
      <c r="CS129" s="39">
        <f>COUNTIF(N129:CP129,5)</f>
        <v>0</v>
      </c>
      <c r="CT129" s="41">
        <f>COUNTIF(N129:CP129,6)</f>
        <v>0</v>
      </c>
      <c r="CU129" s="39"/>
      <c r="CV129" s="39"/>
      <c r="CX129" s="96">
        <f t="shared" si="104"/>
        <v>0</v>
      </c>
      <c r="CY129" s="97">
        <f t="shared" si="105"/>
        <v>0</v>
      </c>
      <c r="CZ129" s="98">
        <f t="shared" si="106"/>
        <v>0</v>
      </c>
      <c r="DE129" s="226">
        <f t="shared" ref="DE129:DE130" si="171">IF(N129&gt;=0,10+N129,IF(AO129&gt;=0,20+AO129,IF(BP129&gt;=0,30+BP129,IF(N156&gt;=0,40+N156,IF(AO156&gt;=0,50+AO156,IF(BP156&gt;=0,60+BP156,IF(N183&gt;=0,70+N183,IF(AO183&gt;=0,80+AO183,IF(BP183&gt;=0,90+BP183,"")))))))))</f>
        <v>70</v>
      </c>
      <c r="DF129" s="227">
        <f t="shared" si="135"/>
        <v>70</v>
      </c>
      <c r="DG129" s="228">
        <f t="shared" si="136"/>
        <v>70</v>
      </c>
      <c r="DH129" s="229">
        <f t="shared" si="137"/>
        <v>70</v>
      </c>
      <c r="DI129" s="227">
        <f t="shared" si="138"/>
        <v>70</v>
      </c>
      <c r="DJ129" s="228">
        <f t="shared" si="139"/>
        <v>70</v>
      </c>
      <c r="DK129" s="229">
        <f t="shared" si="140"/>
        <v>40</v>
      </c>
      <c r="DL129" s="227">
        <f t="shared" si="141"/>
        <v>40</v>
      </c>
      <c r="DM129" s="230">
        <f t="shared" si="142"/>
        <v>40</v>
      </c>
      <c r="DN129" s="226">
        <f t="shared" ref="DN129:DN130" si="172">IF(W129&gt;=0,10+W129,IF(AX129&gt;=0,20+AX129,IF(BY129&gt;=0,30+BY129,IF(W156&gt;=0,40+W156,IF(AX156&gt;=0,50+AX156,IF(BY156&gt;=0,60+BY156,IF(W183&gt;=0,70+W183,IF(AX183&gt;=0,80+AX183,IF(BY183&gt;=0,90+BY183,"")))))))))</f>
        <v>70</v>
      </c>
      <c r="DO129" s="227">
        <f t="shared" si="144"/>
        <v>70</v>
      </c>
      <c r="DP129" s="228">
        <f t="shared" si="145"/>
        <v>70</v>
      </c>
      <c r="DQ129" s="229">
        <f t="shared" si="146"/>
        <v>70</v>
      </c>
      <c r="DR129" s="227">
        <f t="shared" si="147"/>
        <v>70</v>
      </c>
      <c r="DS129" s="228">
        <f t="shared" si="148"/>
        <v>70</v>
      </c>
      <c r="DT129" s="229">
        <f t="shared" si="149"/>
        <v>90</v>
      </c>
      <c r="DU129" s="227">
        <f t="shared" si="150"/>
        <v>90</v>
      </c>
      <c r="DV129" s="230">
        <f t="shared" si="151"/>
        <v>90</v>
      </c>
      <c r="DW129" s="226">
        <f t="shared" si="152"/>
        <v>90</v>
      </c>
      <c r="DX129" s="227">
        <f t="shared" si="153"/>
        <v>90</v>
      </c>
      <c r="DY129" s="228">
        <f t="shared" si="154"/>
        <v>90</v>
      </c>
      <c r="DZ129" s="229">
        <f t="shared" si="155"/>
        <v>90</v>
      </c>
      <c r="EA129" s="227">
        <f t="shared" si="156"/>
        <v>90</v>
      </c>
      <c r="EB129" s="228">
        <f t="shared" si="157"/>
        <v>90</v>
      </c>
      <c r="EC129" s="229">
        <f t="shared" si="158"/>
        <v>90</v>
      </c>
      <c r="ED129" s="227">
        <f t="shared" si="159"/>
        <v>90</v>
      </c>
      <c r="EE129" s="230">
        <f t="shared" si="160"/>
        <v>90</v>
      </c>
      <c r="EI129" s="367">
        <v>4</v>
      </c>
      <c r="EJ129" s="355">
        <v>5</v>
      </c>
      <c r="EK129" s="356"/>
      <c r="EL129" s="354">
        <v>4</v>
      </c>
      <c r="EM129" s="355"/>
      <c r="EN129" s="356">
        <v>6</v>
      </c>
      <c r="EO129" s="281"/>
      <c r="EP129" s="282"/>
      <c r="EQ129" s="357"/>
      <c r="ER129" s="367">
        <v>4</v>
      </c>
      <c r="ES129" s="355"/>
      <c r="ET129" s="356">
        <v>6</v>
      </c>
      <c r="EU129" s="354"/>
      <c r="EV129" s="355"/>
      <c r="EW129" s="356"/>
      <c r="EX129" s="400"/>
      <c r="EY129" s="398"/>
      <c r="EZ129" s="401">
        <v>6</v>
      </c>
      <c r="FA129" s="397">
        <v>4</v>
      </c>
      <c r="FB129" s="398"/>
      <c r="FC129" s="399"/>
      <c r="FD129" s="400"/>
      <c r="FE129" s="398"/>
      <c r="FF129" s="399"/>
      <c r="FG129" s="400"/>
      <c r="FH129" s="398"/>
      <c r="FI129" s="401"/>
      <c r="FM129" s="367"/>
      <c r="FN129" s="355"/>
      <c r="FO129" s="356"/>
      <c r="FP129" s="354"/>
      <c r="FQ129" s="355"/>
      <c r="FR129" s="356"/>
      <c r="FS129" s="281"/>
      <c r="FT129" s="282"/>
      <c r="FU129" s="357"/>
      <c r="FV129" s="367"/>
      <c r="FW129" s="355"/>
      <c r="FX129" s="356"/>
      <c r="FY129" s="354"/>
      <c r="FZ129" s="355"/>
      <c r="GA129" s="356"/>
      <c r="GB129" s="400"/>
      <c r="GC129" s="398"/>
      <c r="GD129" s="401"/>
      <c r="GE129" s="397"/>
      <c r="GF129" s="398"/>
      <c r="GG129" s="399"/>
      <c r="GH129" s="400"/>
      <c r="GI129" s="398"/>
      <c r="GJ129" s="399"/>
      <c r="GK129" s="400"/>
      <c r="GL129" s="398"/>
      <c r="GM129" s="401"/>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2:235" ht="15" customHeight="1" thickBot="1">
      <c r="B130" s="75" t="str">
        <f t="shared" si="84"/>
        <v>x</v>
      </c>
      <c r="C130" s="76" t="str">
        <f t="shared" si="85"/>
        <v>x</v>
      </c>
      <c r="D130" s="76" t="str">
        <f t="shared" si="86"/>
        <v>x</v>
      </c>
      <c r="E130" s="76" t="str">
        <f t="shared" si="87"/>
        <v>x</v>
      </c>
      <c r="F130" s="76" t="str">
        <f t="shared" si="88"/>
        <v>x</v>
      </c>
      <c r="G130" s="76" t="str">
        <f t="shared" si="89"/>
        <v>x</v>
      </c>
      <c r="H130" s="76" t="str">
        <f t="shared" si="90"/>
        <v>x</v>
      </c>
      <c r="I130" s="76" t="str">
        <f t="shared" si="91"/>
        <v>x</v>
      </c>
      <c r="J130" s="77" t="str">
        <f t="shared" si="92"/>
        <v>x</v>
      </c>
      <c r="N130" s="99">
        <f>IF($B$84="x",-1,IF(AND($B$84=0,INDEX(KonZeile8,7)+INDEX(KonSpalte1,7)+INDEX(KonFeld1,7)=0),7,0))</f>
        <v>-1</v>
      </c>
      <c r="O130" s="45">
        <f>IF($B$84="x",-1,IF(AND($B$84=0,INDEX(KonZeile8,8)+INDEX(KonSpalte1,8)+INDEX(KonFeld1,8)=0),8,0))</f>
        <v>-1</v>
      </c>
      <c r="P130" s="47">
        <f>IF($B$84="x",-1,IF(AND($B$84=0,INDEX(KonZeile8,9)+INDEX(KonSpalte1,9)+INDEX(KonFeld1,9)=0),9,0))</f>
        <v>-1</v>
      </c>
      <c r="Q130" s="46">
        <f>IF($C$84="x",-1,IF(AND($C$84=0,INDEX(KonZeile8,7)+INDEX(KonSpalte2,7)+INDEX(KonFeld1,7)=0),7,0))</f>
        <v>-1</v>
      </c>
      <c r="R130" s="45">
        <f>IF($C$84="x",-1,IF(AND($C$84=0,INDEX(KonZeile8,8)+INDEX(KonSpalte2,8)+INDEX(KonFeld1,8)=0),8,0))</f>
        <v>-1</v>
      </c>
      <c r="S130" s="47">
        <f>IF($C$84="x",-1,IF(AND($C$84=0,INDEX(KonZeile8,9)+INDEX(KonSpalte2,9)+INDEX(KonFeld1,9)=0),9,0))</f>
        <v>-1</v>
      </c>
      <c r="T130" s="46">
        <f>IF($D$84="x",-1,IF(AND($D$84=0,INDEX(KonZeile8,7)+INDEX(KonSpalte3,7)+INDEX(KonFeld1,7)=0),7,0))</f>
        <v>-1</v>
      </c>
      <c r="U130" s="45">
        <f>IF($D$84="x",-1,IF(AND($D$84=0,INDEX(KonZeile8,8)+INDEX(KonSpalte3,8)+INDEX(KonFeld1,8)=0),8,0))</f>
        <v>-1</v>
      </c>
      <c r="V130" s="48">
        <f>IF($D$84="x",-1,IF(AND($D$84=0,INDEX(KonZeile8,9)+INDEX(KonSpalte3,9)+INDEX(KonFeld1,9)=0),9,0))</f>
        <v>-1</v>
      </c>
      <c r="W130" s="44">
        <f>IF($E$84="x",-1,IF(AND($E$84=0,INDEX(KonZeile8,7)+INDEX(KonSpalte4,7)+INDEX(KonFeld1,7)=0),7,0))</f>
        <v>-1</v>
      </c>
      <c r="X130" s="45">
        <f>IF($E$84="x",-1,IF(AND($E$84=0,INDEX(KonZeile8,8)+INDEX(KonSpalte4,8)+INDEX(KonFeld1,8)=0),8,0))</f>
        <v>-1</v>
      </c>
      <c r="Y130" s="47">
        <f>IF($E$84="x",-1,IF(AND($E$84=0,INDEX(KonZeile8,9)+INDEX(KonSpalte4,9)+INDEX(KonFeld1,9)=0),9,0))</f>
        <v>-1</v>
      </c>
      <c r="Z130" s="46">
        <f>IF($F$84="x",-1,IF(AND($F$84=0,INDEX(KonZeile8,7)+INDEX(KonSpalte5,7)+INDEX(KonFeld1,7)=0),7,0))</f>
        <v>-1</v>
      </c>
      <c r="AA130" s="45">
        <f>IF($F$84="x",-1,IF(AND($F$84=0,INDEX(KonZeile8,8)+INDEX(KonSpalte5,8)+INDEX(KonFeld1,8)=0),8,0))</f>
        <v>-1</v>
      </c>
      <c r="AB130" s="47">
        <f>IF($F$84="x",-1,IF(AND($F$84=0,INDEX(KonZeile8,9)+INDEX(KonSpalte5,9)+INDEX(KonFeld1,9)=0),9,0))</f>
        <v>-1</v>
      </c>
      <c r="AC130" s="46">
        <f>IF($G$84="x",-1,IF(AND($G$84=0,INDEX(KonZeile8,7)+INDEX(KonSpalte6,7)+INDEX(KonFeld1,7)=0),7,0))</f>
        <v>-1</v>
      </c>
      <c r="AD130" s="45">
        <f>IF($G$84="x",-1,IF(AND($G$84=0,INDEX(KonZeile8,8)+INDEX(KonSpalte6,8)+INDEX(KonFeld1,8)=0),8,0))</f>
        <v>-1</v>
      </c>
      <c r="AE130" s="48">
        <f>IF($G$84="x",-1,IF(AND($G$84=0,INDEX(KonZeile8,9)+INDEX(KonSpalte6,9)+INDEX(KonFeld1,9)=0),9,0))</f>
        <v>-1</v>
      </c>
      <c r="AF130" s="44">
        <f>IF($H$84="x",-1,IF(AND($H$84=0,INDEX(KonZeile8,7)+INDEX(KonSpalte7,7)+INDEX(KonFeld1,7)=0),7,0))</f>
        <v>-1</v>
      </c>
      <c r="AG130" s="45">
        <f>IF($H$84="x",-1,IF(AND($H$84=0,INDEX(KonZeile8,8)+INDEX(KonSpalte7,8)+INDEX(KonFeld1,8)=0),8,0))</f>
        <v>-1</v>
      </c>
      <c r="AH130" s="47">
        <f>IF($H$84="x",-1,IF(AND($H$84=0,INDEX(KonZeile8,9)+INDEX(KonSpalte7,9)+INDEX(KonFeld1,9)=0),9,0))</f>
        <v>-1</v>
      </c>
      <c r="AI130" s="46">
        <f>IF($I$84="x",-1,IF(AND($I$84=0,INDEX(KonZeile8,7)+INDEX(KonSpalte8,7)+INDEX(KonFeld1,7)=0),7,0))</f>
        <v>-1</v>
      </c>
      <c r="AJ130" s="45">
        <f>IF($I$84="x",-1,IF(AND($I$84=0,INDEX(KonZeile8,8)+INDEX(KonSpalte8,8)+INDEX(KonFeld1,8)=0),8,0))</f>
        <v>-1</v>
      </c>
      <c r="AK130" s="47">
        <f>IF($I$84="x",-1,IF(AND($I$84=0,INDEX(KonZeile8,9)+INDEX(KonSpalte8,9)+INDEX(KonFeld1,9)=0),9,0))</f>
        <v>-1</v>
      </c>
      <c r="AL130" s="46">
        <f>IF($J$84="x",-1,IF(AND($J$84=0,INDEX(KonZeile8,7)+INDEX(KonSpalte9,7)+INDEX(KonFeld1,7)=0),7,0))</f>
        <v>-1</v>
      </c>
      <c r="AM130" s="45">
        <f>IF($J$84="x",-1,IF(AND($J$84=0,INDEX(KonZeile8,8)+INDEX(KonSpalte9,8)+INDEX(KonFeld1,8)=0),8,0))</f>
        <v>-1</v>
      </c>
      <c r="AN130" s="100">
        <f>IF($J$84="x",-1,IF(AND($J$84=0,INDEX(KonZeile8,9)+INDEX(KonSpalte9,9)+INDEX(KonFeld1,9)=0),9,0))</f>
        <v>-1</v>
      </c>
      <c r="AO130" s="99">
        <f>IF($K$84="x",-1,IF(AND($K$84=0,INDEX(KonZeile8,7)+INDEX(KonSpalte1,7)+INDEX(KonFeld2,7)=0),7,0))</f>
        <v>-1</v>
      </c>
      <c r="AP130" s="45">
        <f>IF($K$84="x",-1,IF(AND($K$84=0,INDEX(KonZeile8,8)+INDEX(KonSpalte1,8)+INDEX(KonFeld2,8)=0),8,0))</f>
        <v>-1</v>
      </c>
      <c r="AQ130" s="47">
        <f>IF($K$84="x",-1,IF(AND($K$84=0,INDEX(KonZeile8,9)+INDEX(KonSpalte1,9)+INDEX(KonFeld2,9)=0),9,0))</f>
        <v>-1</v>
      </c>
      <c r="AR130" s="46">
        <f>IF($L$84="x",-1,IF(AND($L$84=0,INDEX(KonZeile8,7)+INDEX(KonSpalte2,7)+INDEX(KonFeld2,7)=0),7,0))</f>
        <v>-1</v>
      </c>
      <c r="AS130" s="45">
        <f>IF($L$84="x",-1,IF(AND($L$84=0,INDEX(KonZeile8,8)+INDEX(KonSpalte2,8)+INDEX(KonFeld2,8)=0),8,0))</f>
        <v>-1</v>
      </c>
      <c r="AT130" s="47">
        <f>IF($L$84="x",-1,IF(AND($L$84=0,INDEX(KonZeile8,9)+INDEX(KonSpalte2,9)+INDEX(KonFeld2,9)=0),9,0))</f>
        <v>-1</v>
      </c>
      <c r="AU130" s="46">
        <f>IF($M$84="x",-1,IF(AND($M$84=0,INDEX(KonZeile8,7)+INDEX(KonSpalte3,7)+INDEX(KonFeld2,7)=0),7,0))</f>
        <v>-1</v>
      </c>
      <c r="AV130" s="45">
        <f>IF($M$84="x",-1,IF(AND($M$84=0,INDEX(KonZeile8,8)+INDEX(KonSpalte3,8)+INDEX(KonFeld2,8)=0),8,0))</f>
        <v>-1</v>
      </c>
      <c r="AW130" s="48">
        <f>IF($M$84="x",-1,IF(AND($M$84=0,INDEX(KonZeile8,9)+INDEX(KonSpalte3,9)+INDEX(KonFeld2,9)=0),9,0))</f>
        <v>-1</v>
      </c>
      <c r="AX130" s="44">
        <f>IF($N$84="x",-1,IF(AND($N$84=0,INDEX(KonZeile8,7)+INDEX(KonSpalte4,7)+INDEX(KonFeld2,7)=0),7,0))</f>
        <v>-1</v>
      </c>
      <c r="AY130" s="45">
        <f>IF($N$84="x",-1,IF(AND($N$84=0,INDEX(KonZeile8,8)+INDEX(KonSpalte4,8)+INDEX(KonFeld2,8)=0),8,0))</f>
        <v>-1</v>
      </c>
      <c r="AZ130" s="47">
        <f>IF($N$84="x",-1,IF(AND($N$84=0,INDEX(KonZeile8,9)+INDEX(KonSpalte4,9)+INDEX(KonFeld2,9)=0),9,0))</f>
        <v>-1</v>
      </c>
      <c r="BA130" s="46">
        <f>IF($O$84="x",-1,IF(AND($O$84=0,INDEX(KonZeile8,7)+INDEX(KonSpalte5,7)+INDEX(KonFeld2,7)=0),7,0))</f>
        <v>-1</v>
      </c>
      <c r="BB130" s="45">
        <f>IF($O$84="x",-1,IF(AND($O$84=0,INDEX(KonZeile8,8)+INDEX(KonSpalte5,8)+INDEX(KonFeld2,8)=0),8,0))</f>
        <v>-1</v>
      </c>
      <c r="BC130" s="47">
        <f>IF($O$84="x",-1,IF(AND($O$84=0,INDEX(KonZeile8,9)+INDEX(KonSpalte5,9)+INDEX(KonFeld2,9)=0),9,0))</f>
        <v>-1</v>
      </c>
      <c r="BD130" s="46">
        <f>IF($P$84="x",-1,IF(AND($P$84=0,INDEX(KonZeile8,7)+INDEX(KonSpalte6,7)+INDEX(KonFeld2,7)=0),7,0))</f>
        <v>-1</v>
      </c>
      <c r="BE130" s="45">
        <f>IF($P$84="x",-1,IF(AND($P$84=0,INDEX(KonZeile8,8)+INDEX(KonSpalte6,8)+INDEX(KonFeld2,8)=0),8,0))</f>
        <v>-1</v>
      </c>
      <c r="BF130" s="48">
        <f>IF($P$84="x",-1,IF(AND($P$84=0,INDEX(KonZeile8,9)+INDEX(KonSpalte6,9)+INDEX(KonFeld2,9)=0),9,0))</f>
        <v>-1</v>
      </c>
      <c r="BG130" s="44">
        <f>IF($Q$84="x",-1,IF(AND($Q$84=0,INDEX(KonZeile8,7)+INDEX(KonSpalte7,7)+INDEX(KonFeld2,7)=0),7,0))</f>
        <v>-1</v>
      </c>
      <c r="BH130" s="45">
        <f>IF($Q$84="x",-1,IF(AND($Q$84=0,INDEX(KonZeile8,8)+INDEX(KonSpalte7,8)+INDEX(KonFeld2,8)=0),8,0))</f>
        <v>-1</v>
      </c>
      <c r="BI130" s="47">
        <f>IF($Q$84="x",-1,IF(AND($Q$84=0,INDEX(KonZeile8,9)+INDEX(KonSpalte7,9)+INDEX(KonFeld2,9)=0),9,0))</f>
        <v>-1</v>
      </c>
      <c r="BJ130" s="46">
        <f>IF($R$84="x",-1,IF(AND($R$84=0,INDEX(KonZeile8,7)+INDEX(KonSpalte8,7)+INDEX(KonFeld2,7)=0),7,0))</f>
        <v>-1</v>
      </c>
      <c r="BK130" s="45">
        <f>IF($R$84="x",-1,IF(AND($R$84=0,INDEX(KonZeile8,8)+INDEX(KonSpalte8,8)+INDEX(KonFeld2,8)=0),8,0))</f>
        <v>-1</v>
      </c>
      <c r="BL130" s="47">
        <f>IF($R$84="x",-1,IF(AND($R$84=0,INDEX(KonZeile8,9)+INDEX(KonSpalte8,9)+INDEX(KonFeld2,9)=0),9,0))</f>
        <v>-1</v>
      </c>
      <c r="BM130" s="46">
        <f>IF($S$84="x",-1,IF(AND($S$84=0,INDEX(KonZeile8,7)+INDEX(KonSpalte9,7)+INDEX(KonFeld2,7)=0),7,0))</f>
        <v>-1</v>
      </c>
      <c r="BN130" s="45">
        <f>IF($S$84="x",-1,IF(AND($S$84=0,INDEX(KonZeile8,8)+INDEX(KonSpalte9,8)+INDEX(KonFeld2,8)=0),8,0))</f>
        <v>-1</v>
      </c>
      <c r="BO130" s="100">
        <f>IF($S$84="x",-1,IF(AND($S$84=0,INDEX(KonZeile8,9)+INDEX(KonSpalte9,9)+INDEX(KonFeld2,9)=0),9,0))</f>
        <v>-1</v>
      </c>
      <c r="BP130" s="99">
        <f>IF($T$84="x",-1,IF(AND($T$84=0,INDEX(KonZeile8,7)+INDEX(KonSpalte1,7)+INDEX(KonFeld3,7)=0),7,0))</f>
        <v>-1</v>
      </c>
      <c r="BQ130" s="45">
        <f>IF($T$84="x",-1,IF(AND($T$84=0,INDEX(KonZeile8,8)+INDEX(KonSpalte1,8)+INDEX(KonFeld3,8)=0),8,0))</f>
        <v>-1</v>
      </c>
      <c r="BR130" s="47">
        <f>IF($T$84="x",-1,IF(AND($T$84=0,INDEX(KonZeile8,9)+INDEX(KonSpalte1,9)+INDEX(KonFeld3,9)=0),9,0))</f>
        <v>-1</v>
      </c>
      <c r="BS130" s="46">
        <f>IF($U$84="x",-1,IF(AND($U$84=0,INDEX(KonZeile8,7)+INDEX(KonSpalte2,7)+INDEX(KonFeld3,7)=0),7,0))</f>
        <v>-1</v>
      </c>
      <c r="BT130" s="45">
        <f>IF($U$84="x",-1,IF(AND($U$84=0,INDEX(KonZeile8,8)+INDEX(KonSpalte2,8)+INDEX(KonFeld3,8)=0),8,0))</f>
        <v>-1</v>
      </c>
      <c r="BU130" s="47">
        <f>IF($U$84="x",-1,IF(AND($U$84=0,INDEX(KonZeile8,9)+INDEX(KonSpalte2,9)+INDEX(KonFeld3,9)=0),9,0))</f>
        <v>-1</v>
      </c>
      <c r="BV130" s="46">
        <f>IF($V$84="x",-1,IF(AND($V$84=0,INDEX(KonZeile8,7)+INDEX(KonSpalte3,7)+INDEX(KonFeld3,7)=0),7,0))</f>
        <v>-1</v>
      </c>
      <c r="BW130" s="45">
        <f>IF($V$84="x",-1,IF(AND($V$84=0,INDEX(KonZeile8,8)+INDEX(KonSpalte3,8)+INDEX(KonFeld3,8)=0),8,0))</f>
        <v>-1</v>
      </c>
      <c r="BX130" s="48">
        <f>IF($V$84="x",-1,IF(AND($V$84=0,INDEX(KonZeile8,9)+INDEX(KonSpalte3,9)+INDEX(KonFeld3,9)=0),9,0))</f>
        <v>-1</v>
      </c>
      <c r="BY130" s="44">
        <f>IF($W$84="x",-1,IF(AND($W$84=0,INDEX(KonZeile8,7)+INDEX(KonSpalte4,7)+INDEX(KonFeld3,7)=0),7,0))</f>
        <v>-1</v>
      </c>
      <c r="BZ130" s="45">
        <f>IF($W$84="x",-1,IF(AND($W$84=0,INDEX(KonZeile8,8)+INDEX(KonSpalte4,8)+INDEX(KonFeld3,8)=0),8,0))</f>
        <v>-1</v>
      </c>
      <c r="CA130" s="47">
        <f>IF($W$84="x",-1,IF(AND($W$84=0,INDEX(KonZeile8,9)+INDEX(KonSpalte4,9)+INDEX(KonFeld3,9)=0),9,0))</f>
        <v>-1</v>
      </c>
      <c r="CB130" s="46">
        <f>IF($X$84="x",-1,IF(AND($X$84=0,INDEX(KonZeile8,7)+INDEX(KonSpalte5,7)+INDEX(KonFeld3,7)=0),7,0))</f>
        <v>-1</v>
      </c>
      <c r="CC130" s="45">
        <f>IF($X$84="x",-1,IF(AND($X$84=0,INDEX(KonZeile8,8)+INDEX(KonSpalte5,8)+INDEX(KonFeld3,8)=0),8,0))</f>
        <v>-1</v>
      </c>
      <c r="CD130" s="47">
        <f>IF($X$84="x",-1,IF(AND($X$84=0,INDEX(KonZeile8,9)+INDEX(KonSpalte5,9)+INDEX(KonFeld3,9)=0),9,0))</f>
        <v>-1</v>
      </c>
      <c r="CE130" s="46">
        <f>IF($Y$84="x",-1,IF(AND($Y$84=0,INDEX(KonZeile8,7)+INDEX(KonSpalte6,7)+INDEX(KonFeld3,7)=0),7,0))</f>
        <v>-1</v>
      </c>
      <c r="CF130" s="45">
        <f>IF($Y$84="x",-1,IF(AND($Y$84=0,INDEX(KonZeile8,8)+INDEX(KonSpalte6,8)+INDEX(KonFeld3,8)=0),8,0))</f>
        <v>-1</v>
      </c>
      <c r="CG130" s="48">
        <f>IF($Y$84="x",-1,IF(AND($Y$84=0,INDEX(KonZeile8,9)+INDEX(KonSpalte6,9)+INDEX(KonFeld3,9)=0),9,0))</f>
        <v>-1</v>
      </c>
      <c r="CH130" s="44">
        <f>IF($Z$84="x",-1,IF(AND($Z$84=0,INDEX(KonZeile8,7)+INDEX(KonSpalte7,7)+INDEX(KonFeld3,7)=0),7,0))</f>
        <v>-1</v>
      </c>
      <c r="CI130" s="45">
        <f>IF($Z$84="x",-1,IF(AND($Z$84=0,INDEX(KonZeile8,8)+INDEX(KonSpalte7,8)+INDEX(KonFeld3,8)=0),8,0))</f>
        <v>-1</v>
      </c>
      <c r="CJ130" s="47">
        <f>IF($Z$84="x",-1,IF(AND($Z$84=0,INDEX(KonZeile8,9)+INDEX(KonSpalte7,9)+INDEX(KonFeld3,9)=0),9,0))</f>
        <v>-1</v>
      </c>
      <c r="CK130" s="46">
        <f>IF($AA$84="x",-1,IF(AND($AA$84=0,INDEX(KonZeile8,7)+INDEX(KonSpalte8,7)+INDEX(KonFeld3,7)=0),7,0))</f>
        <v>-1</v>
      </c>
      <c r="CL130" s="45">
        <f>IF($AA$84="x",-1,IF(AND($AA$84=0,INDEX(KonZeile8,8)+INDEX(KonSpalte8,8)+INDEX(KonFeld3,8)=0),8,0))</f>
        <v>-1</v>
      </c>
      <c r="CM130" s="47">
        <f>IF($AA$84="x",-1,IF(AND($AA$84=0,INDEX(KonZeile8,9)+INDEX(KonSpalte8,9)+INDEX(KonFeld3,9)=0),9,0))</f>
        <v>-1</v>
      </c>
      <c r="CN130" s="46">
        <f>IF($AB$84="x",-1,IF(AND($AB$84=0,INDEX(KonZeile8,7)+INDEX(KonSpalte9,7)+INDEX(KonFeld3,7)=0),7,0))</f>
        <v>-1</v>
      </c>
      <c r="CO130" s="45">
        <f>IF($AB$84="x",-1,IF(AND($AB$84=0,INDEX(KonZeile8,8)+INDEX(KonSpalte9,8)+INDEX(KonFeld3,8)=0),8,0))</f>
        <v>-1</v>
      </c>
      <c r="CP130" s="100">
        <f>IF($AB$84="x",-1,IF(AND($AB$84=0,INDEX(KonZeile8,9)+INDEX(KonSpalte9,9)+INDEX(KonFeld3,9)=0),9,0))</f>
        <v>-1</v>
      </c>
      <c r="CR130" s="46">
        <f>COUNTIF(N130:CP130,7)</f>
        <v>0</v>
      </c>
      <c r="CS130" s="45">
        <f>COUNTIF(N130:CP130,8)</f>
        <v>0</v>
      </c>
      <c r="CT130" s="47">
        <f>COUNTIF(N130:CP130,9)</f>
        <v>0</v>
      </c>
      <c r="CU130" s="39"/>
      <c r="CV130" s="39"/>
      <c r="CX130" s="101">
        <f t="shared" si="104"/>
        <v>0</v>
      </c>
      <c r="CY130" s="102">
        <f t="shared" si="105"/>
        <v>0</v>
      </c>
      <c r="CZ130" s="103">
        <f t="shared" si="106"/>
        <v>0</v>
      </c>
      <c r="DE130" s="231">
        <f t="shared" si="171"/>
        <v>70</v>
      </c>
      <c r="DF130" s="232">
        <f t="shared" si="135"/>
        <v>70</v>
      </c>
      <c r="DG130" s="233">
        <f t="shared" si="136"/>
        <v>70</v>
      </c>
      <c r="DH130" s="234">
        <f t="shared" si="137"/>
        <v>70</v>
      </c>
      <c r="DI130" s="232">
        <f t="shared" si="138"/>
        <v>70</v>
      </c>
      <c r="DJ130" s="233">
        <f t="shared" si="139"/>
        <v>70</v>
      </c>
      <c r="DK130" s="234">
        <f t="shared" si="140"/>
        <v>40</v>
      </c>
      <c r="DL130" s="232">
        <f t="shared" si="141"/>
        <v>40</v>
      </c>
      <c r="DM130" s="235">
        <f t="shared" si="142"/>
        <v>40</v>
      </c>
      <c r="DN130" s="231">
        <f t="shared" si="172"/>
        <v>70</v>
      </c>
      <c r="DO130" s="232">
        <f t="shared" si="144"/>
        <v>70</v>
      </c>
      <c r="DP130" s="233">
        <f t="shared" si="145"/>
        <v>70</v>
      </c>
      <c r="DQ130" s="234">
        <f t="shared" si="146"/>
        <v>70</v>
      </c>
      <c r="DR130" s="232">
        <f t="shared" si="147"/>
        <v>70</v>
      </c>
      <c r="DS130" s="233">
        <f t="shared" si="148"/>
        <v>70</v>
      </c>
      <c r="DT130" s="234">
        <f t="shared" si="149"/>
        <v>90</v>
      </c>
      <c r="DU130" s="232">
        <f t="shared" si="150"/>
        <v>90</v>
      </c>
      <c r="DV130" s="235">
        <f t="shared" si="151"/>
        <v>90</v>
      </c>
      <c r="DW130" s="231">
        <f t="shared" si="152"/>
        <v>90</v>
      </c>
      <c r="DX130" s="232">
        <f t="shared" si="153"/>
        <v>90</v>
      </c>
      <c r="DY130" s="233">
        <f t="shared" si="154"/>
        <v>90</v>
      </c>
      <c r="DZ130" s="234">
        <f t="shared" si="155"/>
        <v>90</v>
      </c>
      <c r="EA130" s="232">
        <f t="shared" si="156"/>
        <v>90</v>
      </c>
      <c r="EB130" s="233">
        <f t="shared" si="157"/>
        <v>90</v>
      </c>
      <c r="EC130" s="234">
        <f t="shared" si="158"/>
        <v>90</v>
      </c>
      <c r="ED130" s="232">
        <f t="shared" si="159"/>
        <v>90</v>
      </c>
      <c r="EE130" s="235">
        <f t="shared" si="160"/>
        <v>90</v>
      </c>
      <c r="EI130" s="388"/>
      <c r="EJ130" s="359"/>
      <c r="EK130" s="360"/>
      <c r="EL130" s="358"/>
      <c r="EM130" s="359"/>
      <c r="EN130" s="360"/>
      <c r="EO130" s="284"/>
      <c r="EP130" s="285"/>
      <c r="EQ130" s="435"/>
      <c r="ER130" s="388"/>
      <c r="ES130" s="359">
        <v>8</v>
      </c>
      <c r="ET130" s="360"/>
      <c r="EU130" s="358"/>
      <c r="EV130" s="359"/>
      <c r="EW130" s="360"/>
      <c r="EX130" s="405"/>
      <c r="EY130" s="403">
        <v>8</v>
      </c>
      <c r="EZ130" s="406"/>
      <c r="FA130" s="402"/>
      <c r="FB130" s="403">
        <v>8</v>
      </c>
      <c r="FC130" s="404"/>
      <c r="FD130" s="405"/>
      <c r="FE130" s="403">
        <v>8</v>
      </c>
      <c r="FF130" s="404"/>
      <c r="FG130" s="405"/>
      <c r="FH130" s="403">
        <v>8</v>
      </c>
      <c r="FI130" s="406"/>
      <c r="FM130" s="388"/>
      <c r="FN130" s="359"/>
      <c r="FO130" s="360"/>
      <c r="FP130" s="358"/>
      <c r="FQ130" s="359"/>
      <c r="FR130" s="360"/>
      <c r="FS130" s="284"/>
      <c r="FT130" s="285"/>
      <c r="FU130" s="435"/>
      <c r="FV130" s="388"/>
      <c r="FW130" s="359"/>
      <c r="FX130" s="360"/>
      <c r="FY130" s="358"/>
      <c r="FZ130" s="359"/>
      <c r="GA130" s="360"/>
      <c r="GB130" s="405"/>
      <c r="GC130" s="403"/>
      <c r="GD130" s="406"/>
      <c r="GE130" s="402"/>
      <c r="GF130" s="403"/>
      <c r="GG130" s="404"/>
      <c r="GH130" s="405"/>
      <c r="GI130" s="403"/>
      <c r="GJ130" s="404"/>
      <c r="GK130" s="405"/>
      <c r="GL130" s="403"/>
      <c r="GM130" s="406"/>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2:235" ht="15" customHeight="1">
      <c r="B131" s="65" t="str">
        <f>T77</f>
        <v>x</v>
      </c>
      <c r="C131" s="66" t="str">
        <f t="shared" ref="C131:J131" si="173">U77</f>
        <v>x</v>
      </c>
      <c r="D131" s="66" t="str">
        <f t="shared" si="173"/>
        <v>x</v>
      </c>
      <c r="E131" s="66" t="str">
        <f t="shared" si="173"/>
        <v>x</v>
      </c>
      <c r="F131" s="66" t="str">
        <f t="shared" si="173"/>
        <v>x</v>
      </c>
      <c r="G131" s="66" t="str">
        <f t="shared" si="173"/>
        <v>x</v>
      </c>
      <c r="H131" s="66" t="str">
        <f t="shared" si="173"/>
        <v>x</v>
      </c>
      <c r="I131" s="66">
        <f t="shared" si="173"/>
        <v>8</v>
      </c>
      <c r="J131" s="67" t="str">
        <f t="shared" si="173"/>
        <v>x</v>
      </c>
      <c r="N131" s="104">
        <f>IF($B$85="x",-1,IF(AND($B$85=0,INDEX(KonZeile9,1)+INDEX(KonSpalte1,1)+INDEX(KonFeld1,1)=0),1,0))</f>
        <v>-1</v>
      </c>
      <c r="O131" s="50">
        <f>IF($B$85="x",-1,IF(AND($B$85=0,INDEX(KonZeile9,2)+INDEX(KonSpalte1,2)+INDEX(KonFeld1,2)=0),2,0))</f>
        <v>-1</v>
      </c>
      <c r="P131" s="51">
        <f>IF($B$85="x",-1,IF(AND($B$85=0,INDEX(KonZeile9,3)+INDEX(KonSpalte1,3)+INDEX(KonFeld1,3)=0),3,0))</f>
        <v>-1</v>
      </c>
      <c r="Q131" s="52">
        <f>IF($C$85="x",-1,IF(AND($C$85=0,INDEX(KonZeile9,1)+INDEX(KonSpalte2,1)+INDEX(KonFeld1,1)=0),1,0))</f>
        <v>-1</v>
      </c>
      <c r="R131" s="50">
        <f>IF($C$85="x",-1,IF(AND($C$85=0,INDEX(KonZeile9,2)+INDEX(KonSpalte2,2)+INDEX(KonFeld1,2)=0),2,0))</f>
        <v>-1</v>
      </c>
      <c r="S131" s="51">
        <f>IF($C$85="x",-1,IF(AND($C$85=0,INDEX(KonZeile9,3)+INDEX(KonSpalte2,3)+INDEX(KonFeld1,3)=0),3,0))</f>
        <v>-1</v>
      </c>
      <c r="T131" s="52">
        <f>IF($D$85="x",-1,IF(AND($D$85=0,INDEX(KonZeile9,1)+INDEX(KonSpalte3,1)+INDEX(KonFeld1,1)=0),1,0))</f>
        <v>-1</v>
      </c>
      <c r="U131" s="50">
        <f>IF($D$85="x",-1,IF(AND($D$85=0,INDEX(KonZeile9,2)+INDEX(KonSpalte3,2)+INDEX(KonFeld1,2)=0),2,0))</f>
        <v>-1</v>
      </c>
      <c r="V131" s="53">
        <f>IF($D$85="x",-1,IF(AND($D$85=0,INDEX(KonZeile9,3)+INDEX(KonSpalte3,3)+INDEX(KonFeld1,3)=0),3,0))</f>
        <v>-1</v>
      </c>
      <c r="W131" s="49">
        <f>IF($E$85="x",-1,IF(AND($E$85=0,INDEX(KonZeile9,1)+INDEX(KonSpalte4,1)+INDEX(KonFeld1,1)=0),1,0))</f>
        <v>-1</v>
      </c>
      <c r="X131" s="50">
        <f>IF($E$85="x",-1,IF(AND($E$85=0,INDEX(KonZeile9,2)+INDEX(KonSpalte4,2)+INDEX(KonFeld1,2)=0),2,0))</f>
        <v>-1</v>
      </c>
      <c r="Y131" s="51">
        <f>IF($E$85="x",-1,IF(AND($E$85=0,INDEX(KonZeile9,3)+INDEX(KonSpalte4,3)+INDEX(KonFeld1,3)=0),3,0))</f>
        <v>-1</v>
      </c>
      <c r="Z131" s="52">
        <f>IF($F$85="x",-1,IF(AND($F$85=0,INDEX(KonZeile9,1)+INDEX(KonSpalte5,1)+INDEX(KonFeld1,1)=0),1,0))</f>
        <v>-1</v>
      </c>
      <c r="AA131" s="50">
        <f>IF($F$85="x",-1,IF(AND($F$85=0,INDEX(KonZeile9,2)+INDEX(KonSpalte5,2)+INDEX(KonFeld1,2)=0),2,0))</f>
        <v>-1</v>
      </c>
      <c r="AB131" s="51">
        <f>IF($F$85="x",-1,IF(AND($F$85=0,INDEX(KonZeile9,3)+INDEX(KonSpalte5,3)+INDEX(KonFeld1,3)=0),3,0))</f>
        <v>-1</v>
      </c>
      <c r="AC131" s="52">
        <f>IF($G$85="x",-1,IF(AND($G$85=0,INDEX(KonZeile9,1)+INDEX(KonSpalte6,1)+INDEX(KonFeld1,1)=0),1,0))</f>
        <v>-1</v>
      </c>
      <c r="AD131" s="50">
        <f>IF($G$85="x",-1,IF(AND($G$85=0,INDEX(KonZeile9,2)+INDEX(KonSpalte6,2)+INDEX(KonFeld1,2)=0),2,0))</f>
        <v>-1</v>
      </c>
      <c r="AE131" s="53">
        <f>IF($G$85="x",-1,IF(AND($G$85=0,INDEX(KonZeile9,3)+INDEX(KonSpalte6,3)+INDEX(KonFeld1,3)=0),3,0))</f>
        <v>-1</v>
      </c>
      <c r="AF131" s="49">
        <f>IF($H$85="x",-1,IF(AND($H$85=0,INDEX(KonZeile9,1)+INDEX(KonSpalte7,1)+INDEX(KonFeld1,1)=0),1,0))</f>
        <v>-1</v>
      </c>
      <c r="AG131" s="50">
        <f>IF($H$85="x",-1,IF(AND($H$85=0,INDEX(KonZeile9,2)+INDEX(KonSpalte7,2)+INDEX(KonFeld1,2)=0),2,0))</f>
        <v>-1</v>
      </c>
      <c r="AH131" s="51">
        <f>IF($H$85="x",-1,IF(AND($H$85=0,INDEX(KonZeile9,3)+INDEX(KonSpalte7,3)+INDEX(KonFeld1,3)=0),3,0))</f>
        <v>-1</v>
      </c>
      <c r="AI131" s="52">
        <f>IF($I$85="x",-1,IF(AND($I$85=0,INDEX(KonZeile9,1)+INDEX(KonSpalte8,1)+INDEX(KonFeld1,1)=0),1,0))</f>
        <v>-1</v>
      </c>
      <c r="AJ131" s="50">
        <f>IF($I$85="x",-1,IF(AND($I$85=0,INDEX(KonZeile9,2)+INDEX(KonSpalte8,2)+INDEX(KonFeld1,2)=0),2,0))</f>
        <v>-1</v>
      </c>
      <c r="AK131" s="51">
        <f>IF($I$85="x",-1,IF(AND($I$85=0,INDEX(KonZeile9,3)+INDEX(KonSpalte8,3)+INDEX(KonFeld1,3)=0),3,0))</f>
        <v>-1</v>
      </c>
      <c r="AL131" s="52">
        <f>IF($J$85="x",-1,IF(AND($J$85=0,INDEX(KonZeile9,1)+INDEX(KonSpalte9,1)+INDEX(KonFeld1,1)=0),1,0))</f>
        <v>-1</v>
      </c>
      <c r="AM131" s="50">
        <f>IF($J$85="x",-1,IF(AND($J$85=0,INDEX(KonZeile9,2)+INDEX(KonSpalte9,2)+INDEX(KonFeld1,2)=0),2,0))</f>
        <v>-1</v>
      </c>
      <c r="AN131" s="105">
        <f>IF($J$85="x",-1,IF(AND($J$85=0,INDEX(KonZeile9,3)+INDEX(KonSpalte9,3)+INDEX(KonFeld1,3)=0),3,0))</f>
        <v>-1</v>
      </c>
      <c r="AO131" s="104">
        <f>IF($K$85="x",-1,IF(AND($K$85=0,INDEX(KonZeile9,1)+INDEX(KonSpalte1,1)+INDEX(KonFeld2,1)=0),1,0))</f>
        <v>-1</v>
      </c>
      <c r="AP131" s="50">
        <f>IF($K$85="x",-1,IF(AND($K$85=0,INDEX(KonZeile9,2)+INDEX(KonSpalte1,2)+INDEX(KonFeld2,2)=0),2,0))</f>
        <v>-1</v>
      </c>
      <c r="AQ131" s="51">
        <f>IF($K$85="x",-1,IF(AND($K$85=0,INDEX(KonZeile9,3)+INDEX(KonSpalte1,3)+INDEX(KonFeld2,3)=0),3,0))</f>
        <v>-1</v>
      </c>
      <c r="AR131" s="52">
        <f>IF($L$85="x",-1,IF(AND($L$85=0,INDEX(KonZeile9,1)+INDEX(KonSpalte2,1)+INDEX(KonFeld2,1)=0),1,0))</f>
        <v>-1</v>
      </c>
      <c r="AS131" s="50">
        <f>IF($L$85="x",-1,IF(AND($L$85=0,INDEX(KonZeile9,2)+INDEX(KonSpalte2,2)+INDEX(KonFeld2,2)=0),2,0))</f>
        <v>-1</v>
      </c>
      <c r="AT131" s="51">
        <f>IF($L$85="x",-1,IF(AND($L$85=0,INDEX(KonZeile9,3)+INDEX(KonSpalte2,3)+INDEX(KonFeld2,3)=0),3,0))</f>
        <v>-1</v>
      </c>
      <c r="AU131" s="52">
        <f>IF($M$85="x",-1,IF(AND($M$85=0,INDEX(KonZeile9,1)+INDEX(KonSpalte3,1)+INDEX(KonFeld2,1)=0),1,0))</f>
        <v>-1</v>
      </c>
      <c r="AV131" s="50">
        <f>IF($M$85="x",-1,IF(AND($M$85=0,INDEX(KonZeile9,2)+INDEX(KonSpalte3,2)+INDEX(KonFeld2,2)=0),2,0))</f>
        <v>-1</v>
      </c>
      <c r="AW131" s="53">
        <f>IF($M$85="x",-1,IF(AND($M$85=0,INDEX(KonZeile9,3)+INDEX(KonSpalte3,3)+INDEX(KonFeld2,3)=0),3,0))</f>
        <v>-1</v>
      </c>
      <c r="AX131" s="49">
        <f>IF($N$85="x",-1,IF(AND($N$85=0,INDEX(KonZeile9,1)+INDEX(KonSpalte4,1)+INDEX(KonFeld2,1)=0),1,0))</f>
        <v>-1</v>
      </c>
      <c r="AY131" s="50">
        <f>IF($N$85="x",-1,IF(AND($N$85=0,INDEX(KonZeile9,2)+INDEX(KonSpalte4,2)+INDEX(KonFeld2,2)=0),2,0))</f>
        <v>-1</v>
      </c>
      <c r="AZ131" s="51">
        <f>IF($N$85="x",-1,IF(AND($N$85=0,INDEX(KonZeile9,3)+INDEX(KonSpalte4,3)+INDEX(KonFeld2,3)=0),3,0))</f>
        <v>-1</v>
      </c>
      <c r="BA131" s="52">
        <f>IF($O$85="x",-1,IF(AND($O$85=0,INDEX(KonZeile9,1)+INDEX(KonSpalte5,1)+INDEX(KonFeld2,1)=0),1,0))</f>
        <v>-1</v>
      </c>
      <c r="BB131" s="50">
        <f>IF($O$85="x",-1,IF(AND($O$85=0,INDEX(KonZeile9,2)+INDEX(KonSpalte5,2)+INDEX(KonFeld2,2)=0),2,0))</f>
        <v>-1</v>
      </c>
      <c r="BC131" s="51">
        <f>IF($O$85="x",-1,IF(AND($O$85=0,INDEX(KonZeile9,3)+INDEX(KonSpalte5,3)+INDEX(KonFeld2,3)=0),3,0))</f>
        <v>-1</v>
      </c>
      <c r="BD131" s="52">
        <f>IF($P$85="x",-1,IF(AND($P$85=0,INDEX(KonZeile9,1)+INDEX(KonSpalte6,1)+INDEX(KonFeld2,1)=0),1,0))</f>
        <v>-1</v>
      </c>
      <c r="BE131" s="50">
        <f>IF($P$85="x",-1,IF(AND($P$85=0,INDEX(KonZeile9,2)+INDEX(KonSpalte6,2)+INDEX(KonFeld2,2)=0),2,0))</f>
        <v>-1</v>
      </c>
      <c r="BF131" s="53">
        <f>IF($P$85="x",-1,IF(AND($P$85=0,INDEX(KonZeile9,3)+INDEX(KonSpalte6,3)+INDEX(KonFeld2,3)=0),3,0))</f>
        <v>-1</v>
      </c>
      <c r="BG131" s="49">
        <f>IF($Q$85="x",-1,IF(AND($Q$85=0,INDEX(KonZeile9,1)+INDEX(KonSpalte7,1)+INDEX(KonFeld2,1)=0),1,0))</f>
        <v>-1</v>
      </c>
      <c r="BH131" s="50">
        <f>IF($Q$85="x",-1,IF(AND($Q$85=0,INDEX(KonZeile9,2)+INDEX(KonSpalte7,2)+INDEX(KonFeld2,2)=0),2,0))</f>
        <v>-1</v>
      </c>
      <c r="BI131" s="51">
        <f>IF($Q$85="x",-1,IF(AND($Q$85=0,INDEX(KonZeile9,3)+INDEX(KonSpalte7,3)+INDEX(KonFeld2,3)=0),3,0))</f>
        <v>-1</v>
      </c>
      <c r="BJ131" s="52">
        <f>IF($R$85="x",-1,IF(AND($R$85=0,INDEX(KonZeile9,1)+INDEX(KonSpalte8,1)+INDEX(KonFeld2,1)=0),1,0))</f>
        <v>-1</v>
      </c>
      <c r="BK131" s="50">
        <f>IF($R$85="x",-1,IF(AND($R$85=0,INDEX(KonZeile9,2)+INDEX(KonSpalte8,2)+INDEX(KonFeld2,2)=0),2,0))</f>
        <v>-1</v>
      </c>
      <c r="BL131" s="51">
        <f>IF($R$85="x",-1,IF(AND($R$85=0,INDEX(KonZeile9,3)+INDEX(KonSpalte8,3)+INDEX(KonFeld2,3)=0),3,0))</f>
        <v>-1</v>
      </c>
      <c r="BM131" s="52">
        <f>IF($S$85="x",-1,IF(AND($S$85=0,INDEX(KonZeile9,1)+INDEX(KonSpalte9,1)+INDEX(KonFeld2,1)=0),1,0))</f>
        <v>-1</v>
      </c>
      <c r="BN131" s="50">
        <f>IF($S$85="x",-1,IF(AND($S$85=0,INDEX(KonZeile9,2)+INDEX(KonSpalte9,2)+INDEX(KonFeld2,2)=0),2,0))</f>
        <v>-1</v>
      </c>
      <c r="BO131" s="105">
        <f>IF($S$85="x",-1,IF(AND($S$85=0,INDEX(KonZeile9,3)+INDEX(KonSpalte9,3)+INDEX(KonFeld2,3)=0),3,0))</f>
        <v>-1</v>
      </c>
      <c r="BP131" s="104">
        <f>IF($T$85="x",-1,IF(AND($T$85=0,INDEX(KonZeile9,1)+INDEX(KonSpalte1,1)+INDEX(KonFeld3,1)=0),1,0))</f>
        <v>-1</v>
      </c>
      <c r="BQ131" s="50">
        <f>IF($T$85="x",-1,IF(AND($T$85=0,INDEX(KonZeile9,2)+INDEX(KonSpalte1,2)+INDEX(KonFeld3,2)=0),2,0))</f>
        <v>-1</v>
      </c>
      <c r="BR131" s="51">
        <f>IF($T$85="x",-1,IF(AND($T$85=0,INDEX(KonZeile9,3)+INDEX(KonSpalte1,3)+INDEX(KonFeld3,3)=0),3,0))</f>
        <v>-1</v>
      </c>
      <c r="BS131" s="52">
        <f>IF($U$85="x",-1,IF(AND($U$85=0,INDEX(KonZeile9,1)+INDEX(KonSpalte2,1)+INDEX(KonFeld3,1)=0),1,0))</f>
        <v>-1</v>
      </c>
      <c r="BT131" s="50">
        <f>IF($U$85="x",-1,IF(AND($U$85=0,INDEX(KonZeile9,2)+INDEX(KonSpalte2,2)+INDEX(KonFeld3,2)=0),2,0))</f>
        <v>-1</v>
      </c>
      <c r="BU131" s="51">
        <f>IF($U$85="x",-1,IF(AND($U$85=0,INDEX(KonZeile9,3)+INDEX(KonSpalte2,3)+INDEX(KonFeld3,3)=0),3,0))</f>
        <v>-1</v>
      </c>
      <c r="BV131" s="52">
        <f>IF($V$85="x",-1,IF(AND($V$85=0,INDEX(KonZeile9,1)+INDEX(KonSpalte3,1)+INDEX(KonFeld3,1)=0),1,0))</f>
        <v>-1</v>
      </c>
      <c r="BW131" s="50">
        <f>IF($V$85="x",-1,IF(AND($V$85=0,INDEX(KonZeile9,2)+INDEX(KonSpalte3,2)+INDEX(KonFeld3,2)=0),2,0))</f>
        <v>-1</v>
      </c>
      <c r="BX131" s="53">
        <f>IF($V$85="x",-1,IF(AND($V$85=0,INDEX(KonZeile9,3)+INDEX(KonSpalte3,3)+INDEX(KonFeld3,3)=0),3,0))</f>
        <v>-1</v>
      </c>
      <c r="BY131" s="49">
        <f>IF($W$85="x",-1,IF(AND($W$85=0,INDEX(KonZeile9,1)+INDEX(KonSpalte4,1)+INDEX(KonFeld3,1)=0),1,0))</f>
        <v>-1</v>
      </c>
      <c r="BZ131" s="50">
        <f>IF($W$85="x",-1,IF(AND($W$85=0,INDEX(KonZeile9,2)+INDEX(KonSpalte4,2)+INDEX(KonFeld3,2)=0),2,0))</f>
        <v>-1</v>
      </c>
      <c r="CA131" s="51">
        <f>IF($W$85="x",-1,IF(AND($W$85=0,INDEX(KonZeile9,3)+INDEX(KonSpalte4,3)+INDEX(KonFeld3,3)=0),3,0))</f>
        <v>-1</v>
      </c>
      <c r="CB131" s="52">
        <f>IF($X$85="x",-1,IF(AND($X$85=0,INDEX(KonZeile9,1)+INDEX(KonSpalte5,1)+INDEX(KonFeld3,1)=0),1,0))</f>
        <v>-1</v>
      </c>
      <c r="CC131" s="50">
        <f>IF($X$85="x",-1,IF(AND($X$85=0,INDEX(KonZeile9,2)+INDEX(KonSpalte5,2)+INDEX(KonFeld3,2)=0),2,0))</f>
        <v>-1</v>
      </c>
      <c r="CD131" s="51">
        <f>IF($X$85="x",-1,IF(AND($X$85=0,INDEX(KonZeile9,3)+INDEX(KonSpalte5,3)+INDEX(KonFeld3,3)=0),3,0))</f>
        <v>-1</v>
      </c>
      <c r="CE131" s="52">
        <f>IF($Y$85="x",-1,IF(AND($Y$85=0,INDEX(KonZeile9,1)+INDEX(KonSpalte6,1)+INDEX(KonFeld3,1)=0),1,0))</f>
        <v>-1</v>
      </c>
      <c r="CF131" s="50">
        <f>IF($Y$85="x",-1,IF(AND($Y$85=0,INDEX(KonZeile9,2)+INDEX(KonSpalte6,2)+INDEX(KonFeld3,2)=0),2,0))</f>
        <v>-1</v>
      </c>
      <c r="CG131" s="53">
        <f>IF($Y$85="x",-1,IF(AND($Y$85=0,INDEX(KonZeile9,3)+INDEX(KonSpalte6,3)+INDEX(KonFeld3,3)=0),3,0))</f>
        <v>-1</v>
      </c>
      <c r="CH131" s="49">
        <f>IF($Z$85="x",-1,IF(AND($Z$85=0,INDEX(KonZeile9,1)+INDEX(KonSpalte7,1)+INDEX(KonFeld3,1)=0),1,0))</f>
        <v>-1</v>
      </c>
      <c r="CI131" s="50">
        <f>IF($Z$85="x",-1,IF(AND($Z$85=0,INDEX(KonZeile9,2)+INDEX(KonSpalte7,2)+INDEX(KonFeld3,2)=0),2,0))</f>
        <v>-1</v>
      </c>
      <c r="CJ131" s="51">
        <f>IF($Z$85="x",-1,IF(AND($Z$85=0,INDEX(KonZeile9,3)+INDEX(KonSpalte7,3)+INDEX(KonFeld3,3)=0),3,0))</f>
        <v>-1</v>
      </c>
      <c r="CK131" s="52">
        <f>IF($AA$85="x",-1,IF(AND($AA$85=0,INDEX(KonZeile9,1)+INDEX(KonSpalte8,1)+INDEX(KonFeld3,1)=0),1,0))</f>
        <v>-1</v>
      </c>
      <c r="CL131" s="50">
        <f>IF($AA$85="x",-1,IF(AND($AA$85=0,INDEX(KonZeile9,2)+INDEX(KonSpalte8,2)+INDEX(KonFeld3,2)=0),2,0))</f>
        <v>-1</v>
      </c>
      <c r="CM131" s="51">
        <f>IF($AA$85="x",-1,IF(AND($AA$85=0,INDEX(KonZeile9,3)+INDEX(KonSpalte8,3)+INDEX(KonFeld3,3)=0),3,0))</f>
        <v>-1</v>
      </c>
      <c r="CN131" s="52">
        <f>IF($AB$85="x",-1,IF(AND($AB$85=0,INDEX(KonZeile9,1)+INDEX(KonSpalte9,1)+INDEX(KonFeld3,1)=0),1,0))</f>
        <v>-1</v>
      </c>
      <c r="CO131" s="50">
        <f>IF($AB$85="x",-1,IF(AND($AB$85=0,INDEX(KonZeile9,2)+INDEX(KonSpalte9,2)+INDEX(KonFeld3,2)=0),2,0))</f>
        <v>-1</v>
      </c>
      <c r="CP131" s="105">
        <f>IF($AB$85="x",-1,IF(AND($AB$85=0,INDEX(KonZeile9,3)+INDEX(KonSpalte9,3)+INDEX(KonFeld3,3)=0),3,0))</f>
        <v>-1</v>
      </c>
      <c r="CR131" s="52">
        <f>COUNTIF(N131:CP131,1)</f>
        <v>0</v>
      </c>
      <c r="CS131" s="50">
        <f>COUNTIF(N131:CP131,2)</f>
        <v>0</v>
      </c>
      <c r="CT131" s="51">
        <f>COUNTIF(N131:CP131,3)</f>
        <v>0</v>
      </c>
      <c r="CU131" s="39"/>
      <c r="CV131" s="39"/>
      <c r="CX131" s="91">
        <f t="shared" si="104"/>
        <v>0</v>
      </c>
      <c r="CY131" s="92">
        <f t="shared" si="105"/>
        <v>0</v>
      </c>
      <c r="CZ131" s="93">
        <f t="shared" si="106"/>
        <v>0</v>
      </c>
      <c r="DE131" s="236">
        <f>IF(N131&gt;=0,10+N131,IF(AO131&gt;=0,20+AO131,IF(BP131&gt;=0,30+BP131,IF(N158&gt;=0,40+N158,IF(AO158&gt;=0,50+AO158,IF(BP158&gt;=0,60+BP158,IF(N185&gt;=0,70+N185,IF(AO185&gt;=0,80+AO185,IF(BP185&gt;=0,90+BP185,"")))))))))</f>
        <v>70</v>
      </c>
      <c r="DF131" s="237">
        <f t="shared" si="135"/>
        <v>70</v>
      </c>
      <c r="DG131" s="238">
        <f t="shared" si="136"/>
        <v>70</v>
      </c>
      <c r="DH131" s="239">
        <f t="shared" si="137"/>
        <v>70</v>
      </c>
      <c r="DI131" s="237">
        <f t="shared" si="138"/>
        <v>70</v>
      </c>
      <c r="DJ131" s="238">
        <f t="shared" si="139"/>
        <v>70</v>
      </c>
      <c r="DK131" s="239">
        <f t="shared" si="140"/>
        <v>70</v>
      </c>
      <c r="DL131" s="237">
        <f t="shared" si="141"/>
        <v>70</v>
      </c>
      <c r="DM131" s="240">
        <f t="shared" si="142"/>
        <v>70</v>
      </c>
      <c r="DN131" s="236">
        <f>IF(W131&gt;=0,10+W131,IF(AX131&gt;=0,20+AX131,IF(BY131&gt;=0,30+BY131,IF(W158&gt;=0,40+W158,IF(AX158&gt;=0,50+AX158,IF(BY158&gt;=0,60+BY158,IF(W185&gt;=0,70+W185,IF(AX185&gt;=0,80+AX185,IF(BY185&gt;=0,90+BY185,"")))))))))</f>
        <v>70</v>
      </c>
      <c r="DO131" s="237">
        <f t="shared" si="144"/>
        <v>70</v>
      </c>
      <c r="DP131" s="238">
        <f t="shared" si="145"/>
        <v>70</v>
      </c>
      <c r="DQ131" s="239">
        <f t="shared" si="146"/>
        <v>90</v>
      </c>
      <c r="DR131" s="237">
        <f t="shared" si="147"/>
        <v>90</v>
      </c>
      <c r="DS131" s="238">
        <f t="shared" si="148"/>
        <v>90</v>
      </c>
      <c r="DT131" s="239">
        <f t="shared" si="149"/>
        <v>90</v>
      </c>
      <c r="DU131" s="237">
        <f t="shared" si="150"/>
        <v>90</v>
      </c>
      <c r="DV131" s="240">
        <f t="shared" si="151"/>
        <v>90</v>
      </c>
      <c r="DW131" s="236">
        <f t="shared" si="152"/>
        <v>90</v>
      </c>
      <c r="DX131" s="237">
        <f t="shared" si="153"/>
        <v>90</v>
      </c>
      <c r="DY131" s="238">
        <f t="shared" si="154"/>
        <v>90</v>
      </c>
      <c r="DZ131" s="239">
        <f t="shared" si="155"/>
        <v>90</v>
      </c>
      <c r="EA131" s="237">
        <f t="shared" si="156"/>
        <v>90</v>
      </c>
      <c r="EB131" s="238">
        <f t="shared" si="157"/>
        <v>90</v>
      </c>
      <c r="EC131" s="239">
        <f t="shared" si="158"/>
        <v>90</v>
      </c>
      <c r="ED131" s="237">
        <f t="shared" si="159"/>
        <v>90</v>
      </c>
      <c r="EE131" s="240">
        <f t="shared" si="160"/>
        <v>90</v>
      </c>
      <c r="EI131" s="361">
        <v>1</v>
      </c>
      <c r="EJ131" s="348"/>
      <c r="EK131" s="349">
        <v>3</v>
      </c>
      <c r="EL131" s="347">
        <v>1</v>
      </c>
      <c r="EM131" s="348"/>
      <c r="EN131" s="349"/>
      <c r="EO131" s="347"/>
      <c r="EP131" s="348"/>
      <c r="EQ131" s="449"/>
      <c r="ER131" s="361">
        <v>1</v>
      </c>
      <c r="ES131" s="348"/>
      <c r="ET131" s="349"/>
      <c r="EU131" s="395"/>
      <c r="EV131" s="393"/>
      <c r="EW131" s="394"/>
      <c r="EX131" s="395">
        <v>1</v>
      </c>
      <c r="EY131" s="393"/>
      <c r="EZ131" s="396">
        <v>3</v>
      </c>
      <c r="FA131" s="392">
        <v>1</v>
      </c>
      <c r="FB131" s="393"/>
      <c r="FC131" s="394">
        <v>3</v>
      </c>
      <c r="FD131" s="395"/>
      <c r="FE131" s="393"/>
      <c r="FF131" s="394"/>
      <c r="FG131" s="395"/>
      <c r="FH131" s="393"/>
      <c r="FI131" s="396">
        <v>3</v>
      </c>
      <c r="FM131" s="361"/>
      <c r="FN131" s="348"/>
      <c r="FO131" s="349"/>
      <c r="FP131" s="347"/>
      <c r="FQ131" s="348"/>
      <c r="FR131" s="349"/>
      <c r="FS131" s="347"/>
      <c r="FT131" s="348"/>
      <c r="FU131" s="449"/>
      <c r="FV131" s="361"/>
      <c r="FW131" s="348"/>
      <c r="FX131" s="349"/>
      <c r="FY131" s="395"/>
      <c r="FZ131" s="393"/>
      <c r="GA131" s="394"/>
      <c r="GB131" s="395"/>
      <c r="GC131" s="393"/>
      <c r="GD131" s="396"/>
      <c r="GE131" s="392"/>
      <c r="GF131" s="393"/>
      <c r="GG131" s="394"/>
      <c r="GH131" s="395"/>
      <c r="GI131" s="393"/>
      <c r="GJ131" s="394"/>
      <c r="GK131" s="395"/>
      <c r="GL131" s="393"/>
      <c r="GM131" s="396">
        <v>3</v>
      </c>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2:235" ht="15" customHeight="1">
      <c r="B132" s="72" t="str">
        <f t="shared" ref="B132:B157" si="174">T78</f>
        <v>x</v>
      </c>
      <c r="C132" s="73" t="str">
        <f t="shared" ref="C132:C157" si="175">U78</f>
        <v>x</v>
      </c>
      <c r="D132" s="73" t="str">
        <f t="shared" ref="D132:D157" si="176">V78</f>
        <v>x</v>
      </c>
      <c r="E132" s="73" t="str">
        <f t="shared" ref="E132:E157" si="177">W78</f>
        <v>x</v>
      </c>
      <c r="F132" s="73" t="str">
        <f t="shared" ref="F132:F157" si="178">X78</f>
        <v>x</v>
      </c>
      <c r="G132" s="73" t="str">
        <f t="shared" ref="G132:G157" si="179">Y78</f>
        <v>x</v>
      </c>
      <c r="H132" s="73" t="str">
        <f t="shared" ref="H132:H157" si="180">Z78</f>
        <v>x</v>
      </c>
      <c r="I132" s="73" t="str">
        <f t="shared" ref="I132:I157" si="181">AA78</f>
        <v>x</v>
      </c>
      <c r="J132" s="74">
        <f t="shared" ref="J132:J157" si="182">AB78</f>
        <v>6</v>
      </c>
      <c r="N132" s="94">
        <f>IF($B$85="x",-1,IF(AND($B$85=0,INDEX(KonZeile9,4)+INDEX(KonSpalte1,4)+INDEX(KonFeld1,4)=0),4,0))</f>
        <v>-1</v>
      </c>
      <c r="O132" s="39">
        <f>IF($B$85="x",-1,IF(AND($B$85=0,INDEX(KonZeile9,5)+INDEX(KonSpalte1,5)+INDEX(KonFeld1,5)=0),5,0))</f>
        <v>-1</v>
      </c>
      <c r="P132" s="41">
        <f>IF($B$85="x",-1,IF(AND($B$85=0,INDEX(KonZeile9,6)+INDEX(KonSpalte1,6)+INDEX(KonFeld1,6)=0),6,0))</f>
        <v>-1</v>
      </c>
      <c r="Q132" s="40">
        <f>IF($C$85="x",-1,IF(AND($C$85=0,INDEX(KonZeile9,4)+INDEX(KonSpalte2,4)+INDEX(KonFeld1,4)=0),4,0))</f>
        <v>-1</v>
      </c>
      <c r="R132" s="39">
        <f>IF($C$85="x",-1,IF(AND($C$85=0,INDEX(KonZeile9,5)+INDEX(KonSpalte2,5)+INDEX(KonFeld1,5)=0),5,0))</f>
        <v>-1</v>
      </c>
      <c r="S132" s="41">
        <f>IF($C$85="x",-1,IF(AND($C$85=0,INDEX(KonZeile9,6)+INDEX(KonSpalte2,6)+INDEX(KonFeld1,6)=0),6,0))</f>
        <v>-1</v>
      </c>
      <c r="T132" s="40">
        <f>IF($D$85="x",-1,IF(AND($D$85=0,INDEX(KonZeile9,4)+INDEX(KonSpalte3,4)+INDEX(KonFeld1,4)=0),4,0))</f>
        <v>-1</v>
      </c>
      <c r="U132" s="39">
        <f>IF($D$85="x",-1,IF(AND($D$85=0,INDEX(KonZeile9,5)+INDEX(KonSpalte3,5)+INDEX(KonFeld1,5)=0),5,0))</f>
        <v>-1</v>
      </c>
      <c r="V132" s="42">
        <f>IF($D$85="x",-1,IF(AND($D$85=0,INDEX(KonZeile9,6)+INDEX(KonSpalte3,6)+INDEX(KonFeld1,6)=0),6,0))</f>
        <v>-1</v>
      </c>
      <c r="W132" s="43">
        <f>IF($E$85="x",-1,IF(AND($E$85=0,INDEX(KonZeile9,4)+INDEX(KonSpalte4,4)+INDEX(KonFeld1,4)=0),4,0))</f>
        <v>-1</v>
      </c>
      <c r="X132" s="39">
        <f>IF($E$85="x",-1,IF(AND($E$85=0,INDEX(KonZeile9,5)+INDEX(KonSpalte4,5)+INDEX(KonFeld1,5)=0),5,0))</f>
        <v>-1</v>
      </c>
      <c r="Y132" s="41">
        <f>IF($E$85="x",-1,IF(AND($E$85=0,INDEX(KonZeile9,6)+INDEX(KonSpalte4,6)+INDEX(KonFeld1,6)=0),6,0))</f>
        <v>-1</v>
      </c>
      <c r="Z132" s="40">
        <f>IF($F$85="x",-1,IF(AND($F$85=0,INDEX(KonZeile9,4)+INDEX(KonSpalte5,4)+INDEX(KonFeld1,4)=0),4,0))</f>
        <v>-1</v>
      </c>
      <c r="AA132" s="39">
        <f>IF($F$85="x",-1,IF(AND($F$85=0,INDEX(KonZeile9,5)+INDEX(KonSpalte5,5)+INDEX(KonFeld1,5)=0),5,0))</f>
        <v>-1</v>
      </c>
      <c r="AB132" s="41">
        <f>IF($F$85="x",-1,IF(AND($F$85=0,INDEX(KonZeile9,6)+INDEX(KonSpalte5,6)+INDEX(KonFeld1,6)=0),6,0))</f>
        <v>-1</v>
      </c>
      <c r="AC132" s="40">
        <f>IF($G$85="x",-1,IF(AND($G$85=0,INDEX(KonZeile9,4)+INDEX(KonSpalte6,4)+INDEX(KonFeld1,4)=0),4,0))</f>
        <v>-1</v>
      </c>
      <c r="AD132" s="39">
        <f>IF($G$85="x",-1,IF(AND($G$85=0,INDEX(KonZeile9,5)+INDEX(KonSpalte6,5)+INDEX(KonFeld1,5)=0),5,0))</f>
        <v>-1</v>
      </c>
      <c r="AE132" s="42">
        <f>IF($G$85="x",-1,IF(AND($G$85=0,INDEX(KonZeile9,6)+INDEX(KonSpalte6,6)+INDEX(KonFeld1,6)=0),6,0))</f>
        <v>-1</v>
      </c>
      <c r="AF132" s="43">
        <f>IF($H$85="x",-1,IF(AND($H$85=0,INDEX(KonZeile9,4)+INDEX(KonSpalte7,4)+INDEX(KonFeld1,4)=0),4,0))</f>
        <v>-1</v>
      </c>
      <c r="AG132" s="39">
        <f>IF($H$85="x",-1,IF(AND($H$85=0,INDEX(KonZeile9,5)+INDEX(KonSpalte7,5)+INDEX(KonFeld1,5)=0),5,0))</f>
        <v>-1</v>
      </c>
      <c r="AH132" s="41">
        <f>IF($H$85="x",-1,IF(AND($H$85=0,INDEX(KonZeile9,6)+INDEX(KonSpalte7,6)+INDEX(KonFeld1,6)=0),6,0))</f>
        <v>-1</v>
      </c>
      <c r="AI132" s="40">
        <f>IF($I$85="x",-1,IF(AND($I$85=0,INDEX(KonZeile9,4)+INDEX(KonSpalte8,4)+INDEX(KonFeld1,4)=0),4,0))</f>
        <v>-1</v>
      </c>
      <c r="AJ132" s="39">
        <f>IF($I$85="x",-1,IF(AND($I$85=0,INDEX(KonZeile9,5)+INDEX(KonSpalte8,5)+INDEX(KonFeld1,5)=0),5,0))</f>
        <v>-1</v>
      </c>
      <c r="AK132" s="41">
        <f>IF($I$85="x",-1,IF(AND($I$85=0,INDEX(KonZeile9,6)+INDEX(KonSpalte8,6)+INDEX(KonFeld1,6)=0),6,0))</f>
        <v>-1</v>
      </c>
      <c r="AL132" s="40">
        <f>IF($J$85="x",-1,IF(AND($J$85=0,INDEX(KonZeile9,4)+INDEX(KonSpalte9,4)+INDEX(KonFeld1,4)=0),4,0))</f>
        <v>-1</v>
      </c>
      <c r="AM132" s="39">
        <f>IF($J$85="x",-1,IF(AND($J$85=0,INDEX(KonZeile9,5)+INDEX(KonSpalte9,5)+INDEX(KonFeld1,5)=0),5,0))</f>
        <v>-1</v>
      </c>
      <c r="AN132" s="95">
        <f>IF($J$85="x",-1,IF(AND($J$85=0,INDEX(KonZeile9,6)+INDEX(KonSpalte9,6)+INDEX(KonFeld1,6)=0),6,0))</f>
        <v>-1</v>
      </c>
      <c r="AO132" s="94">
        <f>IF($K$85="x",-1,IF(AND($K$85=0,INDEX(KonZeile9,4)+INDEX(KonSpalte1,4)+INDEX(KonFeld2,4)=0),4,0))</f>
        <v>-1</v>
      </c>
      <c r="AP132" s="39">
        <f>IF($K$85="x",-1,IF(AND($K$85=0,INDEX(KonZeile9,5)+INDEX(KonSpalte1,5)+INDEX(KonFeld2,5)=0),5,0))</f>
        <v>-1</v>
      </c>
      <c r="AQ132" s="41">
        <f>IF($K$85="x",-1,IF(AND($K$85=0,INDEX(KonZeile9,6)+INDEX(KonSpalte1,6)+INDEX(KonFeld2,6)=0),6,0))</f>
        <v>-1</v>
      </c>
      <c r="AR132" s="40">
        <f>IF($L$85="x",-1,IF(AND($L$85=0,INDEX(KonZeile9,4)+INDEX(KonSpalte2,4)+INDEX(KonFeld2,4)=0),4,0))</f>
        <v>-1</v>
      </c>
      <c r="AS132" s="39">
        <f>IF($L$85="x",-1,IF(AND($L$85=0,INDEX(KonZeile9,5)+INDEX(KonSpalte2,5)+INDEX(KonFeld2,5)=0),5,0))</f>
        <v>-1</v>
      </c>
      <c r="AT132" s="41">
        <f>IF($L$85="x",-1,IF(AND($L$85=0,INDEX(KonZeile9,6)+INDEX(KonSpalte2,6)+INDEX(KonFeld2,6)=0),6,0))</f>
        <v>-1</v>
      </c>
      <c r="AU132" s="40">
        <f>IF($M$85="x",-1,IF(AND($M$85=0,INDEX(KonZeile9,4)+INDEX(KonSpalte3,4)+INDEX(KonFeld2,4)=0),4,0))</f>
        <v>-1</v>
      </c>
      <c r="AV132" s="39">
        <f>IF($M$85="x",-1,IF(AND($M$85=0,INDEX(KonZeile9,5)+INDEX(KonSpalte3,5)+INDEX(KonFeld2,5)=0),5,0))</f>
        <v>-1</v>
      </c>
      <c r="AW132" s="42">
        <f>IF($M$85="x",-1,IF(AND($M$85=0,INDEX(KonZeile9,6)+INDEX(KonSpalte3,6)+INDEX(KonFeld2,6)=0),6,0))</f>
        <v>-1</v>
      </c>
      <c r="AX132" s="43">
        <f>IF($N$85="x",-1,IF(AND($N$85=0,INDEX(KonZeile9,4)+INDEX(KonSpalte4,4)+INDEX(KonFeld2,4)=0),4,0))</f>
        <v>-1</v>
      </c>
      <c r="AY132" s="39">
        <f>IF($N$85="x",-1,IF(AND($N$85=0,INDEX(KonZeile9,5)+INDEX(KonSpalte4,5)+INDEX(KonFeld2,5)=0),5,0))</f>
        <v>-1</v>
      </c>
      <c r="AZ132" s="41">
        <f>IF($N$85="x",-1,IF(AND($N$85=0,INDEX(KonZeile9,6)+INDEX(KonSpalte4,6)+INDEX(KonFeld2,6)=0),6,0))</f>
        <v>-1</v>
      </c>
      <c r="BA132" s="40">
        <f>IF($O$85="x",-1,IF(AND($O$85=0,INDEX(KonZeile9,4)+INDEX(KonSpalte5,4)+INDEX(KonFeld2,4)=0),4,0))</f>
        <v>-1</v>
      </c>
      <c r="BB132" s="39">
        <f>IF($O$85="x",-1,IF(AND($O$85=0,INDEX(KonZeile9,5)+INDEX(KonSpalte5,5)+INDEX(KonFeld2,5)=0),5,0))</f>
        <v>-1</v>
      </c>
      <c r="BC132" s="41">
        <f>IF($O$85="x",-1,IF(AND($O$85=0,INDEX(KonZeile9,6)+INDEX(KonSpalte5,6)+INDEX(KonFeld2,6)=0),6,0))</f>
        <v>-1</v>
      </c>
      <c r="BD132" s="40">
        <f>IF($P$85="x",-1,IF(AND($P$85=0,INDEX(KonZeile9,4)+INDEX(KonSpalte6,4)+INDEX(KonFeld2,4)=0),4,0))</f>
        <v>-1</v>
      </c>
      <c r="BE132" s="39">
        <f>IF($P$85="x",-1,IF(AND($P$85=0,INDEX(KonZeile9,5)+INDEX(KonSpalte6,5)+INDEX(KonFeld2,5)=0),5,0))</f>
        <v>-1</v>
      </c>
      <c r="BF132" s="42">
        <f>IF($P$85="x",-1,IF(AND($P$85=0,INDEX(KonZeile9,6)+INDEX(KonSpalte6,6)+INDEX(KonFeld2,6)=0),6,0))</f>
        <v>-1</v>
      </c>
      <c r="BG132" s="43">
        <f>IF($Q$85="x",-1,IF(AND($Q$85=0,INDEX(KonZeile9,4)+INDEX(KonSpalte7,4)+INDEX(KonFeld2,4)=0),4,0))</f>
        <v>-1</v>
      </c>
      <c r="BH132" s="39">
        <f>IF($Q$85="x",-1,IF(AND($Q$85=0,INDEX(KonZeile9,5)+INDEX(KonSpalte7,5)+INDEX(KonFeld2,5)=0),5,0))</f>
        <v>-1</v>
      </c>
      <c r="BI132" s="41">
        <f>IF($Q$85="x",-1,IF(AND($Q$85=0,INDEX(KonZeile9,6)+INDEX(KonSpalte7,6)+INDEX(KonFeld2,6)=0),6,0))</f>
        <v>-1</v>
      </c>
      <c r="BJ132" s="40">
        <f>IF($R$85="x",-1,IF(AND($R$85=0,INDEX(KonZeile9,4)+INDEX(KonSpalte8,4)+INDEX(KonFeld2,4)=0),4,0))</f>
        <v>-1</v>
      </c>
      <c r="BK132" s="39">
        <f>IF($R$85="x",-1,IF(AND($R$85=0,INDEX(KonZeile9,5)+INDEX(KonSpalte8,5)+INDEX(KonFeld2,5)=0),5,0))</f>
        <v>-1</v>
      </c>
      <c r="BL132" s="41">
        <f>IF($R$85="x",-1,IF(AND($R$85=0,INDEX(KonZeile9,6)+INDEX(KonSpalte8,6)+INDEX(KonFeld2,6)=0),6,0))</f>
        <v>-1</v>
      </c>
      <c r="BM132" s="40">
        <f>IF($S$85="x",-1,IF(AND($S$85=0,INDEX(KonZeile9,4)+INDEX(KonSpalte9,4)+INDEX(KonFeld2,4)=0),4,0))</f>
        <v>-1</v>
      </c>
      <c r="BN132" s="39">
        <f>IF($S$85="x",-1,IF(AND($S$85=0,INDEX(KonZeile9,5)+INDEX(KonSpalte9,5)+INDEX(KonFeld2,5)=0),5,0))</f>
        <v>-1</v>
      </c>
      <c r="BO132" s="95">
        <f>IF($S$85="x",-1,IF(AND($S$85=0,INDEX(KonZeile9,6)+INDEX(KonSpalte9,6)+INDEX(KonFeld2,6)=0),6,0))</f>
        <v>-1</v>
      </c>
      <c r="BP132" s="94">
        <f>IF($T$85="x",-1,IF(AND($T$85=0,INDEX(KonZeile9,4)+INDEX(KonSpalte1,4)+INDEX(KonFeld3,4)=0),4,0))</f>
        <v>-1</v>
      </c>
      <c r="BQ132" s="39">
        <f>IF($T$85="x",-1,IF(AND($T$85=0,INDEX(KonZeile9,5)+INDEX(KonSpalte1,5)+INDEX(KonFeld3,5)=0),5,0))</f>
        <v>-1</v>
      </c>
      <c r="BR132" s="41">
        <f>IF($T$85="x",-1,IF(AND($T$85=0,INDEX(KonZeile9,6)+INDEX(KonSpalte1,6)+INDEX(KonFeld3,6)=0),6,0))</f>
        <v>-1</v>
      </c>
      <c r="BS132" s="40">
        <f>IF($U$85="x",-1,IF(AND($U$85=0,INDEX(KonZeile9,4)+INDEX(KonSpalte2,4)+INDEX(KonFeld3,4)=0),4,0))</f>
        <v>-1</v>
      </c>
      <c r="BT132" s="39">
        <f>IF($U$85="x",-1,IF(AND($U$85=0,INDEX(KonZeile9,5)+INDEX(KonSpalte2,5)+INDEX(KonFeld3,5)=0),5,0))</f>
        <v>-1</v>
      </c>
      <c r="BU132" s="41">
        <f>IF($U$85="x",-1,IF(AND($U$85=0,INDEX(KonZeile9,6)+INDEX(KonSpalte2,6)+INDEX(KonFeld3,6)=0),6,0))</f>
        <v>-1</v>
      </c>
      <c r="BV132" s="40">
        <f>IF($V$85="x",-1,IF(AND($V$85=0,INDEX(KonZeile9,4)+INDEX(KonSpalte3,4)+INDEX(KonFeld3,4)=0),4,0))</f>
        <v>-1</v>
      </c>
      <c r="BW132" s="39">
        <f>IF($V$85="x",-1,IF(AND($V$85=0,INDEX(KonZeile9,5)+INDEX(KonSpalte3,5)+INDEX(KonFeld3,5)=0),5,0))</f>
        <v>-1</v>
      </c>
      <c r="BX132" s="42">
        <f>IF($V$85="x",-1,IF(AND($V$85=0,INDEX(KonZeile9,6)+INDEX(KonSpalte3,6)+INDEX(KonFeld3,6)=0),6,0))</f>
        <v>-1</v>
      </c>
      <c r="BY132" s="43">
        <f>IF($W$85="x",-1,IF(AND($W$85=0,INDEX(KonZeile9,4)+INDEX(KonSpalte4,4)+INDEX(KonFeld3,4)=0),4,0))</f>
        <v>-1</v>
      </c>
      <c r="BZ132" s="39">
        <f>IF($W$85="x",-1,IF(AND($W$85=0,INDEX(KonZeile9,5)+INDEX(KonSpalte4,5)+INDEX(KonFeld3,5)=0),5,0))</f>
        <v>-1</v>
      </c>
      <c r="CA132" s="41">
        <f>IF($W$85="x",-1,IF(AND($W$85=0,INDEX(KonZeile9,6)+INDEX(KonSpalte4,6)+INDEX(KonFeld3,6)=0),6,0))</f>
        <v>-1</v>
      </c>
      <c r="CB132" s="40">
        <f>IF($X$85="x",-1,IF(AND($X$85=0,INDEX(KonZeile9,4)+INDEX(KonSpalte5,4)+INDEX(KonFeld3,4)=0),4,0))</f>
        <v>-1</v>
      </c>
      <c r="CC132" s="39">
        <f>IF($X$85="x",-1,IF(AND($X$85=0,INDEX(KonZeile9,5)+INDEX(KonSpalte5,5)+INDEX(KonFeld3,5)=0),5,0))</f>
        <v>-1</v>
      </c>
      <c r="CD132" s="41">
        <f>IF($X$85="x",-1,IF(AND($X$85=0,INDEX(KonZeile9,6)+INDEX(KonSpalte5,6)+INDEX(KonFeld3,6)=0),6,0))</f>
        <v>-1</v>
      </c>
      <c r="CE132" s="40">
        <f>IF($Y$85="x",-1,IF(AND($Y$85=0,INDEX(KonZeile9,4)+INDEX(KonSpalte6,4)+INDEX(KonFeld3,4)=0),4,0))</f>
        <v>-1</v>
      </c>
      <c r="CF132" s="39">
        <f>IF($Y$85="x",-1,IF(AND($Y$85=0,INDEX(KonZeile9,5)+INDEX(KonSpalte6,5)+INDEX(KonFeld3,5)=0),5,0))</f>
        <v>-1</v>
      </c>
      <c r="CG132" s="42">
        <f>IF($Y$85="x",-1,IF(AND($Y$85=0,INDEX(KonZeile9,6)+INDEX(KonSpalte6,6)+INDEX(KonFeld3,6)=0),6,0))</f>
        <v>-1</v>
      </c>
      <c r="CH132" s="43">
        <f>IF($Z$85="x",-1,IF(AND($Z$85=0,INDEX(KonZeile9,4)+INDEX(KonSpalte7,4)+INDEX(KonFeld3,4)=0),4,0))</f>
        <v>-1</v>
      </c>
      <c r="CI132" s="39">
        <f>IF($Z$85="x",-1,IF(AND($Z$85=0,INDEX(KonZeile9,5)+INDEX(KonSpalte7,5)+INDEX(KonFeld3,5)=0),5,0))</f>
        <v>-1</v>
      </c>
      <c r="CJ132" s="41">
        <f>IF($Z$85="x",-1,IF(AND($Z$85=0,INDEX(KonZeile9,6)+INDEX(KonSpalte7,6)+INDEX(KonFeld3,6)=0),6,0))</f>
        <v>-1</v>
      </c>
      <c r="CK132" s="40">
        <f>IF($AA$85="x",-1,IF(AND($AA$85=0,INDEX(KonZeile9,4)+INDEX(KonSpalte8,4)+INDEX(KonFeld3,4)=0),4,0))</f>
        <v>-1</v>
      </c>
      <c r="CL132" s="39">
        <f>IF($AA$85="x",-1,IF(AND($AA$85=0,INDEX(KonZeile9,5)+INDEX(KonSpalte8,5)+INDEX(KonFeld3,5)=0),5,0))</f>
        <v>-1</v>
      </c>
      <c r="CM132" s="41">
        <f>IF($AA$85="x",-1,IF(AND($AA$85=0,INDEX(KonZeile9,6)+INDEX(KonSpalte8,6)+INDEX(KonFeld3,6)=0),6,0))</f>
        <v>-1</v>
      </c>
      <c r="CN132" s="40">
        <f>IF($AB$85="x",-1,IF(AND($AB$85=0,INDEX(KonZeile9,4)+INDEX(KonSpalte9,4)+INDEX(KonFeld3,4)=0),4,0))</f>
        <v>-1</v>
      </c>
      <c r="CO132" s="39">
        <f>IF($AB$85="x",-1,IF(AND($AB$85=0,INDEX(KonZeile9,5)+INDEX(KonSpalte9,5)+INDEX(KonFeld3,5)=0),5,0))</f>
        <v>-1</v>
      </c>
      <c r="CP132" s="95">
        <f>IF($AB$85="x",-1,IF(AND($AB$85=0,INDEX(KonZeile9,6)+INDEX(KonSpalte9,6)+INDEX(KonFeld3,6)=0),6,0))</f>
        <v>-1</v>
      </c>
      <c r="CR132" s="40">
        <f>COUNTIF(N132:CP132,4)</f>
        <v>0</v>
      </c>
      <c r="CS132" s="39">
        <f>COUNTIF(N132:CP132,5)</f>
        <v>0</v>
      </c>
      <c r="CT132" s="41">
        <f>COUNTIF(N132:CP132,6)</f>
        <v>0</v>
      </c>
      <c r="CU132" s="39"/>
      <c r="CV132" s="39"/>
      <c r="CX132" s="96">
        <f t="shared" si="104"/>
        <v>0</v>
      </c>
      <c r="CY132" s="97">
        <f t="shared" si="105"/>
        <v>0</v>
      </c>
      <c r="CZ132" s="98">
        <f t="shared" si="106"/>
        <v>0</v>
      </c>
      <c r="DE132" s="226">
        <f t="shared" ref="DE132:DE133" si="183">IF(N132&gt;=0,10+N132,IF(AO132&gt;=0,20+AO132,IF(BP132&gt;=0,30+BP132,IF(N159&gt;=0,40+N159,IF(AO159&gt;=0,50+AO159,IF(BP159&gt;=0,60+BP159,IF(N186&gt;=0,70+N186,IF(AO186&gt;=0,80+AO186,IF(BP186&gt;=0,90+BP186,"")))))))))</f>
        <v>70</v>
      </c>
      <c r="DF132" s="227">
        <f t="shared" si="135"/>
        <v>70</v>
      </c>
      <c r="DG132" s="228">
        <f t="shared" si="136"/>
        <v>70</v>
      </c>
      <c r="DH132" s="229">
        <f t="shared" si="137"/>
        <v>70</v>
      </c>
      <c r="DI132" s="227">
        <f t="shared" si="138"/>
        <v>70</v>
      </c>
      <c r="DJ132" s="228">
        <f t="shared" si="139"/>
        <v>70</v>
      </c>
      <c r="DK132" s="229">
        <f t="shared" si="140"/>
        <v>70</v>
      </c>
      <c r="DL132" s="227">
        <f t="shared" si="141"/>
        <v>70</v>
      </c>
      <c r="DM132" s="230">
        <f t="shared" si="142"/>
        <v>70</v>
      </c>
      <c r="DN132" s="226">
        <f t="shared" ref="DN132:DN133" si="184">IF(W132&gt;=0,10+W132,IF(AX132&gt;=0,20+AX132,IF(BY132&gt;=0,30+BY132,IF(W159&gt;=0,40+W159,IF(AX159&gt;=0,50+AX159,IF(BY159&gt;=0,60+BY159,IF(W186&gt;=0,70+W186,IF(AX186&gt;=0,80+AX186,IF(BY186&gt;=0,90+BY186,"")))))))))</f>
        <v>70</v>
      </c>
      <c r="DO132" s="227">
        <f t="shared" si="144"/>
        <v>70</v>
      </c>
      <c r="DP132" s="228">
        <f t="shared" si="145"/>
        <v>70</v>
      </c>
      <c r="DQ132" s="229">
        <f t="shared" si="146"/>
        <v>90</v>
      </c>
      <c r="DR132" s="227">
        <f t="shared" si="147"/>
        <v>90</v>
      </c>
      <c r="DS132" s="228">
        <f t="shared" si="148"/>
        <v>90</v>
      </c>
      <c r="DT132" s="229">
        <f t="shared" si="149"/>
        <v>90</v>
      </c>
      <c r="DU132" s="227">
        <f t="shared" si="150"/>
        <v>90</v>
      </c>
      <c r="DV132" s="230">
        <f t="shared" si="151"/>
        <v>90</v>
      </c>
      <c r="DW132" s="226">
        <f t="shared" si="152"/>
        <v>90</v>
      </c>
      <c r="DX132" s="227">
        <f t="shared" si="153"/>
        <v>90</v>
      </c>
      <c r="DY132" s="228">
        <f t="shared" si="154"/>
        <v>90</v>
      </c>
      <c r="DZ132" s="229">
        <f t="shared" si="155"/>
        <v>90</v>
      </c>
      <c r="EA132" s="227">
        <f t="shared" si="156"/>
        <v>90</v>
      </c>
      <c r="EB132" s="228">
        <f t="shared" si="157"/>
        <v>90</v>
      </c>
      <c r="EC132" s="229">
        <f t="shared" si="158"/>
        <v>90</v>
      </c>
      <c r="ED132" s="227">
        <f t="shared" si="159"/>
        <v>90</v>
      </c>
      <c r="EE132" s="230">
        <f t="shared" si="160"/>
        <v>90</v>
      </c>
      <c r="EI132" s="367">
        <v>4</v>
      </c>
      <c r="EJ132" s="355"/>
      <c r="EK132" s="356"/>
      <c r="EL132" s="354">
        <v>4</v>
      </c>
      <c r="EM132" s="355"/>
      <c r="EN132" s="356">
        <v>6</v>
      </c>
      <c r="EO132" s="354"/>
      <c r="EP132" s="355"/>
      <c r="EQ132" s="450"/>
      <c r="ER132" s="367">
        <v>4</v>
      </c>
      <c r="ES132" s="355"/>
      <c r="ET132" s="356">
        <v>6</v>
      </c>
      <c r="EU132" s="400"/>
      <c r="EV132" s="398"/>
      <c r="EW132" s="399"/>
      <c r="EX132" s="400"/>
      <c r="EY132" s="398"/>
      <c r="EZ132" s="401">
        <v>6</v>
      </c>
      <c r="FA132" s="397">
        <v>4</v>
      </c>
      <c r="FB132" s="398"/>
      <c r="FC132" s="399"/>
      <c r="FD132" s="400"/>
      <c r="FE132" s="398"/>
      <c r="FF132" s="399"/>
      <c r="FG132" s="400"/>
      <c r="FH132" s="398"/>
      <c r="FI132" s="401"/>
      <c r="FM132" s="367"/>
      <c r="FN132" s="355"/>
      <c r="FO132" s="356"/>
      <c r="FP132" s="354"/>
      <c r="FQ132" s="355"/>
      <c r="FR132" s="356"/>
      <c r="FS132" s="354"/>
      <c r="FT132" s="355"/>
      <c r="FU132" s="450"/>
      <c r="FV132" s="367"/>
      <c r="FW132" s="355"/>
      <c r="FX132" s="356"/>
      <c r="FY132" s="400"/>
      <c r="FZ132" s="398"/>
      <c r="GA132" s="399"/>
      <c r="GB132" s="400"/>
      <c r="GC132" s="398"/>
      <c r="GD132" s="401"/>
      <c r="GE132" s="397"/>
      <c r="GF132" s="398"/>
      <c r="GG132" s="399"/>
      <c r="GH132" s="400"/>
      <c r="GI132" s="398"/>
      <c r="GJ132" s="399"/>
      <c r="GK132" s="400"/>
      <c r="GL132" s="398"/>
      <c r="GM132" s="401"/>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2:235" ht="15" customHeight="1" thickBot="1">
      <c r="B133" s="72" t="str">
        <f t="shared" si="174"/>
        <v>x</v>
      </c>
      <c r="C133" s="73" t="str">
        <f t="shared" si="175"/>
        <v>x</v>
      </c>
      <c r="D133" s="73" t="str">
        <f t="shared" si="176"/>
        <v>x</v>
      </c>
      <c r="E133" s="73" t="str">
        <f t="shared" si="177"/>
        <v>x</v>
      </c>
      <c r="F133" s="73" t="str">
        <f t="shared" si="178"/>
        <v>x</v>
      </c>
      <c r="G133" s="73" t="str">
        <f t="shared" si="179"/>
        <v>x</v>
      </c>
      <c r="H133" s="73" t="str">
        <f t="shared" si="180"/>
        <v>x</v>
      </c>
      <c r="I133" s="73">
        <f t="shared" si="181"/>
        <v>5</v>
      </c>
      <c r="J133" s="74">
        <f t="shared" si="182"/>
        <v>4</v>
      </c>
      <c r="N133" s="110">
        <f>IF($B$85="x",-1,IF(AND($B$85=0,INDEX(KonZeile9,7)+INDEX(KonSpalte1,7)+INDEX(KonFeld1,7)=0),7,0))</f>
        <v>-1</v>
      </c>
      <c r="O133" s="83">
        <f>IF($B$85="x",-1,IF(AND($B$85=0,INDEX(KonZeile9,8)+INDEX(KonSpalte1,8)+INDEX(KonFeld1,8)=0),8,0))</f>
        <v>-1</v>
      </c>
      <c r="P133" s="111">
        <f>IF($B$85="x",-1,IF(AND($B$85=0,INDEX(KonZeile9,9)+INDEX(KonSpalte1,9)+INDEX(KonFeld1,9)=0),9,0))</f>
        <v>-1</v>
      </c>
      <c r="Q133" s="112">
        <f>IF($C$85="x",-1,IF(AND($C$85=0,INDEX(KonZeile9,7)+INDEX(KonSpalte2,7)+INDEX(KonFeld1,7)=0),7,0))</f>
        <v>-1</v>
      </c>
      <c r="R133" s="83">
        <f>IF($C$85="x",-1,IF(AND($C$85=0,INDEX(KonZeile9,8)+INDEX(KonSpalte2,8)+INDEX(KonFeld1,8)=0),8,0))</f>
        <v>-1</v>
      </c>
      <c r="S133" s="111">
        <f>IF($C$85="x",-1,IF(AND($C$85=0,INDEX(KonZeile9,9)+INDEX(KonSpalte2,9)+INDEX(KonFeld1,9)=0),9,0))</f>
        <v>-1</v>
      </c>
      <c r="T133" s="112">
        <f>IF($D$85="x",-1,IF(AND($D$85=0,INDEX(KonZeile9,7)+INDEX(KonSpalte3,7)+INDEX(KonFeld1,7)=0),7,0))</f>
        <v>-1</v>
      </c>
      <c r="U133" s="83">
        <f>IF($D$85="x",-1,IF(AND($D$85=0,INDEX(KonZeile9,8)+INDEX(KonSpalte3,8)+INDEX(KonFeld1,8)=0),8,0))</f>
        <v>-1</v>
      </c>
      <c r="V133" s="113">
        <f>IF($D$85="x",-1,IF(AND($D$85=0,INDEX(KonZeile9,9)+INDEX(KonSpalte3,9)+INDEX(KonFeld1,9)=0),9,0))</f>
        <v>-1</v>
      </c>
      <c r="W133" s="114">
        <f>IF($E$85="x",-1,IF(AND($E$85=0,INDEX(KonZeile9,7)+INDEX(KonSpalte4,7)+INDEX(KonFeld1,7)=0),7,0))</f>
        <v>-1</v>
      </c>
      <c r="X133" s="83">
        <f>IF($E$85="x",-1,IF(AND($E$85=0,INDEX(KonZeile9,8)+INDEX(KonSpalte4,8)+INDEX(KonFeld1,8)=0),8,0))</f>
        <v>-1</v>
      </c>
      <c r="Y133" s="111">
        <f>IF($E$85="x",-1,IF(AND($E$85=0,INDEX(KonZeile9,9)+INDEX(KonSpalte4,9)+INDEX(KonFeld1,9)=0),9,0))</f>
        <v>-1</v>
      </c>
      <c r="Z133" s="112">
        <f>IF($F$85="x",-1,IF(AND($F$85=0,INDEX(KonZeile9,7)+INDEX(KonSpalte5,7)+INDEX(KonFeld1,7)=0),7,0))</f>
        <v>-1</v>
      </c>
      <c r="AA133" s="83">
        <f>IF($F$85="x",-1,IF(AND($F$85=0,INDEX(KonZeile9,8)+INDEX(KonSpalte5,8)+INDEX(KonFeld1,8)=0),8,0))</f>
        <v>-1</v>
      </c>
      <c r="AB133" s="111">
        <f>IF($F$85="x",-1,IF(AND($F$85=0,INDEX(KonZeile9,9)+INDEX(KonSpalte5,9)+INDEX(KonFeld1,9)=0),9,0))</f>
        <v>-1</v>
      </c>
      <c r="AC133" s="112">
        <f>IF($G$85="x",-1,IF(AND($G$85=0,INDEX(KonZeile9,7)+INDEX(KonSpalte6,7)+INDEX(KonFeld1,7)=0),7,0))</f>
        <v>-1</v>
      </c>
      <c r="AD133" s="83">
        <f>IF($G$85="x",-1,IF(AND($G$85=0,INDEX(KonZeile9,8)+INDEX(KonSpalte6,8)+INDEX(KonFeld1,8)=0),8,0))</f>
        <v>-1</v>
      </c>
      <c r="AE133" s="113">
        <f>IF($G$85="x",-1,IF(AND($G$85=0,INDEX(KonZeile9,9)+INDEX(KonSpalte6,9)+INDEX(KonFeld1,9)=0),9,0))</f>
        <v>-1</v>
      </c>
      <c r="AF133" s="114">
        <f>IF($H$85="x",-1,IF(AND($H$85=0,INDEX(KonZeile9,7)+INDEX(KonSpalte7,7)+INDEX(KonFeld1,7)=0),7,0))</f>
        <v>-1</v>
      </c>
      <c r="AG133" s="83">
        <f>IF($H$85="x",-1,IF(AND($H$85=0,INDEX(KonZeile9,8)+INDEX(KonSpalte7,8)+INDEX(KonFeld1,8)=0),8,0))</f>
        <v>-1</v>
      </c>
      <c r="AH133" s="111">
        <f>IF($H$85="x",-1,IF(AND($H$85=0,INDEX(KonZeile9,9)+INDEX(KonSpalte7,9)+INDEX(KonFeld1,9)=0),9,0))</f>
        <v>-1</v>
      </c>
      <c r="AI133" s="112">
        <f>IF($I$85="x",-1,IF(AND($I$85=0,INDEX(KonZeile9,7)+INDEX(KonSpalte8,7)+INDEX(KonFeld1,7)=0),7,0))</f>
        <v>-1</v>
      </c>
      <c r="AJ133" s="83">
        <f>IF($I$85="x",-1,IF(AND($I$85=0,INDEX(KonZeile9,8)+INDEX(KonSpalte8,8)+INDEX(KonFeld1,8)=0),8,0))</f>
        <v>-1</v>
      </c>
      <c r="AK133" s="111">
        <f>IF($I$85="x",-1,IF(AND($I$85=0,INDEX(KonZeile9,9)+INDEX(KonSpalte8,9)+INDEX(KonFeld1,9)=0),9,0))</f>
        <v>-1</v>
      </c>
      <c r="AL133" s="112">
        <f>IF($J$85="x",-1,IF(AND($J$85=0,INDEX(KonZeile9,7)+INDEX(KonSpalte9,7)+INDEX(KonFeld1,7)=0),7,0))</f>
        <v>-1</v>
      </c>
      <c r="AM133" s="83">
        <f>IF($J$85="x",-1,IF(AND($J$85=0,INDEX(KonZeile9,8)+INDEX(KonSpalte9,8)+INDEX(KonFeld1,8)=0),8,0))</f>
        <v>-1</v>
      </c>
      <c r="AN133" s="115">
        <f>IF($J$85="x",-1,IF(AND($J$85=0,INDEX(KonZeile9,9)+INDEX(KonSpalte9,9)+INDEX(KonFeld1,9)=0),9,0))</f>
        <v>-1</v>
      </c>
      <c r="AO133" s="110">
        <f>IF($K$85="x",-1,IF(AND($K$85=0,INDEX(KonZeile9,7)+INDEX(KonSpalte1,7)+INDEX(KonFeld2,7)=0),7,0))</f>
        <v>-1</v>
      </c>
      <c r="AP133" s="83">
        <f>IF($K$85="x",-1,IF(AND($K$85=0,INDEX(KonZeile9,8)+INDEX(KonSpalte1,8)+INDEX(KonFeld2,8)=0),8,0))</f>
        <v>-1</v>
      </c>
      <c r="AQ133" s="111">
        <f>IF($K$85="x",-1,IF(AND($K$85=0,INDEX(KonZeile9,9)+INDEX(KonSpalte1,9)+INDEX(KonFeld2,9)=0),9,0))</f>
        <v>-1</v>
      </c>
      <c r="AR133" s="112">
        <f>IF($L$85="x",-1,IF(AND($L$85=0,INDEX(KonZeile9,7)+INDEX(KonSpalte2,7)+INDEX(KonFeld2,7)=0),7,0))</f>
        <v>-1</v>
      </c>
      <c r="AS133" s="83">
        <f>IF($L$85="x",-1,IF(AND($L$85=0,INDEX(KonZeile9,8)+INDEX(KonSpalte2,8)+INDEX(KonFeld2,8)=0),8,0))</f>
        <v>-1</v>
      </c>
      <c r="AT133" s="111">
        <f>IF($L$85="x",-1,IF(AND($L$85=0,INDEX(KonZeile9,9)+INDEX(KonSpalte2,9)+INDEX(KonFeld2,9)=0),9,0))</f>
        <v>-1</v>
      </c>
      <c r="AU133" s="112">
        <f>IF($M$85="x",-1,IF(AND($M$85=0,INDEX(KonZeile9,7)+INDEX(KonSpalte3,7)+INDEX(KonFeld2,7)=0),7,0))</f>
        <v>-1</v>
      </c>
      <c r="AV133" s="83">
        <f>IF($M$85="x",-1,IF(AND($M$85=0,INDEX(KonZeile9,8)+INDEX(KonSpalte3,8)+INDEX(KonFeld2,8)=0),8,0))</f>
        <v>-1</v>
      </c>
      <c r="AW133" s="113">
        <f>IF($M$85="x",-1,IF(AND($M$85=0,INDEX(KonZeile9,9)+INDEX(KonSpalte3,9)+INDEX(KonFeld2,9)=0),9,0))</f>
        <v>-1</v>
      </c>
      <c r="AX133" s="114">
        <f>IF($N$85="x",-1,IF(AND($N$85=0,INDEX(KonZeile9,7)+INDEX(KonSpalte4,7)+INDEX(KonFeld2,7)=0),7,0))</f>
        <v>-1</v>
      </c>
      <c r="AY133" s="83">
        <f>IF($N$85="x",-1,IF(AND($N$85=0,INDEX(KonZeile9,8)+INDEX(KonSpalte4,8)+INDEX(KonFeld2,8)=0),8,0))</f>
        <v>-1</v>
      </c>
      <c r="AZ133" s="111">
        <f>IF($N$85="x",-1,IF(AND($N$85=0,INDEX(KonZeile9,9)+INDEX(KonSpalte4,9)+INDEX(KonFeld2,9)=0),9,0))</f>
        <v>-1</v>
      </c>
      <c r="BA133" s="112">
        <f>IF($O$85="x",-1,IF(AND($O$85=0,INDEX(KonZeile9,7)+INDEX(KonSpalte5,7)+INDEX(KonFeld2,7)=0),7,0))</f>
        <v>-1</v>
      </c>
      <c r="BB133" s="83">
        <f>IF($O$85="x",-1,IF(AND($O$85=0,INDEX(KonZeile9,8)+INDEX(KonSpalte5,8)+INDEX(KonFeld2,8)=0),8,0))</f>
        <v>-1</v>
      </c>
      <c r="BC133" s="111">
        <f>IF($O$85="x",-1,IF(AND($O$85=0,INDEX(KonZeile9,9)+INDEX(KonSpalte5,9)+INDEX(KonFeld2,9)=0),9,0))</f>
        <v>-1</v>
      </c>
      <c r="BD133" s="112">
        <f>IF($P$85="x",-1,IF(AND($P$85=0,INDEX(KonZeile9,7)+INDEX(KonSpalte6,7)+INDEX(KonFeld2,7)=0),7,0))</f>
        <v>-1</v>
      </c>
      <c r="BE133" s="83">
        <f>IF($P$85="x",-1,IF(AND($P$85=0,INDEX(KonZeile9,8)+INDEX(KonSpalte6,8)+INDEX(KonFeld2,8)=0),8,0))</f>
        <v>-1</v>
      </c>
      <c r="BF133" s="113">
        <f>IF($P$85="x",-1,IF(AND($P$85=0,INDEX(KonZeile9,9)+INDEX(KonSpalte6,9)+INDEX(KonFeld2,9)=0),9,0))</f>
        <v>-1</v>
      </c>
      <c r="BG133" s="114">
        <f>IF($Q$85="x",-1,IF(AND($Q$85=0,INDEX(KonZeile9,7)+INDEX(KonSpalte7,7)+INDEX(KonFeld2,7)=0),7,0))</f>
        <v>-1</v>
      </c>
      <c r="BH133" s="83">
        <f>IF($Q$85="x",-1,IF(AND($Q$85=0,INDEX(KonZeile9,8)+INDEX(KonSpalte7,8)+INDEX(KonFeld2,8)=0),8,0))</f>
        <v>-1</v>
      </c>
      <c r="BI133" s="111">
        <f>IF($Q$85="x",-1,IF(AND($Q$85=0,INDEX(KonZeile9,9)+INDEX(KonSpalte7,9)+INDEX(KonFeld2,9)=0),9,0))</f>
        <v>-1</v>
      </c>
      <c r="BJ133" s="112">
        <f>IF($R$85="x",-1,IF(AND($R$85=0,INDEX(KonZeile9,7)+INDEX(KonSpalte8,7)+INDEX(KonFeld2,7)=0),7,0))</f>
        <v>-1</v>
      </c>
      <c r="BK133" s="83">
        <f>IF($R$85="x",-1,IF(AND($R$85=0,INDEX(KonZeile9,8)+INDEX(KonSpalte8,8)+INDEX(KonFeld2,8)=0),8,0))</f>
        <v>-1</v>
      </c>
      <c r="BL133" s="111">
        <f>IF($R$85="x",-1,IF(AND($R$85=0,INDEX(KonZeile9,9)+INDEX(KonSpalte8,9)+INDEX(KonFeld2,9)=0),9,0))</f>
        <v>-1</v>
      </c>
      <c r="BM133" s="112">
        <f>IF($S$85="x",-1,IF(AND($S$85=0,INDEX(KonZeile9,7)+INDEX(KonSpalte9,7)+INDEX(KonFeld2,7)=0),7,0))</f>
        <v>-1</v>
      </c>
      <c r="BN133" s="83">
        <f>IF($S$85="x",-1,IF(AND($S$85=0,INDEX(KonZeile9,8)+INDEX(KonSpalte9,8)+INDEX(KonFeld2,8)=0),8,0))</f>
        <v>-1</v>
      </c>
      <c r="BO133" s="115">
        <f>IF($S$85="x",-1,IF(AND($S$85=0,INDEX(KonZeile9,9)+INDEX(KonSpalte9,9)+INDEX(KonFeld2,9)=0),9,0))</f>
        <v>-1</v>
      </c>
      <c r="BP133" s="110">
        <f>IF($T$85="x",-1,IF(AND($T$85=0,INDEX(KonZeile9,7)+INDEX(KonSpalte1,7)+INDEX(KonFeld3,7)=0),7,0))</f>
        <v>-1</v>
      </c>
      <c r="BQ133" s="83">
        <f>IF($T$85="x",-1,IF(AND($T$85=0,INDEX(KonZeile9,8)+INDEX(KonSpalte1,8)+INDEX(KonFeld3,8)=0),8,0))</f>
        <v>-1</v>
      </c>
      <c r="BR133" s="111">
        <f>IF($T$85="x",-1,IF(AND($T$85=0,INDEX(KonZeile9,9)+INDEX(KonSpalte1,9)+INDEX(KonFeld3,9)=0),9,0))</f>
        <v>-1</v>
      </c>
      <c r="BS133" s="112">
        <f>IF($U$85="x",-1,IF(AND($U$85=0,INDEX(KonZeile9,7)+INDEX(KonSpalte2,7)+INDEX(KonFeld3,7)=0),7,0))</f>
        <v>-1</v>
      </c>
      <c r="BT133" s="83">
        <f>IF($U$85="x",-1,IF(AND($U$85=0,INDEX(KonZeile9,8)+INDEX(KonSpalte2,8)+INDEX(KonFeld3,8)=0),8,0))</f>
        <v>-1</v>
      </c>
      <c r="BU133" s="111">
        <f>IF($U$85="x",-1,IF(AND($U$85=0,INDEX(KonZeile9,9)+INDEX(KonSpalte2,9)+INDEX(KonFeld3,9)=0),9,0))</f>
        <v>-1</v>
      </c>
      <c r="BV133" s="112">
        <f>IF($V$85="x",-1,IF(AND($V$85=0,INDEX(KonZeile9,7)+INDEX(KonSpalte3,7)+INDEX(KonFeld3,7)=0),7,0))</f>
        <v>-1</v>
      </c>
      <c r="BW133" s="83">
        <f>IF($V$85="x",-1,IF(AND($V$85=0,INDEX(KonZeile9,8)+INDEX(KonSpalte3,8)+INDEX(KonFeld3,8)=0),8,0))</f>
        <v>-1</v>
      </c>
      <c r="BX133" s="113">
        <f>IF($V$85="x",-1,IF(AND($V$85=0,INDEX(KonZeile9,9)+INDEX(KonSpalte3,9)+INDEX(KonFeld3,9)=0),9,0))</f>
        <v>-1</v>
      </c>
      <c r="BY133" s="114">
        <f>IF($W$85="x",-1,IF(AND($W$85=0,INDEX(KonZeile9,7)+INDEX(KonSpalte4,7)+INDEX(KonFeld3,7)=0),7,0))</f>
        <v>-1</v>
      </c>
      <c r="BZ133" s="83">
        <f>IF($W$85="x",-1,IF(AND($W$85=0,INDEX(KonZeile9,8)+INDEX(KonSpalte4,8)+INDEX(KonFeld3,8)=0),8,0))</f>
        <v>-1</v>
      </c>
      <c r="CA133" s="111">
        <f>IF($W$85="x",-1,IF(AND($W$85=0,INDEX(KonZeile9,9)+INDEX(KonSpalte4,9)+INDEX(KonFeld3,9)=0),9,0))</f>
        <v>-1</v>
      </c>
      <c r="CB133" s="112">
        <f>IF($X$85="x",-1,IF(AND($X$85=0,INDEX(KonZeile9,7)+INDEX(KonSpalte5,7)+INDEX(KonFeld3,7)=0),7,0))</f>
        <v>-1</v>
      </c>
      <c r="CC133" s="83">
        <f>IF($X$85="x",-1,IF(AND($X$85=0,INDEX(KonZeile9,8)+INDEX(KonSpalte5,8)+INDEX(KonFeld3,8)=0),8,0))</f>
        <v>-1</v>
      </c>
      <c r="CD133" s="111">
        <f>IF($X$85="x",-1,IF(AND($X$85=0,INDEX(KonZeile9,9)+INDEX(KonSpalte5,9)+INDEX(KonFeld3,9)=0),9,0))</f>
        <v>-1</v>
      </c>
      <c r="CE133" s="112">
        <f>IF($Y$85="x",-1,IF(AND($Y$85=0,INDEX(KonZeile9,7)+INDEX(KonSpalte6,7)+INDEX(KonFeld3,7)=0),7,0))</f>
        <v>-1</v>
      </c>
      <c r="CF133" s="83">
        <f>IF($Y$85="x",-1,IF(AND($Y$85=0,INDEX(KonZeile9,8)+INDEX(KonSpalte6,8)+INDEX(KonFeld3,8)=0),8,0))</f>
        <v>-1</v>
      </c>
      <c r="CG133" s="113">
        <f>IF($Y$85="x",-1,IF(AND($Y$85=0,INDEX(KonZeile9,9)+INDEX(KonSpalte6,9)+INDEX(KonFeld3,9)=0),9,0))</f>
        <v>-1</v>
      </c>
      <c r="CH133" s="114">
        <f>IF($Z$85="x",-1,IF(AND($Z$85=0,INDEX(KonZeile9,7)+INDEX(KonSpalte7,7)+INDEX(KonFeld3,7)=0),7,0))</f>
        <v>-1</v>
      </c>
      <c r="CI133" s="83">
        <f>IF($Z$85="x",-1,IF(AND($Z$85=0,INDEX(KonZeile9,8)+INDEX(KonSpalte7,8)+INDEX(KonFeld3,8)=0),8,0))</f>
        <v>-1</v>
      </c>
      <c r="CJ133" s="111">
        <f>IF($Z$85="x",-1,IF(AND($Z$85=0,INDEX(KonZeile9,9)+INDEX(KonSpalte7,9)+INDEX(KonFeld3,9)=0),9,0))</f>
        <v>-1</v>
      </c>
      <c r="CK133" s="112">
        <f>IF($AA$85="x",-1,IF(AND($AA$85=0,INDEX(KonZeile9,7)+INDEX(KonSpalte8,7)+INDEX(KonFeld3,7)=0),7,0))</f>
        <v>-1</v>
      </c>
      <c r="CL133" s="83">
        <f>IF($AA$85="x",-1,IF(AND($AA$85=0,INDEX(KonZeile9,8)+INDEX(KonSpalte8,8)+INDEX(KonFeld3,8)=0),8,0))</f>
        <v>-1</v>
      </c>
      <c r="CM133" s="111">
        <f>IF($AA$85="x",-1,IF(AND($AA$85=0,INDEX(KonZeile9,9)+INDEX(KonSpalte8,9)+INDEX(KonFeld3,9)=0),9,0))</f>
        <v>-1</v>
      </c>
      <c r="CN133" s="112">
        <f>IF($AB$85="x",-1,IF(AND($AB$85=0,INDEX(KonZeile9,7)+INDEX(KonSpalte9,7)+INDEX(KonFeld3,7)=0),7,0))</f>
        <v>-1</v>
      </c>
      <c r="CO133" s="83">
        <f>IF($AB$85="x",-1,IF(AND($AB$85=0,INDEX(KonZeile9,8)+INDEX(KonSpalte9,8)+INDEX(KonFeld3,8)=0),8,0))</f>
        <v>-1</v>
      </c>
      <c r="CP133" s="115">
        <f>IF($AB$85="x",-1,IF(AND($AB$85=0,INDEX(KonZeile9,9)+INDEX(KonSpalte9,9)+INDEX(KonFeld3,9)=0),9,0))</f>
        <v>-1</v>
      </c>
      <c r="CR133" s="46">
        <f>COUNTIF(N133:CP133,7)</f>
        <v>0</v>
      </c>
      <c r="CS133" s="45">
        <f>COUNTIF(N133:CP133,8)</f>
        <v>0</v>
      </c>
      <c r="CT133" s="47">
        <f>COUNTIF(N133:CP133,9)</f>
        <v>0</v>
      </c>
      <c r="CU133" s="39"/>
      <c r="CV133" s="39"/>
      <c r="CX133" s="101">
        <f t="shared" si="104"/>
        <v>0</v>
      </c>
      <c r="CY133" s="102">
        <f t="shared" si="105"/>
        <v>0</v>
      </c>
      <c r="CZ133" s="103">
        <f t="shared" si="106"/>
        <v>0</v>
      </c>
      <c r="DE133" s="241">
        <f t="shared" si="183"/>
        <v>70</v>
      </c>
      <c r="DF133" s="242">
        <f t="shared" si="135"/>
        <v>70</v>
      </c>
      <c r="DG133" s="243">
        <f t="shared" si="136"/>
        <v>70</v>
      </c>
      <c r="DH133" s="244">
        <f t="shared" si="137"/>
        <v>70</v>
      </c>
      <c r="DI133" s="242">
        <f t="shared" si="138"/>
        <v>70</v>
      </c>
      <c r="DJ133" s="243">
        <f t="shared" si="139"/>
        <v>70</v>
      </c>
      <c r="DK133" s="244">
        <f t="shared" si="140"/>
        <v>70</v>
      </c>
      <c r="DL133" s="242">
        <f t="shared" si="141"/>
        <v>70</v>
      </c>
      <c r="DM133" s="245">
        <f t="shared" si="142"/>
        <v>70</v>
      </c>
      <c r="DN133" s="241">
        <f t="shared" si="184"/>
        <v>70</v>
      </c>
      <c r="DO133" s="242">
        <f t="shared" si="144"/>
        <v>70</v>
      </c>
      <c r="DP133" s="243">
        <f t="shared" si="145"/>
        <v>70</v>
      </c>
      <c r="DQ133" s="244">
        <f t="shared" si="146"/>
        <v>90</v>
      </c>
      <c r="DR133" s="242">
        <f t="shared" si="147"/>
        <v>90</v>
      </c>
      <c r="DS133" s="243">
        <f t="shared" si="148"/>
        <v>90</v>
      </c>
      <c r="DT133" s="244">
        <f t="shared" si="149"/>
        <v>90</v>
      </c>
      <c r="DU133" s="242">
        <f t="shared" si="150"/>
        <v>90</v>
      </c>
      <c r="DV133" s="245">
        <f t="shared" si="151"/>
        <v>90</v>
      </c>
      <c r="DW133" s="241">
        <f t="shared" si="152"/>
        <v>90</v>
      </c>
      <c r="DX133" s="242">
        <f t="shared" si="153"/>
        <v>90</v>
      </c>
      <c r="DY133" s="243">
        <f t="shared" si="154"/>
        <v>90</v>
      </c>
      <c r="DZ133" s="244">
        <f t="shared" si="155"/>
        <v>90</v>
      </c>
      <c r="EA133" s="242">
        <f t="shared" si="156"/>
        <v>90</v>
      </c>
      <c r="EB133" s="243">
        <f t="shared" si="157"/>
        <v>90</v>
      </c>
      <c r="EC133" s="244">
        <f t="shared" si="158"/>
        <v>90</v>
      </c>
      <c r="ED133" s="242">
        <f t="shared" si="159"/>
        <v>90</v>
      </c>
      <c r="EE133" s="245">
        <f t="shared" si="160"/>
        <v>90</v>
      </c>
      <c r="EI133" s="373"/>
      <c r="EJ133" s="374"/>
      <c r="EK133" s="375"/>
      <c r="EL133" s="452"/>
      <c r="EM133" s="374"/>
      <c r="EN133" s="375"/>
      <c r="EO133" s="452"/>
      <c r="EP133" s="374"/>
      <c r="EQ133" s="455"/>
      <c r="ER133" s="373"/>
      <c r="ES133" s="374">
        <v>8</v>
      </c>
      <c r="ET133" s="375"/>
      <c r="EU133" s="407"/>
      <c r="EV133" s="408"/>
      <c r="EW133" s="471"/>
      <c r="EX133" s="407"/>
      <c r="EY133" s="408">
        <v>8</v>
      </c>
      <c r="EZ133" s="409"/>
      <c r="FA133" s="470">
        <v>7</v>
      </c>
      <c r="FB133" s="408">
        <v>8</v>
      </c>
      <c r="FC133" s="471"/>
      <c r="FD133" s="407"/>
      <c r="FE133" s="408"/>
      <c r="FF133" s="471"/>
      <c r="FG133" s="407"/>
      <c r="FH133" s="408">
        <v>8</v>
      </c>
      <c r="FI133" s="409"/>
      <c r="FM133" s="373"/>
      <c r="FN133" s="374"/>
      <c r="FO133" s="375"/>
      <c r="FP133" s="452"/>
      <c r="FQ133" s="374"/>
      <c r="FR133" s="375"/>
      <c r="FS133" s="452"/>
      <c r="FT133" s="374"/>
      <c r="FU133" s="455"/>
      <c r="FV133" s="373"/>
      <c r="FW133" s="374"/>
      <c r="FX133" s="375"/>
      <c r="FY133" s="407"/>
      <c r="FZ133" s="408"/>
      <c r="GA133" s="471"/>
      <c r="GB133" s="407"/>
      <c r="GC133" s="408"/>
      <c r="GD133" s="409"/>
      <c r="GE133" s="470"/>
      <c r="GF133" s="408"/>
      <c r="GG133" s="471"/>
      <c r="GH133" s="407"/>
      <c r="GI133" s="408"/>
      <c r="GJ133" s="471"/>
      <c r="GK133" s="407"/>
      <c r="GL133" s="408">
        <v>8</v>
      </c>
      <c r="GM133" s="409"/>
      <c r="GY133"/>
      <c r="GZ133"/>
      <c r="HA133"/>
      <c r="HB133"/>
      <c r="HC133"/>
      <c r="HD133"/>
      <c r="HE133"/>
      <c r="HF133"/>
      <c r="HG133"/>
      <c r="HH133"/>
      <c r="HI133"/>
      <c r="HJ133"/>
      <c r="HK133"/>
      <c r="HL133"/>
      <c r="HM133"/>
      <c r="HN133"/>
      <c r="HO133"/>
      <c r="HP133"/>
      <c r="HQ133"/>
      <c r="HR133"/>
      <c r="HS133"/>
      <c r="HT133"/>
      <c r="HU133"/>
      <c r="HV133"/>
      <c r="HW133"/>
      <c r="HX133"/>
      <c r="HY133"/>
      <c r="HZ133"/>
      <c r="IA133"/>
    </row>
    <row r="134" spans="2:235" ht="15" customHeight="1" thickTop="1">
      <c r="B134" s="72" t="str">
        <f t="shared" si="174"/>
        <v>x</v>
      </c>
      <c r="C134" s="73" t="str">
        <f t="shared" si="175"/>
        <v>x</v>
      </c>
      <c r="D134" s="73" t="str">
        <f t="shared" si="176"/>
        <v>x</v>
      </c>
      <c r="E134" s="73" t="str">
        <f t="shared" si="177"/>
        <v>x</v>
      </c>
      <c r="F134" s="73" t="str">
        <f t="shared" si="178"/>
        <v>x</v>
      </c>
      <c r="G134" s="73" t="str">
        <f t="shared" si="179"/>
        <v>x</v>
      </c>
      <c r="H134" s="73" t="str">
        <f t="shared" si="180"/>
        <v>x</v>
      </c>
      <c r="I134" s="73">
        <f t="shared" si="181"/>
        <v>2</v>
      </c>
      <c r="J134" s="74">
        <f t="shared" si="182"/>
        <v>3</v>
      </c>
      <c r="N134" s="84">
        <f>IF($B$86="x",-1,IF(AND($B$86=0,INDEX(KonZeile1,1)+INDEX(KonSpalte1,1)+INDEX(KonFeld4,1)=0),1,0))</f>
        <v>-1</v>
      </c>
      <c r="O134" s="85">
        <f>IF($B$86="x",-1,IF(AND($B$86=0,INDEX(KonZeile1,2)+INDEX(KonSpalte1,2)+INDEX(KonFeld4,2)=0),2,0))</f>
        <v>-1</v>
      </c>
      <c r="P134" s="87">
        <f>IF($B$86="x",-1,IF(AND($B$86=0,INDEX(KonZeile1,3)+INDEX(KonSpalte1,3)+INDEX(KonFeld4,3)=0),3,0))</f>
        <v>-1</v>
      </c>
      <c r="Q134" s="86">
        <f>IF($C$86="x",-1,IF(AND($C$86=0,INDEX(KonZeile1,1)+INDEX(KonSpalte2,1)+INDEX(KonFeld4,1)=0),1,0))</f>
        <v>-1</v>
      </c>
      <c r="R134" s="85">
        <f>IF($C$86="x",-1,IF(AND($C$86=0,INDEX(KonZeile1,2)+INDEX(KonSpalte2,2)+INDEX(KonFeld4,2)=0),2,0))</f>
        <v>-1</v>
      </c>
      <c r="S134" s="87">
        <f>IF($C$86="x",-1,IF(AND($C$86=0,INDEX(KonZeile1,3)+INDEX(KonSpalte2,3)+INDEX(KonFeld4,3)=0),3,0))</f>
        <v>-1</v>
      </c>
      <c r="T134" s="86">
        <f>IF($D$86="x",-1,IF(AND($D$86=0,INDEX(KonZeile1,1)+INDEX(KonSpalte3,1)+INDEX(KonFeld4,1)=0),1,0))</f>
        <v>-1</v>
      </c>
      <c r="U134" s="85">
        <f>IF($D$86="x",-1,IF(AND($D$86=0,INDEX(KonZeile1,2)+INDEX(KonSpalte3,2)+INDEX(KonFeld4,2)=0),2,0))</f>
        <v>-1</v>
      </c>
      <c r="V134" s="88">
        <f>IF($D$86="x",-1,IF(AND($D$86=0,INDEX(KonZeile1,3)+INDEX(KonSpalte3,3)+INDEX(KonFeld4,3)=0),3,0))</f>
        <v>-1</v>
      </c>
      <c r="W134" s="89">
        <f>IF($E$86="x",-1,IF(AND($E$86=0,INDEX(KonZeile1,1)+INDEX(KonSpalte4,1)+INDEX(KonFeld4,1)=0),1,0))</f>
        <v>-1</v>
      </c>
      <c r="X134" s="85">
        <f>IF($E$86="x",-1,IF(AND($E$86=0,INDEX(KonZeile1,2)+INDEX(KonSpalte4,2)+INDEX(KonFeld4,2)=0),2,0))</f>
        <v>-1</v>
      </c>
      <c r="Y134" s="87">
        <f>IF($E$86="x",-1,IF(AND($E$86=0,INDEX(KonZeile1,3)+INDEX(KonSpalte4,3)+INDEX(KonFeld4,3)=0),3,0))</f>
        <v>-1</v>
      </c>
      <c r="Z134" s="86">
        <f>IF($F$86="x",-1,IF(AND($F$86=0,INDEX(KonZeile1,1)+INDEX(KonSpalte5,1)+INDEX(KonFeld4,1)=0),1,0))</f>
        <v>-1</v>
      </c>
      <c r="AA134" s="85">
        <f>IF($F$86="x",-1,IF(AND($F$86=0,INDEX(KonZeile1,2)+INDEX(KonSpalte5,2)+INDEX(KonFeld4,2)=0),2,0))</f>
        <v>-1</v>
      </c>
      <c r="AB134" s="87">
        <f>IF($F$86="x",-1,IF(AND($F$86=0,INDEX(KonZeile1,3)+INDEX(KonSpalte5,3)+INDEX(KonFeld4,3)=0),3,0))</f>
        <v>-1</v>
      </c>
      <c r="AC134" s="86">
        <f>IF($G$86="x",-1,IF(AND($G$86=0,INDEX(KonZeile1,1)+INDEX(KonSpalte6,1)+INDEX(KonFeld4,1)=0),1,0))</f>
        <v>-1</v>
      </c>
      <c r="AD134" s="85">
        <f>IF($G$86="x",-1,IF(AND($G$86=0,INDEX(KonZeile1,2)+INDEX(KonSpalte6,2)+INDEX(KonFeld4,2)=0),2,0))</f>
        <v>-1</v>
      </c>
      <c r="AE134" s="88">
        <f>IF($G$86="x",-1,IF(AND($G$86=0,INDEX(KonZeile1,3)+INDEX(KonSpalte6,3)+INDEX(KonFeld4,3)=0),3,0))</f>
        <v>-1</v>
      </c>
      <c r="AF134" s="89">
        <f>IF($H$86="x",-1,IF(AND($H$86=0,INDEX(KonZeile1,1)+INDEX(KonSpalte7,1)+INDEX(KonFeld4,1)=0),1,0))</f>
        <v>-1</v>
      </c>
      <c r="AG134" s="85">
        <f>IF($H$86="x",-1,IF(AND($H$86=0,INDEX(KonZeile1,2)+INDEX(KonSpalte7,2)+INDEX(KonFeld4,2)=0),2,0))</f>
        <v>-1</v>
      </c>
      <c r="AH134" s="87">
        <f>IF($H$86="x",-1,IF(AND($H$86=0,INDEX(KonZeile1,3)+INDEX(KonSpalte7,3)+INDEX(KonFeld4,3)=0),3,0))</f>
        <v>-1</v>
      </c>
      <c r="AI134" s="86">
        <f>IF($I$86="x",-1,IF(AND($I$86=0,INDEX(KonZeile1,1)+INDEX(KonSpalte8,1)+INDEX(KonFeld4,1)=0),1,0))</f>
        <v>-1</v>
      </c>
      <c r="AJ134" s="85">
        <f>IF($I$86="x",-1,IF(AND($I$86=0,INDEX(KonZeile1,2)+INDEX(KonSpalte8,2)+INDEX(KonFeld4,2)=0),2,0))</f>
        <v>-1</v>
      </c>
      <c r="AK134" s="87">
        <f>IF($I$86="x",-1,IF(AND($I$86=0,INDEX(KonZeile1,3)+INDEX(KonSpalte8,3)+INDEX(KonFeld4,3)=0),3,0))</f>
        <v>-1</v>
      </c>
      <c r="AL134" s="86">
        <f>IF($J$86="x",-1,IF(AND($J$86=0,INDEX(KonZeile1,1)+INDEX(KonSpalte9,1)+INDEX(KonFeld4,1)=0),1,0))</f>
        <v>-1</v>
      </c>
      <c r="AM134" s="85">
        <f>IF($J$86="x",-1,IF(AND($J$86=0,INDEX(KonZeile1,2)+INDEX(KonSpalte9,2)+INDEX(KonFeld4,2)=0),2,0))</f>
        <v>-1</v>
      </c>
      <c r="AN134" s="90">
        <f>IF($J$86="x",-1,IF(AND($J$86=0,INDEX(KonZeile1,3)+INDEX(KonSpalte9,3)+INDEX(KonFeld4,3)=0),3,0))</f>
        <v>-1</v>
      </c>
      <c r="AO134" s="84">
        <f>IF($K$86="x",-1,IF(AND($K$86=0,INDEX(KonZeile1,1)+INDEX(KonSpalte1,1)+INDEX(KonFeld5,1)=0),1,0))</f>
        <v>-1</v>
      </c>
      <c r="AP134" s="85">
        <f>IF($K$86="x",-1,IF(AND($K$86=0,INDEX(KonZeile1,2)+INDEX(KonSpalte1,2)+INDEX(KonFeld5,2)=0),2,0))</f>
        <v>-1</v>
      </c>
      <c r="AQ134" s="87">
        <f>IF($K$86="x",-1,IF(AND($K$86=0,INDEX(KonZeile1,3)+INDEX(KonSpalte1,3)+INDEX(KonFeld5,3)=0),3,0))</f>
        <v>-1</v>
      </c>
      <c r="AR134" s="86">
        <f>IF($L$86="x",-1,IF(AND($L$86=0,INDEX(KonZeile1,1)+INDEX(KonSpalte2,1)+INDEX(KonFeld5,1)=0),1,0))</f>
        <v>-1</v>
      </c>
      <c r="AS134" s="85">
        <f>IF($L$86="x",-1,IF(AND($L$86=0,INDEX(KonZeile1,2)+INDEX(KonSpalte2,2)+INDEX(KonFeld5,2)=0),2,0))</f>
        <v>-1</v>
      </c>
      <c r="AT134" s="87">
        <f>IF($L$86="x",-1,IF(AND($L$86=0,INDEX(KonZeile1,3)+INDEX(KonSpalte2,3)+INDEX(KonFeld5,3)=0),3,0))</f>
        <v>-1</v>
      </c>
      <c r="AU134" s="86">
        <f>IF($M$86="x",-1,IF(AND($M$86=0,INDEX(KonZeile1,1)+INDEX(KonSpalte3,1)+INDEX(KonFeld5,1)=0),1,0))</f>
        <v>-1</v>
      </c>
      <c r="AV134" s="85">
        <f>IF($M$86="x",-1,IF(AND($M$86=0,INDEX(KonZeile1,2)+INDEX(KonSpalte3,2)+INDEX(KonFeld5,2)=0),2,0))</f>
        <v>-1</v>
      </c>
      <c r="AW134" s="88">
        <f>IF($M$86="x",-1,IF(AND($M$86=0,INDEX(KonZeile1,3)+INDEX(KonSpalte3,3)+INDEX(KonFeld5,3)=0),3,0))</f>
        <v>-1</v>
      </c>
      <c r="AX134" s="89">
        <f>IF($N$86="x",-1,IF(AND($N$86=0,INDEX(KonZeile1,1)+INDEX(KonSpalte4,1)+INDEX(KonFeld5,1)=0),1,0))</f>
        <v>-1</v>
      </c>
      <c r="AY134" s="85">
        <f>IF($N$86="x",-1,IF(AND($N$86=0,INDEX(KonZeile1,2)+INDEX(KonSpalte4,2)+INDEX(KonFeld5,2)=0),2,0))</f>
        <v>-1</v>
      </c>
      <c r="AZ134" s="87">
        <f>IF($N$86="x",-1,IF(AND($N$86=0,INDEX(KonZeile1,3)+INDEX(KonSpalte4,3)+INDEX(KonFeld5,3)=0),3,0))</f>
        <v>-1</v>
      </c>
      <c r="BA134" s="86">
        <f>IF($O$86="x",-1,IF(AND($O$86=0,INDEX(KonZeile1,1)+INDEX(KonSpalte5,1)+INDEX(KonFeld5,1)=0),1,0))</f>
        <v>-1</v>
      </c>
      <c r="BB134" s="85">
        <f>IF($O$86="x",-1,IF(AND($O$86=0,INDEX(KonZeile1,2)+INDEX(KonSpalte5,2)+INDEX(KonFeld5,2)=0),2,0))</f>
        <v>-1</v>
      </c>
      <c r="BC134" s="87">
        <f>IF($O$86="x",-1,IF(AND($O$86=0,INDEX(KonZeile1,3)+INDEX(KonSpalte5,3)+INDEX(KonFeld5,3)=0),3,0))</f>
        <v>-1</v>
      </c>
      <c r="BD134" s="86">
        <f>IF($P$86="x",-1,IF(AND($P$86=0,INDEX(KonZeile1,1)+INDEX(KonSpalte6,1)+INDEX(KonFeld5,1)=0),1,0))</f>
        <v>-1</v>
      </c>
      <c r="BE134" s="85">
        <f>IF($P$86="x",-1,IF(AND($P$86=0,INDEX(KonZeile1,2)+INDEX(KonSpalte6,2)+INDEX(KonFeld5,2)=0),2,0))</f>
        <v>-1</v>
      </c>
      <c r="BF134" s="88">
        <f>IF($P$86="x",-1,IF(AND($P$86=0,INDEX(KonZeile1,3)+INDEX(KonSpalte6,3)+INDEX(KonFeld5,3)=0),3,0))</f>
        <v>-1</v>
      </c>
      <c r="BG134" s="89">
        <f>IF($Q$86="x",-1,IF(AND($Q$86=0,INDEX(KonZeile1,1)+INDEX(KonSpalte7,1)+INDEX(KonFeld5,1)=0),1,0))</f>
        <v>-1</v>
      </c>
      <c r="BH134" s="85">
        <f>IF($Q$86="x",-1,IF(AND($Q$86=0,INDEX(KonZeile1,2)+INDEX(KonSpalte7,2)+INDEX(KonFeld5,2)=0),2,0))</f>
        <v>-1</v>
      </c>
      <c r="BI134" s="87">
        <f>IF($Q$86="x",-1,IF(AND($Q$86=0,INDEX(KonZeile1,3)+INDEX(KonSpalte7,3)+INDEX(KonFeld5,3)=0),3,0))</f>
        <v>-1</v>
      </c>
      <c r="BJ134" s="86">
        <f>IF($R$86="x",-1,IF(AND($R$86=0,INDEX(KonZeile1,1)+INDEX(KonSpalte8,1)+INDEX(KonFeld5,1)=0),1,0))</f>
        <v>-1</v>
      </c>
      <c r="BK134" s="85">
        <f>IF($R$86="x",-1,IF(AND($R$86=0,INDEX(KonZeile1,2)+INDEX(KonSpalte8,2)+INDEX(KonFeld5,2)=0),2,0))</f>
        <v>-1</v>
      </c>
      <c r="BL134" s="87">
        <f>IF($R$86="x",-1,IF(AND($R$86=0,INDEX(KonZeile1,3)+INDEX(KonSpalte8,3)+INDEX(KonFeld5,3)=0),3,0))</f>
        <v>-1</v>
      </c>
      <c r="BM134" s="86">
        <f>IF($S$86="x",-1,IF(AND($S$86=0,INDEX(KonZeile1,1)+INDEX(KonSpalte9,1)+INDEX(KonFeld5,1)=0),1,0))</f>
        <v>-1</v>
      </c>
      <c r="BN134" s="85">
        <f>IF($S$86="x",-1,IF(AND($S$86=0,INDEX(KonZeile1,2)+INDEX(KonSpalte9,2)+INDEX(KonFeld5,2)=0),2,0))</f>
        <v>-1</v>
      </c>
      <c r="BO134" s="90">
        <f>IF($S$86="x",-1,IF(AND($S$86=0,INDEX(KonZeile1,3)+INDEX(KonSpalte9,3)+INDEX(KonFeld5,3)=0),3,0))</f>
        <v>-1</v>
      </c>
      <c r="BP134" s="84">
        <f>IF($T$86="x",-1,IF(AND($T$86=0,INDEX(KonZeile1,1)+INDEX(KonSpalte1,1)+INDEX(KonFeld6,1)=0),1,0))</f>
        <v>-1</v>
      </c>
      <c r="BQ134" s="85">
        <f>IF($T$86="x",-1,IF(AND($T$86=0,INDEX(KonZeile1,2)+INDEX(KonSpalte1,2)+INDEX(KonFeld6,2)=0),2,0))</f>
        <v>-1</v>
      </c>
      <c r="BR134" s="87">
        <f>IF($T$86="x",-1,IF(AND($T$86=0,INDEX(KonZeile1,3)+INDEX(KonSpalte1,3)+INDEX(KonFeld6,3)=0),3,0))</f>
        <v>-1</v>
      </c>
      <c r="BS134" s="86">
        <f>IF($U$86="x",-1,IF(AND($U$86=0,INDEX(KonZeile1,1)+INDEX(KonSpalte2,1)+INDEX(KonFeld6,1)=0),1,0))</f>
        <v>-1</v>
      </c>
      <c r="BT134" s="85">
        <f>IF($U$86="x",-1,IF(AND($U$86=0,INDEX(KonZeile1,2)+INDEX(KonSpalte2,2)+INDEX(KonFeld6,2)=0),2,0))</f>
        <v>-1</v>
      </c>
      <c r="BU134" s="87">
        <f>IF($U$86="x",-1,IF(AND($U$86=0,INDEX(KonZeile1,3)+INDEX(KonSpalte2,3)+INDEX(KonFeld6,3)=0),3,0))</f>
        <v>-1</v>
      </c>
      <c r="BV134" s="86">
        <f>IF($V$86="x",-1,IF(AND($V$86=0,INDEX(KonZeile1,1)+INDEX(KonSpalte3,1)+INDEX(KonFeld6,1)=0),1,0))</f>
        <v>-1</v>
      </c>
      <c r="BW134" s="85">
        <f>IF($V$86="x",-1,IF(AND($V$86=0,INDEX(KonZeile1,2)+INDEX(KonSpalte3,2)+INDEX(KonFeld6,2)=0),2,0))</f>
        <v>-1</v>
      </c>
      <c r="BX134" s="88">
        <f>IF($V$86="x",-1,IF(AND($V$86=0,INDEX(KonZeile1,3)+INDEX(KonSpalte3,3)+INDEX(KonFeld6,3)=0),3,0))</f>
        <v>-1</v>
      </c>
      <c r="BY134" s="89">
        <f>IF($W$86="x",-1,IF(AND($W$86=0,INDEX(KonZeile1,1)+INDEX(KonSpalte4,1)+INDEX(KonFeld6,1)=0),1,0))</f>
        <v>-1</v>
      </c>
      <c r="BZ134" s="85">
        <f>IF($W$86="x",-1,IF(AND($W$86=0,INDEX(KonZeile1,2)+INDEX(KonSpalte4,2)+INDEX(KonFeld6,2)=0),2,0))</f>
        <v>-1</v>
      </c>
      <c r="CA134" s="87">
        <f>IF($W$86="x",-1,IF(AND($W$86=0,INDEX(KonZeile1,3)+INDEX(KonSpalte4,3)+INDEX(KonFeld6,3)=0),3,0))</f>
        <v>-1</v>
      </c>
      <c r="CB134" s="86">
        <f>IF($X$86="x",-1,IF(AND($X$86=0,INDEX(KonZeile1,1)+INDEX(KonSpalte5,1)+INDEX(KonFeld6,1)=0),1,0))</f>
        <v>-1</v>
      </c>
      <c r="CC134" s="85">
        <f>IF($X$86="x",-1,IF(AND($X$86=0,INDEX(KonZeile1,2)+INDEX(KonSpalte5,2)+INDEX(KonFeld6,2)=0),2,0))</f>
        <v>-1</v>
      </c>
      <c r="CD134" s="87">
        <f>IF($X$86="x",-1,IF(AND($X$86=0,INDEX(KonZeile1,3)+INDEX(KonSpalte5,3)+INDEX(KonFeld6,3)=0),3,0))</f>
        <v>-1</v>
      </c>
      <c r="CE134" s="86">
        <f>IF($Y$86="x",-1,IF(AND($Y$86=0,INDEX(KonZeile1,1)+INDEX(KonSpalte6,1)+INDEX(KonFeld6,1)=0),1,0))</f>
        <v>-1</v>
      </c>
      <c r="CF134" s="85">
        <f>IF($Y$86="x",-1,IF(AND($Y$86=0,INDEX(KonZeile1,2)+INDEX(KonSpalte6,2)+INDEX(KonFeld6,2)=0),2,0))</f>
        <v>-1</v>
      </c>
      <c r="CG134" s="88">
        <f>IF($Y$86="x",-1,IF(AND($Y$86=0,INDEX(KonZeile1,3)+INDEX(KonSpalte6,3)+INDEX(KonFeld6,3)=0),3,0))</f>
        <v>-1</v>
      </c>
      <c r="CH134" s="89">
        <f>IF($Z$86="x",-1,IF(AND($Z$86=0,INDEX(KonZeile1,1)+INDEX(KonSpalte7,1)+INDEX(KonFeld6,1)=0),1,0))</f>
        <v>0</v>
      </c>
      <c r="CI134" s="85">
        <f>IF($Z$86="x",-1,IF(AND($Z$86=0,INDEX(KonZeile1,2)+INDEX(KonSpalte7,2)+INDEX(KonFeld6,2)=0),2,0))</f>
        <v>0</v>
      </c>
      <c r="CJ134" s="87">
        <f>IF($Z$86="x",-1,IF(AND($Z$86=0,INDEX(KonZeile1,3)+INDEX(KonSpalte7,3)+INDEX(KonFeld6,3)=0),3,0))</f>
        <v>0</v>
      </c>
      <c r="CK134" s="86">
        <f>IF($AA$86="x",-1,IF(AND($AA$86=0,INDEX(KonZeile1,1)+INDEX(KonSpalte8,1)+INDEX(KonFeld6,1)=0),1,0))</f>
        <v>-1</v>
      </c>
      <c r="CL134" s="85">
        <f>IF($AA$86="x",-1,IF(AND($AA$86=0,INDEX(KonZeile1,2)+INDEX(KonSpalte8,2)+INDEX(KonFeld6,2)=0),2,0))</f>
        <v>-1</v>
      </c>
      <c r="CM134" s="87">
        <f>IF($AA$86="x",-1,IF(AND($AA$86=0,INDEX(KonZeile1,3)+INDEX(KonSpalte8,3)+INDEX(KonFeld6,3)=0),3,0))</f>
        <v>-1</v>
      </c>
      <c r="CN134" s="86">
        <f>IF($AB$86="x",-1,IF(AND($AB$86=0,INDEX(KonZeile1,1)+INDEX(KonSpalte9,1)+INDEX(KonFeld6,1)=0),1,0))</f>
        <v>0</v>
      </c>
      <c r="CO134" s="85">
        <f>IF($AB$86="x",-1,IF(AND($AB$86=0,INDEX(KonZeile1,2)+INDEX(KonSpalte9,2)+INDEX(KonFeld6,2)=0),2,0))</f>
        <v>0</v>
      </c>
      <c r="CP134" s="90">
        <f>IF($AB$86="x",-1,IF(AND($AB$86=0,INDEX(KonZeile1,3)+INDEX(KonSpalte9,3)+INDEX(KonFeld6,3)=0),3,0))</f>
        <v>0</v>
      </c>
      <c r="CR134" s="52">
        <f>COUNTIF(N134:CP134,1)</f>
        <v>0</v>
      </c>
      <c r="CS134" s="50">
        <f>COUNTIF(N134:CP134,2)</f>
        <v>0</v>
      </c>
      <c r="CT134" s="51">
        <f>COUNTIF(N134:CP134,3)</f>
        <v>0</v>
      </c>
      <c r="CU134" s="39"/>
      <c r="CV134" s="39"/>
      <c r="CX134" s="65">
        <f t="shared" ref="CX134:CZ153" si="185">CX107</f>
        <v>0</v>
      </c>
      <c r="CY134" s="66">
        <f t="shared" si="185"/>
        <v>0</v>
      </c>
      <c r="CZ134" s="67">
        <f t="shared" si="185"/>
        <v>0</v>
      </c>
      <c r="EI134" s="32" t="s">
        <v>80</v>
      </c>
      <c r="EM134" s="567">
        <f>SUM(EI107:FI133)</f>
        <v>588</v>
      </c>
      <c r="EN134" s="546"/>
      <c r="GY134"/>
      <c r="GZ134"/>
      <c r="HA134"/>
      <c r="HB134"/>
      <c r="HC134"/>
      <c r="HD134"/>
      <c r="HE134"/>
      <c r="HF134"/>
      <c r="HG134"/>
      <c r="HH134"/>
      <c r="HI134"/>
      <c r="HJ134"/>
      <c r="HK134"/>
      <c r="HL134"/>
      <c r="HM134"/>
      <c r="HN134"/>
      <c r="HO134"/>
      <c r="HP134"/>
      <c r="HQ134"/>
      <c r="HR134"/>
      <c r="HS134"/>
      <c r="HT134"/>
      <c r="HU134"/>
      <c r="HV134"/>
      <c r="HW134"/>
      <c r="HX134"/>
      <c r="HY134"/>
      <c r="HZ134"/>
      <c r="IA134"/>
    </row>
    <row r="135" spans="2:235" ht="15" customHeight="1">
      <c r="B135" s="72" t="str">
        <f t="shared" si="174"/>
        <v>x</v>
      </c>
      <c r="C135" s="73" t="str">
        <f t="shared" si="175"/>
        <v>x</v>
      </c>
      <c r="D135" s="73" t="str">
        <f t="shared" si="176"/>
        <v>x</v>
      </c>
      <c r="E135" s="73" t="str">
        <f t="shared" si="177"/>
        <v>x</v>
      </c>
      <c r="F135" s="73" t="str">
        <f t="shared" si="178"/>
        <v>x</v>
      </c>
      <c r="G135" s="73" t="str">
        <f t="shared" si="179"/>
        <v>x</v>
      </c>
      <c r="H135" s="73" t="str">
        <f t="shared" si="180"/>
        <v>x</v>
      </c>
      <c r="I135" s="73" t="str">
        <f t="shared" si="181"/>
        <v>x</v>
      </c>
      <c r="J135" s="74">
        <f t="shared" si="182"/>
        <v>1</v>
      </c>
      <c r="N135" s="94">
        <f>IF($B$86="x",-1,IF(AND($B$86=0,INDEX(KonZeile1,4)+INDEX(KonSpalte1,4)+INDEX(KonFeld4,4)=0),4,0))</f>
        <v>-1</v>
      </c>
      <c r="O135" s="39">
        <f>IF($B$86="x",-1,IF(AND($B$86=0,INDEX(KonZeile1,5)+INDEX(KonSpalte1,5)+INDEX(KonFeld4,5)=0),5,0))</f>
        <v>-1</v>
      </c>
      <c r="P135" s="41">
        <f>IF($B$86="x",-1,IF(AND($B$86=0,INDEX(KonZeile1,6)+INDEX(KonSpalte1,6)+INDEX(KonFeld4,6)=0),6,0))</f>
        <v>-1</v>
      </c>
      <c r="Q135" s="40">
        <f>IF($C$86="x",-1,IF(AND($C$86=0,INDEX(KonZeile1,4)+INDEX(KonSpalte2,4)+INDEX(KonFeld4,4)=0),4,0))</f>
        <v>-1</v>
      </c>
      <c r="R135" s="39">
        <f>IF($C$86="x",-1,IF(AND($C$86=0,INDEX(KonZeile1,5)+INDEX(KonSpalte2,5)+INDEX(KonFeld4,5)=0),5,0))</f>
        <v>-1</v>
      </c>
      <c r="S135" s="41">
        <f>IF($C$86="x",-1,IF(AND($C$86=0,INDEX(KonZeile1,6)+INDEX(KonSpalte2,6)+INDEX(KonFeld4,6)=0),6,0))</f>
        <v>-1</v>
      </c>
      <c r="T135" s="40">
        <f>IF($D$86="x",-1,IF(AND($D$86=0,INDEX(KonZeile1,4)+INDEX(KonSpalte3,4)+INDEX(KonFeld4,4)=0),4,0))</f>
        <v>-1</v>
      </c>
      <c r="U135" s="39">
        <f>IF($D$86="x",-1,IF(AND($D$86=0,INDEX(KonZeile1,5)+INDEX(KonSpalte3,5)+INDEX(KonFeld4,5)=0),5,0))</f>
        <v>-1</v>
      </c>
      <c r="V135" s="42">
        <f>IF($D$86="x",-1,IF(AND($D$86=0,INDEX(KonZeile1,6)+INDEX(KonSpalte3,6)+INDEX(KonFeld4,6)=0),6,0))</f>
        <v>-1</v>
      </c>
      <c r="W135" s="43">
        <f>IF($E$86="x",-1,IF(AND($E$86=0,INDEX(KonZeile1,4)+INDEX(KonSpalte4,4)+INDEX(KonFeld4,4)=0),4,0))</f>
        <v>-1</v>
      </c>
      <c r="X135" s="39">
        <f>IF($E$86="x",-1,IF(AND($E$86=0,INDEX(KonZeile1,5)+INDEX(KonSpalte4,5)+INDEX(KonFeld4,5)=0),5,0))</f>
        <v>-1</v>
      </c>
      <c r="Y135" s="41">
        <f>IF($E$86="x",-1,IF(AND($E$86=0,INDEX(KonZeile1,6)+INDEX(KonSpalte4,6)+INDEX(KonFeld4,6)=0),6,0))</f>
        <v>-1</v>
      </c>
      <c r="Z135" s="40">
        <f>IF($F$86="x",-1,IF(AND($F$86=0,INDEX(KonZeile1,4)+INDEX(KonSpalte5,4)+INDEX(KonFeld4,4)=0),4,0))</f>
        <v>-1</v>
      </c>
      <c r="AA135" s="39">
        <f>IF($F$86="x",-1,IF(AND($F$86=0,INDEX(KonZeile1,5)+INDEX(KonSpalte5,5)+INDEX(KonFeld4,5)=0),5,0))</f>
        <v>-1</v>
      </c>
      <c r="AB135" s="41">
        <f>IF($F$86="x",-1,IF(AND($F$86=0,INDEX(KonZeile1,6)+INDEX(KonSpalte5,6)+INDEX(KonFeld4,6)=0),6,0))</f>
        <v>-1</v>
      </c>
      <c r="AC135" s="40">
        <f>IF($G$86="x",-1,IF(AND($G$86=0,INDEX(KonZeile1,4)+INDEX(KonSpalte6,4)+INDEX(KonFeld4,4)=0),4,0))</f>
        <v>-1</v>
      </c>
      <c r="AD135" s="39">
        <f>IF($G$86="x",-1,IF(AND($G$86=0,INDEX(KonZeile1,5)+INDEX(KonSpalte6,5)+INDEX(KonFeld4,5)=0),5,0))</f>
        <v>-1</v>
      </c>
      <c r="AE135" s="42">
        <f>IF($G$86="x",-1,IF(AND($G$86=0,INDEX(KonZeile1,6)+INDEX(KonSpalte6,6)+INDEX(KonFeld4,6)=0),6,0))</f>
        <v>-1</v>
      </c>
      <c r="AF135" s="43">
        <f>IF($H$86="x",-1,IF(AND($H$86=0,INDEX(KonZeile1,4)+INDEX(KonSpalte7,4)+INDEX(KonFeld4,4)=0),4,0))</f>
        <v>-1</v>
      </c>
      <c r="AG135" s="39">
        <f>IF($H$86="x",-1,IF(AND($H$86=0,INDEX(KonZeile1,5)+INDEX(KonSpalte7,5)+INDEX(KonFeld4,5)=0),5,0))</f>
        <v>-1</v>
      </c>
      <c r="AH135" s="41">
        <f>IF($H$86="x",-1,IF(AND($H$86=0,INDEX(KonZeile1,6)+INDEX(KonSpalte7,6)+INDEX(KonFeld4,6)=0),6,0))</f>
        <v>-1</v>
      </c>
      <c r="AI135" s="40">
        <f>IF($I$86="x",-1,IF(AND($I$86=0,INDEX(KonZeile1,4)+INDEX(KonSpalte8,4)+INDEX(KonFeld4,4)=0),4,0))</f>
        <v>-1</v>
      </c>
      <c r="AJ135" s="39">
        <f>IF($I$86="x",-1,IF(AND($I$86=0,INDEX(KonZeile1,5)+INDEX(KonSpalte8,5)+INDEX(KonFeld4,5)=0),5,0))</f>
        <v>-1</v>
      </c>
      <c r="AK135" s="41">
        <f>IF($I$86="x",-1,IF(AND($I$86=0,INDEX(KonZeile1,6)+INDEX(KonSpalte8,6)+INDEX(KonFeld4,6)=0),6,0))</f>
        <v>-1</v>
      </c>
      <c r="AL135" s="40">
        <f>IF($J$86="x",-1,IF(AND($J$86=0,INDEX(KonZeile1,4)+INDEX(KonSpalte9,4)+INDEX(KonFeld4,4)=0),4,0))</f>
        <v>-1</v>
      </c>
      <c r="AM135" s="39">
        <f>IF($J$86="x",-1,IF(AND($J$86=0,INDEX(KonZeile1,5)+INDEX(KonSpalte9,5)+INDEX(KonFeld4,5)=0),5,0))</f>
        <v>-1</v>
      </c>
      <c r="AN135" s="95">
        <f>IF($J$86="x",-1,IF(AND($J$86=0,INDEX(KonZeile1,6)+INDEX(KonSpalte9,6)+INDEX(KonFeld4,6)=0),6,0))</f>
        <v>-1</v>
      </c>
      <c r="AO135" s="94">
        <f>IF($K$86="x",-1,IF(AND($K$86=0,INDEX(KonZeile1,4)+INDEX(KonSpalte1,4)+INDEX(KonFeld5,4)=0),4,0))</f>
        <v>-1</v>
      </c>
      <c r="AP135" s="39">
        <f>IF($K$86="x",-1,IF(AND($K$86=0,INDEX(KonZeile1,5)+INDEX(KonSpalte1,5)+INDEX(KonFeld5,5)=0),5,0))</f>
        <v>-1</v>
      </c>
      <c r="AQ135" s="41">
        <f>IF($K$86="x",-1,IF(AND($K$86=0,INDEX(KonZeile1,6)+INDEX(KonSpalte1,6)+INDEX(KonFeld5,6)=0),6,0))</f>
        <v>-1</v>
      </c>
      <c r="AR135" s="40">
        <f>IF($L$86="x",-1,IF(AND($L$86=0,INDEX(KonZeile1,4)+INDEX(KonSpalte2,4)+INDEX(KonFeld5,4)=0),4,0))</f>
        <v>-1</v>
      </c>
      <c r="AS135" s="39">
        <f>IF($L$86="x",-1,IF(AND($L$86=0,INDEX(KonZeile1,5)+INDEX(KonSpalte2,5)+INDEX(KonFeld5,5)=0),5,0))</f>
        <v>-1</v>
      </c>
      <c r="AT135" s="41">
        <f>IF($L$86="x",-1,IF(AND($L$86=0,INDEX(KonZeile1,6)+INDEX(KonSpalte2,6)+INDEX(KonFeld5,6)=0),6,0))</f>
        <v>-1</v>
      </c>
      <c r="AU135" s="40">
        <f>IF($M$86="x",-1,IF(AND($M$86=0,INDEX(KonZeile1,4)+INDEX(KonSpalte3,4)+INDEX(KonFeld5,4)=0),4,0))</f>
        <v>-1</v>
      </c>
      <c r="AV135" s="39">
        <f>IF($M$86="x",-1,IF(AND($M$86=0,INDEX(KonZeile1,5)+INDEX(KonSpalte3,5)+INDEX(KonFeld5,5)=0),5,0))</f>
        <v>-1</v>
      </c>
      <c r="AW135" s="42">
        <f>IF($M$86="x",-1,IF(AND($M$86=0,INDEX(KonZeile1,6)+INDEX(KonSpalte3,6)+INDEX(KonFeld5,6)=0),6,0))</f>
        <v>-1</v>
      </c>
      <c r="AX135" s="43">
        <f>IF($N$86="x",-1,IF(AND($N$86=0,INDEX(KonZeile1,4)+INDEX(KonSpalte4,4)+INDEX(KonFeld5,4)=0),4,0))</f>
        <v>-1</v>
      </c>
      <c r="AY135" s="39">
        <f>IF($N$86="x",-1,IF(AND($N$86=0,INDEX(KonZeile1,5)+INDEX(KonSpalte4,5)+INDEX(KonFeld5,5)=0),5,0))</f>
        <v>-1</v>
      </c>
      <c r="AZ135" s="41">
        <f>IF($N$86="x",-1,IF(AND($N$86=0,INDEX(KonZeile1,6)+INDEX(KonSpalte4,6)+INDEX(KonFeld5,6)=0),6,0))</f>
        <v>-1</v>
      </c>
      <c r="BA135" s="40">
        <f>IF($O$86="x",-1,IF(AND($O$86=0,INDEX(KonZeile1,4)+INDEX(KonSpalte5,4)+INDEX(KonFeld5,4)=0),4,0))</f>
        <v>-1</v>
      </c>
      <c r="BB135" s="39">
        <f>IF($O$86="x",-1,IF(AND($O$86=0,INDEX(KonZeile1,5)+INDEX(KonSpalte5,5)+INDEX(KonFeld5,5)=0),5,0))</f>
        <v>-1</v>
      </c>
      <c r="BC135" s="41">
        <f>IF($O$86="x",-1,IF(AND($O$86=0,INDEX(KonZeile1,6)+INDEX(KonSpalte5,6)+INDEX(KonFeld5,6)=0),6,0))</f>
        <v>-1</v>
      </c>
      <c r="BD135" s="40">
        <f>IF($P$86="x",-1,IF(AND($P$86=0,INDEX(KonZeile1,4)+INDEX(KonSpalte6,4)+INDEX(KonFeld5,4)=0),4,0))</f>
        <v>-1</v>
      </c>
      <c r="BE135" s="39">
        <f>IF($P$86="x",-1,IF(AND($P$86=0,INDEX(KonZeile1,5)+INDEX(KonSpalte6,5)+INDEX(KonFeld5,5)=0),5,0))</f>
        <v>-1</v>
      </c>
      <c r="BF135" s="42">
        <f>IF($P$86="x",-1,IF(AND($P$86=0,INDEX(KonZeile1,6)+INDEX(KonSpalte6,6)+INDEX(KonFeld5,6)=0),6,0))</f>
        <v>-1</v>
      </c>
      <c r="BG135" s="43">
        <f>IF($Q$86="x",-1,IF(AND($Q$86=0,INDEX(KonZeile1,4)+INDEX(KonSpalte7,4)+INDEX(KonFeld5,4)=0),4,0))</f>
        <v>-1</v>
      </c>
      <c r="BH135" s="39">
        <f>IF($Q$86="x",-1,IF(AND($Q$86=0,INDEX(KonZeile1,5)+INDEX(KonSpalte7,5)+INDEX(KonFeld5,5)=0),5,0))</f>
        <v>-1</v>
      </c>
      <c r="BI135" s="41">
        <f>IF($Q$86="x",-1,IF(AND($Q$86=0,INDEX(KonZeile1,6)+INDEX(KonSpalte7,6)+INDEX(KonFeld5,6)=0),6,0))</f>
        <v>-1</v>
      </c>
      <c r="BJ135" s="40">
        <f>IF($R$86="x",-1,IF(AND($R$86=0,INDEX(KonZeile1,4)+INDEX(KonSpalte8,4)+INDEX(KonFeld5,4)=0),4,0))</f>
        <v>-1</v>
      </c>
      <c r="BK135" s="39">
        <f>IF($R$86="x",-1,IF(AND($R$86=0,INDEX(KonZeile1,5)+INDEX(KonSpalte8,5)+INDEX(KonFeld5,5)=0),5,0))</f>
        <v>-1</v>
      </c>
      <c r="BL135" s="41">
        <f>IF($R$86="x",-1,IF(AND($R$86=0,INDEX(KonZeile1,6)+INDEX(KonSpalte8,6)+INDEX(KonFeld5,6)=0),6,0))</f>
        <v>-1</v>
      </c>
      <c r="BM135" s="40">
        <f>IF($S$86="x",-1,IF(AND($S$86=0,INDEX(KonZeile1,4)+INDEX(KonSpalte9,4)+INDEX(KonFeld5,4)=0),4,0))</f>
        <v>-1</v>
      </c>
      <c r="BN135" s="39">
        <f>IF($S$86="x",-1,IF(AND($S$86=0,INDEX(KonZeile1,5)+INDEX(KonSpalte9,5)+INDEX(KonFeld5,5)=0),5,0))</f>
        <v>-1</v>
      </c>
      <c r="BO135" s="95">
        <f>IF($S$86="x",-1,IF(AND($S$86=0,INDEX(KonZeile1,6)+INDEX(KonSpalte9,6)+INDEX(KonFeld5,6)=0),6,0))</f>
        <v>-1</v>
      </c>
      <c r="BP135" s="94">
        <f>IF($T$86="x",-1,IF(AND($T$86=0,INDEX(KonZeile1,4)+INDEX(KonSpalte1,4)+INDEX(KonFeld6,4)=0),4,0))</f>
        <v>-1</v>
      </c>
      <c r="BQ135" s="39">
        <f>IF($T$86="x",-1,IF(AND($T$86=0,INDEX(KonZeile1,5)+INDEX(KonSpalte1,5)+INDEX(KonFeld6,5)=0),5,0))</f>
        <v>-1</v>
      </c>
      <c r="BR135" s="41">
        <f>IF($T$86="x",-1,IF(AND($T$86=0,INDEX(KonZeile1,6)+INDEX(KonSpalte1,6)+INDEX(KonFeld6,6)=0),6,0))</f>
        <v>-1</v>
      </c>
      <c r="BS135" s="40">
        <f>IF($U$86="x",-1,IF(AND($U$86=0,INDEX(KonZeile1,4)+INDEX(KonSpalte2,4)+INDEX(KonFeld6,4)=0),4,0))</f>
        <v>-1</v>
      </c>
      <c r="BT135" s="39">
        <f>IF($U$86="x",-1,IF(AND($U$86=0,INDEX(KonZeile1,5)+INDEX(KonSpalte2,5)+INDEX(KonFeld6,5)=0),5,0))</f>
        <v>-1</v>
      </c>
      <c r="BU135" s="41">
        <f>IF($U$86="x",-1,IF(AND($U$86=0,INDEX(KonZeile1,6)+INDEX(KonSpalte2,6)+INDEX(KonFeld6,6)=0),6,0))</f>
        <v>-1</v>
      </c>
      <c r="BV135" s="40">
        <f>IF($V$86="x",-1,IF(AND($V$86=0,INDEX(KonZeile1,4)+INDEX(KonSpalte3,4)+INDEX(KonFeld6,4)=0),4,0))</f>
        <v>-1</v>
      </c>
      <c r="BW135" s="39">
        <f>IF($V$86="x",-1,IF(AND($V$86=0,INDEX(KonZeile1,5)+INDEX(KonSpalte3,5)+INDEX(KonFeld6,5)=0),5,0))</f>
        <v>-1</v>
      </c>
      <c r="BX135" s="42">
        <f>IF($V$86="x",-1,IF(AND($V$86=0,INDEX(KonZeile1,6)+INDEX(KonSpalte3,6)+INDEX(KonFeld6,6)=0),6,0))</f>
        <v>-1</v>
      </c>
      <c r="BY135" s="43">
        <f>IF($W$86="x",-1,IF(AND($W$86=0,INDEX(KonZeile1,4)+INDEX(KonSpalte4,4)+INDEX(KonFeld6,4)=0),4,0))</f>
        <v>-1</v>
      </c>
      <c r="BZ135" s="39">
        <f>IF($W$86="x",-1,IF(AND($W$86=0,INDEX(KonZeile1,5)+INDEX(KonSpalte4,5)+INDEX(KonFeld6,5)=0),5,0))</f>
        <v>-1</v>
      </c>
      <c r="CA135" s="41">
        <f>IF($W$86="x",-1,IF(AND($W$86=0,INDEX(KonZeile1,6)+INDEX(KonSpalte4,6)+INDEX(KonFeld6,6)=0),6,0))</f>
        <v>-1</v>
      </c>
      <c r="CB135" s="40">
        <f>IF($X$86="x",-1,IF(AND($X$86=0,INDEX(KonZeile1,4)+INDEX(KonSpalte5,4)+INDEX(KonFeld6,4)=0),4,0))</f>
        <v>-1</v>
      </c>
      <c r="CC135" s="39">
        <f>IF($X$86="x",-1,IF(AND($X$86=0,INDEX(KonZeile1,5)+INDEX(KonSpalte5,5)+INDEX(KonFeld6,5)=0),5,0))</f>
        <v>-1</v>
      </c>
      <c r="CD135" s="41">
        <f>IF($X$86="x",-1,IF(AND($X$86=0,INDEX(KonZeile1,6)+INDEX(KonSpalte5,6)+INDEX(KonFeld6,6)=0),6,0))</f>
        <v>-1</v>
      </c>
      <c r="CE135" s="40">
        <f>IF($Y$86="x",-1,IF(AND($Y$86=0,INDEX(KonZeile1,4)+INDEX(KonSpalte6,4)+INDEX(KonFeld6,4)=0),4,0))</f>
        <v>-1</v>
      </c>
      <c r="CF135" s="39">
        <f>IF($Y$86="x",-1,IF(AND($Y$86=0,INDEX(KonZeile1,5)+INDEX(KonSpalte6,5)+INDEX(KonFeld6,5)=0),5,0))</f>
        <v>-1</v>
      </c>
      <c r="CG135" s="42">
        <f>IF($Y$86="x",-1,IF(AND($Y$86=0,INDEX(KonZeile1,6)+INDEX(KonSpalte6,6)+INDEX(KonFeld6,6)=0),6,0))</f>
        <v>-1</v>
      </c>
      <c r="CH135" s="43">
        <f>IF($Z$86="x",-1,IF(AND($Z$86=0,INDEX(KonZeile1,4)+INDEX(KonSpalte7,4)+INDEX(KonFeld6,4)=0),4,0))</f>
        <v>0</v>
      </c>
      <c r="CI135" s="39">
        <f>IF($Z$86="x",-1,IF(AND($Z$86=0,INDEX(KonZeile1,5)+INDEX(KonSpalte7,5)+INDEX(KonFeld6,5)=0),5,0))</f>
        <v>0</v>
      </c>
      <c r="CJ135" s="41">
        <f>IF($Z$86="x",-1,IF(AND($Z$86=0,INDEX(KonZeile1,6)+INDEX(KonSpalte7,6)+INDEX(KonFeld6,6)=0),6,0))</f>
        <v>0</v>
      </c>
      <c r="CK135" s="40">
        <f>IF($AA$86="x",-1,IF(AND($AA$86=0,INDEX(KonZeile1,4)+INDEX(KonSpalte8,4)+INDEX(KonFeld6,4)=0),4,0))</f>
        <v>-1</v>
      </c>
      <c r="CL135" s="39">
        <f>IF($AA$86="x",-1,IF(AND($AA$86=0,INDEX(KonZeile1,5)+INDEX(KonSpalte8,5)+INDEX(KonFeld6,5)=0),5,0))</f>
        <v>-1</v>
      </c>
      <c r="CM135" s="41">
        <f>IF($AA$86="x",-1,IF(AND($AA$86=0,INDEX(KonZeile1,6)+INDEX(KonSpalte8,6)+INDEX(KonFeld6,6)=0),6,0))</f>
        <v>-1</v>
      </c>
      <c r="CN135" s="40">
        <f>IF($AB$86="x",-1,IF(AND($AB$86=0,INDEX(KonZeile1,4)+INDEX(KonSpalte9,4)+INDEX(KonFeld6,4)=0),4,0))</f>
        <v>0</v>
      </c>
      <c r="CO135" s="39">
        <f>IF($AB$86="x",-1,IF(AND($AB$86=0,INDEX(KonZeile1,5)+INDEX(KonSpalte9,5)+INDEX(KonFeld6,5)=0),5,0))</f>
        <v>0</v>
      </c>
      <c r="CP135" s="95">
        <f>IF($AB$86="x",-1,IF(AND($AB$86=0,INDEX(KonZeile1,6)+INDEX(KonSpalte9,6)+INDEX(KonFeld6,6)=0),6,0))</f>
        <v>0</v>
      </c>
      <c r="CR135" s="40">
        <f>COUNTIF(N135:CP135,4)</f>
        <v>0</v>
      </c>
      <c r="CS135" s="39">
        <f>COUNTIF(N135:CP135,5)</f>
        <v>0</v>
      </c>
      <c r="CT135" s="41">
        <f>COUNTIF(N135:CP135,6)</f>
        <v>0</v>
      </c>
      <c r="CU135" s="39"/>
      <c r="CV135" s="39"/>
      <c r="CX135" s="72">
        <f t="shared" si="185"/>
        <v>0</v>
      </c>
      <c r="CY135" s="73">
        <f t="shared" si="185"/>
        <v>0</v>
      </c>
      <c r="CZ135" s="74">
        <f t="shared" si="185"/>
        <v>0</v>
      </c>
    </row>
    <row r="136" spans="2:235" ht="15" customHeight="1" thickBot="1">
      <c r="B136" s="72" t="str">
        <f t="shared" si="174"/>
        <v>x</v>
      </c>
      <c r="C136" s="73" t="str">
        <f t="shared" si="175"/>
        <v>x</v>
      </c>
      <c r="D136" s="73" t="str">
        <f t="shared" si="176"/>
        <v>x</v>
      </c>
      <c r="E136" s="73" t="str">
        <f t="shared" si="177"/>
        <v>x</v>
      </c>
      <c r="F136" s="73" t="str">
        <f t="shared" si="178"/>
        <v>x</v>
      </c>
      <c r="G136" s="73" t="str">
        <f t="shared" si="179"/>
        <v>x</v>
      </c>
      <c r="H136" s="73" t="str">
        <f t="shared" si="180"/>
        <v>x</v>
      </c>
      <c r="I136" s="73" t="str">
        <f t="shared" si="181"/>
        <v>x</v>
      </c>
      <c r="J136" s="74">
        <f t="shared" si="182"/>
        <v>9</v>
      </c>
      <c r="N136" s="99">
        <f>IF($B$86="x",-1,IF(AND($B$86=0,INDEX(KonZeile1,7)+INDEX(KonSpalte1,7)+INDEX(KonFeld4,7)=0),7,0))</f>
        <v>-1</v>
      </c>
      <c r="O136" s="45">
        <f>IF($B$86="x",-1,IF(AND($B$86=0,INDEX(KonZeile1,8)+INDEX(KonSpalte1,8)+INDEX(KonFeld4,8)=0),8,0))</f>
        <v>-1</v>
      </c>
      <c r="P136" s="47">
        <f>IF($B$86="x",-1,IF(AND($B$86=0,INDEX(KonZeile1,9)+INDEX(KonSpalte1,9)+INDEX(KonFeld4,9)=0),9,0))</f>
        <v>-1</v>
      </c>
      <c r="Q136" s="46">
        <f>IF($C$86="x",-1,IF(AND($C$86=0,INDEX(KonZeile1,7)+INDEX(KonSpalte2,7)+INDEX(KonFeld4,7)=0),7,0))</f>
        <v>-1</v>
      </c>
      <c r="R136" s="45">
        <f>IF($C$86="x",-1,IF(AND($C$86=0,INDEX(KonZeile1,8)+INDEX(KonSpalte2,8)+INDEX(KonFeld4,8)=0),8,0))</f>
        <v>-1</v>
      </c>
      <c r="S136" s="47">
        <f>IF($C$86="x",-1,IF(AND($C$86=0,INDEX(KonZeile1,9)+INDEX(KonSpalte2,9)+INDEX(KonFeld4,9)=0),9,0))</f>
        <v>-1</v>
      </c>
      <c r="T136" s="46">
        <f>IF($D$86="x",-1,IF(AND($D$86=0,INDEX(KonZeile1,7)+INDEX(KonSpalte3,7)+INDEX(KonFeld4,7)=0),7,0))</f>
        <v>-1</v>
      </c>
      <c r="U136" s="45">
        <f>IF($D$86="x",-1,IF(AND($D$86=0,INDEX(KonZeile1,8)+INDEX(KonSpalte3,8)+INDEX(KonFeld4,8)=0),8,0))</f>
        <v>-1</v>
      </c>
      <c r="V136" s="48">
        <f>IF($D$86="x",-1,IF(AND($D$86=0,INDEX(KonZeile1,9)+INDEX(KonSpalte3,9)+INDEX(KonFeld4,9)=0),9,0))</f>
        <v>-1</v>
      </c>
      <c r="W136" s="44">
        <f>IF($E$86="x",-1,IF(AND($E$86=0,INDEX(KonZeile1,7)+INDEX(KonSpalte4,7)+INDEX(KonFeld4,7)=0),7,0))</f>
        <v>-1</v>
      </c>
      <c r="X136" s="45">
        <f>IF($E$86="x",-1,IF(AND($E$86=0,INDEX(KonZeile1,8)+INDEX(KonSpalte4,8)+INDEX(KonFeld4,8)=0),8,0))</f>
        <v>-1</v>
      </c>
      <c r="Y136" s="47">
        <f>IF($E$86="x",-1,IF(AND($E$86=0,INDEX(KonZeile1,9)+INDEX(KonSpalte4,9)+INDEX(KonFeld4,9)=0),9,0))</f>
        <v>-1</v>
      </c>
      <c r="Z136" s="46">
        <f>IF($F$86="x",-1,IF(AND($F$86=0,INDEX(KonZeile1,7)+INDEX(KonSpalte5,7)+INDEX(KonFeld4,7)=0),7,0))</f>
        <v>-1</v>
      </c>
      <c r="AA136" s="45">
        <f>IF($F$86="x",-1,IF(AND($F$86=0,INDEX(KonZeile1,8)+INDEX(KonSpalte5,8)+INDEX(KonFeld4,8)=0),8,0))</f>
        <v>-1</v>
      </c>
      <c r="AB136" s="47">
        <f>IF($F$86="x",-1,IF(AND($F$86=0,INDEX(KonZeile1,9)+INDEX(KonSpalte5,9)+INDEX(KonFeld4,9)=0),9,0))</f>
        <v>-1</v>
      </c>
      <c r="AC136" s="46">
        <f>IF($G$86="x",-1,IF(AND($G$86=0,INDEX(KonZeile1,7)+INDEX(KonSpalte6,7)+INDEX(KonFeld4,7)=0),7,0))</f>
        <v>-1</v>
      </c>
      <c r="AD136" s="45">
        <f>IF($G$86="x",-1,IF(AND($G$86=0,INDEX(KonZeile1,8)+INDEX(KonSpalte6,8)+INDEX(KonFeld4,8)=0),8,0))</f>
        <v>-1</v>
      </c>
      <c r="AE136" s="48">
        <f>IF($G$86="x",-1,IF(AND($G$86=0,INDEX(KonZeile1,9)+INDEX(KonSpalte6,9)+INDEX(KonFeld4,9)=0),9,0))</f>
        <v>-1</v>
      </c>
      <c r="AF136" s="44">
        <f>IF($H$86="x",-1,IF(AND($H$86=0,INDEX(KonZeile1,7)+INDEX(KonSpalte7,7)+INDEX(KonFeld4,7)=0),7,0))</f>
        <v>-1</v>
      </c>
      <c r="AG136" s="45">
        <f>IF($H$86="x",-1,IF(AND($H$86=0,INDEX(KonZeile1,8)+INDEX(KonSpalte7,8)+INDEX(KonFeld4,8)=0),8,0))</f>
        <v>-1</v>
      </c>
      <c r="AH136" s="47">
        <f>IF($H$86="x",-1,IF(AND($H$86=0,INDEX(KonZeile1,9)+INDEX(KonSpalte7,9)+INDEX(KonFeld4,9)=0),9,0))</f>
        <v>-1</v>
      </c>
      <c r="AI136" s="46">
        <f>IF($I$86="x",-1,IF(AND($I$86=0,INDEX(KonZeile1,7)+INDEX(KonSpalte8,7)+INDEX(KonFeld4,7)=0),7,0))</f>
        <v>-1</v>
      </c>
      <c r="AJ136" s="45">
        <f>IF($I$86="x",-1,IF(AND($I$86=0,INDEX(KonZeile1,8)+INDEX(KonSpalte8,8)+INDEX(KonFeld4,8)=0),8,0))</f>
        <v>-1</v>
      </c>
      <c r="AK136" s="47">
        <f>IF($I$86="x",-1,IF(AND($I$86=0,INDEX(KonZeile1,9)+INDEX(KonSpalte8,9)+INDEX(KonFeld4,9)=0),9,0))</f>
        <v>-1</v>
      </c>
      <c r="AL136" s="46">
        <f>IF($J$86="x",-1,IF(AND($J$86=0,INDEX(KonZeile1,7)+INDEX(KonSpalte9,7)+INDEX(KonFeld4,7)=0),7,0))</f>
        <v>-1</v>
      </c>
      <c r="AM136" s="45">
        <f>IF($J$86="x",-1,IF(AND($J$86=0,INDEX(KonZeile1,8)+INDEX(KonSpalte9,8)+INDEX(KonFeld4,8)=0),8,0))</f>
        <v>-1</v>
      </c>
      <c r="AN136" s="100">
        <f>IF($J$86="x",-1,IF(AND($J$86=0,INDEX(KonZeile1,9)+INDEX(KonSpalte9,9)+INDEX(KonFeld4,9)=0),9,0))</f>
        <v>-1</v>
      </c>
      <c r="AO136" s="99">
        <f>IF($K$86="x",-1,IF(AND($K$86=0,INDEX(KonZeile1,7)+INDEX(KonSpalte1,7)+INDEX(KonFeld5,7)=0),7,0))</f>
        <v>-1</v>
      </c>
      <c r="AP136" s="45">
        <f>IF($K$86="x",-1,IF(AND($K$86=0,INDEX(KonZeile1,8)+INDEX(KonSpalte1,8)+INDEX(KonFeld5,8)=0),8,0))</f>
        <v>-1</v>
      </c>
      <c r="AQ136" s="47">
        <f>IF($K$86="x",-1,IF(AND($K$86=0,INDEX(KonZeile1,9)+INDEX(KonSpalte1,9)+INDEX(KonFeld5,9)=0),9,0))</f>
        <v>-1</v>
      </c>
      <c r="AR136" s="46">
        <f>IF($L$86="x",-1,IF(AND($L$86=0,INDEX(KonZeile1,7)+INDEX(KonSpalte2,7)+INDEX(KonFeld5,7)=0),7,0))</f>
        <v>-1</v>
      </c>
      <c r="AS136" s="45">
        <f>IF($L$86="x",-1,IF(AND($L$86=0,INDEX(KonZeile1,8)+INDEX(KonSpalte2,8)+INDEX(KonFeld5,8)=0),8,0))</f>
        <v>-1</v>
      </c>
      <c r="AT136" s="47">
        <f>IF($L$86="x",-1,IF(AND($L$86=0,INDEX(KonZeile1,9)+INDEX(KonSpalte2,9)+INDEX(KonFeld5,9)=0),9,0))</f>
        <v>-1</v>
      </c>
      <c r="AU136" s="46">
        <f>IF($M$86="x",-1,IF(AND($M$86=0,INDEX(KonZeile1,7)+INDEX(KonSpalte3,7)+INDEX(KonFeld5,7)=0),7,0))</f>
        <v>-1</v>
      </c>
      <c r="AV136" s="45">
        <f>IF($M$86="x",-1,IF(AND($M$86=0,INDEX(KonZeile1,8)+INDEX(KonSpalte3,8)+INDEX(KonFeld5,8)=0),8,0))</f>
        <v>-1</v>
      </c>
      <c r="AW136" s="48">
        <f>IF($M$86="x",-1,IF(AND($M$86=0,INDEX(KonZeile1,9)+INDEX(KonSpalte3,9)+INDEX(KonFeld5,9)=0),9,0))</f>
        <v>-1</v>
      </c>
      <c r="AX136" s="44">
        <f>IF($N$86="x",-1,IF(AND($N$86=0,INDEX(KonZeile1,7)+INDEX(KonSpalte4,7)+INDEX(KonFeld5,7)=0),7,0))</f>
        <v>-1</v>
      </c>
      <c r="AY136" s="45">
        <f>IF($N$86="x",-1,IF(AND($N$86=0,INDEX(KonZeile1,8)+INDEX(KonSpalte4,8)+INDEX(KonFeld5,8)=0),8,0))</f>
        <v>-1</v>
      </c>
      <c r="AZ136" s="47">
        <f>IF($N$86="x",-1,IF(AND($N$86=0,INDEX(KonZeile1,9)+INDEX(KonSpalte4,9)+INDEX(KonFeld5,9)=0),9,0))</f>
        <v>-1</v>
      </c>
      <c r="BA136" s="46">
        <f>IF($O$86="x",-1,IF(AND($O$86=0,INDEX(KonZeile1,7)+INDEX(KonSpalte5,7)+INDEX(KonFeld5,7)=0),7,0))</f>
        <v>-1</v>
      </c>
      <c r="BB136" s="45">
        <f>IF($O$86="x",-1,IF(AND($O$86=0,INDEX(KonZeile1,8)+INDEX(KonSpalte5,8)+INDEX(KonFeld5,8)=0),8,0))</f>
        <v>-1</v>
      </c>
      <c r="BC136" s="47">
        <f>IF($O$86="x",-1,IF(AND($O$86=0,INDEX(KonZeile1,9)+INDEX(KonSpalte5,9)+INDEX(KonFeld5,9)=0),9,0))</f>
        <v>-1</v>
      </c>
      <c r="BD136" s="46">
        <f>IF($P$86="x",-1,IF(AND($P$86=0,INDEX(KonZeile1,7)+INDEX(KonSpalte6,7)+INDEX(KonFeld5,7)=0),7,0))</f>
        <v>-1</v>
      </c>
      <c r="BE136" s="45">
        <f>IF($P$86="x",-1,IF(AND($P$86=0,INDEX(KonZeile1,8)+INDEX(KonSpalte6,8)+INDEX(KonFeld5,8)=0),8,0))</f>
        <v>-1</v>
      </c>
      <c r="BF136" s="48">
        <f>IF($P$86="x",-1,IF(AND($P$86=0,INDEX(KonZeile1,9)+INDEX(KonSpalte6,9)+INDEX(KonFeld5,9)=0),9,0))</f>
        <v>-1</v>
      </c>
      <c r="BG136" s="44">
        <f>IF($Q$86="x",-1,IF(AND($Q$86=0,INDEX(KonZeile1,7)+INDEX(KonSpalte7,7)+INDEX(KonFeld5,7)=0),7,0))</f>
        <v>-1</v>
      </c>
      <c r="BH136" s="45">
        <f>IF($Q$86="x",-1,IF(AND($Q$86=0,INDEX(KonZeile1,8)+INDEX(KonSpalte7,8)+INDEX(KonFeld5,8)=0),8,0))</f>
        <v>-1</v>
      </c>
      <c r="BI136" s="47">
        <f>IF($Q$86="x",-1,IF(AND($Q$86=0,INDEX(KonZeile1,9)+INDEX(KonSpalte7,9)+INDEX(KonFeld5,9)=0),9,0))</f>
        <v>-1</v>
      </c>
      <c r="BJ136" s="46">
        <f>IF($R$86="x",-1,IF(AND($R$86=0,INDEX(KonZeile1,7)+INDEX(KonSpalte8,7)+INDEX(KonFeld5,7)=0),7,0))</f>
        <v>-1</v>
      </c>
      <c r="BK136" s="45">
        <f>IF($R$86="x",-1,IF(AND($R$86=0,INDEX(KonZeile1,8)+INDEX(KonSpalte8,8)+INDEX(KonFeld5,8)=0),8,0))</f>
        <v>-1</v>
      </c>
      <c r="BL136" s="47">
        <f>IF($R$86="x",-1,IF(AND($R$86=0,INDEX(KonZeile1,9)+INDEX(KonSpalte8,9)+INDEX(KonFeld5,9)=0),9,0))</f>
        <v>-1</v>
      </c>
      <c r="BM136" s="46">
        <f>IF($S$86="x",-1,IF(AND($S$86=0,INDEX(KonZeile1,7)+INDEX(KonSpalte9,7)+INDEX(KonFeld5,7)=0),7,0))</f>
        <v>-1</v>
      </c>
      <c r="BN136" s="45">
        <f>IF($S$86="x",-1,IF(AND($S$86=0,INDEX(KonZeile1,8)+INDEX(KonSpalte9,8)+INDEX(KonFeld5,8)=0),8,0))</f>
        <v>-1</v>
      </c>
      <c r="BO136" s="100">
        <f>IF($S$86="x",-1,IF(AND($S$86=0,INDEX(KonZeile1,9)+INDEX(KonSpalte9,9)+INDEX(KonFeld5,9)=0),9,0))</f>
        <v>-1</v>
      </c>
      <c r="BP136" s="99">
        <f>IF($T$86="x",-1,IF(AND($T$86=0,INDEX(KonZeile1,7)+INDEX(KonSpalte1,7)+INDEX(KonFeld6,7)=0),7,0))</f>
        <v>-1</v>
      </c>
      <c r="BQ136" s="45">
        <f>IF($T$86="x",-1,IF(AND($T$86=0,INDEX(KonZeile1,8)+INDEX(KonSpalte1,8)+INDEX(KonFeld6,8)=0),8,0))</f>
        <v>-1</v>
      </c>
      <c r="BR136" s="47">
        <f>IF($T$86="x",-1,IF(AND($T$86=0,INDEX(KonZeile1,9)+INDEX(KonSpalte1,9)+INDEX(KonFeld6,9)=0),9,0))</f>
        <v>-1</v>
      </c>
      <c r="BS136" s="46">
        <f>IF($U$86="x",-1,IF(AND($U$86=0,INDEX(KonZeile1,7)+INDEX(KonSpalte2,7)+INDEX(KonFeld6,7)=0),7,0))</f>
        <v>-1</v>
      </c>
      <c r="BT136" s="45">
        <f>IF($U$86="x",-1,IF(AND($U$86=0,INDEX(KonZeile1,8)+INDEX(KonSpalte2,8)+INDEX(KonFeld6,8)=0),8,0))</f>
        <v>-1</v>
      </c>
      <c r="BU136" s="47">
        <f>IF($U$86="x",-1,IF(AND($U$86=0,INDEX(KonZeile1,9)+INDEX(KonSpalte2,9)+INDEX(KonFeld6,9)=0),9,0))</f>
        <v>-1</v>
      </c>
      <c r="BV136" s="46">
        <f>IF($V$86="x",-1,IF(AND($V$86=0,INDEX(KonZeile1,7)+INDEX(KonSpalte3,7)+INDEX(KonFeld6,7)=0),7,0))</f>
        <v>-1</v>
      </c>
      <c r="BW136" s="45">
        <f>IF($V$86="x",-1,IF(AND($V$86=0,INDEX(KonZeile1,8)+INDEX(KonSpalte3,8)+INDEX(KonFeld6,8)=0),8,0))</f>
        <v>-1</v>
      </c>
      <c r="BX136" s="48">
        <f>IF($V$86="x",-1,IF(AND($V$86=0,INDEX(KonZeile1,9)+INDEX(KonSpalte3,9)+INDEX(KonFeld6,9)=0),9,0))</f>
        <v>-1</v>
      </c>
      <c r="BY136" s="44">
        <f>IF($W$86="x",-1,IF(AND($W$86=0,INDEX(KonZeile1,7)+INDEX(KonSpalte4,7)+INDEX(KonFeld6,7)=0),7,0))</f>
        <v>-1</v>
      </c>
      <c r="BZ136" s="45">
        <f>IF($W$86="x",-1,IF(AND($W$86=0,INDEX(KonZeile1,8)+INDEX(KonSpalte4,8)+INDEX(KonFeld6,8)=0),8,0))</f>
        <v>-1</v>
      </c>
      <c r="CA136" s="47">
        <f>IF($W$86="x",-1,IF(AND($W$86=0,INDEX(KonZeile1,9)+INDEX(KonSpalte4,9)+INDEX(KonFeld6,9)=0),9,0))</f>
        <v>-1</v>
      </c>
      <c r="CB136" s="46">
        <f>IF($X$86="x",-1,IF(AND($X$86=0,INDEX(KonZeile1,7)+INDEX(KonSpalte5,7)+INDEX(KonFeld6,7)=0),7,0))</f>
        <v>-1</v>
      </c>
      <c r="CC136" s="45">
        <f>IF($X$86="x",-1,IF(AND($X$86=0,INDEX(KonZeile1,8)+INDEX(KonSpalte5,8)+INDEX(KonFeld6,8)=0),8,0))</f>
        <v>-1</v>
      </c>
      <c r="CD136" s="47">
        <f>IF($X$86="x",-1,IF(AND($X$86=0,INDEX(KonZeile1,9)+INDEX(KonSpalte5,9)+INDEX(KonFeld6,9)=0),9,0))</f>
        <v>-1</v>
      </c>
      <c r="CE136" s="46">
        <f>IF($Y$86="x",-1,IF(AND($Y$86=0,INDEX(KonZeile1,7)+INDEX(KonSpalte6,7)+INDEX(KonFeld6,7)=0),7,0))</f>
        <v>-1</v>
      </c>
      <c r="CF136" s="45">
        <f>IF($Y$86="x",-1,IF(AND($Y$86=0,INDEX(KonZeile1,8)+INDEX(KonSpalte6,8)+INDEX(KonFeld6,8)=0),8,0))</f>
        <v>-1</v>
      </c>
      <c r="CG136" s="48">
        <f>IF($Y$86="x",-1,IF(AND($Y$86=0,INDEX(KonZeile1,9)+INDEX(KonSpalte6,9)+INDEX(KonFeld6,9)=0),9,0))</f>
        <v>-1</v>
      </c>
      <c r="CH136" s="44">
        <f>IF($Z$86="x",-1,IF(AND($Z$86=0,INDEX(KonZeile1,7)+INDEX(KonSpalte7,7)+INDEX(KonFeld6,7)=0),7,0))</f>
        <v>0</v>
      </c>
      <c r="CI136" s="45">
        <f>IF($Z$86="x",-1,IF(AND($Z$86=0,INDEX(KonZeile1,8)+INDEX(KonSpalte7,8)+INDEX(KonFeld6,8)=0),8,0))</f>
        <v>0</v>
      </c>
      <c r="CJ136" s="47">
        <f>IF($Z$86="x",-1,IF(AND($Z$86=0,INDEX(KonZeile1,9)+INDEX(KonSpalte7,9)+INDEX(KonFeld6,9)=0),9,0))</f>
        <v>0</v>
      </c>
      <c r="CK136" s="46">
        <f>IF($AA$86="x",-1,IF(AND($AA$86=0,INDEX(KonZeile1,7)+INDEX(KonSpalte8,7)+INDEX(KonFeld6,7)=0),7,0))</f>
        <v>-1</v>
      </c>
      <c r="CL136" s="45">
        <f>IF($AA$86="x",-1,IF(AND($AA$86=0,INDEX(KonZeile1,8)+INDEX(KonSpalte8,8)+INDEX(KonFeld6,8)=0),8,0))</f>
        <v>-1</v>
      </c>
      <c r="CM136" s="47">
        <f>IF($AA$86="x",-1,IF(AND($AA$86=0,INDEX(KonZeile1,9)+INDEX(KonSpalte8,9)+INDEX(KonFeld6,9)=0),9,0))</f>
        <v>-1</v>
      </c>
      <c r="CN136" s="46">
        <f>IF($AB$86="x",-1,IF(AND($AB$86=0,INDEX(KonZeile1,7)+INDEX(KonSpalte9,7)+INDEX(KonFeld6,7)=0),7,0))</f>
        <v>0</v>
      </c>
      <c r="CO136" s="45">
        <f>IF($AB$86="x",-1,IF(AND($AB$86=0,INDEX(KonZeile1,8)+INDEX(KonSpalte9,8)+INDEX(KonFeld6,8)=0),8,0))</f>
        <v>0</v>
      </c>
      <c r="CP136" s="100">
        <f>IF($AB$86="x",-1,IF(AND($AB$86=0,INDEX(KonZeile1,9)+INDEX(KonSpalte9,9)+INDEX(KonFeld6,9)=0),9,0))</f>
        <v>0</v>
      </c>
      <c r="CR136" s="46">
        <f>COUNTIF(N136:CP136,7)</f>
        <v>0</v>
      </c>
      <c r="CS136" s="45">
        <f>COUNTIF(N136:CP136,8)</f>
        <v>0</v>
      </c>
      <c r="CT136" s="47">
        <f>COUNTIF(N136:CP136,9)</f>
        <v>0</v>
      </c>
      <c r="CU136" s="39"/>
      <c r="CV136" s="39"/>
      <c r="CX136" s="78">
        <f t="shared" si="185"/>
        <v>0</v>
      </c>
      <c r="CY136" s="79">
        <f t="shared" si="185"/>
        <v>0</v>
      </c>
      <c r="CZ136" s="80">
        <f t="shared" si="185"/>
        <v>0</v>
      </c>
    </row>
    <row r="137" spans="2:235" ht="15" customHeight="1">
      <c r="B137" s="72" t="str">
        <f t="shared" si="174"/>
        <v>x</v>
      </c>
      <c r="C137" s="73" t="str">
        <f t="shared" si="175"/>
        <v>x</v>
      </c>
      <c r="D137" s="73" t="str">
        <f t="shared" si="176"/>
        <v>x</v>
      </c>
      <c r="E137" s="73" t="str">
        <f t="shared" si="177"/>
        <v>x</v>
      </c>
      <c r="F137" s="73" t="str">
        <f t="shared" si="178"/>
        <v>x</v>
      </c>
      <c r="G137" s="73" t="str">
        <f t="shared" si="179"/>
        <v>x</v>
      </c>
      <c r="H137" s="73" t="str">
        <f t="shared" si="180"/>
        <v>x</v>
      </c>
      <c r="I137" s="73" t="str">
        <f t="shared" si="181"/>
        <v>x</v>
      </c>
      <c r="J137" s="74">
        <f t="shared" si="182"/>
        <v>7</v>
      </c>
      <c r="N137" s="104">
        <f>IF($B$87="x",-1,IF(AND($B$87=0,INDEX(KonZeile2,1)+INDEX(KonSpalte1,1)+INDEX(KonFeld4,1)=0),1,0))</f>
        <v>-1</v>
      </c>
      <c r="O137" s="50">
        <f>IF($B$87="x",-1,IF(AND($B$87=0,INDEX(KonZeile2,2)+INDEX(KonSpalte1,2)+INDEX(KonFeld4,2)=0),2,0))</f>
        <v>-1</v>
      </c>
      <c r="P137" s="51">
        <f>IF($B$87="x",-1,IF(AND($B$87=0,INDEX(KonZeile2,3)+INDEX(KonSpalte1,3)+INDEX(KonFeld4,3)=0),3,0))</f>
        <v>-1</v>
      </c>
      <c r="Q137" s="52">
        <f>IF($C$87="x",-1,IF(AND($C$87=0,INDEX(KonZeile2,1)+INDEX(KonSpalte2,1)+INDEX(KonFeld4,1)=0),1,0))</f>
        <v>-1</v>
      </c>
      <c r="R137" s="50">
        <f>IF($C$87="x",-1,IF(AND($C$87=0,INDEX(KonZeile2,2)+INDEX(KonSpalte2,2)+INDEX(KonFeld4,2)=0),2,0))</f>
        <v>-1</v>
      </c>
      <c r="S137" s="51">
        <f>IF($C$87="x",-1,IF(AND($C$87=0,INDEX(KonZeile2,3)+INDEX(KonSpalte2,3)+INDEX(KonFeld4,3)=0),3,0))</f>
        <v>-1</v>
      </c>
      <c r="T137" s="52">
        <f>IF($D$87="x",-1,IF(AND($D$87=0,INDEX(KonZeile2,1)+INDEX(KonSpalte3,1)+INDEX(KonFeld4,1)=0),1,0))</f>
        <v>-1</v>
      </c>
      <c r="U137" s="50">
        <f>IF($D$87="x",-1,IF(AND($D$87=0,INDEX(KonZeile2,2)+INDEX(KonSpalte3,2)+INDEX(KonFeld4,2)=0),2,0))</f>
        <v>-1</v>
      </c>
      <c r="V137" s="53">
        <f>IF($D$87="x",-1,IF(AND($D$87=0,INDEX(KonZeile2,3)+INDEX(KonSpalte3,3)+INDEX(KonFeld4,3)=0),3,0))</f>
        <v>-1</v>
      </c>
      <c r="W137" s="49">
        <f>IF($E$87="x",-1,IF(AND($E$87=0,INDEX(KonZeile2,1)+INDEX(KonSpalte4,1)+INDEX(KonFeld4,1)=0),1,0))</f>
        <v>-1</v>
      </c>
      <c r="X137" s="50">
        <f>IF($E$87="x",-1,IF(AND($E$87=0,INDEX(KonZeile2,2)+INDEX(KonSpalte4,2)+INDEX(KonFeld4,2)=0),2,0))</f>
        <v>-1</v>
      </c>
      <c r="Y137" s="51">
        <f>IF($E$87="x",-1,IF(AND($E$87=0,INDEX(KonZeile2,3)+INDEX(KonSpalte4,3)+INDEX(KonFeld4,3)=0),3,0))</f>
        <v>-1</v>
      </c>
      <c r="Z137" s="52">
        <f>IF($F$87="x",-1,IF(AND($F$87=0,INDEX(KonZeile2,1)+INDEX(KonSpalte5,1)+INDEX(KonFeld4,1)=0),1,0))</f>
        <v>-1</v>
      </c>
      <c r="AA137" s="50">
        <f>IF($F$87="x",-1,IF(AND($F$87=0,INDEX(KonZeile2,2)+INDEX(KonSpalte5,2)+INDEX(KonFeld4,2)=0),2,0))</f>
        <v>-1</v>
      </c>
      <c r="AB137" s="51">
        <f>IF($F$87="x",-1,IF(AND($F$87=0,INDEX(KonZeile2,3)+INDEX(KonSpalte5,3)+INDEX(KonFeld4,3)=0),3,0))</f>
        <v>-1</v>
      </c>
      <c r="AC137" s="52">
        <f>IF($G$87="x",-1,IF(AND($G$87=0,INDEX(KonZeile2,1)+INDEX(KonSpalte6,1)+INDEX(KonFeld4,1)=0),1,0))</f>
        <v>-1</v>
      </c>
      <c r="AD137" s="50">
        <f>IF($G$87="x",-1,IF(AND($G$87=0,INDEX(KonZeile2,2)+INDEX(KonSpalte6,2)+INDEX(KonFeld4,2)=0),2,0))</f>
        <v>-1</v>
      </c>
      <c r="AE137" s="53">
        <f>IF($G$87="x",-1,IF(AND($G$87=0,INDEX(KonZeile2,3)+INDEX(KonSpalte6,3)+INDEX(KonFeld4,3)=0),3,0))</f>
        <v>-1</v>
      </c>
      <c r="AF137" s="49">
        <f>IF($H$87="x",-1,IF(AND($H$87=0,INDEX(KonZeile2,1)+INDEX(KonSpalte7,1)+INDEX(KonFeld4,1)=0),1,0))</f>
        <v>-1</v>
      </c>
      <c r="AG137" s="50">
        <f>IF($H$87="x",-1,IF(AND($H$87=0,INDEX(KonZeile2,2)+INDEX(KonSpalte7,2)+INDEX(KonFeld4,2)=0),2,0))</f>
        <v>-1</v>
      </c>
      <c r="AH137" s="51">
        <f>IF($H$87="x",-1,IF(AND($H$87=0,INDEX(KonZeile2,3)+INDEX(KonSpalte7,3)+INDEX(KonFeld4,3)=0),3,0))</f>
        <v>-1</v>
      </c>
      <c r="AI137" s="52">
        <f>IF($I$87="x",-1,IF(AND($I$87=0,INDEX(KonZeile2,1)+INDEX(KonSpalte8,1)+INDEX(KonFeld4,1)=0),1,0))</f>
        <v>-1</v>
      </c>
      <c r="AJ137" s="50">
        <f>IF($I$87="x",-1,IF(AND($I$87=0,INDEX(KonZeile2,2)+INDEX(KonSpalte8,2)+INDEX(KonFeld4,2)=0),2,0))</f>
        <v>-1</v>
      </c>
      <c r="AK137" s="51">
        <f>IF($I$87="x",-1,IF(AND($I$87=0,INDEX(KonZeile2,3)+INDEX(KonSpalte8,3)+INDEX(KonFeld4,3)=0),3,0))</f>
        <v>-1</v>
      </c>
      <c r="AL137" s="52">
        <f>IF($J$87="x",-1,IF(AND($J$87=0,INDEX(KonZeile2,1)+INDEX(KonSpalte9,1)+INDEX(KonFeld4,1)=0),1,0))</f>
        <v>-1</v>
      </c>
      <c r="AM137" s="50">
        <f>IF($J$87="x",-1,IF(AND($J$87=0,INDEX(KonZeile2,2)+INDEX(KonSpalte9,2)+INDEX(KonFeld4,2)=0),2,0))</f>
        <v>-1</v>
      </c>
      <c r="AN137" s="105">
        <f>IF($J$87="x",-1,IF(AND($J$87=0,INDEX(KonZeile2,3)+INDEX(KonSpalte9,3)+INDEX(KonFeld4,3)=0),3,0))</f>
        <v>-1</v>
      </c>
      <c r="AO137" s="104">
        <f>IF($K$87="x",-1,IF(AND($K$87=0,INDEX(KonZeile2,1)+INDEX(KonSpalte1,1)+INDEX(KonFeld5,1)=0),1,0))</f>
        <v>-1</v>
      </c>
      <c r="AP137" s="50">
        <f>IF($K$87="x",-1,IF(AND($K$87=0,INDEX(KonZeile2,2)+INDEX(KonSpalte1,2)+INDEX(KonFeld5,2)=0),2,0))</f>
        <v>-1</v>
      </c>
      <c r="AQ137" s="51">
        <f>IF($K$87="x",-1,IF(AND($K$87=0,INDEX(KonZeile2,3)+INDEX(KonSpalte1,3)+INDEX(KonFeld5,3)=0),3,0))</f>
        <v>-1</v>
      </c>
      <c r="AR137" s="52">
        <f>IF($L$87="x",-1,IF(AND($L$87=0,INDEX(KonZeile2,1)+INDEX(KonSpalte2,1)+INDEX(KonFeld5,1)=0),1,0))</f>
        <v>0</v>
      </c>
      <c r="AS137" s="50">
        <f>IF($L$87="x",-1,IF(AND($L$87=0,INDEX(KonZeile2,2)+INDEX(KonSpalte2,2)+INDEX(KonFeld5,2)=0),2,0))</f>
        <v>0</v>
      </c>
      <c r="AT137" s="51">
        <f>IF($L$87="x",-1,IF(AND($L$87=0,INDEX(KonZeile2,3)+INDEX(KonSpalte2,3)+INDEX(KonFeld5,3)=0),3,0))</f>
        <v>0</v>
      </c>
      <c r="AU137" s="52">
        <f>IF($M$87="x",-1,IF(AND($M$87=0,INDEX(KonZeile2,1)+INDEX(KonSpalte3,1)+INDEX(KonFeld5,1)=0),1,0))</f>
        <v>0</v>
      </c>
      <c r="AV137" s="50">
        <f>IF($M$87="x",-1,IF(AND($M$87=0,INDEX(KonZeile2,2)+INDEX(KonSpalte3,2)+INDEX(KonFeld5,2)=0),2,0))</f>
        <v>0</v>
      </c>
      <c r="AW137" s="53">
        <f>IF($M$87="x",-1,IF(AND($M$87=0,INDEX(KonZeile2,3)+INDEX(KonSpalte3,3)+INDEX(KonFeld5,3)=0),3,0))</f>
        <v>0</v>
      </c>
      <c r="AX137" s="49">
        <f>IF($N$87="x",-1,IF(AND($N$87=0,INDEX(KonZeile2,1)+INDEX(KonSpalte4,1)+INDEX(KonFeld5,1)=0),1,0))</f>
        <v>-1</v>
      </c>
      <c r="AY137" s="50">
        <f>IF($N$87="x",-1,IF(AND($N$87=0,INDEX(KonZeile2,2)+INDEX(KonSpalte4,2)+INDEX(KonFeld5,2)=0),2,0))</f>
        <v>-1</v>
      </c>
      <c r="AZ137" s="51">
        <f>IF($N$87="x",-1,IF(AND($N$87=0,INDEX(KonZeile2,3)+INDEX(KonSpalte4,3)+INDEX(KonFeld5,3)=0),3,0))</f>
        <v>-1</v>
      </c>
      <c r="BA137" s="52">
        <f>IF($O$87="x",-1,IF(AND($O$87=0,INDEX(KonZeile2,1)+INDEX(KonSpalte5,1)+INDEX(KonFeld5,1)=0),1,0))</f>
        <v>-1</v>
      </c>
      <c r="BB137" s="50">
        <f>IF($O$87="x",-1,IF(AND($O$87=0,INDEX(KonZeile2,2)+INDEX(KonSpalte5,2)+INDEX(KonFeld5,2)=0),2,0))</f>
        <v>-1</v>
      </c>
      <c r="BC137" s="51">
        <f>IF($O$87="x",-1,IF(AND($O$87=0,INDEX(KonZeile2,3)+INDEX(KonSpalte5,3)+INDEX(KonFeld5,3)=0),3,0))</f>
        <v>-1</v>
      </c>
      <c r="BD137" s="52">
        <f>IF($P$87="x",-1,IF(AND($P$87=0,INDEX(KonZeile2,1)+INDEX(KonSpalte6,1)+INDEX(KonFeld5,1)=0),1,0))</f>
        <v>0</v>
      </c>
      <c r="BE137" s="50">
        <f>IF($P$87="x",-1,IF(AND($P$87=0,INDEX(KonZeile2,2)+INDEX(KonSpalte6,2)+INDEX(KonFeld5,2)=0),2,0))</f>
        <v>0</v>
      </c>
      <c r="BF137" s="53">
        <f>IF($P$87="x",-1,IF(AND($P$87=0,INDEX(KonZeile2,3)+INDEX(KonSpalte6,3)+INDEX(KonFeld5,3)=0),3,0))</f>
        <v>0</v>
      </c>
      <c r="BG137" s="49">
        <f>IF($Q$87="x",-1,IF(AND($Q$87=0,INDEX(KonZeile2,1)+INDEX(KonSpalte7,1)+INDEX(KonFeld5,1)=0),1,0))</f>
        <v>0</v>
      </c>
      <c r="BH137" s="50">
        <f>IF($Q$87="x",-1,IF(AND($Q$87=0,INDEX(KonZeile2,2)+INDEX(KonSpalte7,2)+INDEX(KonFeld5,2)=0),2,0))</f>
        <v>0</v>
      </c>
      <c r="BI137" s="51">
        <f>IF($Q$87="x",-1,IF(AND($Q$87=0,INDEX(KonZeile2,3)+INDEX(KonSpalte7,3)+INDEX(KonFeld5,3)=0),3,0))</f>
        <v>0</v>
      </c>
      <c r="BJ137" s="52">
        <f>IF($R$87="x",-1,IF(AND($R$87=0,INDEX(KonZeile2,1)+INDEX(KonSpalte8,1)+INDEX(KonFeld5,1)=0),1,0))</f>
        <v>-1</v>
      </c>
      <c r="BK137" s="50">
        <f>IF($R$87="x",-1,IF(AND($R$87=0,INDEX(KonZeile2,2)+INDEX(KonSpalte8,2)+INDEX(KonFeld5,2)=0),2,0))</f>
        <v>-1</v>
      </c>
      <c r="BL137" s="51">
        <f>IF($R$87="x",-1,IF(AND($R$87=0,INDEX(KonZeile2,3)+INDEX(KonSpalte8,3)+INDEX(KonFeld5,3)=0),3,0))</f>
        <v>-1</v>
      </c>
      <c r="BM137" s="52">
        <f>IF($S$87="x",-1,IF(AND($S$87=0,INDEX(KonZeile2,1)+INDEX(KonSpalte9,1)+INDEX(KonFeld5,1)=0),1,0))</f>
        <v>-1</v>
      </c>
      <c r="BN137" s="50">
        <f>IF($S$87="x",-1,IF(AND($S$87=0,INDEX(KonZeile2,2)+INDEX(KonSpalte9,2)+INDEX(KonFeld5,2)=0),2,0))</f>
        <v>-1</v>
      </c>
      <c r="BO137" s="105">
        <f>IF($S$87="x",-1,IF(AND($S$87=0,INDEX(KonZeile2,3)+INDEX(KonSpalte9,3)+INDEX(KonFeld5,3)=0),3,0))</f>
        <v>-1</v>
      </c>
      <c r="BP137" s="104">
        <f>IF($T$87="x",-1,IF(AND($T$87=0,INDEX(KonZeile2,1)+INDEX(KonSpalte1,1)+INDEX(KonFeld6,1)=0),1,0))</f>
        <v>-1</v>
      </c>
      <c r="BQ137" s="50">
        <f>IF($T$87="x",-1,IF(AND($T$87=0,INDEX(KonZeile2,2)+INDEX(KonSpalte1,2)+INDEX(KonFeld6,2)=0),2,0))</f>
        <v>-1</v>
      </c>
      <c r="BR137" s="51">
        <f>IF($T$87="x",-1,IF(AND($T$87=0,INDEX(KonZeile2,3)+INDEX(KonSpalte1,3)+INDEX(KonFeld6,3)=0),3,0))</f>
        <v>-1</v>
      </c>
      <c r="BS137" s="52">
        <f>IF($U$87="x",-1,IF(AND($U$87=0,INDEX(KonZeile2,1)+INDEX(KonSpalte2,1)+INDEX(KonFeld6,1)=0),1,0))</f>
        <v>-1</v>
      </c>
      <c r="BT137" s="50">
        <f>IF($U$87="x",-1,IF(AND($U$87=0,INDEX(KonZeile2,2)+INDEX(KonSpalte2,2)+INDEX(KonFeld6,2)=0),2,0))</f>
        <v>-1</v>
      </c>
      <c r="BU137" s="51">
        <f>IF($U$87="x",-1,IF(AND($U$87=0,INDEX(KonZeile2,3)+INDEX(KonSpalte2,3)+INDEX(KonFeld6,3)=0),3,0))</f>
        <v>-1</v>
      </c>
      <c r="BV137" s="52">
        <f>IF($V$87="x",-1,IF(AND($V$87=0,INDEX(KonZeile2,1)+INDEX(KonSpalte3,1)+INDEX(KonFeld6,1)=0),1,0))</f>
        <v>-1</v>
      </c>
      <c r="BW137" s="50">
        <f>IF($V$87="x",-1,IF(AND($V$87=0,INDEX(KonZeile2,2)+INDEX(KonSpalte3,2)+INDEX(KonFeld6,2)=0),2,0))</f>
        <v>-1</v>
      </c>
      <c r="BX137" s="53">
        <f>IF($V$87="x",-1,IF(AND($V$87=0,INDEX(KonZeile2,3)+INDEX(KonSpalte3,3)+INDEX(KonFeld6,3)=0),3,0))</f>
        <v>-1</v>
      </c>
      <c r="BY137" s="49">
        <f>IF($W$87="x",-1,IF(AND($W$87=0,INDEX(KonZeile2,1)+INDEX(KonSpalte4,1)+INDEX(KonFeld6,1)=0),1,0))</f>
        <v>-1</v>
      </c>
      <c r="BZ137" s="50">
        <f>IF($W$87="x",-1,IF(AND($W$87=0,INDEX(KonZeile2,2)+INDEX(KonSpalte4,2)+INDEX(KonFeld6,2)=0),2,0))</f>
        <v>-1</v>
      </c>
      <c r="CA137" s="51">
        <f>IF($W$87="x",-1,IF(AND($W$87=0,INDEX(KonZeile2,3)+INDEX(KonSpalte4,3)+INDEX(KonFeld6,3)=0),3,0))</f>
        <v>-1</v>
      </c>
      <c r="CB137" s="52">
        <f>IF($X$87="x",-1,IF(AND($X$87=0,INDEX(KonZeile2,1)+INDEX(KonSpalte5,1)+INDEX(KonFeld6,1)=0),1,0))</f>
        <v>-1</v>
      </c>
      <c r="CC137" s="50">
        <f>IF($X$87="x",-1,IF(AND($X$87=0,INDEX(KonZeile2,2)+INDEX(KonSpalte5,2)+INDEX(KonFeld6,2)=0),2,0))</f>
        <v>-1</v>
      </c>
      <c r="CD137" s="51">
        <f>IF($X$87="x",-1,IF(AND($X$87=0,INDEX(KonZeile2,3)+INDEX(KonSpalte5,3)+INDEX(KonFeld6,3)=0),3,0))</f>
        <v>-1</v>
      </c>
      <c r="CE137" s="52">
        <f>IF($Y$87="x",-1,IF(AND($Y$87=0,INDEX(KonZeile2,1)+INDEX(KonSpalte6,1)+INDEX(KonFeld6,1)=0),1,0))</f>
        <v>-1</v>
      </c>
      <c r="CF137" s="50">
        <f>IF($Y$87="x",-1,IF(AND($Y$87=0,INDEX(KonZeile2,2)+INDEX(KonSpalte6,2)+INDEX(KonFeld6,2)=0),2,0))</f>
        <v>-1</v>
      </c>
      <c r="CG137" s="53">
        <f>IF($Y$87="x",-1,IF(AND($Y$87=0,INDEX(KonZeile2,3)+INDEX(KonSpalte6,3)+INDEX(KonFeld6,3)=0),3,0))</f>
        <v>-1</v>
      </c>
      <c r="CH137" s="49">
        <f>IF($Z$87="x",-1,IF(AND($Z$87=0,INDEX(KonZeile2,1)+INDEX(KonSpalte7,1)+INDEX(KonFeld6,1)=0),1,0))</f>
        <v>-1</v>
      </c>
      <c r="CI137" s="50">
        <f>IF($Z$87="x",-1,IF(AND($Z$87=0,INDEX(KonZeile2,2)+INDEX(KonSpalte7,2)+INDEX(KonFeld6,2)=0),2,0))</f>
        <v>-1</v>
      </c>
      <c r="CJ137" s="51">
        <f>IF($Z$87="x",-1,IF(AND($Z$87=0,INDEX(KonZeile2,3)+INDEX(KonSpalte7,3)+INDEX(KonFeld6,3)=0),3,0))</f>
        <v>-1</v>
      </c>
      <c r="CK137" s="52">
        <f>IF($AA$87="x",-1,IF(AND($AA$87=0,INDEX(KonZeile2,1)+INDEX(KonSpalte8,1)+INDEX(KonFeld6,1)=0),1,0))</f>
        <v>0</v>
      </c>
      <c r="CL137" s="50">
        <f>IF($AA$87="x",-1,IF(AND($AA$87=0,INDEX(KonZeile2,2)+INDEX(KonSpalte8,2)+INDEX(KonFeld6,2)=0),2,0))</f>
        <v>0</v>
      </c>
      <c r="CM137" s="51">
        <f>IF($AA$87="x",-1,IF(AND($AA$87=0,INDEX(KonZeile2,3)+INDEX(KonSpalte8,3)+INDEX(KonFeld6,3)=0),3,0))</f>
        <v>0</v>
      </c>
      <c r="CN137" s="52">
        <f>IF($AB$87="x",-1,IF(AND($AB$87=0,INDEX(KonZeile2,1)+INDEX(KonSpalte9,1)+INDEX(KonFeld6,1)=0),1,0))</f>
        <v>-1</v>
      </c>
      <c r="CO137" s="50">
        <f>IF($AB$87="x",-1,IF(AND($AB$87=0,INDEX(KonZeile2,2)+INDEX(KonSpalte9,2)+INDEX(KonFeld6,2)=0),2,0))</f>
        <v>-1</v>
      </c>
      <c r="CP137" s="105">
        <f>IF($AB$87="x",-1,IF(AND($AB$87=0,INDEX(KonZeile2,3)+INDEX(KonSpalte9,3)+INDEX(KonFeld6,3)=0),3,0))</f>
        <v>-1</v>
      </c>
      <c r="CR137" s="52">
        <f>COUNTIF(N137:CP137,1)</f>
        <v>0</v>
      </c>
      <c r="CS137" s="50">
        <f>COUNTIF(N137:CP137,2)</f>
        <v>0</v>
      </c>
      <c r="CT137" s="51">
        <f>COUNTIF(N137:CP137,3)</f>
        <v>0</v>
      </c>
      <c r="CU137" s="39"/>
      <c r="CV137" s="39"/>
      <c r="CX137" s="65">
        <f t="shared" si="185"/>
        <v>0</v>
      </c>
      <c r="CY137" s="66">
        <f t="shared" si="185"/>
        <v>0</v>
      </c>
      <c r="CZ137" s="67">
        <f t="shared" si="185"/>
        <v>0</v>
      </c>
      <c r="GD137" s="29"/>
      <c r="GU137" s="28" t="s">
        <v>6</v>
      </c>
    </row>
    <row r="138" spans="2:235" ht="15" customHeight="1">
      <c r="B138" s="72" t="str">
        <f t="shared" si="174"/>
        <v>x</v>
      </c>
      <c r="C138" s="73" t="str">
        <f t="shared" si="175"/>
        <v>x</v>
      </c>
      <c r="D138" s="73" t="str">
        <f t="shared" si="176"/>
        <v>x</v>
      </c>
      <c r="E138" s="73" t="str">
        <f t="shared" si="177"/>
        <v>x</v>
      </c>
      <c r="F138" s="73" t="str">
        <f t="shared" si="178"/>
        <v>x</v>
      </c>
      <c r="G138" s="73" t="str">
        <f t="shared" si="179"/>
        <v>x</v>
      </c>
      <c r="H138" s="73" t="str">
        <f t="shared" si="180"/>
        <v>x</v>
      </c>
      <c r="I138" s="73" t="str">
        <f t="shared" si="181"/>
        <v>x</v>
      </c>
      <c r="J138" s="74" t="str">
        <f t="shared" si="182"/>
        <v>x</v>
      </c>
      <c r="N138" s="94">
        <f>IF($B$87="x",-1,IF(AND($B$87=0,INDEX(KonZeile2,4)+INDEX(KonSpalte1,4)+INDEX(KonFeld4,4)=0),4,0))</f>
        <v>-1</v>
      </c>
      <c r="O138" s="39">
        <f>IF($B$87="x",-1,IF(AND($B$87=0,INDEX(KonZeile2,5)+INDEX(KonSpalte1,5)+INDEX(KonFeld4,5)=0),5,0))</f>
        <v>-1</v>
      </c>
      <c r="P138" s="41">
        <f>IF($B$87="x",-1,IF(AND($B$87=0,INDEX(KonZeile2,6)+INDEX(KonSpalte1,6)+INDEX(KonFeld4,6)=0),6,0))</f>
        <v>-1</v>
      </c>
      <c r="Q138" s="40">
        <f>IF($C$87="x",-1,IF(AND($C$87=0,INDEX(KonZeile2,4)+INDEX(KonSpalte2,4)+INDEX(KonFeld4,4)=0),4,0))</f>
        <v>-1</v>
      </c>
      <c r="R138" s="39">
        <f>IF($C$87="x",-1,IF(AND($C$87=0,INDEX(KonZeile2,5)+INDEX(KonSpalte2,5)+INDEX(KonFeld4,5)=0),5,0))</f>
        <v>-1</v>
      </c>
      <c r="S138" s="41">
        <f>IF($C$87="x",-1,IF(AND($C$87=0,INDEX(KonZeile2,6)+INDEX(KonSpalte2,6)+INDEX(KonFeld4,6)=0),6,0))</f>
        <v>-1</v>
      </c>
      <c r="T138" s="40">
        <f>IF($D$87="x",-1,IF(AND($D$87=0,INDEX(KonZeile2,4)+INDEX(KonSpalte3,4)+INDEX(KonFeld4,4)=0),4,0))</f>
        <v>-1</v>
      </c>
      <c r="U138" s="39">
        <f>IF($D$87="x",-1,IF(AND($D$87=0,INDEX(KonZeile2,5)+INDEX(KonSpalte3,5)+INDEX(KonFeld4,5)=0),5,0))</f>
        <v>-1</v>
      </c>
      <c r="V138" s="42">
        <f>IF($D$87="x",-1,IF(AND($D$87=0,INDEX(KonZeile2,6)+INDEX(KonSpalte3,6)+INDEX(KonFeld4,6)=0),6,0))</f>
        <v>-1</v>
      </c>
      <c r="W138" s="43">
        <f>IF($E$87="x",-1,IF(AND($E$87=0,INDEX(KonZeile2,4)+INDEX(KonSpalte4,4)+INDEX(KonFeld4,4)=0),4,0))</f>
        <v>-1</v>
      </c>
      <c r="X138" s="39">
        <f>IF($E$87="x",-1,IF(AND($E$87=0,INDEX(KonZeile2,5)+INDEX(KonSpalte4,5)+INDEX(KonFeld4,5)=0),5,0))</f>
        <v>-1</v>
      </c>
      <c r="Y138" s="41">
        <f>IF($E$87="x",-1,IF(AND($E$87=0,INDEX(KonZeile2,6)+INDEX(KonSpalte4,6)+INDEX(KonFeld4,6)=0),6,0))</f>
        <v>-1</v>
      </c>
      <c r="Z138" s="40">
        <f>IF($F$87="x",-1,IF(AND($F$87=0,INDEX(KonZeile2,4)+INDEX(KonSpalte5,4)+INDEX(KonFeld4,4)=0),4,0))</f>
        <v>-1</v>
      </c>
      <c r="AA138" s="39">
        <f>IF($F$87="x",-1,IF(AND($F$87=0,INDEX(KonZeile2,5)+INDEX(KonSpalte5,5)+INDEX(KonFeld4,5)=0),5,0))</f>
        <v>-1</v>
      </c>
      <c r="AB138" s="41">
        <f>IF($F$87="x",-1,IF(AND($F$87=0,INDEX(KonZeile2,6)+INDEX(KonSpalte5,6)+INDEX(KonFeld4,6)=0),6,0))</f>
        <v>-1</v>
      </c>
      <c r="AC138" s="40">
        <f>IF($G$87="x",-1,IF(AND($G$87=0,INDEX(KonZeile2,4)+INDEX(KonSpalte6,4)+INDEX(KonFeld4,4)=0),4,0))</f>
        <v>-1</v>
      </c>
      <c r="AD138" s="39">
        <f>IF($G$87="x",-1,IF(AND($G$87=0,INDEX(KonZeile2,5)+INDEX(KonSpalte6,5)+INDEX(KonFeld4,5)=0),5,0))</f>
        <v>-1</v>
      </c>
      <c r="AE138" s="42">
        <f>IF($G$87="x",-1,IF(AND($G$87=0,INDEX(KonZeile2,6)+INDEX(KonSpalte6,6)+INDEX(KonFeld4,6)=0),6,0))</f>
        <v>-1</v>
      </c>
      <c r="AF138" s="43">
        <f>IF($H$87="x",-1,IF(AND($H$87=0,INDEX(KonZeile2,4)+INDEX(KonSpalte7,4)+INDEX(KonFeld4,4)=0),4,0))</f>
        <v>-1</v>
      </c>
      <c r="AG138" s="39">
        <f>IF($H$87="x",-1,IF(AND($H$87=0,INDEX(KonZeile2,5)+INDEX(KonSpalte7,5)+INDEX(KonFeld4,5)=0),5,0))</f>
        <v>-1</v>
      </c>
      <c r="AH138" s="41">
        <f>IF($H$87="x",-1,IF(AND($H$87=0,INDEX(KonZeile2,6)+INDEX(KonSpalte7,6)+INDEX(KonFeld4,6)=0),6,0))</f>
        <v>-1</v>
      </c>
      <c r="AI138" s="40">
        <f>IF($I$87="x",-1,IF(AND($I$87=0,INDEX(KonZeile2,4)+INDEX(KonSpalte8,4)+INDEX(KonFeld4,4)=0),4,0))</f>
        <v>-1</v>
      </c>
      <c r="AJ138" s="39">
        <f>IF($I$87="x",-1,IF(AND($I$87=0,INDEX(KonZeile2,5)+INDEX(KonSpalte8,5)+INDEX(KonFeld4,5)=0),5,0))</f>
        <v>-1</v>
      </c>
      <c r="AK138" s="41">
        <f>IF($I$87="x",-1,IF(AND($I$87=0,INDEX(KonZeile2,6)+INDEX(KonSpalte8,6)+INDEX(KonFeld4,6)=0),6,0))</f>
        <v>-1</v>
      </c>
      <c r="AL138" s="40">
        <f>IF($J$87="x",-1,IF(AND($J$87=0,INDEX(KonZeile2,4)+INDEX(KonSpalte9,4)+INDEX(KonFeld4,4)=0),4,0))</f>
        <v>-1</v>
      </c>
      <c r="AM138" s="39">
        <f>IF($J$87="x",-1,IF(AND($J$87=0,INDEX(KonZeile2,5)+INDEX(KonSpalte9,5)+INDEX(KonFeld4,5)=0),5,0))</f>
        <v>-1</v>
      </c>
      <c r="AN138" s="95">
        <f>IF($J$87="x",-1,IF(AND($J$87=0,INDEX(KonZeile2,6)+INDEX(KonSpalte9,6)+INDEX(KonFeld4,6)=0),6,0))</f>
        <v>-1</v>
      </c>
      <c r="AO138" s="94">
        <f>IF($K$87="x",-1,IF(AND($K$87=0,INDEX(KonZeile2,4)+INDEX(KonSpalte1,4)+INDEX(KonFeld5,4)=0),4,0))</f>
        <v>-1</v>
      </c>
      <c r="AP138" s="39">
        <f>IF($K$87="x",-1,IF(AND($K$87=0,INDEX(KonZeile2,5)+INDEX(KonSpalte1,5)+INDEX(KonFeld5,5)=0),5,0))</f>
        <v>-1</v>
      </c>
      <c r="AQ138" s="41">
        <f>IF($K$87="x",-1,IF(AND($K$87=0,INDEX(KonZeile2,6)+INDEX(KonSpalte1,6)+INDEX(KonFeld5,6)=0),6,0))</f>
        <v>-1</v>
      </c>
      <c r="AR138" s="40">
        <f>IF($L$87="x",-1,IF(AND($L$87=0,INDEX(KonZeile2,4)+INDEX(KonSpalte2,4)+INDEX(KonFeld5,4)=0),4,0))</f>
        <v>0</v>
      </c>
      <c r="AS138" s="39">
        <f>IF($L$87="x",-1,IF(AND($L$87=0,INDEX(KonZeile2,5)+INDEX(KonSpalte2,5)+INDEX(KonFeld5,5)=0),5,0))</f>
        <v>0</v>
      </c>
      <c r="AT138" s="41">
        <f>IF($L$87="x",-1,IF(AND($L$87=0,INDEX(KonZeile2,6)+INDEX(KonSpalte2,6)+INDEX(KonFeld5,6)=0),6,0))</f>
        <v>0</v>
      </c>
      <c r="AU138" s="40">
        <f>IF($M$87="x",-1,IF(AND($M$87=0,INDEX(KonZeile2,4)+INDEX(KonSpalte3,4)+INDEX(KonFeld5,4)=0),4,0))</f>
        <v>0</v>
      </c>
      <c r="AV138" s="39">
        <f>IF($M$87="x",-1,IF(AND($M$87=0,INDEX(KonZeile2,5)+INDEX(KonSpalte3,5)+INDEX(KonFeld5,5)=0),5,0))</f>
        <v>0</v>
      </c>
      <c r="AW138" s="42">
        <f>IF($M$87="x",-1,IF(AND($M$87=0,INDEX(KonZeile2,6)+INDEX(KonSpalte3,6)+INDEX(KonFeld5,6)=0),6,0))</f>
        <v>0</v>
      </c>
      <c r="AX138" s="43">
        <f>IF($N$87="x",-1,IF(AND($N$87=0,INDEX(KonZeile2,4)+INDEX(KonSpalte4,4)+INDEX(KonFeld5,4)=0),4,0))</f>
        <v>-1</v>
      </c>
      <c r="AY138" s="39">
        <f>IF($N$87="x",-1,IF(AND($N$87=0,INDEX(KonZeile2,5)+INDEX(KonSpalte4,5)+INDEX(KonFeld5,5)=0),5,0))</f>
        <v>-1</v>
      </c>
      <c r="AZ138" s="41">
        <f>IF($N$87="x",-1,IF(AND($N$87=0,INDEX(KonZeile2,6)+INDEX(KonSpalte4,6)+INDEX(KonFeld5,6)=0),6,0))</f>
        <v>-1</v>
      </c>
      <c r="BA138" s="40">
        <f>IF($O$87="x",-1,IF(AND($O$87=0,INDEX(KonZeile2,4)+INDEX(KonSpalte5,4)+INDEX(KonFeld5,4)=0),4,0))</f>
        <v>-1</v>
      </c>
      <c r="BB138" s="39">
        <f>IF($O$87="x",-1,IF(AND($O$87=0,INDEX(KonZeile2,5)+INDEX(KonSpalte5,5)+INDEX(KonFeld5,5)=0),5,0))</f>
        <v>-1</v>
      </c>
      <c r="BC138" s="41">
        <f>IF($O$87="x",-1,IF(AND($O$87=0,INDEX(KonZeile2,6)+INDEX(KonSpalte5,6)+INDEX(KonFeld5,6)=0),6,0))</f>
        <v>-1</v>
      </c>
      <c r="BD138" s="40">
        <f>IF($P$87="x",-1,IF(AND($P$87=0,INDEX(KonZeile2,4)+INDEX(KonSpalte6,4)+INDEX(KonFeld5,4)=0),4,0))</f>
        <v>0</v>
      </c>
      <c r="BE138" s="39">
        <f>IF($P$87="x",-1,IF(AND($P$87=0,INDEX(KonZeile2,5)+INDEX(KonSpalte6,5)+INDEX(KonFeld5,5)=0),5,0))</f>
        <v>0</v>
      </c>
      <c r="BF138" s="42">
        <f>IF($P$87="x",-1,IF(AND($P$87=0,INDEX(KonZeile2,6)+INDEX(KonSpalte6,6)+INDEX(KonFeld5,6)=0),6,0))</f>
        <v>0</v>
      </c>
      <c r="BG138" s="43">
        <f>IF($Q$87="x",-1,IF(AND($Q$87=0,INDEX(KonZeile2,4)+INDEX(KonSpalte7,4)+INDEX(KonFeld5,4)=0),4,0))</f>
        <v>0</v>
      </c>
      <c r="BH138" s="39">
        <f>IF($Q$87="x",-1,IF(AND($Q$87=0,INDEX(KonZeile2,5)+INDEX(KonSpalte7,5)+INDEX(KonFeld5,5)=0),5,0))</f>
        <v>0</v>
      </c>
      <c r="BI138" s="41">
        <f>IF($Q$87="x",-1,IF(AND($Q$87=0,INDEX(KonZeile2,6)+INDEX(KonSpalte7,6)+INDEX(KonFeld5,6)=0),6,0))</f>
        <v>0</v>
      </c>
      <c r="BJ138" s="40">
        <f>IF($R$87="x",-1,IF(AND($R$87=0,INDEX(KonZeile2,4)+INDEX(KonSpalte8,4)+INDEX(KonFeld5,4)=0),4,0))</f>
        <v>-1</v>
      </c>
      <c r="BK138" s="39">
        <f>IF($R$87="x",-1,IF(AND($R$87=0,INDEX(KonZeile2,5)+INDEX(KonSpalte8,5)+INDEX(KonFeld5,5)=0),5,0))</f>
        <v>-1</v>
      </c>
      <c r="BL138" s="41">
        <f>IF($R$87="x",-1,IF(AND($R$87=0,INDEX(KonZeile2,6)+INDEX(KonSpalte8,6)+INDEX(KonFeld5,6)=0),6,0))</f>
        <v>-1</v>
      </c>
      <c r="BM138" s="40">
        <f>IF($S$87="x",-1,IF(AND($S$87=0,INDEX(KonZeile2,4)+INDEX(KonSpalte9,4)+INDEX(KonFeld5,4)=0),4,0))</f>
        <v>-1</v>
      </c>
      <c r="BN138" s="39">
        <f>IF($S$87="x",-1,IF(AND($S$87=0,INDEX(KonZeile2,5)+INDEX(KonSpalte9,5)+INDEX(KonFeld5,5)=0),5,0))</f>
        <v>-1</v>
      </c>
      <c r="BO138" s="95">
        <f>IF($S$87="x",-1,IF(AND($S$87=0,INDEX(KonZeile2,6)+INDEX(KonSpalte9,6)+INDEX(KonFeld5,6)=0),6,0))</f>
        <v>-1</v>
      </c>
      <c r="BP138" s="94">
        <f>IF($T$87="x",-1,IF(AND($T$87=0,INDEX(KonZeile2,4)+INDEX(KonSpalte1,4)+INDEX(KonFeld6,4)=0),4,0))</f>
        <v>-1</v>
      </c>
      <c r="BQ138" s="39">
        <f>IF($T$87="x",-1,IF(AND($T$87=0,INDEX(KonZeile2,5)+INDEX(KonSpalte1,5)+INDEX(KonFeld6,5)=0),5,0))</f>
        <v>-1</v>
      </c>
      <c r="BR138" s="41">
        <f>IF($T$87="x",-1,IF(AND($T$87=0,INDEX(KonZeile2,6)+INDEX(KonSpalte1,6)+INDEX(KonFeld6,6)=0),6,0))</f>
        <v>-1</v>
      </c>
      <c r="BS138" s="40">
        <f>IF($U$87="x",-1,IF(AND($U$87=0,INDEX(KonZeile2,4)+INDEX(KonSpalte2,4)+INDEX(KonFeld6,4)=0),4,0))</f>
        <v>-1</v>
      </c>
      <c r="BT138" s="39">
        <f>IF($U$87="x",-1,IF(AND($U$87=0,INDEX(KonZeile2,5)+INDEX(KonSpalte2,5)+INDEX(KonFeld6,5)=0),5,0))</f>
        <v>-1</v>
      </c>
      <c r="BU138" s="41">
        <f>IF($U$87="x",-1,IF(AND($U$87=0,INDEX(KonZeile2,6)+INDEX(KonSpalte2,6)+INDEX(KonFeld6,6)=0),6,0))</f>
        <v>-1</v>
      </c>
      <c r="BV138" s="40">
        <f>IF($V$87="x",-1,IF(AND($V$87=0,INDEX(KonZeile2,4)+INDEX(KonSpalte3,4)+INDEX(KonFeld6,4)=0),4,0))</f>
        <v>-1</v>
      </c>
      <c r="BW138" s="39">
        <f>IF($V$87="x",-1,IF(AND($V$87=0,INDEX(KonZeile2,5)+INDEX(KonSpalte3,5)+INDEX(KonFeld6,5)=0),5,0))</f>
        <v>-1</v>
      </c>
      <c r="BX138" s="42">
        <f>IF($V$87="x",-1,IF(AND($V$87=0,INDEX(KonZeile2,6)+INDEX(KonSpalte3,6)+INDEX(KonFeld6,6)=0),6,0))</f>
        <v>-1</v>
      </c>
      <c r="BY138" s="43">
        <f>IF($W$87="x",-1,IF(AND($W$87=0,INDEX(KonZeile2,4)+INDEX(KonSpalte4,4)+INDEX(KonFeld6,4)=0),4,0))</f>
        <v>-1</v>
      </c>
      <c r="BZ138" s="39">
        <f>IF($W$87="x",-1,IF(AND($W$87=0,INDEX(KonZeile2,5)+INDEX(KonSpalte4,5)+INDEX(KonFeld6,5)=0),5,0))</f>
        <v>-1</v>
      </c>
      <c r="CA138" s="41">
        <f>IF($W$87="x",-1,IF(AND($W$87=0,INDEX(KonZeile2,6)+INDEX(KonSpalte4,6)+INDEX(KonFeld6,6)=0),6,0))</f>
        <v>-1</v>
      </c>
      <c r="CB138" s="40">
        <f>IF($X$87="x",-1,IF(AND($X$87=0,INDEX(KonZeile2,4)+INDEX(KonSpalte5,4)+INDEX(KonFeld6,4)=0),4,0))</f>
        <v>-1</v>
      </c>
      <c r="CC138" s="39">
        <f>IF($X$87="x",-1,IF(AND($X$87=0,INDEX(KonZeile2,5)+INDEX(KonSpalte5,5)+INDEX(KonFeld6,5)=0),5,0))</f>
        <v>-1</v>
      </c>
      <c r="CD138" s="41">
        <f>IF($X$87="x",-1,IF(AND($X$87=0,INDEX(KonZeile2,6)+INDEX(KonSpalte5,6)+INDEX(KonFeld6,6)=0),6,0))</f>
        <v>-1</v>
      </c>
      <c r="CE138" s="40">
        <f>IF($Y$87="x",-1,IF(AND($Y$87=0,INDEX(KonZeile2,4)+INDEX(KonSpalte6,4)+INDEX(KonFeld6,4)=0),4,0))</f>
        <v>-1</v>
      </c>
      <c r="CF138" s="39">
        <f>IF($Y$87="x",-1,IF(AND($Y$87=0,INDEX(KonZeile2,5)+INDEX(KonSpalte6,5)+INDEX(KonFeld6,5)=0),5,0))</f>
        <v>-1</v>
      </c>
      <c r="CG138" s="42">
        <f>IF($Y$87="x",-1,IF(AND($Y$87=0,INDEX(KonZeile2,6)+INDEX(KonSpalte6,6)+INDEX(KonFeld6,6)=0),6,0))</f>
        <v>-1</v>
      </c>
      <c r="CH138" s="43">
        <f>IF($Z$87="x",-1,IF(AND($Z$87=0,INDEX(KonZeile2,4)+INDEX(KonSpalte7,4)+INDEX(KonFeld6,4)=0),4,0))</f>
        <v>-1</v>
      </c>
      <c r="CI138" s="39">
        <f>IF($Z$87="x",-1,IF(AND($Z$87=0,INDEX(KonZeile2,5)+INDEX(KonSpalte7,5)+INDEX(KonFeld6,5)=0),5,0))</f>
        <v>-1</v>
      </c>
      <c r="CJ138" s="41">
        <f>IF($Z$87="x",-1,IF(AND($Z$87=0,INDEX(KonZeile2,6)+INDEX(KonSpalte7,6)+INDEX(KonFeld6,6)=0),6,0))</f>
        <v>-1</v>
      </c>
      <c r="CK138" s="40">
        <f>IF($AA$87="x",-1,IF(AND($AA$87=0,INDEX(KonZeile2,4)+INDEX(KonSpalte8,4)+INDEX(KonFeld6,4)=0),4,0))</f>
        <v>0</v>
      </c>
      <c r="CL138" s="39">
        <f>IF($AA$87="x",-1,IF(AND($AA$87=0,INDEX(KonZeile2,5)+INDEX(KonSpalte8,5)+INDEX(KonFeld6,5)=0),5,0))</f>
        <v>0</v>
      </c>
      <c r="CM138" s="41">
        <f>IF($AA$87="x",-1,IF(AND($AA$87=0,INDEX(KonZeile2,6)+INDEX(KonSpalte8,6)+INDEX(KonFeld6,6)=0),6,0))</f>
        <v>0</v>
      </c>
      <c r="CN138" s="40">
        <f>IF($AB$87="x",-1,IF(AND($AB$87=0,INDEX(KonZeile2,4)+INDEX(KonSpalte9,4)+INDEX(KonFeld6,4)=0),4,0))</f>
        <v>-1</v>
      </c>
      <c r="CO138" s="39">
        <f>IF($AB$87="x",-1,IF(AND($AB$87=0,INDEX(KonZeile2,5)+INDEX(KonSpalte9,5)+INDEX(KonFeld6,5)=0),5,0))</f>
        <v>-1</v>
      </c>
      <c r="CP138" s="95">
        <f>IF($AB$87="x",-1,IF(AND($AB$87=0,INDEX(KonZeile2,6)+INDEX(KonSpalte9,6)+INDEX(KonFeld6,6)=0),6,0))</f>
        <v>-1</v>
      </c>
      <c r="CR138" s="40">
        <f>COUNTIF(N138:CP138,4)</f>
        <v>0</v>
      </c>
      <c r="CS138" s="39">
        <f>COUNTIF(N138:CP138,5)</f>
        <v>0</v>
      </c>
      <c r="CT138" s="41">
        <f>COUNTIF(N138:CP138,6)</f>
        <v>0</v>
      </c>
      <c r="CU138" s="39"/>
      <c r="CV138" s="39"/>
      <c r="CX138" s="72">
        <f t="shared" si="185"/>
        <v>0</v>
      </c>
      <c r="CY138" s="73">
        <f t="shared" si="185"/>
        <v>0</v>
      </c>
      <c r="CZ138" s="74">
        <f t="shared" si="185"/>
        <v>0</v>
      </c>
      <c r="GD138" s="29"/>
      <c r="GO138" s="28" t="s">
        <v>5</v>
      </c>
      <c r="GU138" s="28" t="s">
        <v>8</v>
      </c>
    </row>
    <row r="139" spans="2:235" ht="15" customHeight="1" thickBot="1">
      <c r="B139" s="78" t="str">
        <f t="shared" si="174"/>
        <v>x</v>
      </c>
      <c r="C139" s="79" t="str">
        <f t="shared" si="175"/>
        <v>x</v>
      </c>
      <c r="D139" s="79" t="str">
        <f t="shared" si="176"/>
        <v>x</v>
      </c>
      <c r="E139" s="79" t="str">
        <f t="shared" si="177"/>
        <v>x</v>
      </c>
      <c r="F139" s="79" t="str">
        <f t="shared" si="178"/>
        <v>x</v>
      </c>
      <c r="G139" s="79" t="str">
        <f t="shared" si="179"/>
        <v>x</v>
      </c>
      <c r="H139" s="79" t="str">
        <f t="shared" si="180"/>
        <v>x</v>
      </c>
      <c r="I139" s="79" t="str">
        <f t="shared" si="181"/>
        <v>x</v>
      </c>
      <c r="J139" s="80" t="str">
        <f t="shared" si="182"/>
        <v>x</v>
      </c>
      <c r="N139" s="99">
        <f>IF($B$87="x",-1,IF(AND($B$87=0,INDEX(KonZeile2,7)+INDEX(KonSpalte1,7)+INDEX(KonFeld4,7)=0),7,0))</f>
        <v>-1</v>
      </c>
      <c r="O139" s="45">
        <f>IF($B$87="x",-1,IF(AND($B$87=0,INDEX(KonZeile2,8)+INDEX(KonSpalte1,8)+INDEX(KonFeld4,8)=0),8,0))</f>
        <v>-1</v>
      </c>
      <c r="P139" s="47">
        <f>IF($B$87="x",-1,IF(AND($B$87=0,INDEX(KonZeile2,9)+INDEX(KonSpalte1,9)+INDEX(KonFeld4,9)=0),9,0))</f>
        <v>-1</v>
      </c>
      <c r="Q139" s="46">
        <f>IF($C$87="x",-1,IF(AND($C$87=0,INDEX(KonZeile2,7)+INDEX(KonSpalte2,7)+INDEX(KonFeld4,7)=0),7,0))</f>
        <v>-1</v>
      </c>
      <c r="R139" s="45">
        <f>IF($C$87="x",-1,IF(AND($C$87=0,INDEX(KonZeile2,8)+INDEX(KonSpalte2,8)+INDEX(KonFeld4,8)=0),8,0))</f>
        <v>-1</v>
      </c>
      <c r="S139" s="47">
        <f>IF($C$87="x",-1,IF(AND($C$87=0,INDEX(KonZeile2,9)+INDEX(KonSpalte2,9)+INDEX(KonFeld4,9)=0),9,0))</f>
        <v>-1</v>
      </c>
      <c r="T139" s="46">
        <f>IF($D$87="x",-1,IF(AND($D$87=0,INDEX(KonZeile2,7)+INDEX(KonSpalte3,7)+INDEX(KonFeld4,7)=0),7,0))</f>
        <v>-1</v>
      </c>
      <c r="U139" s="45">
        <f>IF($D$87="x",-1,IF(AND($D$87=0,INDEX(KonZeile2,8)+INDEX(KonSpalte3,8)+INDEX(KonFeld4,8)=0),8,0))</f>
        <v>-1</v>
      </c>
      <c r="V139" s="48">
        <f>IF($D$87="x",-1,IF(AND($D$87=0,INDEX(KonZeile2,9)+INDEX(KonSpalte3,9)+INDEX(KonFeld4,9)=0),9,0))</f>
        <v>-1</v>
      </c>
      <c r="W139" s="44">
        <f>IF($E$87="x",-1,IF(AND($E$87=0,INDEX(KonZeile2,7)+INDEX(KonSpalte4,7)+INDEX(KonFeld4,7)=0),7,0))</f>
        <v>-1</v>
      </c>
      <c r="X139" s="45">
        <f>IF($E$87="x",-1,IF(AND($E$87=0,INDEX(KonZeile2,8)+INDEX(KonSpalte4,8)+INDEX(KonFeld4,8)=0),8,0))</f>
        <v>-1</v>
      </c>
      <c r="Y139" s="47">
        <f>IF($E$87="x",-1,IF(AND($E$87=0,INDEX(KonZeile2,9)+INDEX(KonSpalte4,9)+INDEX(KonFeld4,9)=0),9,0))</f>
        <v>-1</v>
      </c>
      <c r="Z139" s="46">
        <f>IF($F$87="x",-1,IF(AND($F$87=0,INDEX(KonZeile2,7)+INDEX(KonSpalte5,7)+INDEX(KonFeld4,7)=0),7,0))</f>
        <v>-1</v>
      </c>
      <c r="AA139" s="45">
        <f>IF($F$87="x",-1,IF(AND($F$87=0,INDEX(KonZeile2,8)+INDEX(KonSpalte5,8)+INDEX(KonFeld4,8)=0),8,0))</f>
        <v>-1</v>
      </c>
      <c r="AB139" s="47">
        <f>IF($F$87="x",-1,IF(AND($F$87=0,INDEX(KonZeile2,9)+INDEX(KonSpalte5,9)+INDEX(KonFeld4,9)=0),9,0))</f>
        <v>-1</v>
      </c>
      <c r="AC139" s="46">
        <f>IF($G$87="x",-1,IF(AND($G$87=0,INDEX(KonZeile2,7)+INDEX(KonSpalte6,7)+INDEX(KonFeld4,7)=0),7,0))</f>
        <v>-1</v>
      </c>
      <c r="AD139" s="45">
        <f>IF($G$87="x",-1,IF(AND($G$87=0,INDEX(KonZeile2,8)+INDEX(KonSpalte6,8)+INDEX(KonFeld4,8)=0),8,0))</f>
        <v>-1</v>
      </c>
      <c r="AE139" s="48">
        <f>IF($G$87="x",-1,IF(AND($G$87=0,INDEX(KonZeile2,9)+INDEX(KonSpalte6,9)+INDEX(KonFeld4,9)=0),9,0))</f>
        <v>-1</v>
      </c>
      <c r="AF139" s="44">
        <f>IF($H$87="x",-1,IF(AND($H$87=0,INDEX(KonZeile2,7)+INDEX(KonSpalte7,7)+INDEX(KonFeld4,7)=0),7,0))</f>
        <v>-1</v>
      </c>
      <c r="AG139" s="45">
        <f>IF($H$87="x",-1,IF(AND($H$87=0,INDEX(KonZeile2,8)+INDEX(KonSpalte7,8)+INDEX(KonFeld4,8)=0),8,0))</f>
        <v>-1</v>
      </c>
      <c r="AH139" s="47">
        <f>IF($H$87="x",-1,IF(AND($H$87=0,INDEX(KonZeile2,9)+INDEX(KonSpalte7,9)+INDEX(KonFeld4,9)=0),9,0))</f>
        <v>-1</v>
      </c>
      <c r="AI139" s="46">
        <f>IF($I$87="x",-1,IF(AND($I$87=0,INDEX(KonZeile2,7)+INDEX(KonSpalte8,7)+INDEX(KonFeld4,7)=0),7,0))</f>
        <v>-1</v>
      </c>
      <c r="AJ139" s="45">
        <f>IF($I$87="x",-1,IF(AND($I$87=0,INDEX(KonZeile2,8)+INDEX(KonSpalte8,8)+INDEX(KonFeld4,8)=0),8,0))</f>
        <v>-1</v>
      </c>
      <c r="AK139" s="47">
        <f>IF($I$87="x",-1,IF(AND($I$87=0,INDEX(KonZeile2,9)+INDEX(KonSpalte8,9)+INDEX(KonFeld4,9)=0),9,0))</f>
        <v>-1</v>
      </c>
      <c r="AL139" s="46">
        <f>IF($J$87="x",-1,IF(AND($J$87=0,INDEX(KonZeile2,7)+INDEX(KonSpalte9,7)+INDEX(KonFeld4,7)=0),7,0))</f>
        <v>-1</v>
      </c>
      <c r="AM139" s="45">
        <f>IF($J$87="x",-1,IF(AND($J$87=0,INDEX(KonZeile2,8)+INDEX(KonSpalte9,8)+INDEX(KonFeld4,8)=0),8,0))</f>
        <v>-1</v>
      </c>
      <c r="AN139" s="100">
        <f>IF($J$87="x",-1,IF(AND($J$87=0,INDEX(KonZeile2,9)+INDEX(KonSpalte9,9)+INDEX(KonFeld4,9)=0),9,0))</f>
        <v>-1</v>
      </c>
      <c r="AO139" s="99">
        <f>IF($K$87="x",-1,IF(AND($K$87=0,INDEX(KonZeile2,7)+INDEX(KonSpalte1,7)+INDEX(KonFeld5,7)=0),7,0))</f>
        <v>-1</v>
      </c>
      <c r="AP139" s="45">
        <f>IF($K$87="x",-1,IF(AND($K$87=0,INDEX(KonZeile2,8)+INDEX(KonSpalte1,8)+INDEX(KonFeld5,8)=0),8,0))</f>
        <v>-1</v>
      </c>
      <c r="AQ139" s="47">
        <f>IF($K$87="x",-1,IF(AND($K$87=0,INDEX(KonZeile2,9)+INDEX(KonSpalte1,9)+INDEX(KonFeld5,9)=0),9,0))</f>
        <v>-1</v>
      </c>
      <c r="AR139" s="46">
        <f>IF($L$87="x",-1,IF(AND($L$87=0,INDEX(KonZeile2,7)+INDEX(KonSpalte2,7)+INDEX(KonFeld5,7)=0),7,0))</f>
        <v>0</v>
      </c>
      <c r="AS139" s="45">
        <f>IF($L$87="x",-1,IF(AND($L$87=0,INDEX(KonZeile2,8)+INDEX(KonSpalte2,8)+INDEX(KonFeld5,8)=0),8,0))</f>
        <v>0</v>
      </c>
      <c r="AT139" s="47">
        <f>IF($L$87="x",-1,IF(AND($L$87=0,INDEX(KonZeile2,9)+INDEX(KonSpalte2,9)+INDEX(KonFeld5,9)=0),9,0))</f>
        <v>0</v>
      </c>
      <c r="AU139" s="46">
        <f>IF($M$87="x",-1,IF(AND($M$87=0,INDEX(KonZeile2,7)+INDEX(KonSpalte3,7)+INDEX(KonFeld5,7)=0),7,0))</f>
        <v>0</v>
      </c>
      <c r="AV139" s="45">
        <f>IF($M$87="x",-1,IF(AND($M$87=0,INDEX(KonZeile2,8)+INDEX(KonSpalte3,8)+INDEX(KonFeld5,8)=0),8,0))</f>
        <v>0</v>
      </c>
      <c r="AW139" s="48">
        <f>IF($M$87="x",-1,IF(AND($M$87=0,INDEX(KonZeile2,9)+INDEX(KonSpalte3,9)+INDEX(KonFeld5,9)=0),9,0))</f>
        <v>0</v>
      </c>
      <c r="AX139" s="44">
        <f>IF($N$87="x",-1,IF(AND($N$87=0,INDEX(KonZeile2,7)+INDEX(KonSpalte4,7)+INDEX(KonFeld5,7)=0),7,0))</f>
        <v>-1</v>
      </c>
      <c r="AY139" s="45">
        <f>IF($N$87="x",-1,IF(AND($N$87=0,INDEX(KonZeile2,8)+INDEX(KonSpalte4,8)+INDEX(KonFeld5,8)=0),8,0))</f>
        <v>-1</v>
      </c>
      <c r="AZ139" s="47">
        <f>IF($N$87="x",-1,IF(AND($N$87=0,INDEX(KonZeile2,9)+INDEX(KonSpalte4,9)+INDEX(KonFeld5,9)=0),9,0))</f>
        <v>-1</v>
      </c>
      <c r="BA139" s="46">
        <f>IF($O$87="x",-1,IF(AND($O$87=0,INDEX(KonZeile2,7)+INDEX(KonSpalte5,7)+INDEX(KonFeld5,7)=0),7,0))</f>
        <v>-1</v>
      </c>
      <c r="BB139" s="45">
        <f>IF($O$87="x",-1,IF(AND($O$87=0,INDEX(KonZeile2,8)+INDEX(KonSpalte5,8)+INDEX(KonFeld5,8)=0),8,0))</f>
        <v>-1</v>
      </c>
      <c r="BC139" s="47">
        <f>IF($O$87="x",-1,IF(AND($O$87=0,INDEX(KonZeile2,9)+INDEX(KonSpalte5,9)+INDEX(KonFeld5,9)=0),9,0))</f>
        <v>-1</v>
      </c>
      <c r="BD139" s="46">
        <f>IF($P$87="x",-1,IF(AND($P$87=0,INDEX(KonZeile2,7)+INDEX(KonSpalte6,7)+INDEX(KonFeld5,7)=0),7,0))</f>
        <v>0</v>
      </c>
      <c r="BE139" s="45">
        <f>IF($P$87="x",-1,IF(AND($P$87=0,INDEX(KonZeile2,8)+INDEX(KonSpalte6,8)+INDEX(KonFeld5,8)=0),8,0))</f>
        <v>0</v>
      </c>
      <c r="BF139" s="48">
        <f>IF($P$87="x",-1,IF(AND($P$87=0,INDEX(KonZeile2,9)+INDEX(KonSpalte6,9)+INDEX(KonFeld5,9)=0),9,0))</f>
        <v>0</v>
      </c>
      <c r="BG139" s="44">
        <f>IF($Q$87="x",-1,IF(AND($Q$87=0,INDEX(KonZeile2,7)+INDEX(KonSpalte7,7)+INDEX(KonFeld5,7)=0),7,0))</f>
        <v>0</v>
      </c>
      <c r="BH139" s="45">
        <f>IF($Q$87="x",-1,IF(AND($Q$87=0,INDEX(KonZeile2,8)+INDEX(KonSpalte7,8)+INDEX(KonFeld5,8)=0),8,0))</f>
        <v>0</v>
      </c>
      <c r="BI139" s="47">
        <f>IF($Q$87="x",-1,IF(AND($Q$87=0,INDEX(KonZeile2,9)+INDEX(KonSpalte7,9)+INDEX(KonFeld5,9)=0),9,0))</f>
        <v>0</v>
      </c>
      <c r="BJ139" s="46">
        <f>IF($R$87="x",-1,IF(AND($R$87=0,INDEX(KonZeile2,7)+INDEX(KonSpalte8,7)+INDEX(KonFeld5,7)=0),7,0))</f>
        <v>-1</v>
      </c>
      <c r="BK139" s="45">
        <f>IF($R$87="x",-1,IF(AND($R$87=0,INDEX(KonZeile2,8)+INDEX(KonSpalte8,8)+INDEX(KonFeld5,8)=0),8,0))</f>
        <v>-1</v>
      </c>
      <c r="BL139" s="47">
        <f>IF($R$87="x",-1,IF(AND($R$87=0,INDEX(KonZeile2,9)+INDEX(KonSpalte8,9)+INDEX(KonFeld5,9)=0),9,0))</f>
        <v>-1</v>
      </c>
      <c r="BM139" s="46">
        <f>IF($S$87="x",-1,IF(AND($S$87=0,INDEX(KonZeile2,7)+INDEX(KonSpalte9,7)+INDEX(KonFeld5,7)=0),7,0))</f>
        <v>-1</v>
      </c>
      <c r="BN139" s="45">
        <f>IF($S$87="x",-1,IF(AND($S$87=0,INDEX(KonZeile2,8)+INDEX(KonSpalte9,8)+INDEX(KonFeld5,8)=0),8,0))</f>
        <v>-1</v>
      </c>
      <c r="BO139" s="100">
        <f>IF($S$87="x",-1,IF(AND($S$87=0,INDEX(KonZeile2,9)+INDEX(KonSpalte9,9)+INDEX(KonFeld5,9)=0),9,0))</f>
        <v>-1</v>
      </c>
      <c r="BP139" s="99">
        <f>IF($T$87="x",-1,IF(AND($T$87=0,INDEX(KonZeile2,7)+INDEX(KonSpalte1,7)+INDEX(KonFeld6,7)=0),7,0))</f>
        <v>-1</v>
      </c>
      <c r="BQ139" s="45">
        <f>IF($T$87="x",-1,IF(AND($T$87=0,INDEX(KonZeile2,8)+INDEX(KonSpalte1,8)+INDEX(KonFeld6,8)=0),8,0))</f>
        <v>-1</v>
      </c>
      <c r="BR139" s="47">
        <f>IF($T$87="x",-1,IF(AND($T$87=0,INDEX(KonZeile2,9)+INDEX(KonSpalte1,9)+INDEX(KonFeld6,9)=0),9,0))</f>
        <v>-1</v>
      </c>
      <c r="BS139" s="46">
        <f>IF($U$87="x",-1,IF(AND($U$87=0,INDEX(KonZeile2,7)+INDEX(KonSpalte2,7)+INDEX(KonFeld6,7)=0),7,0))</f>
        <v>-1</v>
      </c>
      <c r="BT139" s="45">
        <f>IF($U$87="x",-1,IF(AND($U$87=0,INDEX(KonZeile2,8)+INDEX(KonSpalte2,8)+INDEX(KonFeld6,8)=0),8,0))</f>
        <v>-1</v>
      </c>
      <c r="BU139" s="47">
        <f>IF($U$87="x",-1,IF(AND($U$87=0,INDEX(KonZeile2,9)+INDEX(KonSpalte2,9)+INDEX(KonFeld6,9)=0),9,0))</f>
        <v>-1</v>
      </c>
      <c r="BV139" s="46">
        <f>IF($V$87="x",-1,IF(AND($V$87=0,INDEX(KonZeile2,7)+INDEX(KonSpalte3,7)+INDEX(KonFeld6,7)=0),7,0))</f>
        <v>-1</v>
      </c>
      <c r="BW139" s="45">
        <f>IF($V$87="x",-1,IF(AND($V$87=0,INDEX(KonZeile2,8)+INDEX(KonSpalte3,8)+INDEX(KonFeld6,8)=0),8,0))</f>
        <v>-1</v>
      </c>
      <c r="BX139" s="48">
        <f>IF($V$87="x",-1,IF(AND($V$87=0,INDEX(KonZeile2,9)+INDEX(KonSpalte3,9)+INDEX(KonFeld6,9)=0),9,0))</f>
        <v>-1</v>
      </c>
      <c r="BY139" s="44">
        <f>IF($W$87="x",-1,IF(AND($W$87=0,INDEX(KonZeile2,7)+INDEX(KonSpalte4,7)+INDEX(KonFeld6,7)=0),7,0))</f>
        <v>-1</v>
      </c>
      <c r="BZ139" s="45">
        <f>IF($W$87="x",-1,IF(AND($W$87=0,INDEX(KonZeile2,8)+INDEX(KonSpalte4,8)+INDEX(KonFeld6,8)=0),8,0))</f>
        <v>-1</v>
      </c>
      <c r="CA139" s="47">
        <f>IF($W$87="x",-1,IF(AND($W$87=0,INDEX(KonZeile2,9)+INDEX(KonSpalte4,9)+INDEX(KonFeld6,9)=0),9,0))</f>
        <v>-1</v>
      </c>
      <c r="CB139" s="46">
        <f>IF($X$87="x",-1,IF(AND($X$87=0,INDEX(KonZeile2,7)+INDEX(KonSpalte5,7)+INDEX(KonFeld6,7)=0),7,0))</f>
        <v>-1</v>
      </c>
      <c r="CC139" s="45">
        <f>IF($X$87="x",-1,IF(AND($X$87=0,INDEX(KonZeile2,8)+INDEX(KonSpalte5,8)+INDEX(KonFeld6,8)=0),8,0))</f>
        <v>-1</v>
      </c>
      <c r="CD139" s="47">
        <f>IF($X$87="x",-1,IF(AND($X$87=0,INDEX(KonZeile2,9)+INDEX(KonSpalte5,9)+INDEX(KonFeld6,9)=0),9,0))</f>
        <v>-1</v>
      </c>
      <c r="CE139" s="46">
        <f>IF($Y$87="x",-1,IF(AND($Y$87=0,INDEX(KonZeile2,7)+INDEX(KonSpalte6,7)+INDEX(KonFeld6,7)=0),7,0))</f>
        <v>-1</v>
      </c>
      <c r="CF139" s="45">
        <f>IF($Y$87="x",-1,IF(AND($Y$87=0,INDEX(KonZeile2,8)+INDEX(KonSpalte6,8)+INDEX(KonFeld6,8)=0),8,0))</f>
        <v>-1</v>
      </c>
      <c r="CG139" s="48">
        <f>IF($Y$87="x",-1,IF(AND($Y$87=0,INDEX(KonZeile2,9)+INDEX(KonSpalte6,9)+INDEX(KonFeld6,9)=0),9,0))</f>
        <v>-1</v>
      </c>
      <c r="CH139" s="44">
        <f>IF($Z$87="x",-1,IF(AND($Z$87=0,INDEX(KonZeile2,7)+INDEX(KonSpalte7,7)+INDEX(KonFeld6,7)=0),7,0))</f>
        <v>-1</v>
      </c>
      <c r="CI139" s="45">
        <f>IF($Z$87="x",-1,IF(AND($Z$87=0,INDEX(KonZeile2,8)+INDEX(KonSpalte7,8)+INDEX(KonFeld6,8)=0),8,0))</f>
        <v>-1</v>
      </c>
      <c r="CJ139" s="47">
        <f>IF($Z$87="x",-1,IF(AND($Z$87=0,INDEX(KonZeile2,9)+INDEX(KonSpalte7,9)+INDEX(KonFeld6,9)=0),9,0))</f>
        <v>-1</v>
      </c>
      <c r="CK139" s="46">
        <f>IF($AA$87="x",-1,IF(AND($AA$87=0,INDEX(KonZeile2,7)+INDEX(KonSpalte8,7)+INDEX(KonFeld6,7)=0),7,0))</f>
        <v>0</v>
      </c>
      <c r="CL139" s="45">
        <f>IF($AA$87="x",-1,IF(AND($AA$87=0,INDEX(KonZeile2,8)+INDEX(KonSpalte8,8)+INDEX(KonFeld6,8)=0),8,0))</f>
        <v>0</v>
      </c>
      <c r="CM139" s="47">
        <f>IF($AA$87="x",-1,IF(AND($AA$87=0,INDEX(KonZeile2,9)+INDEX(KonSpalte8,9)+INDEX(KonFeld6,9)=0),9,0))</f>
        <v>0</v>
      </c>
      <c r="CN139" s="46">
        <f>IF($AB$87="x",-1,IF(AND($AB$87=0,INDEX(KonZeile2,7)+INDEX(KonSpalte9,7)+INDEX(KonFeld6,7)=0),7,0))</f>
        <v>-1</v>
      </c>
      <c r="CO139" s="45">
        <f>IF($AB$87="x",-1,IF(AND($AB$87=0,INDEX(KonZeile2,8)+INDEX(KonSpalte9,8)+INDEX(KonFeld6,8)=0),8,0))</f>
        <v>-1</v>
      </c>
      <c r="CP139" s="100">
        <f>IF($AB$87="x",-1,IF(AND($AB$87=0,INDEX(KonZeile2,9)+INDEX(KonSpalte9,9)+INDEX(KonFeld6,9)=0),9,0))</f>
        <v>-1</v>
      </c>
      <c r="CR139" s="46">
        <f>COUNTIF(N139:CP139,7)</f>
        <v>0</v>
      </c>
      <c r="CS139" s="45">
        <f>COUNTIF(N139:CP139,8)</f>
        <v>0</v>
      </c>
      <c r="CT139" s="47">
        <f>COUNTIF(N139:CP139,9)</f>
        <v>0</v>
      </c>
      <c r="CU139" s="39"/>
      <c r="CV139" s="39"/>
      <c r="CX139" s="78">
        <f t="shared" si="185"/>
        <v>0</v>
      </c>
      <c r="CY139" s="79">
        <f t="shared" si="185"/>
        <v>0</v>
      </c>
      <c r="CZ139" s="80">
        <f t="shared" si="185"/>
        <v>0</v>
      </c>
      <c r="DJ139" s="82" t="s">
        <v>73</v>
      </c>
      <c r="DK139" s="83"/>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GD139" s="29"/>
      <c r="GO139" s="28" t="s">
        <v>8</v>
      </c>
      <c r="GU139" s="28" t="s">
        <v>12</v>
      </c>
    </row>
    <row r="140" spans="2:235" ht="15" customHeight="1" thickTop="1">
      <c r="B140" s="65" t="str">
        <f t="shared" si="174"/>
        <v>x</v>
      </c>
      <c r="C140" s="66" t="str">
        <f t="shared" si="175"/>
        <v>x</v>
      </c>
      <c r="D140" s="66" t="str">
        <f t="shared" si="176"/>
        <v>x</v>
      </c>
      <c r="E140" s="66" t="str">
        <f t="shared" si="177"/>
        <v>x</v>
      </c>
      <c r="F140" s="66" t="str">
        <f t="shared" si="178"/>
        <v>x</v>
      </c>
      <c r="G140" s="66" t="str">
        <f t="shared" si="179"/>
        <v>x</v>
      </c>
      <c r="H140" s="66">
        <f t="shared" si="180"/>
        <v>9</v>
      </c>
      <c r="I140" s="66" t="str">
        <f t="shared" si="181"/>
        <v>x</v>
      </c>
      <c r="J140" s="67">
        <f t="shared" si="182"/>
        <v>5</v>
      </c>
      <c r="N140" s="104">
        <f>IF($B$88="x",-1,IF(AND($B$88=0,INDEX(KonZeile3,1)+INDEX(KonSpalte1,1)+INDEX(KonFeld4,1)=0),1,0))</f>
        <v>-1</v>
      </c>
      <c r="O140" s="50">
        <f>IF($B$88="x",-1,IF(AND($B$88=0,INDEX(KonZeile3,2)+INDEX(KonSpalte1,2)+INDEX(KonFeld4,2)=0),2,0))</f>
        <v>-1</v>
      </c>
      <c r="P140" s="51">
        <f>IF($B$88="x",-1,IF(AND($B$88=0,INDEX(KonZeile3,3)+INDEX(KonSpalte1,3)+INDEX(KonFeld4,3)=0),3,0))</f>
        <v>-1</v>
      </c>
      <c r="Q140" s="52">
        <f>IF($C$88="x",-1,IF(AND($C$88=0,INDEX(KonZeile3,1)+INDEX(KonSpalte2,1)+INDEX(KonFeld4,1)=0),1,0))</f>
        <v>-1</v>
      </c>
      <c r="R140" s="50">
        <f>IF($C$88="x",-1,IF(AND($C$88=0,INDEX(KonZeile3,2)+INDEX(KonSpalte2,2)+INDEX(KonFeld4,2)=0),2,0))</f>
        <v>-1</v>
      </c>
      <c r="S140" s="51">
        <f>IF($C$88="x",-1,IF(AND($C$88=0,INDEX(KonZeile3,3)+INDEX(KonSpalte2,3)+INDEX(KonFeld4,3)=0),3,0))</f>
        <v>-1</v>
      </c>
      <c r="T140" s="52">
        <f>IF($D$88="x",-1,IF(AND($D$88=0,INDEX(KonZeile3,1)+INDEX(KonSpalte3,1)+INDEX(KonFeld4,1)=0),1,0))</f>
        <v>-1</v>
      </c>
      <c r="U140" s="50">
        <f>IF($D$88="x",-1,IF(AND($D$88=0,INDEX(KonZeile3,2)+INDEX(KonSpalte3,2)+INDEX(KonFeld4,2)=0),2,0))</f>
        <v>-1</v>
      </c>
      <c r="V140" s="53">
        <f>IF($D$88="x",-1,IF(AND($D$88=0,INDEX(KonZeile3,3)+INDEX(KonSpalte3,3)+INDEX(KonFeld4,3)=0),3,0))</f>
        <v>-1</v>
      </c>
      <c r="W140" s="49">
        <f>IF($E$88="x",-1,IF(AND($E$88=0,INDEX(KonZeile3,1)+INDEX(KonSpalte4,1)+INDEX(KonFeld4,1)=0),1,0))</f>
        <v>-1</v>
      </c>
      <c r="X140" s="50">
        <f>IF($E$88="x",-1,IF(AND($E$88=0,INDEX(KonZeile3,2)+INDEX(KonSpalte4,2)+INDEX(KonFeld4,2)=0),2,0))</f>
        <v>-1</v>
      </c>
      <c r="Y140" s="51">
        <f>IF($E$88="x",-1,IF(AND($E$88=0,INDEX(KonZeile3,3)+INDEX(KonSpalte4,3)+INDEX(KonFeld4,3)=0),3,0))</f>
        <v>-1</v>
      </c>
      <c r="Z140" s="52">
        <f>IF($F$88="x",-1,IF(AND($F$88=0,INDEX(KonZeile3,1)+INDEX(KonSpalte5,1)+INDEX(KonFeld4,1)=0),1,0))</f>
        <v>-1</v>
      </c>
      <c r="AA140" s="50">
        <f>IF($F$88="x",-1,IF(AND($F$88=0,INDEX(KonZeile3,2)+INDEX(KonSpalte5,2)+INDEX(KonFeld4,2)=0),2,0))</f>
        <v>-1</v>
      </c>
      <c r="AB140" s="51">
        <f>IF($F$88="x",-1,IF(AND($F$88=0,INDEX(KonZeile3,3)+INDEX(KonSpalte5,3)+INDEX(KonFeld4,3)=0),3,0))</f>
        <v>-1</v>
      </c>
      <c r="AC140" s="52">
        <f>IF($G$88="x",-1,IF(AND($G$88=0,INDEX(KonZeile3,1)+INDEX(KonSpalte6,1)+INDEX(KonFeld4,1)=0),1,0))</f>
        <v>-1</v>
      </c>
      <c r="AD140" s="50">
        <f>IF($G$88="x",-1,IF(AND($G$88=0,INDEX(KonZeile3,2)+INDEX(KonSpalte6,2)+INDEX(KonFeld4,2)=0),2,0))</f>
        <v>-1</v>
      </c>
      <c r="AE140" s="53">
        <f>IF($G$88="x",-1,IF(AND($G$88=0,INDEX(KonZeile3,3)+INDEX(KonSpalte6,3)+INDEX(KonFeld4,3)=0),3,0))</f>
        <v>-1</v>
      </c>
      <c r="AF140" s="49">
        <f>IF($H$88="x",-1,IF(AND($H$88=0,INDEX(KonZeile3,1)+INDEX(KonSpalte7,1)+INDEX(KonFeld4,1)=0),1,0))</f>
        <v>-1</v>
      </c>
      <c r="AG140" s="50">
        <f>IF($H$88="x",-1,IF(AND($H$88=0,INDEX(KonZeile3,2)+INDEX(KonSpalte7,2)+INDEX(KonFeld4,2)=0),2,0))</f>
        <v>-1</v>
      </c>
      <c r="AH140" s="51">
        <f>IF($H$88="x",-1,IF(AND($H$88=0,INDEX(KonZeile3,3)+INDEX(KonSpalte7,3)+INDEX(KonFeld4,3)=0),3,0))</f>
        <v>-1</v>
      </c>
      <c r="AI140" s="52">
        <f>IF($I$88="x",-1,IF(AND($I$88=0,INDEX(KonZeile3,1)+INDEX(KonSpalte8,1)+INDEX(KonFeld4,1)=0),1,0))</f>
        <v>-1</v>
      </c>
      <c r="AJ140" s="50">
        <f>IF($I$88="x",-1,IF(AND($I$88=0,INDEX(KonZeile3,2)+INDEX(KonSpalte8,2)+INDEX(KonFeld4,2)=0),2,0))</f>
        <v>-1</v>
      </c>
      <c r="AK140" s="51">
        <f>IF($I$88="x",-1,IF(AND($I$88=0,INDEX(KonZeile3,3)+INDEX(KonSpalte8,3)+INDEX(KonFeld4,3)=0),3,0))</f>
        <v>-1</v>
      </c>
      <c r="AL140" s="52">
        <f>IF($J$88="x",-1,IF(AND($J$88=0,INDEX(KonZeile3,1)+INDEX(KonSpalte9,1)+INDEX(KonFeld4,1)=0),1,0))</f>
        <v>-1</v>
      </c>
      <c r="AM140" s="50">
        <f>IF($J$88="x",-1,IF(AND($J$88=0,INDEX(KonZeile3,2)+INDEX(KonSpalte9,2)+INDEX(KonFeld4,2)=0),2,0))</f>
        <v>-1</v>
      </c>
      <c r="AN140" s="105">
        <f>IF($J$88="x",-1,IF(AND($J$88=0,INDEX(KonZeile3,3)+INDEX(KonSpalte9,3)+INDEX(KonFeld4,3)=0),3,0))</f>
        <v>-1</v>
      </c>
      <c r="AO140" s="104">
        <f>IF($K$88="x",-1,IF(AND($K$88=0,INDEX(KonZeile3,1)+INDEX(KonSpalte1,1)+INDEX(KonFeld5,1)=0),1,0))</f>
        <v>-1</v>
      </c>
      <c r="AP140" s="50">
        <f>IF($K$88="x",-1,IF(AND($K$88=0,INDEX(KonZeile3,2)+INDEX(KonSpalte1,2)+INDEX(KonFeld5,2)=0),2,0))</f>
        <v>-1</v>
      </c>
      <c r="AQ140" s="51">
        <f>IF($K$88="x",-1,IF(AND($K$88=0,INDEX(KonZeile3,3)+INDEX(KonSpalte1,3)+INDEX(KonFeld5,3)=0),3,0))</f>
        <v>-1</v>
      </c>
      <c r="AR140" s="52">
        <f>IF($L$88="x",-1,IF(AND($L$88=0,INDEX(KonZeile3,1)+INDEX(KonSpalte2,1)+INDEX(KonFeld5,1)=0),1,0))</f>
        <v>0</v>
      </c>
      <c r="AS140" s="50">
        <f>IF($L$88="x",-1,IF(AND($L$88=0,INDEX(KonZeile3,2)+INDEX(KonSpalte2,2)+INDEX(KonFeld5,2)=0),2,0))</f>
        <v>0</v>
      </c>
      <c r="AT140" s="51">
        <f>IF($L$88="x",-1,IF(AND($L$88=0,INDEX(KonZeile3,3)+INDEX(KonSpalte2,3)+INDEX(KonFeld5,3)=0),3,0))</f>
        <v>0</v>
      </c>
      <c r="AU140" s="52">
        <f>IF($M$88="x",-1,IF(AND($M$88=0,INDEX(KonZeile3,1)+INDEX(KonSpalte3,1)+INDEX(KonFeld5,1)=0),1,0))</f>
        <v>-1</v>
      </c>
      <c r="AV140" s="50">
        <f>IF($M$88="x",-1,IF(AND($M$88=0,INDEX(KonZeile3,2)+INDEX(KonSpalte3,2)+INDEX(KonFeld5,2)=0),2,0))</f>
        <v>-1</v>
      </c>
      <c r="AW140" s="53">
        <f>IF($M$88="x",-1,IF(AND($M$88=0,INDEX(KonZeile3,3)+INDEX(KonSpalte3,3)+INDEX(KonFeld5,3)=0),3,0))</f>
        <v>-1</v>
      </c>
      <c r="AX140" s="49">
        <f>IF($N$88="x",-1,IF(AND($N$88=0,INDEX(KonZeile3,1)+INDEX(KonSpalte4,1)+INDEX(KonFeld5,1)=0),1,0))</f>
        <v>0</v>
      </c>
      <c r="AY140" s="50">
        <f>IF($N$88="x",-1,IF(AND($N$88=0,INDEX(KonZeile3,2)+INDEX(KonSpalte4,2)+INDEX(KonFeld5,2)=0),2,0))</f>
        <v>0</v>
      </c>
      <c r="AZ140" s="51">
        <f>IF($N$88="x",-1,IF(AND($N$88=0,INDEX(KonZeile3,3)+INDEX(KonSpalte4,3)+INDEX(KonFeld5,3)=0),3,0))</f>
        <v>0</v>
      </c>
      <c r="BA140" s="52">
        <f>IF($O$88="x",-1,IF(AND($O$88=0,INDEX(KonZeile3,1)+INDEX(KonSpalte5,1)+INDEX(KonFeld5,1)=0),1,0))</f>
        <v>0</v>
      </c>
      <c r="BB140" s="50">
        <f>IF($O$88="x",-1,IF(AND($O$88=0,INDEX(KonZeile3,2)+INDEX(KonSpalte5,2)+INDEX(KonFeld5,2)=0),2,0))</f>
        <v>0</v>
      </c>
      <c r="BC140" s="51">
        <f>IF($O$88="x",-1,IF(AND($O$88=0,INDEX(KonZeile3,3)+INDEX(KonSpalte5,3)+INDEX(KonFeld5,3)=0),3,0))</f>
        <v>0</v>
      </c>
      <c r="BD140" s="52">
        <f>IF($P$88="x",-1,IF(AND($P$88=0,INDEX(KonZeile3,1)+INDEX(KonSpalte6,1)+INDEX(KonFeld5,1)=0),1,0))</f>
        <v>-1</v>
      </c>
      <c r="BE140" s="50">
        <f>IF($P$88="x",-1,IF(AND($P$88=0,INDEX(KonZeile3,2)+INDEX(KonSpalte6,2)+INDEX(KonFeld5,2)=0),2,0))</f>
        <v>-1</v>
      </c>
      <c r="BF140" s="53">
        <f>IF($P$88="x",-1,IF(AND($P$88=0,INDEX(KonZeile3,3)+INDEX(KonSpalte6,3)+INDEX(KonFeld5,3)=0),3,0))</f>
        <v>-1</v>
      </c>
      <c r="BG140" s="49">
        <f>IF($Q$88="x",-1,IF(AND($Q$88=0,INDEX(KonZeile3,1)+INDEX(KonSpalte7,1)+INDEX(KonFeld5,1)=0),1,0))</f>
        <v>-1</v>
      </c>
      <c r="BH140" s="50">
        <f>IF($Q$88="x",-1,IF(AND($Q$88=0,INDEX(KonZeile3,2)+INDEX(KonSpalte7,2)+INDEX(KonFeld5,2)=0),2,0))</f>
        <v>-1</v>
      </c>
      <c r="BI140" s="51">
        <f>IF($Q$88="x",-1,IF(AND($Q$88=0,INDEX(KonZeile3,3)+INDEX(KonSpalte7,3)+INDEX(KonFeld5,3)=0),3,0))</f>
        <v>-1</v>
      </c>
      <c r="BJ140" s="52">
        <f>IF($R$88="x",-1,IF(AND($R$88=0,INDEX(KonZeile3,1)+INDEX(KonSpalte8,1)+INDEX(KonFeld5,1)=0),1,0))</f>
        <v>-1</v>
      </c>
      <c r="BK140" s="50">
        <f>IF($R$88="x",-1,IF(AND($R$88=0,INDEX(KonZeile3,2)+INDEX(KonSpalte8,2)+INDEX(KonFeld5,2)=0),2,0))</f>
        <v>-1</v>
      </c>
      <c r="BL140" s="51">
        <f>IF($R$88="x",-1,IF(AND($R$88=0,INDEX(KonZeile3,3)+INDEX(KonSpalte8,3)+INDEX(KonFeld5,3)=0),3,0))</f>
        <v>-1</v>
      </c>
      <c r="BM140" s="52">
        <f>IF($S$88="x",-1,IF(AND($S$88=0,INDEX(KonZeile3,1)+INDEX(KonSpalte9,1)+INDEX(KonFeld5,1)=0),1,0))</f>
        <v>-1</v>
      </c>
      <c r="BN140" s="50">
        <f>IF($S$88="x",-1,IF(AND($S$88=0,INDEX(KonZeile3,2)+INDEX(KonSpalte9,2)+INDEX(KonFeld5,2)=0),2,0))</f>
        <v>-1</v>
      </c>
      <c r="BO140" s="105">
        <f>IF($S$88="x",-1,IF(AND($S$88=0,INDEX(KonZeile3,3)+INDEX(KonSpalte9,3)+INDEX(KonFeld5,3)=0),3,0))</f>
        <v>-1</v>
      </c>
      <c r="BP140" s="104">
        <f>IF($T$88="x",-1,IF(AND($T$88=0,INDEX(KonZeile3,1)+INDEX(KonSpalte1,1)+INDEX(KonFeld6,1)=0),1,0))</f>
        <v>-1</v>
      </c>
      <c r="BQ140" s="50">
        <f>IF($T$88="x",-1,IF(AND($T$88=0,INDEX(KonZeile3,2)+INDEX(KonSpalte1,2)+INDEX(KonFeld6,2)=0),2,0))</f>
        <v>-1</v>
      </c>
      <c r="BR140" s="51">
        <f>IF($T$88="x",-1,IF(AND($T$88=0,INDEX(KonZeile3,3)+INDEX(KonSpalte1,3)+INDEX(KonFeld6,3)=0),3,0))</f>
        <v>-1</v>
      </c>
      <c r="BS140" s="52">
        <f>IF($U$88="x",-1,IF(AND($U$88=0,INDEX(KonZeile3,1)+INDEX(KonSpalte2,1)+INDEX(KonFeld6,1)=0),1,0))</f>
        <v>-1</v>
      </c>
      <c r="BT140" s="50">
        <f>IF($U$88="x",-1,IF(AND($U$88=0,INDEX(KonZeile3,2)+INDEX(KonSpalte2,2)+INDEX(KonFeld6,2)=0),2,0))</f>
        <v>-1</v>
      </c>
      <c r="BU140" s="51">
        <f>IF($U$88="x",-1,IF(AND($U$88=0,INDEX(KonZeile3,3)+INDEX(KonSpalte2,3)+INDEX(KonFeld6,3)=0),3,0))</f>
        <v>-1</v>
      </c>
      <c r="BV140" s="52">
        <f>IF($V$88="x",-1,IF(AND($V$88=0,INDEX(KonZeile3,1)+INDEX(KonSpalte3,1)+INDEX(KonFeld6,1)=0),1,0))</f>
        <v>-1</v>
      </c>
      <c r="BW140" s="50">
        <f>IF($V$88="x",-1,IF(AND($V$88=0,INDEX(KonZeile3,2)+INDEX(KonSpalte3,2)+INDEX(KonFeld6,2)=0),2,0))</f>
        <v>-1</v>
      </c>
      <c r="BX140" s="53">
        <f>IF($V$88="x",-1,IF(AND($V$88=0,INDEX(KonZeile3,3)+INDEX(KonSpalte3,3)+INDEX(KonFeld6,3)=0),3,0))</f>
        <v>-1</v>
      </c>
      <c r="BY140" s="49">
        <f>IF($W$88="x",-1,IF(AND($W$88=0,INDEX(KonZeile3,1)+INDEX(KonSpalte4,1)+INDEX(KonFeld6,1)=0),1,0))</f>
        <v>-1</v>
      </c>
      <c r="BZ140" s="50">
        <f>IF($W$88="x",-1,IF(AND($W$88=0,INDEX(KonZeile3,2)+INDEX(KonSpalte4,2)+INDEX(KonFeld6,2)=0),2,0))</f>
        <v>-1</v>
      </c>
      <c r="CA140" s="51">
        <f>IF($W$88="x",-1,IF(AND($W$88=0,INDEX(KonZeile3,3)+INDEX(KonSpalte4,3)+INDEX(KonFeld6,3)=0),3,0))</f>
        <v>-1</v>
      </c>
      <c r="CB140" s="52">
        <f>IF($X$88="x",-1,IF(AND($X$88=0,INDEX(KonZeile3,1)+INDEX(KonSpalte5,1)+INDEX(KonFeld6,1)=0),1,0))</f>
        <v>-1</v>
      </c>
      <c r="CC140" s="50">
        <f>IF($X$88="x",-1,IF(AND($X$88=0,INDEX(KonZeile3,2)+INDEX(KonSpalte5,2)+INDEX(KonFeld6,2)=0),2,0))</f>
        <v>-1</v>
      </c>
      <c r="CD140" s="51">
        <f>IF($X$88="x",-1,IF(AND($X$88=0,INDEX(KonZeile3,3)+INDEX(KonSpalte5,3)+INDEX(KonFeld6,3)=0),3,0))</f>
        <v>-1</v>
      </c>
      <c r="CE140" s="52">
        <f>IF($Y$88="x",-1,IF(AND($Y$88=0,INDEX(KonZeile3,1)+INDEX(KonSpalte6,1)+INDEX(KonFeld6,1)=0),1,0))</f>
        <v>-1</v>
      </c>
      <c r="CF140" s="50">
        <f>IF($Y$88="x",-1,IF(AND($Y$88=0,INDEX(KonZeile3,2)+INDEX(KonSpalte6,2)+INDEX(KonFeld6,2)=0),2,0))</f>
        <v>-1</v>
      </c>
      <c r="CG140" s="53">
        <f>IF($Y$88="x",-1,IF(AND($Y$88=0,INDEX(KonZeile3,3)+INDEX(KonSpalte6,3)+INDEX(KonFeld6,3)=0),3,0))</f>
        <v>-1</v>
      </c>
      <c r="CH140" s="49">
        <f>IF($Z$88="x",-1,IF(AND($Z$88=0,INDEX(KonZeile3,1)+INDEX(KonSpalte7,1)+INDEX(KonFeld6,1)=0),1,0))</f>
        <v>0</v>
      </c>
      <c r="CI140" s="50">
        <f>IF($Z$88="x",-1,IF(AND($Z$88=0,INDEX(KonZeile3,2)+INDEX(KonSpalte7,2)+INDEX(KonFeld6,2)=0),2,0))</f>
        <v>0</v>
      </c>
      <c r="CJ140" s="51">
        <f>IF($Z$88="x",-1,IF(AND($Z$88=0,INDEX(KonZeile3,3)+INDEX(KonSpalte7,3)+INDEX(KonFeld6,3)=0),3,0))</f>
        <v>0</v>
      </c>
      <c r="CK140" s="52">
        <f>IF($AA$88="x",-1,IF(AND($AA$88=0,INDEX(KonZeile3,1)+INDEX(KonSpalte8,1)+INDEX(KonFeld6,1)=0),1,0))</f>
        <v>-1</v>
      </c>
      <c r="CL140" s="50">
        <f>IF($AA$88="x",-1,IF(AND($AA$88=0,INDEX(KonZeile3,2)+INDEX(KonSpalte8,2)+INDEX(KonFeld6,2)=0),2,0))</f>
        <v>-1</v>
      </c>
      <c r="CM140" s="51">
        <f>IF($AA$88="x",-1,IF(AND($AA$88=0,INDEX(KonZeile3,3)+INDEX(KonSpalte8,3)+INDEX(KonFeld6,3)=0),3,0))</f>
        <v>-1</v>
      </c>
      <c r="CN140" s="52">
        <f>IF($AB$88="x",-1,IF(AND($AB$88=0,INDEX(KonZeile3,1)+INDEX(KonSpalte9,1)+INDEX(KonFeld6,1)=0),1,0))</f>
        <v>-1</v>
      </c>
      <c r="CO140" s="50">
        <f>IF($AB$88="x",-1,IF(AND($AB$88=0,INDEX(KonZeile3,2)+INDEX(KonSpalte9,2)+INDEX(KonFeld6,2)=0),2,0))</f>
        <v>-1</v>
      </c>
      <c r="CP140" s="105">
        <f>IF($AB$88="x",-1,IF(AND($AB$88=0,INDEX(KonZeile3,3)+INDEX(KonSpalte9,3)+INDEX(KonFeld6,3)=0),3,0))</f>
        <v>-1</v>
      </c>
      <c r="CR140" s="52">
        <f>COUNTIF(N140:CP140,1)</f>
        <v>0</v>
      </c>
      <c r="CS140" s="50">
        <f>COUNTIF(N140:CP140,2)</f>
        <v>0</v>
      </c>
      <c r="CT140" s="51">
        <f>COUNTIF(N140:CP140,3)</f>
        <v>0</v>
      </c>
      <c r="CU140" s="39"/>
      <c r="CV140" s="39"/>
      <c r="CX140" s="65">
        <f t="shared" si="185"/>
        <v>0</v>
      </c>
      <c r="CY140" s="66">
        <f t="shared" si="185"/>
        <v>0</v>
      </c>
      <c r="CZ140" s="67">
        <f t="shared" si="185"/>
        <v>0</v>
      </c>
      <c r="DI140" s="39"/>
      <c r="DJ140" s="84">
        <f t="shared" ref="DJ140:DJ166" si="186">IF(N107&lt;&gt;-1,EI107,-1)</f>
        <v>1</v>
      </c>
      <c r="DK140" s="85">
        <f t="shared" ref="DK140:DK166" si="187">IF(O107&lt;&gt;-1,EJ107,-1)</f>
        <v>2</v>
      </c>
      <c r="DL140" s="87">
        <f t="shared" ref="DL140:DL166" si="188">IF(P107&lt;&gt;-1,EK107,-1)</f>
        <v>0</v>
      </c>
      <c r="DM140" s="86">
        <f t="shared" ref="DM140:DM166" si="189">IF(Q107&lt;&gt;-1,EL107,-1)</f>
        <v>1</v>
      </c>
      <c r="DN140" s="85">
        <f t="shared" ref="DN140:DN166" si="190">IF(R107&lt;&gt;-1,EM107,-1)</f>
        <v>2</v>
      </c>
      <c r="DO140" s="87">
        <f t="shared" ref="DO140:DO166" si="191">IF(S107&lt;&gt;-1,EN107,-1)</f>
        <v>0</v>
      </c>
      <c r="DP140" s="86">
        <f t="shared" ref="DP140:DP166" si="192">IF(T107&lt;&gt;-1,EO107,-1)</f>
        <v>1</v>
      </c>
      <c r="DQ140" s="85">
        <f t="shared" ref="DQ140:DQ166" si="193">IF(U107&lt;&gt;-1,EP107,-1)</f>
        <v>0</v>
      </c>
      <c r="DR140" s="88">
        <f t="shared" ref="DR140:DR166" si="194">IF(V107&lt;&gt;-1,EQ107,-1)</f>
        <v>0</v>
      </c>
      <c r="DS140" s="89">
        <f t="shared" ref="DS140:DS166" si="195">IF(W107&lt;&gt;-1,ER107,-1)</f>
        <v>-1</v>
      </c>
      <c r="DT140" s="85">
        <f t="shared" ref="DT140:DT166" si="196">IF(X107&lt;&gt;-1,ES107,-1)</f>
        <v>-1</v>
      </c>
      <c r="DU140" s="87">
        <f t="shared" ref="DU140:DU166" si="197">IF(Y107&lt;&gt;-1,ET107,-1)</f>
        <v>-1</v>
      </c>
      <c r="DV140" s="86">
        <f t="shared" ref="DV140:DV166" si="198">IF(Z107&lt;&gt;-1,EU107,-1)</f>
        <v>-1</v>
      </c>
      <c r="DW140" s="85">
        <f t="shared" ref="DW140:DW166" si="199">IF(AA107&lt;&gt;-1,EV107,-1)</f>
        <v>-1</v>
      </c>
      <c r="DX140" s="87">
        <f t="shared" ref="DX140:DX166" si="200">IF(AB107&lt;&gt;-1,EW107,-1)</f>
        <v>-1</v>
      </c>
      <c r="DY140" s="86">
        <f t="shared" ref="DY140:DY166" si="201">IF(AC107&lt;&gt;-1,EX107,-1)</f>
        <v>-1</v>
      </c>
      <c r="DZ140" s="85">
        <f t="shared" ref="DZ140:DZ166" si="202">IF(AD107&lt;&gt;-1,EY107,-1)</f>
        <v>-1</v>
      </c>
      <c r="EA140" s="88">
        <f t="shared" ref="EA140:EA166" si="203">IF(AE107&lt;&gt;-1,EZ107,-1)</f>
        <v>-1</v>
      </c>
      <c r="EB140" s="89">
        <f t="shared" ref="EB140:EB166" si="204">IF(AF107&lt;&gt;-1,FA107,-1)</f>
        <v>-1</v>
      </c>
      <c r="EC140" s="85">
        <f t="shared" ref="EC140:EC166" si="205">IF(AG107&lt;&gt;-1,FB107,-1)</f>
        <v>-1</v>
      </c>
      <c r="ED140" s="87">
        <f t="shared" ref="ED140:ED166" si="206">IF(AH107&lt;&gt;-1,FC107,-1)</f>
        <v>-1</v>
      </c>
      <c r="EE140" s="86">
        <f t="shared" ref="EE140:EE166" si="207">IF(AI107&lt;&gt;-1,FD107,-1)</f>
        <v>-1</v>
      </c>
      <c r="EF140" s="85">
        <f t="shared" ref="EF140:EF166" si="208">IF(AJ107&lt;&gt;-1,FE107,-1)</f>
        <v>-1</v>
      </c>
      <c r="EG140" s="87">
        <f t="shared" ref="EG140:EG166" si="209">IF(AK107&lt;&gt;-1,FF107,-1)</f>
        <v>-1</v>
      </c>
      <c r="EH140" s="86">
        <f t="shared" ref="EH140:EH166" si="210">IF(AL107&lt;&gt;-1,FG107,-1)</f>
        <v>-1</v>
      </c>
      <c r="EI140" s="85">
        <f t="shared" ref="EI140:EI166" si="211">IF(AM107&lt;&gt;-1,FH107,-1)</f>
        <v>-1</v>
      </c>
      <c r="EJ140" s="90">
        <f t="shared" ref="EJ140:EJ166" si="212">IF(AN107&lt;&gt;-1,FI107,-1)</f>
        <v>-1</v>
      </c>
      <c r="EK140" s="84">
        <f t="shared" ref="EK140:EK166" si="213">IF(AO107&lt;&gt;-1,EI107,-1)</f>
        <v>-1</v>
      </c>
      <c r="EL140" s="85">
        <f t="shared" ref="EL140:EL166" si="214">IF(AP107&lt;&gt;-1,EJ107,-1)</f>
        <v>-1</v>
      </c>
      <c r="EM140" s="87">
        <f t="shared" ref="EM140:EM166" si="215">IF(AQ107&lt;&gt;-1,EK107,-1)</f>
        <v>-1</v>
      </c>
      <c r="EN140" s="86">
        <f t="shared" ref="EN140:EN166" si="216">IF(AR107&lt;&gt;-1,EL107,-1)</f>
        <v>-1</v>
      </c>
      <c r="EO140" s="85">
        <f t="shared" ref="EO140:EO166" si="217">IF(AS107&lt;&gt;-1,EM107,-1)</f>
        <v>-1</v>
      </c>
      <c r="EP140" s="87">
        <f t="shared" ref="EP140:EP166" si="218">IF(AT107&lt;&gt;-1,EN107,-1)</f>
        <v>-1</v>
      </c>
      <c r="EQ140" s="86">
        <f t="shared" ref="EQ140:EQ166" si="219">IF(AU107&lt;&gt;-1,EO107,-1)</f>
        <v>-1</v>
      </c>
      <c r="ER140" s="85">
        <f t="shared" ref="ER140:ER166" si="220">IF(AV107&lt;&gt;-1,EP107,-1)</f>
        <v>-1</v>
      </c>
      <c r="ES140" s="88">
        <f t="shared" ref="ES140:ES166" si="221">IF(AW107&lt;&gt;-1,EQ107,-1)</f>
        <v>-1</v>
      </c>
      <c r="ET140" s="89">
        <f t="shared" ref="ET140:ET166" si="222">IF(AX107&lt;&gt;-1,ER107,-1)</f>
        <v>1</v>
      </c>
      <c r="EU140" s="85">
        <f t="shared" ref="EU140:EU166" si="223">IF(AY107&lt;&gt;-1,ES107,-1)</f>
        <v>2</v>
      </c>
      <c r="EV140" s="87">
        <f t="shared" ref="EV140:EV166" si="224">IF(AZ107&lt;&gt;-1,ET107,-1)</f>
        <v>3</v>
      </c>
      <c r="EW140" s="86">
        <f t="shared" ref="EW140:EW166" si="225">IF(BA107&lt;&gt;-1,EU107,-1)</f>
        <v>0</v>
      </c>
      <c r="EX140" s="85">
        <f t="shared" ref="EX140:EX166" si="226">IF(BB107&lt;&gt;-1,EV107,-1)</f>
        <v>0</v>
      </c>
      <c r="EY140" s="87">
        <f t="shared" ref="EY140:EY166" si="227">IF(BC107&lt;&gt;-1,EW107,-1)</f>
        <v>0</v>
      </c>
      <c r="EZ140" s="86">
        <f t="shared" ref="EZ140:EZ166" si="228">IF(BD107&lt;&gt;-1,EX107,-1)</f>
        <v>1</v>
      </c>
      <c r="FA140" s="85">
        <f t="shared" ref="FA140:FA166" si="229">IF(BE107&lt;&gt;-1,EY107,-1)</f>
        <v>2</v>
      </c>
      <c r="FB140" s="88">
        <f t="shared" ref="FB140:FB166" si="230">IF(BF107&lt;&gt;-1,EZ107,-1)</f>
        <v>0</v>
      </c>
      <c r="FC140" s="89">
        <f t="shared" ref="FC140:FC166" si="231">IF(BG107&lt;&gt;-1,FA107,-1)</f>
        <v>-1</v>
      </c>
      <c r="FD140" s="85">
        <f t="shared" ref="FD140:FD166" si="232">IF(BH107&lt;&gt;-1,FB107,-1)</f>
        <v>-1</v>
      </c>
      <c r="FE140" s="87">
        <f t="shared" ref="FE140:FE166" si="233">IF(BI107&lt;&gt;-1,FC107,-1)</f>
        <v>-1</v>
      </c>
      <c r="FF140" s="86">
        <f t="shared" ref="FF140:FF166" si="234">IF(BJ107&lt;&gt;-1,FD107,-1)</f>
        <v>-1</v>
      </c>
      <c r="FG140" s="85">
        <f t="shared" ref="FG140:FG166" si="235">IF(BK107&lt;&gt;-1,FE107,-1)</f>
        <v>-1</v>
      </c>
      <c r="FH140" s="87">
        <f t="shared" ref="FH140:FH166" si="236">IF(BL107&lt;&gt;-1,FF107,-1)</f>
        <v>-1</v>
      </c>
      <c r="FI140" s="86">
        <f t="shared" ref="FI140:FI166" si="237">IF(BM107&lt;&gt;-1,FG107,-1)</f>
        <v>-1</v>
      </c>
      <c r="FJ140" s="85">
        <f t="shared" ref="FJ140:FJ166" si="238">IF(BN107&lt;&gt;-1,FH107,-1)</f>
        <v>-1</v>
      </c>
      <c r="FK140" s="90">
        <f t="shared" ref="FK140:FK166" si="239">IF(BO107&lt;&gt;-1,FI107,-1)</f>
        <v>-1</v>
      </c>
      <c r="FL140" s="84">
        <f t="shared" ref="FL140:FL166" si="240">IF(BP107&lt;&gt;-1,EI107,-1)</f>
        <v>-1</v>
      </c>
      <c r="FM140" s="85">
        <f t="shared" ref="FM140:FM166" si="241">IF(BQ107&lt;&gt;-1,EJ107,-1)</f>
        <v>-1</v>
      </c>
      <c r="FN140" s="87">
        <f t="shared" ref="FN140:FN166" si="242">IF(BR107&lt;&gt;-1,EK107,-1)</f>
        <v>-1</v>
      </c>
      <c r="FO140" s="86">
        <f t="shared" ref="FO140:FO166" si="243">IF(BS107&lt;&gt;-1,EL107,-1)</f>
        <v>-1</v>
      </c>
      <c r="FP140" s="85">
        <f t="shared" ref="FP140:FP166" si="244">IF(BT107&lt;&gt;-1,EM107,-1)</f>
        <v>-1</v>
      </c>
      <c r="FQ140" s="87">
        <f t="shared" ref="FQ140:FQ166" si="245">IF(BU107&lt;&gt;-1,EN107,-1)</f>
        <v>-1</v>
      </c>
      <c r="FR140" s="86">
        <f t="shared" ref="FR140:FR166" si="246">IF(BV107&lt;&gt;-1,EO107,-1)</f>
        <v>-1</v>
      </c>
      <c r="FS140" s="85">
        <f t="shared" ref="FS140:FS166" si="247">IF(BW107&lt;&gt;-1,EP107,-1)</f>
        <v>-1</v>
      </c>
      <c r="FT140" s="88">
        <f t="shared" ref="FT140:FT166" si="248">IF(BX107&lt;&gt;-1,EQ107,-1)</f>
        <v>-1</v>
      </c>
      <c r="FU140" s="89">
        <f t="shared" ref="FU140:FU166" si="249">IF(BY107&lt;&gt;-1,ER107,-1)</f>
        <v>-1</v>
      </c>
      <c r="FV140" s="85">
        <f t="shared" ref="FV140:FV166" si="250">IF(BZ107&lt;&gt;-1,ES107,-1)</f>
        <v>-1</v>
      </c>
      <c r="FW140" s="87">
        <f t="shared" ref="FW140:FW166" si="251">IF(CA107&lt;&gt;-1,ET107,-1)</f>
        <v>-1</v>
      </c>
      <c r="FX140" s="86">
        <f t="shared" ref="FX140:FX166" si="252">IF(CB107&lt;&gt;-1,EU107,-1)</f>
        <v>-1</v>
      </c>
      <c r="FY140" s="85">
        <f t="shared" ref="FY140:FY166" si="253">IF(CC107&lt;&gt;-1,EV107,-1)</f>
        <v>-1</v>
      </c>
      <c r="FZ140" s="87">
        <f t="shared" ref="FZ140:FZ166" si="254">IF(CD107&lt;&gt;-1,EW107,-1)</f>
        <v>-1</v>
      </c>
      <c r="GA140" s="86">
        <f t="shared" ref="GA140:GA166" si="255">IF(CE107&lt;&gt;-1,EX107,-1)</f>
        <v>-1</v>
      </c>
      <c r="GB140" s="85">
        <f t="shared" ref="GB140:GB166" si="256">IF(CF107&lt;&gt;-1,EY107,-1)</f>
        <v>-1</v>
      </c>
      <c r="GC140" s="88">
        <f t="shared" ref="GC140:GC166" si="257">IF(CG107&lt;&gt;-1,EZ107,-1)</f>
        <v>-1</v>
      </c>
      <c r="GD140" s="89">
        <f t="shared" ref="GD140:GD166" si="258">IF(CH107&lt;&gt;-1,FA107,-1)</f>
        <v>-1</v>
      </c>
      <c r="GE140" s="85">
        <f t="shared" ref="GE140:GE166" si="259">IF(CI107&lt;&gt;-1,FB107,-1)</f>
        <v>-1</v>
      </c>
      <c r="GF140" s="87">
        <f t="shared" ref="GF140:GF166" si="260">IF(CJ107&lt;&gt;-1,FC107,-1)</f>
        <v>-1</v>
      </c>
      <c r="GG140" s="86">
        <f t="shared" ref="GG140:GG166" si="261">IF(CK107&lt;&gt;-1,FD107,-1)</f>
        <v>0</v>
      </c>
      <c r="GH140" s="85">
        <f t="shared" ref="GH140:GH166" si="262">IF(CL107&lt;&gt;-1,FE107,-1)</f>
        <v>2</v>
      </c>
      <c r="GI140" s="87">
        <f t="shared" ref="GI140:GI166" si="263">IF(CM107&lt;&gt;-1,FF107,-1)</f>
        <v>3</v>
      </c>
      <c r="GJ140" s="86">
        <f t="shared" ref="GJ140:GJ166" si="264">IF(CN107&lt;&gt;-1,FG107,-1)</f>
        <v>-1</v>
      </c>
      <c r="GK140" s="85">
        <f t="shared" ref="GK140:GK166" si="265">IF(CO107&lt;&gt;-1,FH107,-1)</f>
        <v>-1</v>
      </c>
      <c r="GL140" s="90">
        <f t="shared" ref="GL140:GL166" si="266">IF(CP107&lt;&gt;-1,FI107,-1)</f>
        <v>-1</v>
      </c>
      <c r="GN140" s="52">
        <f>COUNTIF(DJ140:GL140,1)</f>
        <v>5</v>
      </c>
      <c r="GO140" s="50">
        <f>COUNTIF(DJ140:GL140,2)</f>
        <v>5</v>
      </c>
      <c r="GP140" s="51">
        <f>COUNTIF(DJ140:GL140,3)</f>
        <v>2</v>
      </c>
      <c r="GQ140" s="39"/>
      <c r="GR140" s="39"/>
      <c r="GT140" s="91">
        <f>GN140+GN167+GN194</f>
        <v>5</v>
      </c>
      <c r="GU140" s="92">
        <f>GO140+GO167+GO194</f>
        <v>5</v>
      </c>
      <c r="GV140" s="93">
        <f>GP140+GP167+GP194</f>
        <v>3</v>
      </c>
    </row>
    <row r="141" spans="2:235" ht="15" customHeight="1">
      <c r="B141" s="72" t="str">
        <f t="shared" si="174"/>
        <v>x</v>
      </c>
      <c r="C141" s="73" t="str">
        <f t="shared" si="175"/>
        <v>x</v>
      </c>
      <c r="D141" s="73" t="str">
        <f t="shared" si="176"/>
        <v>x</v>
      </c>
      <c r="E141" s="73" t="str">
        <f t="shared" si="177"/>
        <v>x</v>
      </c>
      <c r="F141" s="73" t="str">
        <f t="shared" si="178"/>
        <v>x</v>
      </c>
      <c r="G141" s="73" t="str">
        <f t="shared" si="179"/>
        <v>x</v>
      </c>
      <c r="H141" s="73" t="str">
        <f t="shared" si="180"/>
        <v>x</v>
      </c>
      <c r="I141" s="73">
        <f t="shared" si="181"/>
        <v>3</v>
      </c>
      <c r="J141" s="74" t="str">
        <f t="shared" si="182"/>
        <v>x</v>
      </c>
      <c r="N141" s="94">
        <f>IF($B$88="x",-1,IF(AND($B$88=0,INDEX(KonZeile3,4)+INDEX(KonSpalte1,4)+INDEX(KonFeld4,4)=0),4,0))</f>
        <v>-1</v>
      </c>
      <c r="O141" s="39">
        <f>IF($B$88="x",-1,IF(AND($B$88=0,INDEX(KonZeile3,5)+INDEX(KonSpalte1,5)+INDEX(KonFeld4,5)=0),5,0))</f>
        <v>-1</v>
      </c>
      <c r="P141" s="41">
        <f>IF($B$88="x",-1,IF(AND($B$88=0,INDEX(KonZeile3,6)+INDEX(KonSpalte1,6)+INDEX(KonFeld4,6)=0),6,0))</f>
        <v>-1</v>
      </c>
      <c r="Q141" s="40">
        <f>IF($C$88="x",-1,IF(AND($C$88=0,INDEX(KonZeile3,4)+INDEX(KonSpalte2,4)+INDEX(KonFeld4,4)=0),4,0))</f>
        <v>-1</v>
      </c>
      <c r="R141" s="39">
        <f>IF($C$88="x",-1,IF(AND($C$88=0,INDEX(KonZeile3,5)+INDEX(KonSpalte2,5)+INDEX(KonFeld4,5)=0),5,0))</f>
        <v>-1</v>
      </c>
      <c r="S141" s="41">
        <f>IF($C$88="x",-1,IF(AND($C$88=0,INDEX(KonZeile3,6)+INDEX(KonSpalte2,6)+INDEX(KonFeld4,6)=0),6,0))</f>
        <v>-1</v>
      </c>
      <c r="T141" s="40">
        <f>IF($D$88="x",-1,IF(AND($D$88=0,INDEX(KonZeile3,4)+INDEX(KonSpalte3,4)+INDEX(KonFeld4,4)=0),4,0))</f>
        <v>-1</v>
      </c>
      <c r="U141" s="39">
        <f>IF($D$88="x",-1,IF(AND($D$88=0,INDEX(KonZeile3,5)+INDEX(KonSpalte3,5)+INDEX(KonFeld4,5)=0),5,0))</f>
        <v>-1</v>
      </c>
      <c r="V141" s="42">
        <f>IF($D$88="x",-1,IF(AND($D$88=0,INDEX(KonZeile3,6)+INDEX(KonSpalte3,6)+INDEX(KonFeld4,6)=0),6,0))</f>
        <v>-1</v>
      </c>
      <c r="W141" s="43">
        <f>IF($E$88="x",-1,IF(AND($E$88=0,INDEX(KonZeile3,4)+INDEX(KonSpalte4,4)+INDEX(KonFeld4,4)=0),4,0))</f>
        <v>-1</v>
      </c>
      <c r="X141" s="39">
        <f>IF($E$88="x",-1,IF(AND($E$88=0,INDEX(KonZeile3,5)+INDEX(KonSpalte4,5)+INDEX(KonFeld4,5)=0),5,0))</f>
        <v>-1</v>
      </c>
      <c r="Y141" s="41">
        <f>IF($E$88="x",-1,IF(AND($E$88=0,INDEX(KonZeile3,6)+INDEX(KonSpalte4,6)+INDEX(KonFeld4,6)=0),6,0))</f>
        <v>-1</v>
      </c>
      <c r="Z141" s="40">
        <f>IF($F$88="x",-1,IF(AND($F$88=0,INDEX(KonZeile3,4)+INDEX(KonSpalte5,4)+INDEX(KonFeld4,4)=0),4,0))</f>
        <v>-1</v>
      </c>
      <c r="AA141" s="39">
        <f>IF($F$88="x",-1,IF(AND($F$88=0,INDEX(KonZeile3,5)+INDEX(KonSpalte5,5)+INDEX(KonFeld4,5)=0),5,0))</f>
        <v>-1</v>
      </c>
      <c r="AB141" s="41">
        <f>IF($F$88="x",-1,IF(AND($F$88=0,INDEX(KonZeile3,6)+INDEX(KonSpalte5,6)+INDEX(KonFeld4,6)=0),6,0))</f>
        <v>-1</v>
      </c>
      <c r="AC141" s="40">
        <f>IF($G$88="x",-1,IF(AND($G$88=0,INDEX(KonZeile3,4)+INDEX(KonSpalte6,4)+INDEX(KonFeld4,4)=0),4,0))</f>
        <v>-1</v>
      </c>
      <c r="AD141" s="39">
        <f>IF($G$88="x",-1,IF(AND($G$88=0,INDEX(KonZeile3,5)+INDEX(KonSpalte6,5)+INDEX(KonFeld4,5)=0),5,0))</f>
        <v>-1</v>
      </c>
      <c r="AE141" s="42">
        <f>IF($G$88="x",-1,IF(AND($G$88=0,INDEX(KonZeile3,6)+INDEX(KonSpalte6,6)+INDEX(KonFeld4,6)=0),6,0))</f>
        <v>-1</v>
      </c>
      <c r="AF141" s="43">
        <f>IF($H$88="x",-1,IF(AND($H$88=0,INDEX(KonZeile3,4)+INDEX(KonSpalte7,4)+INDEX(KonFeld4,4)=0),4,0))</f>
        <v>-1</v>
      </c>
      <c r="AG141" s="39">
        <f>IF($H$88="x",-1,IF(AND($H$88=0,INDEX(KonZeile3,5)+INDEX(KonSpalte7,5)+INDEX(KonFeld4,5)=0),5,0))</f>
        <v>-1</v>
      </c>
      <c r="AH141" s="41">
        <f>IF($H$88="x",-1,IF(AND($H$88=0,INDEX(KonZeile3,6)+INDEX(KonSpalte7,6)+INDEX(KonFeld4,6)=0),6,0))</f>
        <v>-1</v>
      </c>
      <c r="AI141" s="40">
        <f>IF($I$88="x",-1,IF(AND($I$88=0,INDEX(KonZeile3,4)+INDEX(KonSpalte8,4)+INDEX(KonFeld4,4)=0),4,0))</f>
        <v>-1</v>
      </c>
      <c r="AJ141" s="39">
        <f>IF($I$88="x",-1,IF(AND($I$88=0,INDEX(KonZeile3,5)+INDEX(KonSpalte8,5)+INDEX(KonFeld4,5)=0),5,0))</f>
        <v>-1</v>
      </c>
      <c r="AK141" s="41">
        <f>IF($I$88="x",-1,IF(AND($I$88=0,INDEX(KonZeile3,6)+INDEX(KonSpalte8,6)+INDEX(KonFeld4,6)=0),6,0))</f>
        <v>-1</v>
      </c>
      <c r="AL141" s="40">
        <f>IF($J$88="x",-1,IF(AND($J$88=0,INDEX(KonZeile3,4)+INDEX(KonSpalte9,4)+INDEX(KonFeld4,4)=0),4,0))</f>
        <v>-1</v>
      </c>
      <c r="AM141" s="39">
        <f>IF($J$88="x",-1,IF(AND($J$88=0,INDEX(KonZeile3,5)+INDEX(KonSpalte9,5)+INDEX(KonFeld4,5)=0),5,0))</f>
        <v>-1</v>
      </c>
      <c r="AN141" s="95">
        <f>IF($J$88="x",-1,IF(AND($J$88=0,INDEX(KonZeile3,6)+INDEX(KonSpalte9,6)+INDEX(KonFeld4,6)=0),6,0))</f>
        <v>-1</v>
      </c>
      <c r="AO141" s="94">
        <f>IF($K$88="x",-1,IF(AND($K$88=0,INDEX(KonZeile3,4)+INDEX(KonSpalte1,4)+INDEX(KonFeld5,4)=0),4,0))</f>
        <v>-1</v>
      </c>
      <c r="AP141" s="39">
        <f>IF($K$88="x",-1,IF(AND($K$88=0,INDEX(KonZeile3,5)+INDEX(KonSpalte1,5)+INDEX(KonFeld5,5)=0),5,0))</f>
        <v>-1</v>
      </c>
      <c r="AQ141" s="41">
        <f>IF($K$88="x",-1,IF(AND($K$88=0,INDEX(KonZeile3,6)+INDEX(KonSpalte1,6)+INDEX(KonFeld5,6)=0),6,0))</f>
        <v>-1</v>
      </c>
      <c r="AR141" s="40">
        <f>IF($L$88="x",-1,IF(AND($L$88=0,INDEX(KonZeile3,4)+INDEX(KonSpalte2,4)+INDEX(KonFeld5,4)=0),4,0))</f>
        <v>0</v>
      </c>
      <c r="AS141" s="39">
        <f>IF($L$88="x",-1,IF(AND($L$88=0,INDEX(KonZeile3,5)+INDEX(KonSpalte2,5)+INDEX(KonFeld5,5)=0),5,0))</f>
        <v>0</v>
      </c>
      <c r="AT141" s="41">
        <f>IF($L$88="x",-1,IF(AND($L$88=0,INDEX(KonZeile3,6)+INDEX(KonSpalte2,6)+INDEX(KonFeld5,6)=0),6,0))</f>
        <v>0</v>
      </c>
      <c r="AU141" s="40">
        <f>IF($M$88="x",-1,IF(AND($M$88=0,INDEX(KonZeile3,4)+INDEX(KonSpalte3,4)+INDEX(KonFeld5,4)=0),4,0))</f>
        <v>-1</v>
      </c>
      <c r="AV141" s="39">
        <f>IF($M$88="x",-1,IF(AND($M$88=0,INDEX(KonZeile3,5)+INDEX(KonSpalte3,5)+INDEX(KonFeld5,5)=0),5,0))</f>
        <v>-1</v>
      </c>
      <c r="AW141" s="42">
        <f>IF($M$88="x",-1,IF(AND($M$88=0,INDEX(KonZeile3,6)+INDEX(KonSpalte3,6)+INDEX(KonFeld5,6)=0),6,0))</f>
        <v>-1</v>
      </c>
      <c r="AX141" s="43">
        <f>IF($N$88="x",-1,IF(AND($N$88=0,INDEX(KonZeile3,4)+INDEX(KonSpalte4,4)+INDEX(KonFeld5,4)=0),4,0))</f>
        <v>0</v>
      </c>
      <c r="AY141" s="39">
        <f>IF($N$88="x",-1,IF(AND($N$88=0,INDEX(KonZeile3,5)+INDEX(KonSpalte4,5)+INDEX(KonFeld5,5)=0),5,0))</f>
        <v>0</v>
      </c>
      <c r="AZ141" s="41">
        <f>IF($N$88="x",-1,IF(AND($N$88=0,INDEX(KonZeile3,6)+INDEX(KonSpalte4,6)+INDEX(KonFeld5,6)=0),6,0))</f>
        <v>0</v>
      </c>
      <c r="BA141" s="40">
        <f>IF($O$88="x",-1,IF(AND($O$88=0,INDEX(KonZeile3,4)+INDEX(KonSpalte5,4)+INDEX(KonFeld5,4)=0),4,0))</f>
        <v>0</v>
      </c>
      <c r="BB141" s="39">
        <f>IF($O$88="x",-1,IF(AND($O$88=0,INDEX(KonZeile3,5)+INDEX(KonSpalte5,5)+INDEX(KonFeld5,5)=0),5,0))</f>
        <v>0</v>
      </c>
      <c r="BC141" s="41">
        <f>IF($O$88="x",-1,IF(AND($O$88=0,INDEX(KonZeile3,6)+INDEX(KonSpalte5,6)+INDEX(KonFeld5,6)=0),6,0))</f>
        <v>0</v>
      </c>
      <c r="BD141" s="40">
        <f>IF($P$88="x",-1,IF(AND($P$88=0,INDEX(KonZeile3,4)+INDEX(KonSpalte6,4)+INDEX(KonFeld5,4)=0),4,0))</f>
        <v>-1</v>
      </c>
      <c r="BE141" s="39">
        <f>IF($P$88="x",-1,IF(AND($P$88=0,INDEX(KonZeile3,5)+INDEX(KonSpalte6,5)+INDEX(KonFeld5,5)=0),5,0))</f>
        <v>-1</v>
      </c>
      <c r="BF141" s="42">
        <f>IF($P$88="x",-1,IF(AND($P$88=0,INDEX(KonZeile3,6)+INDEX(KonSpalte6,6)+INDEX(KonFeld5,6)=0),6,0))</f>
        <v>-1</v>
      </c>
      <c r="BG141" s="43">
        <f>IF($Q$88="x",-1,IF(AND($Q$88=0,INDEX(KonZeile3,4)+INDEX(KonSpalte7,4)+INDEX(KonFeld5,4)=0),4,0))</f>
        <v>-1</v>
      </c>
      <c r="BH141" s="39">
        <f>IF($Q$88="x",-1,IF(AND($Q$88=0,INDEX(KonZeile3,5)+INDEX(KonSpalte7,5)+INDEX(KonFeld5,5)=0),5,0))</f>
        <v>-1</v>
      </c>
      <c r="BI141" s="41">
        <f>IF($Q$88="x",-1,IF(AND($Q$88=0,INDEX(KonZeile3,6)+INDEX(KonSpalte7,6)+INDEX(KonFeld5,6)=0),6,0))</f>
        <v>-1</v>
      </c>
      <c r="BJ141" s="40">
        <f>IF($R$88="x",-1,IF(AND($R$88=0,INDEX(KonZeile3,4)+INDEX(KonSpalte8,4)+INDEX(KonFeld5,4)=0),4,0))</f>
        <v>-1</v>
      </c>
      <c r="BK141" s="39">
        <f>IF($R$88="x",-1,IF(AND($R$88=0,INDEX(KonZeile3,5)+INDEX(KonSpalte8,5)+INDEX(KonFeld5,5)=0),5,0))</f>
        <v>-1</v>
      </c>
      <c r="BL141" s="41">
        <f>IF($R$88="x",-1,IF(AND($R$88=0,INDEX(KonZeile3,6)+INDEX(KonSpalte8,6)+INDEX(KonFeld5,6)=0),6,0))</f>
        <v>-1</v>
      </c>
      <c r="BM141" s="40">
        <f>IF($S$88="x",-1,IF(AND($S$88=0,INDEX(KonZeile3,4)+INDEX(KonSpalte9,4)+INDEX(KonFeld5,4)=0),4,0))</f>
        <v>-1</v>
      </c>
      <c r="BN141" s="39">
        <f>IF($S$88="x",-1,IF(AND($S$88=0,INDEX(KonZeile3,5)+INDEX(KonSpalte9,5)+INDEX(KonFeld5,5)=0),5,0))</f>
        <v>-1</v>
      </c>
      <c r="BO141" s="95">
        <f>IF($S$88="x",-1,IF(AND($S$88=0,INDEX(KonZeile3,6)+INDEX(KonSpalte9,6)+INDEX(KonFeld5,6)=0),6,0))</f>
        <v>-1</v>
      </c>
      <c r="BP141" s="94">
        <f>IF($T$88="x",-1,IF(AND($T$88=0,INDEX(KonZeile3,4)+INDEX(KonSpalte1,4)+INDEX(KonFeld6,4)=0),4,0))</f>
        <v>-1</v>
      </c>
      <c r="BQ141" s="39">
        <f>IF($T$88="x",-1,IF(AND($T$88=0,INDEX(KonZeile3,5)+INDEX(KonSpalte1,5)+INDEX(KonFeld6,5)=0),5,0))</f>
        <v>-1</v>
      </c>
      <c r="BR141" s="41">
        <f>IF($T$88="x",-1,IF(AND($T$88=0,INDEX(KonZeile3,6)+INDEX(KonSpalte1,6)+INDEX(KonFeld6,6)=0),6,0))</f>
        <v>-1</v>
      </c>
      <c r="BS141" s="40">
        <f>IF($U$88="x",-1,IF(AND($U$88=0,INDEX(KonZeile3,4)+INDEX(KonSpalte2,4)+INDEX(KonFeld6,4)=0),4,0))</f>
        <v>-1</v>
      </c>
      <c r="BT141" s="39">
        <f>IF($U$88="x",-1,IF(AND($U$88=0,INDEX(KonZeile3,5)+INDEX(KonSpalte2,5)+INDEX(KonFeld6,5)=0),5,0))</f>
        <v>-1</v>
      </c>
      <c r="BU141" s="41">
        <f>IF($U$88="x",-1,IF(AND($U$88=0,INDEX(KonZeile3,6)+INDEX(KonSpalte2,6)+INDEX(KonFeld6,6)=0),6,0))</f>
        <v>-1</v>
      </c>
      <c r="BV141" s="40">
        <f>IF($V$88="x",-1,IF(AND($V$88=0,INDEX(KonZeile3,4)+INDEX(KonSpalte3,4)+INDEX(KonFeld6,4)=0),4,0))</f>
        <v>-1</v>
      </c>
      <c r="BW141" s="39">
        <f>IF($V$88="x",-1,IF(AND($V$88=0,INDEX(KonZeile3,5)+INDEX(KonSpalte3,5)+INDEX(KonFeld6,5)=0),5,0))</f>
        <v>-1</v>
      </c>
      <c r="BX141" s="42">
        <f>IF($V$88="x",-1,IF(AND($V$88=0,INDEX(KonZeile3,6)+INDEX(KonSpalte3,6)+INDEX(KonFeld6,6)=0),6,0))</f>
        <v>-1</v>
      </c>
      <c r="BY141" s="43">
        <f>IF($W$88="x",-1,IF(AND($W$88=0,INDEX(KonZeile3,4)+INDEX(KonSpalte4,4)+INDEX(KonFeld6,4)=0),4,0))</f>
        <v>-1</v>
      </c>
      <c r="BZ141" s="39">
        <f>IF($W$88="x",-1,IF(AND($W$88=0,INDEX(KonZeile3,5)+INDEX(KonSpalte4,5)+INDEX(KonFeld6,5)=0),5,0))</f>
        <v>-1</v>
      </c>
      <c r="CA141" s="41">
        <f>IF($W$88="x",-1,IF(AND($W$88=0,INDEX(KonZeile3,6)+INDEX(KonSpalte4,6)+INDEX(KonFeld6,6)=0),6,0))</f>
        <v>-1</v>
      </c>
      <c r="CB141" s="40">
        <f>IF($X$88="x",-1,IF(AND($X$88=0,INDEX(KonZeile3,4)+INDEX(KonSpalte5,4)+INDEX(KonFeld6,4)=0),4,0))</f>
        <v>-1</v>
      </c>
      <c r="CC141" s="39">
        <f>IF($X$88="x",-1,IF(AND($X$88=0,INDEX(KonZeile3,5)+INDEX(KonSpalte5,5)+INDEX(KonFeld6,5)=0),5,0))</f>
        <v>-1</v>
      </c>
      <c r="CD141" s="41">
        <f>IF($X$88="x",-1,IF(AND($X$88=0,INDEX(KonZeile3,6)+INDEX(KonSpalte5,6)+INDEX(KonFeld6,6)=0),6,0))</f>
        <v>-1</v>
      </c>
      <c r="CE141" s="40">
        <f>IF($Y$88="x",-1,IF(AND($Y$88=0,INDEX(KonZeile3,4)+INDEX(KonSpalte6,4)+INDEX(KonFeld6,4)=0),4,0))</f>
        <v>-1</v>
      </c>
      <c r="CF141" s="39">
        <f>IF($Y$88="x",-1,IF(AND($Y$88=0,INDEX(KonZeile3,5)+INDEX(KonSpalte6,5)+INDEX(KonFeld6,5)=0),5,0))</f>
        <v>-1</v>
      </c>
      <c r="CG141" s="42">
        <f>IF($Y$88="x",-1,IF(AND($Y$88=0,INDEX(KonZeile3,6)+INDEX(KonSpalte6,6)+INDEX(KonFeld6,6)=0),6,0))</f>
        <v>-1</v>
      </c>
      <c r="CH141" s="43">
        <f>IF($Z$88="x",-1,IF(AND($Z$88=0,INDEX(KonZeile3,4)+INDEX(KonSpalte7,4)+INDEX(KonFeld6,4)=0),4,0))</f>
        <v>0</v>
      </c>
      <c r="CI141" s="39">
        <f>IF($Z$88="x",-1,IF(AND($Z$88=0,INDEX(KonZeile3,5)+INDEX(KonSpalte7,5)+INDEX(KonFeld6,5)=0),5,0))</f>
        <v>0</v>
      </c>
      <c r="CJ141" s="41">
        <f>IF($Z$88="x",-1,IF(AND($Z$88=0,INDEX(KonZeile3,6)+INDEX(KonSpalte7,6)+INDEX(KonFeld6,6)=0),6,0))</f>
        <v>0</v>
      </c>
      <c r="CK141" s="40">
        <f>IF($AA$88="x",-1,IF(AND($AA$88=0,INDEX(KonZeile3,4)+INDEX(KonSpalte8,4)+INDEX(KonFeld6,4)=0),4,0))</f>
        <v>-1</v>
      </c>
      <c r="CL141" s="39">
        <f>IF($AA$88="x",-1,IF(AND($AA$88=0,INDEX(KonZeile3,5)+INDEX(KonSpalte8,5)+INDEX(KonFeld6,5)=0),5,0))</f>
        <v>-1</v>
      </c>
      <c r="CM141" s="41">
        <f>IF($AA$88="x",-1,IF(AND($AA$88=0,INDEX(KonZeile3,6)+INDEX(KonSpalte8,6)+INDEX(KonFeld6,6)=0),6,0))</f>
        <v>-1</v>
      </c>
      <c r="CN141" s="40">
        <f>IF($AB$88="x",-1,IF(AND($AB$88=0,INDEX(KonZeile3,4)+INDEX(KonSpalte9,4)+INDEX(KonFeld6,4)=0),4,0))</f>
        <v>-1</v>
      </c>
      <c r="CO141" s="39">
        <f>IF($AB$88="x",-1,IF(AND($AB$88=0,INDEX(KonZeile3,5)+INDEX(KonSpalte9,5)+INDEX(KonFeld6,5)=0),5,0))</f>
        <v>-1</v>
      </c>
      <c r="CP141" s="95">
        <f>IF($AB$88="x",-1,IF(AND($AB$88=0,INDEX(KonZeile3,6)+INDEX(KonSpalte9,6)+INDEX(KonFeld6,6)=0),6,0))</f>
        <v>-1</v>
      </c>
      <c r="CR141" s="40">
        <f>COUNTIF(N141:CP141,4)</f>
        <v>0</v>
      </c>
      <c r="CS141" s="39">
        <f>COUNTIF(N141:CP141,5)</f>
        <v>0</v>
      </c>
      <c r="CT141" s="41">
        <f>COUNTIF(N141:CP141,6)</f>
        <v>0</v>
      </c>
      <c r="CU141" s="39"/>
      <c r="CV141" s="39"/>
      <c r="CX141" s="72">
        <f t="shared" si="185"/>
        <v>0</v>
      </c>
      <c r="CY141" s="73">
        <f t="shared" si="185"/>
        <v>0</v>
      </c>
      <c r="CZ141" s="74">
        <f t="shared" si="185"/>
        <v>0</v>
      </c>
      <c r="DI141" s="39"/>
      <c r="DJ141" s="94">
        <f t="shared" si="186"/>
        <v>4</v>
      </c>
      <c r="DK141" s="39">
        <f t="shared" si="187"/>
        <v>0</v>
      </c>
      <c r="DL141" s="41">
        <f t="shared" si="188"/>
        <v>0</v>
      </c>
      <c r="DM141" s="40">
        <f t="shared" si="189"/>
        <v>4</v>
      </c>
      <c r="DN141" s="39">
        <f t="shared" si="190"/>
        <v>0</v>
      </c>
      <c r="DO141" s="41">
        <f t="shared" si="191"/>
        <v>0</v>
      </c>
      <c r="DP141" s="40">
        <f t="shared" si="192"/>
        <v>4</v>
      </c>
      <c r="DQ141" s="39">
        <f t="shared" si="193"/>
        <v>0</v>
      </c>
      <c r="DR141" s="42">
        <f t="shared" si="194"/>
        <v>0</v>
      </c>
      <c r="DS141" s="43">
        <f t="shared" si="195"/>
        <v>-1</v>
      </c>
      <c r="DT141" s="39">
        <f t="shared" si="196"/>
        <v>-1</v>
      </c>
      <c r="DU141" s="41">
        <f t="shared" si="197"/>
        <v>-1</v>
      </c>
      <c r="DV141" s="40">
        <f t="shared" si="198"/>
        <v>-1</v>
      </c>
      <c r="DW141" s="39">
        <f t="shared" si="199"/>
        <v>-1</v>
      </c>
      <c r="DX141" s="41">
        <f t="shared" si="200"/>
        <v>-1</v>
      </c>
      <c r="DY141" s="40">
        <f t="shared" si="201"/>
        <v>-1</v>
      </c>
      <c r="DZ141" s="39">
        <f t="shared" si="202"/>
        <v>-1</v>
      </c>
      <c r="EA141" s="42">
        <f t="shared" si="203"/>
        <v>-1</v>
      </c>
      <c r="EB141" s="43">
        <f t="shared" si="204"/>
        <v>-1</v>
      </c>
      <c r="EC141" s="39">
        <f t="shared" si="205"/>
        <v>-1</v>
      </c>
      <c r="ED141" s="41">
        <f t="shared" si="206"/>
        <v>-1</v>
      </c>
      <c r="EE141" s="40">
        <f t="shared" si="207"/>
        <v>-1</v>
      </c>
      <c r="EF141" s="39">
        <f t="shared" si="208"/>
        <v>-1</v>
      </c>
      <c r="EG141" s="41">
        <f t="shared" si="209"/>
        <v>-1</v>
      </c>
      <c r="EH141" s="40">
        <f t="shared" si="210"/>
        <v>-1</v>
      </c>
      <c r="EI141" s="39">
        <f t="shared" si="211"/>
        <v>-1</v>
      </c>
      <c r="EJ141" s="95">
        <f t="shared" si="212"/>
        <v>-1</v>
      </c>
      <c r="EK141" s="94">
        <f t="shared" si="213"/>
        <v>-1</v>
      </c>
      <c r="EL141" s="39">
        <f t="shared" si="214"/>
        <v>-1</v>
      </c>
      <c r="EM141" s="41">
        <f t="shared" si="215"/>
        <v>-1</v>
      </c>
      <c r="EN141" s="40">
        <f t="shared" si="216"/>
        <v>-1</v>
      </c>
      <c r="EO141" s="39">
        <f t="shared" si="217"/>
        <v>-1</v>
      </c>
      <c r="EP141" s="41">
        <f t="shared" si="218"/>
        <v>-1</v>
      </c>
      <c r="EQ141" s="40">
        <f t="shared" si="219"/>
        <v>-1</v>
      </c>
      <c r="ER141" s="39">
        <f t="shared" si="220"/>
        <v>-1</v>
      </c>
      <c r="ES141" s="42">
        <f t="shared" si="221"/>
        <v>-1</v>
      </c>
      <c r="ET141" s="43">
        <f t="shared" si="222"/>
        <v>4</v>
      </c>
      <c r="EU141" s="39">
        <f t="shared" si="223"/>
        <v>0</v>
      </c>
      <c r="EV141" s="41">
        <f t="shared" si="224"/>
        <v>0</v>
      </c>
      <c r="EW141" s="40">
        <f t="shared" si="225"/>
        <v>0</v>
      </c>
      <c r="EX141" s="39">
        <f t="shared" si="226"/>
        <v>0</v>
      </c>
      <c r="EY141" s="41">
        <f t="shared" si="227"/>
        <v>0</v>
      </c>
      <c r="EZ141" s="40">
        <f t="shared" si="228"/>
        <v>4</v>
      </c>
      <c r="FA141" s="39">
        <f t="shared" si="229"/>
        <v>0</v>
      </c>
      <c r="FB141" s="42">
        <f t="shared" si="230"/>
        <v>0</v>
      </c>
      <c r="FC141" s="43">
        <f t="shared" si="231"/>
        <v>-1</v>
      </c>
      <c r="FD141" s="39">
        <f t="shared" si="232"/>
        <v>-1</v>
      </c>
      <c r="FE141" s="41">
        <f t="shared" si="233"/>
        <v>-1</v>
      </c>
      <c r="FF141" s="40">
        <f t="shared" si="234"/>
        <v>-1</v>
      </c>
      <c r="FG141" s="39">
        <f t="shared" si="235"/>
        <v>-1</v>
      </c>
      <c r="FH141" s="41">
        <f t="shared" si="236"/>
        <v>-1</v>
      </c>
      <c r="FI141" s="40">
        <f t="shared" si="237"/>
        <v>-1</v>
      </c>
      <c r="FJ141" s="39">
        <f t="shared" si="238"/>
        <v>-1</v>
      </c>
      <c r="FK141" s="95">
        <f t="shared" si="239"/>
        <v>-1</v>
      </c>
      <c r="FL141" s="94">
        <f t="shared" si="240"/>
        <v>-1</v>
      </c>
      <c r="FM141" s="39">
        <f t="shared" si="241"/>
        <v>-1</v>
      </c>
      <c r="FN141" s="41">
        <f t="shared" si="242"/>
        <v>-1</v>
      </c>
      <c r="FO141" s="40">
        <f t="shared" si="243"/>
        <v>-1</v>
      </c>
      <c r="FP141" s="39">
        <f t="shared" si="244"/>
        <v>-1</v>
      </c>
      <c r="FQ141" s="41">
        <f t="shared" si="245"/>
        <v>-1</v>
      </c>
      <c r="FR141" s="40">
        <f t="shared" si="246"/>
        <v>-1</v>
      </c>
      <c r="FS141" s="39">
        <f t="shared" si="247"/>
        <v>-1</v>
      </c>
      <c r="FT141" s="42">
        <f t="shared" si="248"/>
        <v>-1</v>
      </c>
      <c r="FU141" s="43">
        <f t="shared" si="249"/>
        <v>-1</v>
      </c>
      <c r="FV141" s="39">
        <f t="shared" si="250"/>
        <v>-1</v>
      </c>
      <c r="FW141" s="41">
        <f t="shared" si="251"/>
        <v>-1</v>
      </c>
      <c r="FX141" s="40">
        <f t="shared" si="252"/>
        <v>-1</v>
      </c>
      <c r="FY141" s="39">
        <f t="shared" si="253"/>
        <v>-1</v>
      </c>
      <c r="FZ141" s="41">
        <f t="shared" si="254"/>
        <v>-1</v>
      </c>
      <c r="GA141" s="40">
        <f t="shared" si="255"/>
        <v>-1</v>
      </c>
      <c r="GB141" s="39">
        <f t="shared" si="256"/>
        <v>-1</v>
      </c>
      <c r="GC141" s="42">
        <f t="shared" si="257"/>
        <v>-1</v>
      </c>
      <c r="GD141" s="43">
        <f t="shared" si="258"/>
        <v>-1</v>
      </c>
      <c r="GE141" s="39">
        <f t="shared" si="259"/>
        <v>-1</v>
      </c>
      <c r="GF141" s="41">
        <f t="shared" si="260"/>
        <v>-1</v>
      </c>
      <c r="GG141" s="40">
        <f t="shared" si="261"/>
        <v>0</v>
      </c>
      <c r="GH141" s="39">
        <f t="shared" si="262"/>
        <v>0</v>
      </c>
      <c r="GI141" s="41">
        <f t="shared" si="263"/>
        <v>0</v>
      </c>
      <c r="GJ141" s="40">
        <f t="shared" si="264"/>
        <v>-1</v>
      </c>
      <c r="GK141" s="39">
        <f t="shared" si="265"/>
        <v>-1</v>
      </c>
      <c r="GL141" s="95">
        <f t="shared" si="266"/>
        <v>-1</v>
      </c>
      <c r="GN141" s="40">
        <f>COUNTIF(DJ141:GL141,4)</f>
        <v>5</v>
      </c>
      <c r="GO141" s="39">
        <f>COUNTIF(DJ141:GL141,5)</f>
        <v>0</v>
      </c>
      <c r="GP141" s="41">
        <f>COUNTIF(DJ141:GL141,6)</f>
        <v>0</v>
      </c>
      <c r="GQ141" s="39"/>
      <c r="GR141" s="39"/>
      <c r="GT141" s="96">
        <f t="shared" ref="GT141:GT166" si="267">GN141+GN168+GN195</f>
        <v>5</v>
      </c>
      <c r="GU141" s="97">
        <f t="shared" ref="GU141:GU166" si="268">GO141+GO168+GO195</f>
        <v>1</v>
      </c>
      <c r="GV141" s="98">
        <f t="shared" ref="GV141:GV166" si="269">GP141+GP168+GP195</f>
        <v>0</v>
      </c>
    </row>
    <row r="142" spans="2:235" ht="15" customHeight="1" thickBot="1">
      <c r="B142" s="72" t="str">
        <f t="shared" si="174"/>
        <v>x</v>
      </c>
      <c r="C142" s="73" t="str">
        <f t="shared" si="175"/>
        <v>x</v>
      </c>
      <c r="D142" s="73" t="str">
        <f t="shared" si="176"/>
        <v>x</v>
      </c>
      <c r="E142" s="73" t="str">
        <f t="shared" si="177"/>
        <v>x</v>
      </c>
      <c r="F142" s="73" t="str">
        <f t="shared" si="178"/>
        <v>x</v>
      </c>
      <c r="G142" s="73" t="str">
        <f t="shared" si="179"/>
        <v>x</v>
      </c>
      <c r="H142" s="73">
        <f t="shared" si="180"/>
        <v>6</v>
      </c>
      <c r="I142" s="73" t="str">
        <f t="shared" si="181"/>
        <v>x</v>
      </c>
      <c r="J142" s="74" t="str">
        <f t="shared" si="182"/>
        <v>x</v>
      </c>
      <c r="N142" s="106">
        <f>IF($B$88="x",-1,IF(AND($B$88=0,INDEX(KonZeile3,7)+INDEX(KonSpalte1,7)+INDEX(KonFeld4,7)=0),7,0))</f>
        <v>-1</v>
      </c>
      <c r="O142" s="55">
        <f>IF($B$88="x",-1,IF(AND($B$88=0,INDEX(KonZeile3,8)+INDEX(KonSpalte1,8)+INDEX(KonFeld4,8)=0),8,0))</f>
        <v>-1</v>
      </c>
      <c r="P142" s="56">
        <f>IF($B$88="x",-1,IF(AND($B$88=0,INDEX(KonZeile3,9)+INDEX(KonSpalte1,9)+INDEX(KonFeld4,9)=0),9,0))</f>
        <v>-1</v>
      </c>
      <c r="Q142" s="57">
        <f>IF($C$88="x",-1,IF(AND($C$88=0,INDEX(KonZeile3,7)+INDEX(KonSpalte2,7)+INDEX(KonFeld4,7)=0),7,0))</f>
        <v>-1</v>
      </c>
      <c r="R142" s="55">
        <f>IF($C$88="x",-1,IF(AND($C$88=0,INDEX(KonZeile3,8)+INDEX(KonSpalte2,8)+INDEX(KonFeld4,8)=0),8,0))</f>
        <v>-1</v>
      </c>
      <c r="S142" s="56">
        <f>IF($C$88="x",-1,IF(AND($C$88=0,INDEX(KonZeile3,9)+INDEX(KonSpalte2,9)+INDEX(KonFeld4,9)=0),9,0))</f>
        <v>-1</v>
      </c>
      <c r="T142" s="57">
        <f>IF($D$88="x",-1,IF(AND($D$88=0,INDEX(KonZeile3,7)+INDEX(KonSpalte3,7)+INDEX(KonFeld4,7)=0),7,0))</f>
        <v>-1</v>
      </c>
      <c r="U142" s="55">
        <f>IF($D$88="x",-1,IF(AND($D$88=0,INDEX(KonZeile3,8)+INDEX(KonSpalte3,8)+INDEX(KonFeld4,8)=0),8,0))</f>
        <v>-1</v>
      </c>
      <c r="V142" s="58">
        <f>IF($D$88="x",-1,IF(AND($D$88=0,INDEX(KonZeile3,9)+INDEX(KonSpalte3,9)+INDEX(KonFeld4,9)=0),9,0))</f>
        <v>-1</v>
      </c>
      <c r="W142" s="54">
        <f>IF($E$88="x",-1,IF(AND($E$88=0,INDEX(KonZeile3,7)+INDEX(KonSpalte4,7)+INDEX(KonFeld4,7)=0),7,0))</f>
        <v>-1</v>
      </c>
      <c r="X142" s="55">
        <f>IF($E$88="x",-1,IF(AND($E$88=0,INDEX(KonZeile3,8)+INDEX(KonSpalte4,8)+INDEX(KonFeld4,8)=0),8,0))</f>
        <v>-1</v>
      </c>
      <c r="Y142" s="56">
        <f>IF($E$88="x",-1,IF(AND($E$88=0,INDEX(KonZeile3,9)+INDEX(KonSpalte4,9)+INDEX(KonFeld4,9)=0),9,0))</f>
        <v>-1</v>
      </c>
      <c r="Z142" s="57">
        <f>IF($F$88="x",-1,IF(AND($F$88=0,INDEX(KonZeile3,7)+INDEX(KonSpalte5,7)+INDEX(KonFeld4,7)=0),7,0))</f>
        <v>-1</v>
      </c>
      <c r="AA142" s="55">
        <f>IF($F$88="x",-1,IF(AND($F$88=0,INDEX(KonZeile3,8)+INDEX(KonSpalte5,8)+INDEX(KonFeld4,8)=0),8,0))</f>
        <v>-1</v>
      </c>
      <c r="AB142" s="56">
        <f>IF($F$88="x",-1,IF(AND($F$88=0,INDEX(KonZeile3,9)+INDEX(KonSpalte5,9)+INDEX(KonFeld4,9)=0),9,0))</f>
        <v>-1</v>
      </c>
      <c r="AC142" s="57">
        <f>IF($G$88="x",-1,IF(AND($G$88=0,INDEX(KonZeile3,7)+INDEX(KonSpalte6,7)+INDEX(KonFeld4,7)=0),7,0))</f>
        <v>-1</v>
      </c>
      <c r="AD142" s="55">
        <f>IF($G$88="x",-1,IF(AND($G$88=0,INDEX(KonZeile3,8)+INDEX(KonSpalte6,8)+INDEX(KonFeld4,8)=0),8,0))</f>
        <v>-1</v>
      </c>
      <c r="AE142" s="58">
        <f>IF($G$88="x",-1,IF(AND($G$88=0,INDEX(KonZeile3,9)+INDEX(KonSpalte6,9)+INDEX(KonFeld4,9)=0),9,0))</f>
        <v>-1</v>
      </c>
      <c r="AF142" s="54">
        <f>IF($H$88="x",-1,IF(AND($H$88=0,INDEX(KonZeile3,7)+INDEX(KonSpalte7,7)+INDEX(KonFeld4,7)=0),7,0))</f>
        <v>-1</v>
      </c>
      <c r="AG142" s="55">
        <f>IF($H$88="x",-1,IF(AND($H$88=0,INDEX(KonZeile3,8)+INDEX(KonSpalte7,8)+INDEX(KonFeld4,8)=0),8,0))</f>
        <v>-1</v>
      </c>
      <c r="AH142" s="56">
        <f>IF($H$88="x",-1,IF(AND($H$88=0,INDEX(KonZeile3,9)+INDEX(KonSpalte7,9)+INDEX(KonFeld4,9)=0),9,0))</f>
        <v>-1</v>
      </c>
      <c r="AI142" s="57">
        <f>IF($I$88="x",-1,IF(AND($I$88=0,INDEX(KonZeile3,7)+INDEX(KonSpalte8,7)+INDEX(KonFeld4,7)=0),7,0))</f>
        <v>-1</v>
      </c>
      <c r="AJ142" s="55">
        <f>IF($I$88="x",-1,IF(AND($I$88=0,INDEX(KonZeile3,8)+INDEX(KonSpalte8,8)+INDEX(KonFeld4,8)=0),8,0))</f>
        <v>-1</v>
      </c>
      <c r="AK142" s="56">
        <f>IF($I$88="x",-1,IF(AND($I$88=0,INDEX(KonZeile3,9)+INDEX(KonSpalte8,9)+INDEX(KonFeld4,9)=0),9,0))</f>
        <v>-1</v>
      </c>
      <c r="AL142" s="57">
        <f>IF($J$88="x",-1,IF(AND($J$88=0,INDEX(KonZeile3,7)+INDEX(KonSpalte9,7)+INDEX(KonFeld4,7)=0),7,0))</f>
        <v>-1</v>
      </c>
      <c r="AM142" s="55">
        <f>IF($J$88="x",-1,IF(AND($J$88=0,INDEX(KonZeile3,8)+INDEX(KonSpalte9,8)+INDEX(KonFeld4,8)=0),8,0))</f>
        <v>-1</v>
      </c>
      <c r="AN142" s="107">
        <f>IF($J$88="x",-1,IF(AND($J$88=0,INDEX(KonZeile3,9)+INDEX(KonSpalte9,9)+INDEX(KonFeld4,9)=0),9,0))</f>
        <v>-1</v>
      </c>
      <c r="AO142" s="106">
        <f>IF($K$88="x",-1,IF(AND($K$88=0,INDEX(KonZeile3,7)+INDEX(KonSpalte1,7)+INDEX(KonFeld5,7)=0),7,0))</f>
        <v>-1</v>
      </c>
      <c r="AP142" s="55">
        <f>IF($K$88="x",-1,IF(AND($K$88=0,INDEX(KonZeile3,8)+INDEX(KonSpalte1,8)+INDEX(KonFeld5,8)=0),8,0))</f>
        <v>-1</v>
      </c>
      <c r="AQ142" s="56">
        <f>IF($K$88="x",-1,IF(AND($K$88=0,INDEX(KonZeile3,9)+INDEX(KonSpalte1,9)+INDEX(KonFeld5,9)=0),9,0))</f>
        <v>-1</v>
      </c>
      <c r="AR142" s="57">
        <f>IF($L$88="x",-1,IF(AND($L$88=0,INDEX(KonZeile3,7)+INDEX(KonSpalte2,7)+INDEX(KonFeld5,7)=0),7,0))</f>
        <v>0</v>
      </c>
      <c r="AS142" s="55">
        <f>IF($L$88="x",-1,IF(AND($L$88=0,INDEX(KonZeile3,8)+INDEX(KonSpalte2,8)+INDEX(KonFeld5,8)=0),8,0))</f>
        <v>0</v>
      </c>
      <c r="AT142" s="56">
        <f>IF($L$88="x",-1,IF(AND($L$88=0,INDEX(KonZeile3,9)+INDEX(KonSpalte2,9)+INDEX(KonFeld5,9)=0),9,0))</f>
        <v>0</v>
      </c>
      <c r="AU142" s="57">
        <f>IF($M$88="x",-1,IF(AND($M$88=0,INDEX(KonZeile3,7)+INDEX(KonSpalte3,7)+INDEX(KonFeld5,7)=0),7,0))</f>
        <v>-1</v>
      </c>
      <c r="AV142" s="55">
        <f>IF($M$88="x",-1,IF(AND($M$88=0,INDEX(KonZeile3,8)+INDEX(KonSpalte3,8)+INDEX(KonFeld5,8)=0),8,0))</f>
        <v>-1</v>
      </c>
      <c r="AW142" s="58">
        <f>IF($M$88="x",-1,IF(AND($M$88=0,INDEX(KonZeile3,9)+INDEX(KonSpalte3,9)+INDEX(KonFeld5,9)=0),9,0))</f>
        <v>-1</v>
      </c>
      <c r="AX142" s="54">
        <f>IF($N$88="x",-1,IF(AND($N$88=0,INDEX(KonZeile3,7)+INDEX(KonSpalte4,7)+INDEX(KonFeld5,7)=0),7,0))</f>
        <v>0</v>
      </c>
      <c r="AY142" s="55">
        <f>IF($N$88="x",-1,IF(AND($N$88=0,INDEX(KonZeile3,8)+INDEX(KonSpalte4,8)+INDEX(KonFeld5,8)=0),8,0))</f>
        <v>0</v>
      </c>
      <c r="AZ142" s="56">
        <f>IF($N$88="x",-1,IF(AND($N$88=0,INDEX(KonZeile3,9)+INDEX(KonSpalte4,9)+INDEX(KonFeld5,9)=0),9,0))</f>
        <v>0</v>
      </c>
      <c r="BA142" s="57">
        <f>IF($O$88="x",-1,IF(AND($O$88=0,INDEX(KonZeile3,7)+INDEX(KonSpalte5,7)+INDEX(KonFeld5,7)=0),7,0))</f>
        <v>0</v>
      </c>
      <c r="BB142" s="55">
        <f>IF($O$88="x",-1,IF(AND($O$88=0,INDEX(KonZeile3,8)+INDEX(KonSpalte5,8)+INDEX(KonFeld5,8)=0),8,0))</f>
        <v>0</v>
      </c>
      <c r="BC142" s="56">
        <f>IF($O$88="x",-1,IF(AND($O$88=0,INDEX(KonZeile3,9)+INDEX(KonSpalte5,9)+INDEX(KonFeld5,9)=0),9,0))</f>
        <v>0</v>
      </c>
      <c r="BD142" s="57">
        <f>IF($P$88="x",-1,IF(AND($P$88=0,INDEX(KonZeile3,7)+INDEX(KonSpalte6,7)+INDEX(KonFeld5,7)=0),7,0))</f>
        <v>-1</v>
      </c>
      <c r="BE142" s="55">
        <f>IF($P$88="x",-1,IF(AND($P$88=0,INDEX(KonZeile3,8)+INDEX(KonSpalte6,8)+INDEX(KonFeld5,8)=0),8,0))</f>
        <v>-1</v>
      </c>
      <c r="BF142" s="58">
        <f>IF($P$88="x",-1,IF(AND($P$88=0,INDEX(KonZeile3,9)+INDEX(KonSpalte6,9)+INDEX(KonFeld5,9)=0),9,0))</f>
        <v>-1</v>
      </c>
      <c r="BG142" s="54">
        <f>IF($Q$88="x",-1,IF(AND($Q$88=0,INDEX(KonZeile3,7)+INDEX(KonSpalte7,7)+INDEX(KonFeld5,7)=0),7,0))</f>
        <v>-1</v>
      </c>
      <c r="BH142" s="55">
        <f>IF($Q$88="x",-1,IF(AND($Q$88=0,INDEX(KonZeile3,8)+INDEX(KonSpalte7,8)+INDEX(KonFeld5,8)=0),8,0))</f>
        <v>-1</v>
      </c>
      <c r="BI142" s="56">
        <f>IF($Q$88="x",-1,IF(AND($Q$88=0,INDEX(KonZeile3,9)+INDEX(KonSpalte7,9)+INDEX(KonFeld5,9)=0),9,0))</f>
        <v>-1</v>
      </c>
      <c r="BJ142" s="57">
        <f>IF($R$88="x",-1,IF(AND($R$88=0,INDEX(KonZeile3,7)+INDEX(KonSpalte8,7)+INDEX(KonFeld5,7)=0),7,0))</f>
        <v>-1</v>
      </c>
      <c r="BK142" s="55">
        <f>IF($R$88="x",-1,IF(AND($R$88=0,INDEX(KonZeile3,8)+INDEX(KonSpalte8,8)+INDEX(KonFeld5,8)=0),8,0))</f>
        <v>-1</v>
      </c>
      <c r="BL142" s="56">
        <f>IF($R$88="x",-1,IF(AND($R$88=0,INDEX(KonZeile3,9)+INDEX(KonSpalte8,9)+INDEX(KonFeld5,9)=0),9,0))</f>
        <v>-1</v>
      </c>
      <c r="BM142" s="57">
        <f>IF($S$88="x",-1,IF(AND($S$88=0,INDEX(KonZeile3,7)+INDEX(KonSpalte9,7)+INDEX(KonFeld5,7)=0),7,0))</f>
        <v>-1</v>
      </c>
      <c r="BN142" s="55">
        <f>IF($S$88="x",-1,IF(AND($S$88=0,INDEX(KonZeile3,8)+INDEX(KonSpalte9,8)+INDEX(KonFeld5,8)=0),8,0))</f>
        <v>-1</v>
      </c>
      <c r="BO142" s="107">
        <f>IF($S$88="x",-1,IF(AND($S$88=0,INDEX(KonZeile3,9)+INDEX(KonSpalte9,9)+INDEX(KonFeld5,9)=0),9,0))</f>
        <v>-1</v>
      </c>
      <c r="BP142" s="106">
        <f>IF($T$88="x",-1,IF(AND($T$88=0,INDEX(KonZeile3,7)+INDEX(KonSpalte1,7)+INDEX(KonFeld6,7)=0),7,0))</f>
        <v>-1</v>
      </c>
      <c r="BQ142" s="55">
        <f>IF($T$88="x",-1,IF(AND($T$88=0,INDEX(KonZeile3,8)+INDEX(KonSpalte1,8)+INDEX(KonFeld6,8)=0),8,0))</f>
        <v>-1</v>
      </c>
      <c r="BR142" s="56">
        <f>IF($T$88="x",-1,IF(AND($T$88=0,INDEX(KonZeile3,9)+INDEX(KonSpalte1,9)+INDEX(KonFeld6,9)=0),9,0))</f>
        <v>-1</v>
      </c>
      <c r="BS142" s="57">
        <f>IF($U$88="x",-1,IF(AND($U$88=0,INDEX(KonZeile3,7)+INDEX(KonSpalte2,7)+INDEX(KonFeld6,7)=0),7,0))</f>
        <v>-1</v>
      </c>
      <c r="BT142" s="55">
        <f>IF($U$88="x",-1,IF(AND($U$88=0,INDEX(KonZeile3,8)+INDEX(KonSpalte2,8)+INDEX(KonFeld6,8)=0),8,0))</f>
        <v>-1</v>
      </c>
      <c r="BU142" s="56">
        <f>IF($U$88="x",-1,IF(AND($U$88=0,INDEX(KonZeile3,9)+INDEX(KonSpalte2,9)+INDEX(KonFeld6,9)=0),9,0))</f>
        <v>-1</v>
      </c>
      <c r="BV142" s="57">
        <f>IF($V$88="x",-1,IF(AND($V$88=0,INDEX(KonZeile3,7)+INDEX(KonSpalte3,7)+INDEX(KonFeld6,7)=0),7,0))</f>
        <v>-1</v>
      </c>
      <c r="BW142" s="55">
        <f>IF($V$88="x",-1,IF(AND($V$88=0,INDEX(KonZeile3,8)+INDEX(KonSpalte3,8)+INDEX(KonFeld6,8)=0),8,0))</f>
        <v>-1</v>
      </c>
      <c r="BX142" s="58">
        <f>IF($V$88="x",-1,IF(AND($V$88=0,INDEX(KonZeile3,9)+INDEX(KonSpalte3,9)+INDEX(KonFeld6,9)=0),9,0))</f>
        <v>-1</v>
      </c>
      <c r="BY142" s="54">
        <f>IF($W$88="x",-1,IF(AND($W$88=0,INDEX(KonZeile3,7)+INDEX(KonSpalte4,7)+INDEX(KonFeld6,7)=0),7,0))</f>
        <v>-1</v>
      </c>
      <c r="BZ142" s="55">
        <f>IF($W$88="x",-1,IF(AND($W$88=0,INDEX(KonZeile3,8)+INDEX(KonSpalte4,8)+INDEX(KonFeld6,8)=0),8,0))</f>
        <v>-1</v>
      </c>
      <c r="CA142" s="56">
        <f>IF($W$88="x",-1,IF(AND($W$88=0,INDEX(KonZeile3,9)+INDEX(KonSpalte4,9)+INDEX(KonFeld6,9)=0),9,0))</f>
        <v>-1</v>
      </c>
      <c r="CB142" s="57">
        <f>IF($X$88="x",-1,IF(AND($X$88=0,INDEX(KonZeile3,7)+INDEX(KonSpalte5,7)+INDEX(KonFeld6,7)=0),7,0))</f>
        <v>-1</v>
      </c>
      <c r="CC142" s="55">
        <f>IF($X$88="x",-1,IF(AND($X$88=0,INDEX(KonZeile3,8)+INDEX(KonSpalte5,8)+INDEX(KonFeld6,8)=0),8,0))</f>
        <v>-1</v>
      </c>
      <c r="CD142" s="56">
        <f>IF($X$88="x",-1,IF(AND($X$88=0,INDEX(KonZeile3,9)+INDEX(KonSpalte5,9)+INDEX(KonFeld6,9)=0),9,0))</f>
        <v>-1</v>
      </c>
      <c r="CE142" s="57">
        <f>IF($Y$88="x",-1,IF(AND($Y$88=0,INDEX(KonZeile3,7)+INDEX(KonSpalte6,7)+INDEX(KonFeld6,7)=0),7,0))</f>
        <v>-1</v>
      </c>
      <c r="CF142" s="55">
        <f>IF($Y$88="x",-1,IF(AND($Y$88=0,INDEX(KonZeile3,8)+INDEX(KonSpalte6,8)+INDEX(KonFeld6,8)=0),8,0))</f>
        <v>-1</v>
      </c>
      <c r="CG142" s="58">
        <f>IF($Y$88="x",-1,IF(AND($Y$88=0,INDEX(KonZeile3,9)+INDEX(KonSpalte6,9)+INDEX(KonFeld6,9)=0),9,0))</f>
        <v>-1</v>
      </c>
      <c r="CH142" s="54">
        <f>IF($Z$88="x",-1,IF(AND($Z$88=0,INDEX(KonZeile3,7)+INDEX(KonSpalte7,7)+INDEX(KonFeld6,7)=0),7,0))</f>
        <v>0</v>
      </c>
      <c r="CI142" s="55">
        <f>IF($Z$88="x",-1,IF(AND($Z$88=0,INDEX(KonZeile3,8)+INDEX(KonSpalte7,8)+INDEX(KonFeld6,8)=0),8,0))</f>
        <v>0</v>
      </c>
      <c r="CJ142" s="56">
        <f>IF($Z$88="x",-1,IF(AND($Z$88=0,INDEX(KonZeile3,9)+INDEX(KonSpalte7,9)+INDEX(KonFeld6,9)=0),9,0))</f>
        <v>0</v>
      </c>
      <c r="CK142" s="57">
        <f>IF($AA$88="x",-1,IF(AND($AA$88=0,INDEX(KonZeile3,7)+INDEX(KonSpalte8,7)+INDEX(KonFeld6,7)=0),7,0))</f>
        <v>-1</v>
      </c>
      <c r="CL142" s="55">
        <f>IF($AA$88="x",-1,IF(AND($AA$88=0,INDEX(KonZeile3,8)+INDEX(KonSpalte8,8)+INDEX(KonFeld6,8)=0),8,0))</f>
        <v>-1</v>
      </c>
      <c r="CM142" s="56">
        <f>IF($AA$88="x",-1,IF(AND($AA$88=0,INDEX(KonZeile3,9)+INDEX(KonSpalte8,9)+INDEX(KonFeld6,9)=0),9,0))</f>
        <v>-1</v>
      </c>
      <c r="CN142" s="57">
        <f>IF($AB$88="x",-1,IF(AND($AB$88=0,INDEX(KonZeile3,7)+INDEX(KonSpalte9,7)+INDEX(KonFeld6,7)=0),7,0))</f>
        <v>-1</v>
      </c>
      <c r="CO142" s="55">
        <f>IF($AB$88="x",-1,IF(AND($AB$88=0,INDEX(KonZeile3,8)+INDEX(KonSpalte9,8)+INDEX(KonFeld6,8)=0),8,0))</f>
        <v>-1</v>
      </c>
      <c r="CP142" s="107">
        <f>IF($AB$88="x",-1,IF(AND($AB$88=0,INDEX(KonZeile3,9)+INDEX(KonSpalte9,9)+INDEX(KonFeld6,9)=0),9,0))</f>
        <v>-1</v>
      </c>
      <c r="CR142" s="46">
        <f>COUNTIF(N142:CP142,7)</f>
        <v>0</v>
      </c>
      <c r="CS142" s="45">
        <f>COUNTIF(N142:CP142,8)</f>
        <v>0</v>
      </c>
      <c r="CT142" s="47">
        <f>COUNTIF(N142:CP142,9)</f>
        <v>0</v>
      </c>
      <c r="CU142" s="39"/>
      <c r="CV142" s="39"/>
      <c r="CX142" s="78">
        <f t="shared" si="185"/>
        <v>0</v>
      </c>
      <c r="CY142" s="79">
        <f t="shared" si="185"/>
        <v>0</v>
      </c>
      <c r="CZ142" s="80">
        <f t="shared" si="185"/>
        <v>0</v>
      </c>
      <c r="DI142" s="39"/>
      <c r="DJ142" s="99">
        <f t="shared" si="186"/>
        <v>7</v>
      </c>
      <c r="DK142" s="45">
        <f t="shared" si="187"/>
        <v>0</v>
      </c>
      <c r="DL142" s="47">
        <f t="shared" si="188"/>
        <v>0</v>
      </c>
      <c r="DM142" s="46">
        <f t="shared" si="189"/>
        <v>0</v>
      </c>
      <c r="DN142" s="45">
        <f t="shared" si="190"/>
        <v>0</v>
      </c>
      <c r="DO142" s="47">
        <f t="shared" si="191"/>
        <v>0</v>
      </c>
      <c r="DP142" s="46">
        <f t="shared" si="192"/>
        <v>0</v>
      </c>
      <c r="DQ142" s="45">
        <f t="shared" si="193"/>
        <v>0</v>
      </c>
      <c r="DR142" s="48">
        <f t="shared" si="194"/>
        <v>0</v>
      </c>
      <c r="DS142" s="44">
        <f t="shared" si="195"/>
        <v>-1</v>
      </c>
      <c r="DT142" s="45">
        <f t="shared" si="196"/>
        <v>-1</v>
      </c>
      <c r="DU142" s="47">
        <f t="shared" si="197"/>
        <v>-1</v>
      </c>
      <c r="DV142" s="46">
        <f t="shared" si="198"/>
        <v>-1</v>
      </c>
      <c r="DW142" s="45">
        <f t="shared" si="199"/>
        <v>-1</v>
      </c>
      <c r="DX142" s="47">
        <f t="shared" si="200"/>
        <v>-1</v>
      </c>
      <c r="DY142" s="46">
        <f t="shared" si="201"/>
        <v>-1</v>
      </c>
      <c r="DZ142" s="45">
        <f t="shared" si="202"/>
        <v>-1</v>
      </c>
      <c r="EA142" s="48">
        <f t="shared" si="203"/>
        <v>-1</v>
      </c>
      <c r="EB142" s="44">
        <f t="shared" si="204"/>
        <v>-1</v>
      </c>
      <c r="EC142" s="45">
        <f t="shared" si="205"/>
        <v>-1</v>
      </c>
      <c r="ED142" s="47">
        <f t="shared" si="206"/>
        <v>-1</v>
      </c>
      <c r="EE142" s="46">
        <f t="shared" si="207"/>
        <v>-1</v>
      </c>
      <c r="EF142" s="45">
        <f t="shared" si="208"/>
        <v>-1</v>
      </c>
      <c r="EG142" s="47">
        <f t="shared" si="209"/>
        <v>-1</v>
      </c>
      <c r="EH142" s="46">
        <f t="shared" si="210"/>
        <v>-1</v>
      </c>
      <c r="EI142" s="45">
        <f t="shared" si="211"/>
        <v>-1</v>
      </c>
      <c r="EJ142" s="100">
        <f t="shared" si="212"/>
        <v>-1</v>
      </c>
      <c r="EK142" s="99">
        <f t="shared" si="213"/>
        <v>-1</v>
      </c>
      <c r="EL142" s="45">
        <f t="shared" si="214"/>
        <v>-1</v>
      </c>
      <c r="EM142" s="47">
        <f t="shared" si="215"/>
        <v>-1</v>
      </c>
      <c r="EN142" s="46">
        <f t="shared" si="216"/>
        <v>-1</v>
      </c>
      <c r="EO142" s="45">
        <f t="shared" si="217"/>
        <v>-1</v>
      </c>
      <c r="EP142" s="47">
        <f t="shared" si="218"/>
        <v>-1</v>
      </c>
      <c r="EQ142" s="46">
        <f t="shared" si="219"/>
        <v>-1</v>
      </c>
      <c r="ER142" s="45">
        <f t="shared" si="220"/>
        <v>-1</v>
      </c>
      <c r="ES142" s="48">
        <f t="shared" si="221"/>
        <v>-1</v>
      </c>
      <c r="ET142" s="44">
        <f t="shared" si="222"/>
        <v>0</v>
      </c>
      <c r="EU142" s="45">
        <f t="shared" si="223"/>
        <v>0</v>
      </c>
      <c r="EV142" s="47">
        <f t="shared" si="224"/>
        <v>0</v>
      </c>
      <c r="EW142" s="46">
        <f t="shared" si="225"/>
        <v>0</v>
      </c>
      <c r="EX142" s="45">
        <f t="shared" si="226"/>
        <v>0</v>
      </c>
      <c r="EY142" s="47">
        <f t="shared" si="227"/>
        <v>0</v>
      </c>
      <c r="EZ142" s="46">
        <f t="shared" si="228"/>
        <v>0</v>
      </c>
      <c r="FA142" s="45">
        <f t="shared" si="229"/>
        <v>0</v>
      </c>
      <c r="FB142" s="48">
        <f t="shared" si="230"/>
        <v>0</v>
      </c>
      <c r="FC142" s="44">
        <f t="shared" si="231"/>
        <v>-1</v>
      </c>
      <c r="FD142" s="45">
        <f t="shared" si="232"/>
        <v>-1</v>
      </c>
      <c r="FE142" s="47">
        <f t="shared" si="233"/>
        <v>-1</v>
      </c>
      <c r="FF142" s="46">
        <f t="shared" si="234"/>
        <v>-1</v>
      </c>
      <c r="FG142" s="45">
        <f t="shared" si="235"/>
        <v>-1</v>
      </c>
      <c r="FH142" s="47">
        <f t="shared" si="236"/>
        <v>-1</v>
      </c>
      <c r="FI142" s="46">
        <f t="shared" si="237"/>
        <v>-1</v>
      </c>
      <c r="FJ142" s="45">
        <f t="shared" si="238"/>
        <v>-1</v>
      </c>
      <c r="FK142" s="100">
        <f t="shared" si="239"/>
        <v>-1</v>
      </c>
      <c r="FL142" s="99">
        <f t="shared" si="240"/>
        <v>-1</v>
      </c>
      <c r="FM142" s="45">
        <f t="shared" si="241"/>
        <v>-1</v>
      </c>
      <c r="FN142" s="47">
        <f t="shared" si="242"/>
        <v>-1</v>
      </c>
      <c r="FO142" s="46">
        <f t="shared" si="243"/>
        <v>-1</v>
      </c>
      <c r="FP142" s="45">
        <f t="shared" si="244"/>
        <v>-1</v>
      </c>
      <c r="FQ142" s="47">
        <f t="shared" si="245"/>
        <v>-1</v>
      </c>
      <c r="FR142" s="46">
        <f t="shared" si="246"/>
        <v>-1</v>
      </c>
      <c r="FS142" s="45">
        <f t="shared" si="247"/>
        <v>-1</v>
      </c>
      <c r="FT142" s="48">
        <f t="shared" si="248"/>
        <v>-1</v>
      </c>
      <c r="FU142" s="44">
        <f t="shared" si="249"/>
        <v>-1</v>
      </c>
      <c r="FV142" s="45">
        <f t="shared" si="250"/>
        <v>-1</v>
      </c>
      <c r="FW142" s="47">
        <f t="shared" si="251"/>
        <v>-1</v>
      </c>
      <c r="FX142" s="46">
        <f t="shared" si="252"/>
        <v>-1</v>
      </c>
      <c r="FY142" s="45">
        <f t="shared" si="253"/>
        <v>-1</v>
      </c>
      <c r="FZ142" s="47">
        <f t="shared" si="254"/>
        <v>-1</v>
      </c>
      <c r="GA142" s="46">
        <f t="shared" si="255"/>
        <v>-1</v>
      </c>
      <c r="GB142" s="45">
        <f t="shared" si="256"/>
        <v>-1</v>
      </c>
      <c r="GC142" s="48">
        <f t="shared" si="257"/>
        <v>-1</v>
      </c>
      <c r="GD142" s="44">
        <f t="shared" si="258"/>
        <v>-1</v>
      </c>
      <c r="GE142" s="45">
        <f t="shared" si="259"/>
        <v>-1</v>
      </c>
      <c r="GF142" s="47">
        <f t="shared" si="260"/>
        <v>-1</v>
      </c>
      <c r="GG142" s="46">
        <f t="shared" si="261"/>
        <v>0</v>
      </c>
      <c r="GH142" s="45">
        <f t="shared" si="262"/>
        <v>8</v>
      </c>
      <c r="GI142" s="47">
        <f t="shared" si="263"/>
        <v>0</v>
      </c>
      <c r="GJ142" s="46">
        <f t="shared" si="264"/>
        <v>-1</v>
      </c>
      <c r="GK142" s="45">
        <f t="shared" si="265"/>
        <v>-1</v>
      </c>
      <c r="GL142" s="100">
        <f t="shared" si="266"/>
        <v>-1</v>
      </c>
      <c r="GN142" s="46">
        <f>COUNTIF(DJ142:GL142,7)</f>
        <v>1</v>
      </c>
      <c r="GO142" s="45">
        <f>COUNTIF(DJ142:GL142,8)</f>
        <v>1</v>
      </c>
      <c r="GP142" s="47">
        <f>COUNTIF(DJ142:GL142,9)</f>
        <v>0</v>
      </c>
      <c r="GQ142" s="39"/>
      <c r="GR142" s="39"/>
      <c r="GT142" s="101">
        <f t="shared" si="267"/>
        <v>1</v>
      </c>
      <c r="GU142" s="102">
        <f t="shared" si="268"/>
        <v>2</v>
      </c>
      <c r="GV142" s="103">
        <f t="shared" si="269"/>
        <v>0</v>
      </c>
    </row>
    <row r="143" spans="2:235" ht="15" customHeight="1">
      <c r="B143" s="72" t="str">
        <f t="shared" si="174"/>
        <v>x</v>
      </c>
      <c r="C143" s="73" t="str">
        <f t="shared" si="175"/>
        <v>x</v>
      </c>
      <c r="D143" s="73" t="str">
        <f t="shared" si="176"/>
        <v>x</v>
      </c>
      <c r="E143" s="73" t="str">
        <f t="shared" si="177"/>
        <v>x</v>
      </c>
      <c r="F143" s="73" t="str">
        <f t="shared" si="178"/>
        <v>x</v>
      </c>
      <c r="G143" s="73" t="str">
        <f t="shared" si="179"/>
        <v>x</v>
      </c>
      <c r="H143" s="73">
        <f t="shared" si="180"/>
        <v>8</v>
      </c>
      <c r="I143" s="73" t="str">
        <f t="shared" si="181"/>
        <v>x</v>
      </c>
      <c r="J143" s="74" t="str">
        <f t="shared" si="182"/>
        <v>x</v>
      </c>
      <c r="N143" s="108">
        <f>IF($B$89="x",-1,IF(AND($B$89=0,INDEX(KonZeile4,1)+INDEX(KonSpalte1,1)+INDEX(KonFeld4,1)=0),1,0))</f>
        <v>-1</v>
      </c>
      <c r="O143" s="37">
        <f>IF($B$89="x",-1,IF(AND($B$89=0,INDEX(KonZeile4,2)+INDEX(KonSpalte1,2)+INDEX(KonFeld4,2)=0),2,0))</f>
        <v>-1</v>
      </c>
      <c r="P143" s="35">
        <f>IF($B$89="x",-1,IF(AND($B$89=0,INDEX(KonZeile4,3)+INDEX(KonSpalte1,3)+INDEX(KonFeld4,3)=0),3,0))</f>
        <v>-1</v>
      </c>
      <c r="Q143" s="36">
        <f>IF($C$89="x",-1,IF(AND($C$89=0,INDEX(KonZeile4,1)+INDEX(KonSpalte2,1)+INDEX(KonFeld4,1)=0),1,0))</f>
        <v>-1</v>
      </c>
      <c r="R143" s="37">
        <f>IF($C$89="x",-1,IF(AND($C$89=0,INDEX(KonZeile4,2)+INDEX(KonSpalte2,2)+INDEX(KonFeld4,2)=0),2,0))</f>
        <v>-1</v>
      </c>
      <c r="S143" s="35">
        <f>IF($C$89="x",-1,IF(AND($C$89=0,INDEX(KonZeile4,3)+INDEX(KonSpalte2,3)+INDEX(KonFeld4,3)=0),3,0))</f>
        <v>-1</v>
      </c>
      <c r="T143" s="36">
        <f>IF($D$89="x",-1,IF(AND($D$89=0,INDEX(KonZeile4,1)+INDEX(KonSpalte3,1)+INDEX(KonFeld4,1)=0),1,0))</f>
        <v>-1</v>
      </c>
      <c r="U143" s="37">
        <f>IF($D$89="x",-1,IF(AND($D$89=0,INDEX(KonZeile4,2)+INDEX(KonSpalte3,2)+INDEX(KonFeld4,2)=0),2,0))</f>
        <v>-1</v>
      </c>
      <c r="V143" s="38">
        <f>IF($D$89="x",-1,IF(AND($D$89=0,INDEX(KonZeile4,3)+INDEX(KonSpalte3,3)+INDEX(KonFeld4,3)=0),3,0))</f>
        <v>-1</v>
      </c>
      <c r="W143" s="34">
        <f>IF($E$89="x",-1,IF(AND($E$89=0,INDEX(KonZeile4,1)+INDEX(KonSpalte4,1)+INDEX(KonFeld4,1)=0),1,0))</f>
        <v>-1</v>
      </c>
      <c r="X143" s="37">
        <f>IF($E$89="x",-1,IF(AND($E$89=0,INDEX(KonZeile4,2)+INDEX(KonSpalte4,2)+INDEX(KonFeld4,2)=0),2,0))</f>
        <v>-1</v>
      </c>
      <c r="Y143" s="35">
        <f>IF($E$89="x",-1,IF(AND($E$89=0,INDEX(KonZeile4,3)+INDEX(KonSpalte4,3)+INDEX(KonFeld4,3)=0),3,0))</f>
        <v>-1</v>
      </c>
      <c r="Z143" s="36">
        <f>IF($F$89="x",-1,IF(AND($F$89=0,INDEX(KonZeile4,1)+INDEX(KonSpalte5,1)+INDEX(KonFeld4,1)=0),1,0))</f>
        <v>-1</v>
      </c>
      <c r="AA143" s="37">
        <f>IF($F$89="x",-1,IF(AND($F$89=0,INDEX(KonZeile4,2)+INDEX(KonSpalte5,2)+INDEX(KonFeld4,2)=0),2,0))</f>
        <v>-1</v>
      </c>
      <c r="AB143" s="35">
        <f>IF($F$89="x",-1,IF(AND($F$89=0,INDEX(KonZeile4,3)+INDEX(KonSpalte5,3)+INDEX(KonFeld4,3)=0),3,0))</f>
        <v>-1</v>
      </c>
      <c r="AC143" s="36">
        <f>IF($G$89="x",-1,IF(AND($G$89=0,INDEX(KonZeile4,1)+INDEX(KonSpalte6,1)+INDEX(KonFeld4,1)=0),1,0))</f>
        <v>-1</v>
      </c>
      <c r="AD143" s="37">
        <f>IF($G$89="x",-1,IF(AND($G$89=0,INDEX(KonZeile4,2)+INDEX(KonSpalte6,2)+INDEX(KonFeld4,2)=0),2,0))</f>
        <v>-1</v>
      </c>
      <c r="AE143" s="38">
        <f>IF($G$89="x",-1,IF(AND($G$89=0,INDEX(KonZeile4,3)+INDEX(KonSpalte6,3)+INDEX(KonFeld4,3)=0),3,0))</f>
        <v>-1</v>
      </c>
      <c r="AF143" s="34">
        <f>IF($H$89="x",-1,IF(AND($H$89=0,INDEX(KonZeile4,1)+INDEX(KonSpalte7,1)+INDEX(KonFeld4,1)=0),1,0))</f>
        <v>-1</v>
      </c>
      <c r="AG143" s="37">
        <f>IF($H$89="x",-1,IF(AND($H$89=0,INDEX(KonZeile4,2)+INDEX(KonSpalte7,2)+INDEX(KonFeld4,2)=0),2,0))</f>
        <v>-1</v>
      </c>
      <c r="AH143" s="35">
        <f>IF($H$89="x",-1,IF(AND($H$89=0,INDEX(KonZeile4,3)+INDEX(KonSpalte7,3)+INDEX(KonFeld4,3)=0),3,0))</f>
        <v>-1</v>
      </c>
      <c r="AI143" s="36">
        <f>IF($I$89="x",-1,IF(AND($I$89=0,INDEX(KonZeile4,1)+INDEX(KonSpalte8,1)+INDEX(KonFeld4,1)=0),1,0))</f>
        <v>-1</v>
      </c>
      <c r="AJ143" s="37">
        <f>IF($I$89="x",-1,IF(AND($I$89=0,INDEX(KonZeile4,2)+INDEX(KonSpalte8,2)+INDEX(KonFeld4,2)=0),2,0))</f>
        <v>-1</v>
      </c>
      <c r="AK143" s="35">
        <f>IF($I$89="x",-1,IF(AND($I$89=0,INDEX(KonZeile4,3)+INDEX(KonSpalte8,3)+INDEX(KonFeld4,3)=0),3,0))</f>
        <v>-1</v>
      </c>
      <c r="AL143" s="36">
        <f>IF($J$89="x",-1,IF(AND($J$89=0,INDEX(KonZeile4,1)+INDEX(KonSpalte9,1)+INDEX(KonFeld4,1)=0),1,0))</f>
        <v>-1</v>
      </c>
      <c r="AM143" s="37">
        <f>IF($J$89="x",-1,IF(AND($J$89=0,INDEX(KonZeile4,2)+INDEX(KonSpalte9,2)+INDEX(KonFeld4,2)=0),2,0))</f>
        <v>-1</v>
      </c>
      <c r="AN143" s="109">
        <f>IF($J$89="x",-1,IF(AND($J$89=0,INDEX(KonZeile4,3)+INDEX(KonSpalte9,3)+INDEX(KonFeld4,3)=0),3,0))</f>
        <v>-1</v>
      </c>
      <c r="AO143" s="108">
        <f>IF($K$89="x",-1,IF(AND($K$89=0,INDEX(KonZeile4,1)+INDEX(KonSpalte1,1)+INDEX(KonFeld5,1)=0),1,0))</f>
        <v>-1</v>
      </c>
      <c r="AP143" s="37">
        <f>IF($K$89="x",-1,IF(AND($K$89=0,INDEX(KonZeile4,2)+INDEX(KonSpalte1,2)+INDEX(KonFeld5,2)=0),2,0))</f>
        <v>-1</v>
      </c>
      <c r="AQ143" s="35">
        <f>IF($K$89="x",-1,IF(AND($K$89=0,INDEX(KonZeile4,3)+INDEX(KonSpalte1,3)+INDEX(KonFeld5,3)=0),3,0))</f>
        <v>-1</v>
      </c>
      <c r="AR143" s="36">
        <f>IF($L$89="x",-1,IF(AND($L$89=0,INDEX(KonZeile4,1)+INDEX(KonSpalte2,1)+INDEX(KonFeld5,1)=0),1,0))</f>
        <v>-1</v>
      </c>
      <c r="AS143" s="37">
        <f>IF($L$89="x",-1,IF(AND($L$89=0,INDEX(KonZeile4,2)+INDEX(KonSpalte2,2)+INDEX(KonFeld5,2)=0),2,0))</f>
        <v>-1</v>
      </c>
      <c r="AT143" s="35">
        <f>IF($L$89="x",-1,IF(AND($L$89=0,INDEX(KonZeile4,3)+INDEX(KonSpalte2,3)+INDEX(KonFeld5,3)=0),3,0))</f>
        <v>-1</v>
      </c>
      <c r="AU143" s="36">
        <f>IF($M$89="x",-1,IF(AND($M$89=0,INDEX(KonZeile4,1)+INDEX(KonSpalte3,1)+INDEX(KonFeld5,1)=0),1,0))</f>
        <v>0</v>
      </c>
      <c r="AV143" s="37">
        <f>IF($M$89="x",-1,IF(AND($M$89=0,INDEX(KonZeile4,2)+INDEX(KonSpalte3,2)+INDEX(KonFeld5,2)=0),2,0))</f>
        <v>0</v>
      </c>
      <c r="AW143" s="38">
        <f>IF($M$89="x",-1,IF(AND($M$89=0,INDEX(KonZeile4,3)+INDEX(KonSpalte3,3)+INDEX(KonFeld5,3)=0),3,0))</f>
        <v>0</v>
      </c>
      <c r="AX143" s="34">
        <f>IF($N$89="x",-1,IF(AND($N$89=0,INDEX(KonZeile4,1)+INDEX(KonSpalte4,1)+INDEX(KonFeld5,1)=0),1,0))</f>
        <v>-1</v>
      </c>
      <c r="AY143" s="37">
        <f>IF($N$89="x",-1,IF(AND($N$89=0,INDEX(KonZeile4,2)+INDEX(KonSpalte4,2)+INDEX(KonFeld5,2)=0),2,0))</f>
        <v>-1</v>
      </c>
      <c r="AZ143" s="35">
        <f>IF($N$89="x",-1,IF(AND($N$89=0,INDEX(KonZeile4,3)+INDEX(KonSpalte4,3)+INDEX(KonFeld5,3)=0),3,0))</f>
        <v>-1</v>
      </c>
      <c r="BA143" s="36">
        <f>IF($O$89="x",-1,IF(AND($O$89=0,INDEX(KonZeile4,1)+INDEX(KonSpalte5,1)+INDEX(KonFeld5,1)=0),1,0))</f>
        <v>-1</v>
      </c>
      <c r="BB143" s="37">
        <f>IF($O$89="x",-1,IF(AND($O$89=0,INDEX(KonZeile4,2)+INDEX(KonSpalte5,2)+INDEX(KonFeld5,2)=0),2,0))</f>
        <v>-1</v>
      </c>
      <c r="BC143" s="35">
        <f>IF($O$89="x",-1,IF(AND($O$89=0,INDEX(KonZeile4,3)+INDEX(KonSpalte5,3)+INDEX(KonFeld5,3)=0),3,0))</f>
        <v>-1</v>
      </c>
      <c r="BD143" s="36">
        <f>IF($P$89="x",-1,IF(AND($P$89=0,INDEX(KonZeile4,1)+INDEX(KonSpalte6,1)+INDEX(KonFeld5,1)=0),1,0))</f>
        <v>0</v>
      </c>
      <c r="BE143" s="37">
        <f>IF($P$89="x",-1,IF(AND($P$89=0,INDEX(KonZeile4,2)+INDEX(KonSpalte6,2)+INDEX(KonFeld5,2)=0),2,0))</f>
        <v>0</v>
      </c>
      <c r="BF143" s="38">
        <f>IF($P$89="x",-1,IF(AND($P$89=0,INDEX(KonZeile4,3)+INDEX(KonSpalte6,3)+INDEX(KonFeld5,3)=0),3,0))</f>
        <v>0</v>
      </c>
      <c r="BG143" s="34">
        <f>IF($Q$89="x",-1,IF(AND($Q$89=0,INDEX(KonZeile4,1)+INDEX(KonSpalte7,1)+INDEX(KonFeld5,1)=0),1,0))</f>
        <v>-1</v>
      </c>
      <c r="BH143" s="37">
        <f>IF($Q$89="x",-1,IF(AND($Q$89=0,INDEX(KonZeile4,2)+INDEX(KonSpalte7,2)+INDEX(KonFeld5,2)=0),2,0))</f>
        <v>-1</v>
      </c>
      <c r="BI143" s="35">
        <f>IF($Q$89="x",-1,IF(AND($Q$89=0,INDEX(KonZeile4,3)+INDEX(KonSpalte7,3)+INDEX(KonFeld5,3)=0),3,0))</f>
        <v>-1</v>
      </c>
      <c r="BJ143" s="36">
        <f>IF($R$89="x",-1,IF(AND($R$89=0,INDEX(KonZeile4,1)+INDEX(KonSpalte8,1)+INDEX(KonFeld5,1)=0),1,0))</f>
        <v>-1</v>
      </c>
      <c r="BK143" s="37">
        <f>IF($R$89="x",-1,IF(AND($R$89=0,INDEX(KonZeile4,2)+INDEX(KonSpalte8,2)+INDEX(KonFeld5,2)=0),2,0))</f>
        <v>-1</v>
      </c>
      <c r="BL143" s="35">
        <f>IF($R$89="x",-1,IF(AND($R$89=0,INDEX(KonZeile4,3)+INDEX(KonSpalte8,3)+INDEX(KonFeld5,3)=0),3,0))</f>
        <v>-1</v>
      </c>
      <c r="BM143" s="36">
        <f>IF($S$89="x",-1,IF(AND($S$89=0,INDEX(KonZeile4,1)+INDEX(KonSpalte9,1)+INDEX(KonFeld5,1)=0),1,0))</f>
        <v>-1</v>
      </c>
      <c r="BN143" s="37">
        <f>IF($S$89="x",-1,IF(AND($S$89=0,INDEX(KonZeile4,2)+INDEX(KonSpalte9,2)+INDEX(KonFeld5,2)=0),2,0))</f>
        <v>-1</v>
      </c>
      <c r="BO143" s="109">
        <f>IF($S$89="x",-1,IF(AND($S$89=0,INDEX(KonZeile4,3)+INDEX(KonSpalte9,3)+INDEX(KonFeld5,3)=0),3,0))</f>
        <v>-1</v>
      </c>
      <c r="BP143" s="108">
        <f>IF($T$89="x",-1,IF(AND($T$89=0,INDEX(KonZeile4,1)+INDEX(KonSpalte1,1)+INDEX(KonFeld6,1)=0),1,0))</f>
        <v>-1</v>
      </c>
      <c r="BQ143" s="37">
        <f>IF($T$89="x",-1,IF(AND($T$89=0,INDEX(KonZeile4,2)+INDEX(KonSpalte1,2)+INDEX(KonFeld6,2)=0),2,0))</f>
        <v>-1</v>
      </c>
      <c r="BR143" s="35">
        <f>IF($T$89="x",-1,IF(AND($T$89=0,INDEX(KonZeile4,3)+INDEX(KonSpalte1,3)+INDEX(KonFeld6,3)=0),3,0))</f>
        <v>-1</v>
      </c>
      <c r="BS143" s="36">
        <f>IF($U$89="x",-1,IF(AND($U$89=0,INDEX(KonZeile4,1)+INDEX(KonSpalte2,1)+INDEX(KonFeld6,1)=0),1,0))</f>
        <v>-1</v>
      </c>
      <c r="BT143" s="37">
        <f>IF($U$89="x",-1,IF(AND($U$89=0,INDEX(KonZeile4,2)+INDEX(KonSpalte2,2)+INDEX(KonFeld6,2)=0),2,0))</f>
        <v>-1</v>
      </c>
      <c r="BU143" s="35">
        <f>IF($U$89="x",-1,IF(AND($U$89=0,INDEX(KonZeile4,3)+INDEX(KonSpalte2,3)+INDEX(KonFeld6,3)=0),3,0))</f>
        <v>-1</v>
      </c>
      <c r="BV143" s="36">
        <f>IF($V$89="x",-1,IF(AND($V$89=0,INDEX(KonZeile4,1)+INDEX(KonSpalte3,1)+INDEX(KonFeld6,1)=0),1,0))</f>
        <v>-1</v>
      </c>
      <c r="BW143" s="37">
        <f>IF($V$89="x",-1,IF(AND($V$89=0,INDEX(KonZeile4,2)+INDEX(KonSpalte3,2)+INDEX(KonFeld6,2)=0),2,0))</f>
        <v>-1</v>
      </c>
      <c r="BX143" s="38">
        <f>IF($V$89="x",-1,IF(AND($V$89=0,INDEX(KonZeile4,3)+INDEX(KonSpalte3,3)+INDEX(KonFeld6,3)=0),3,0))</f>
        <v>-1</v>
      </c>
      <c r="BY143" s="34">
        <f>IF($W$89="x",-1,IF(AND($W$89=0,INDEX(KonZeile4,1)+INDEX(KonSpalte4,1)+INDEX(KonFeld6,1)=0),1,0))</f>
        <v>-1</v>
      </c>
      <c r="BZ143" s="37">
        <f>IF($W$89="x",-1,IF(AND($W$89=0,INDEX(KonZeile4,2)+INDEX(KonSpalte4,2)+INDEX(KonFeld6,2)=0),2,0))</f>
        <v>-1</v>
      </c>
      <c r="CA143" s="35">
        <f>IF($W$89="x",-1,IF(AND($W$89=0,INDEX(KonZeile4,3)+INDEX(KonSpalte4,3)+INDEX(KonFeld6,3)=0),3,0))</f>
        <v>-1</v>
      </c>
      <c r="CB143" s="36">
        <f>IF($X$89="x",-1,IF(AND($X$89=0,INDEX(KonZeile4,1)+INDEX(KonSpalte5,1)+INDEX(KonFeld6,1)=0),1,0))</f>
        <v>-1</v>
      </c>
      <c r="CC143" s="37">
        <f>IF($X$89="x",-1,IF(AND($X$89=0,INDEX(KonZeile4,2)+INDEX(KonSpalte5,2)+INDEX(KonFeld6,2)=0),2,0))</f>
        <v>-1</v>
      </c>
      <c r="CD143" s="35">
        <f>IF($X$89="x",-1,IF(AND($X$89=0,INDEX(KonZeile4,3)+INDEX(KonSpalte5,3)+INDEX(KonFeld6,3)=0),3,0))</f>
        <v>-1</v>
      </c>
      <c r="CE143" s="36">
        <f>IF($Y$89="x",-1,IF(AND($Y$89=0,INDEX(KonZeile4,1)+INDEX(KonSpalte6,1)+INDEX(KonFeld6,1)=0),1,0))</f>
        <v>-1</v>
      </c>
      <c r="CF143" s="37">
        <f>IF($Y$89="x",-1,IF(AND($Y$89=0,INDEX(KonZeile4,2)+INDEX(KonSpalte6,2)+INDEX(KonFeld6,2)=0),2,0))</f>
        <v>-1</v>
      </c>
      <c r="CG143" s="38">
        <f>IF($Y$89="x",-1,IF(AND($Y$89=0,INDEX(KonZeile4,3)+INDEX(KonSpalte6,3)+INDEX(KonFeld6,3)=0),3,0))</f>
        <v>-1</v>
      </c>
      <c r="CH143" s="34">
        <f>IF($Z$89="x",-1,IF(AND($Z$89=0,INDEX(KonZeile4,1)+INDEX(KonSpalte7,1)+INDEX(KonFeld6,1)=0),1,0))</f>
        <v>0</v>
      </c>
      <c r="CI143" s="37">
        <f>IF($Z$89="x",-1,IF(AND($Z$89=0,INDEX(KonZeile4,2)+INDEX(KonSpalte7,2)+INDEX(KonFeld6,2)=0),2,0))</f>
        <v>0</v>
      </c>
      <c r="CJ143" s="35">
        <f>IF($Z$89="x",-1,IF(AND($Z$89=0,INDEX(KonZeile4,3)+INDEX(KonSpalte7,3)+INDEX(KonFeld6,3)=0),3,0))</f>
        <v>0</v>
      </c>
      <c r="CK143" s="36">
        <f>IF($AA$89="x",-1,IF(AND($AA$89=0,INDEX(KonZeile4,1)+INDEX(KonSpalte8,1)+INDEX(KonFeld6,1)=0),1,0))</f>
        <v>-1</v>
      </c>
      <c r="CL143" s="37">
        <f>IF($AA$89="x",-1,IF(AND($AA$89=0,INDEX(KonZeile4,2)+INDEX(KonSpalte8,2)+INDEX(KonFeld6,2)=0),2,0))</f>
        <v>-1</v>
      </c>
      <c r="CM143" s="35">
        <f>IF($AA$89="x",-1,IF(AND($AA$89=0,INDEX(KonZeile4,3)+INDEX(KonSpalte8,3)+INDEX(KonFeld6,3)=0),3,0))</f>
        <v>-1</v>
      </c>
      <c r="CN143" s="36">
        <f>IF($AB$89="x",-1,IF(AND($AB$89=0,INDEX(KonZeile4,1)+INDEX(KonSpalte9,1)+INDEX(KonFeld6,1)=0),1,0))</f>
        <v>-1</v>
      </c>
      <c r="CO143" s="37">
        <f>IF($AB$89="x",-1,IF(AND($AB$89=0,INDEX(KonZeile4,2)+INDEX(KonSpalte9,2)+INDEX(KonFeld6,2)=0),2,0))</f>
        <v>-1</v>
      </c>
      <c r="CP143" s="109">
        <f>IF($AB$89="x",-1,IF(AND($AB$89=0,INDEX(KonZeile4,3)+INDEX(KonSpalte9,3)+INDEX(KonFeld6,3)=0),3,0))</f>
        <v>-1</v>
      </c>
      <c r="CR143" s="52">
        <f>COUNTIF(N143:CP143,1)</f>
        <v>0</v>
      </c>
      <c r="CS143" s="50">
        <f>COUNTIF(N143:CP143,2)</f>
        <v>0</v>
      </c>
      <c r="CT143" s="51">
        <f>COUNTIF(N143:CP143,3)</f>
        <v>0</v>
      </c>
      <c r="CU143" s="39"/>
      <c r="CV143" s="39"/>
      <c r="CX143" s="65">
        <f t="shared" si="185"/>
        <v>0</v>
      </c>
      <c r="CY143" s="66">
        <f t="shared" si="185"/>
        <v>0</v>
      </c>
      <c r="CZ143" s="67">
        <f t="shared" si="185"/>
        <v>0</v>
      </c>
      <c r="DI143" s="39"/>
      <c r="DJ143" s="104">
        <f t="shared" si="186"/>
        <v>1</v>
      </c>
      <c r="DK143" s="50">
        <f t="shared" si="187"/>
        <v>2</v>
      </c>
      <c r="DL143" s="51">
        <f t="shared" si="188"/>
        <v>0</v>
      </c>
      <c r="DM143" s="52">
        <f t="shared" si="189"/>
        <v>-1</v>
      </c>
      <c r="DN143" s="50">
        <f t="shared" si="190"/>
        <v>-1</v>
      </c>
      <c r="DO143" s="51">
        <f t="shared" si="191"/>
        <v>-1</v>
      </c>
      <c r="DP143" s="52">
        <f t="shared" si="192"/>
        <v>-1</v>
      </c>
      <c r="DQ143" s="50">
        <f t="shared" si="193"/>
        <v>-1</v>
      </c>
      <c r="DR143" s="53">
        <f t="shared" si="194"/>
        <v>-1</v>
      </c>
      <c r="DS143" s="49">
        <f t="shared" si="195"/>
        <v>-1</v>
      </c>
      <c r="DT143" s="50">
        <f t="shared" si="196"/>
        <v>-1</v>
      </c>
      <c r="DU143" s="51">
        <f t="shared" si="197"/>
        <v>-1</v>
      </c>
      <c r="DV143" s="52">
        <f t="shared" si="198"/>
        <v>-1</v>
      </c>
      <c r="DW143" s="50">
        <f t="shared" si="199"/>
        <v>-1</v>
      </c>
      <c r="DX143" s="51">
        <f t="shared" si="200"/>
        <v>-1</v>
      </c>
      <c r="DY143" s="52">
        <f t="shared" si="201"/>
        <v>-1</v>
      </c>
      <c r="DZ143" s="50">
        <f t="shared" si="202"/>
        <v>-1</v>
      </c>
      <c r="EA143" s="53">
        <f t="shared" si="203"/>
        <v>-1</v>
      </c>
      <c r="EB143" s="49">
        <f t="shared" si="204"/>
        <v>-1</v>
      </c>
      <c r="EC143" s="50">
        <f t="shared" si="205"/>
        <v>-1</v>
      </c>
      <c r="ED143" s="51">
        <f t="shared" si="206"/>
        <v>-1</v>
      </c>
      <c r="EE143" s="52">
        <f t="shared" si="207"/>
        <v>-1</v>
      </c>
      <c r="EF143" s="50">
        <f t="shared" si="208"/>
        <v>-1</v>
      </c>
      <c r="EG143" s="51">
        <f t="shared" si="209"/>
        <v>-1</v>
      </c>
      <c r="EH143" s="52">
        <f t="shared" si="210"/>
        <v>-1</v>
      </c>
      <c r="EI143" s="50">
        <f t="shared" si="211"/>
        <v>-1</v>
      </c>
      <c r="EJ143" s="105">
        <f t="shared" si="212"/>
        <v>-1</v>
      </c>
      <c r="EK143" s="104">
        <f t="shared" si="213"/>
        <v>-1</v>
      </c>
      <c r="EL143" s="50">
        <f t="shared" si="214"/>
        <v>-1</v>
      </c>
      <c r="EM143" s="51">
        <f t="shared" si="215"/>
        <v>-1</v>
      </c>
      <c r="EN143" s="52">
        <f t="shared" si="216"/>
        <v>-1</v>
      </c>
      <c r="EO143" s="50">
        <f t="shared" si="217"/>
        <v>-1</v>
      </c>
      <c r="EP143" s="51">
        <f t="shared" si="218"/>
        <v>-1</v>
      </c>
      <c r="EQ143" s="52">
        <f t="shared" si="219"/>
        <v>-1</v>
      </c>
      <c r="ER143" s="50">
        <f t="shared" si="220"/>
        <v>-1</v>
      </c>
      <c r="ES143" s="53">
        <f t="shared" si="221"/>
        <v>-1</v>
      </c>
      <c r="ET143" s="49">
        <f t="shared" si="222"/>
        <v>1</v>
      </c>
      <c r="EU143" s="50">
        <f t="shared" si="223"/>
        <v>2</v>
      </c>
      <c r="EV143" s="51">
        <f t="shared" si="224"/>
        <v>3</v>
      </c>
      <c r="EW143" s="52">
        <f t="shared" si="225"/>
        <v>0</v>
      </c>
      <c r="EX143" s="50">
        <f t="shared" si="226"/>
        <v>0</v>
      </c>
      <c r="EY143" s="51">
        <f t="shared" si="227"/>
        <v>0</v>
      </c>
      <c r="EZ143" s="52">
        <f t="shared" si="228"/>
        <v>-1</v>
      </c>
      <c r="FA143" s="50">
        <f t="shared" si="229"/>
        <v>-1</v>
      </c>
      <c r="FB143" s="53">
        <f t="shared" si="230"/>
        <v>-1</v>
      </c>
      <c r="FC143" s="49">
        <f t="shared" si="231"/>
        <v>-1</v>
      </c>
      <c r="FD143" s="50">
        <f t="shared" si="232"/>
        <v>-1</v>
      </c>
      <c r="FE143" s="51">
        <f t="shared" si="233"/>
        <v>-1</v>
      </c>
      <c r="FF143" s="52">
        <f t="shared" si="234"/>
        <v>-1</v>
      </c>
      <c r="FG143" s="50">
        <f t="shared" si="235"/>
        <v>-1</v>
      </c>
      <c r="FH143" s="51">
        <f t="shared" si="236"/>
        <v>-1</v>
      </c>
      <c r="FI143" s="52">
        <f t="shared" si="237"/>
        <v>-1</v>
      </c>
      <c r="FJ143" s="50">
        <f t="shared" si="238"/>
        <v>-1</v>
      </c>
      <c r="FK143" s="105">
        <f t="shared" si="239"/>
        <v>-1</v>
      </c>
      <c r="FL143" s="104">
        <f t="shared" si="240"/>
        <v>-1</v>
      </c>
      <c r="FM143" s="50">
        <f t="shared" si="241"/>
        <v>-1</v>
      </c>
      <c r="FN143" s="51">
        <f t="shared" si="242"/>
        <v>-1</v>
      </c>
      <c r="FO143" s="52">
        <f t="shared" si="243"/>
        <v>-1</v>
      </c>
      <c r="FP143" s="50">
        <f t="shared" si="244"/>
        <v>-1</v>
      </c>
      <c r="FQ143" s="51">
        <f t="shared" si="245"/>
        <v>-1</v>
      </c>
      <c r="FR143" s="52">
        <f t="shared" si="246"/>
        <v>-1</v>
      </c>
      <c r="FS143" s="50">
        <f t="shared" si="247"/>
        <v>-1</v>
      </c>
      <c r="FT143" s="53">
        <f t="shared" si="248"/>
        <v>-1</v>
      </c>
      <c r="FU143" s="49">
        <f t="shared" si="249"/>
        <v>-1</v>
      </c>
      <c r="FV143" s="50">
        <f t="shared" si="250"/>
        <v>-1</v>
      </c>
      <c r="FW143" s="51">
        <f t="shared" si="251"/>
        <v>-1</v>
      </c>
      <c r="FX143" s="52">
        <f t="shared" si="252"/>
        <v>-1</v>
      </c>
      <c r="FY143" s="50">
        <f t="shared" si="253"/>
        <v>-1</v>
      </c>
      <c r="FZ143" s="51">
        <f t="shared" si="254"/>
        <v>-1</v>
      </c>
      <c r="GA143" s="52">
        <f t="shared" si="255"/>
        <v>-1</v>
      </c>
      <c r="GB143" s="50">
        <f t="shared" si="256"/>
        <v>-1</v>
      </c>
      <c r="GC143" s="53">
        <f t="shared" si="257"/>
        <v>-1</v>
      </c>
      <c r="GD143" s="49">
        <f t="shared" si="258"/>
        <v>-1</v>
      </c>
      <c r="GE143" s="50">
        <f t="shared" si="259"/>
        <v>-1</v>
      </c>
      <c r="GF143" s="51">
        <f t="shared" si="260"/>
        <v>-1</v>
      </c>
      <c r="GG143" s="52">
        <f t="shared" si="261"/>
        <v>-1</v>
      </c>
      <c r="GH143" s="50">
        <f t="shared" si="262"/>
        <v>-1</v>
      </c>
      <c r="GI143" s="51">
        <f t="shared" si="263"/>
        <v>-1</v>
      </c>
      <c r="GJ143" s="52">
        <f t="shared" si="264"/>
        <v>0</v>
      </c>
      <c r="GK143" s="50">
        <f t="shared" si="265"/>
        <v>2</v>
      </c>
      <c r="GL143" s="105">
        <f t="shared" si="266"/>
        <v>3</v>
      </c>
      <c r="GN143" s="52">
        <f>COUNTIF(DJ143:GL143,1)</f>
        <v>2</v>
      </c>
      <c r="GO143" s="50">
        <f>COUNTIF(DJ143:GL143,2)</f>
        <v>3</v>
      </c>
      <c r="GP143" s="51">
        <f>COUNTIF(DJ143:GL143,3)</f>
        <v>2</v>
      </c>
      <c r="GQ143" s="39"/>
      <c r="GR143" s="39"/>
      <c r="GT143" s="91">
        <f t="shared" si="267"/>
        <v>5</v>
      </c>
      <c r="GU143" s="92">
        <f t="shared" si="268"/>
        <v>5</v>
      </c>
      <c r="GV143" s="93">
        <f t="shared" si="269"/>
        <v>3</v>
      </c>
    </row>
    <row r="144" spans="2:235" ht="15" customHeight="1">
      <c r="B144" s="72" t="str">
        <f t="shared" si="174"/>
        <v>x</v>
      </c>
      <c r="C144" s="73" t="str">
        <f t="shared" si="175"/>
        <v>x</v>
      </c>
      <c r="D144" s="73" t="str">
        <f t="shared" si="176"/>
        <v>x</v>
      </c>
      <c r="E144" s="73" t="str">
        <f t="shared" si="177"/>
        <v>x</v>
      </c>
      <c r="F144" s="73" t="str">
        <f t="shared" si="178"/>
        <v>x</v>
      </c>
      <c r="G144" s="73" t="str">
        <f t="shared" si="179"/>
        <v>x</v>
      </c>
      <c r="H144" s="73">
        <f t="shared" si="180"/>
        <v>2</v>
      </c>
      <c r="I144" s="73">
        <f t="shared" si="181"/>
        <v>4</v>
      </c>
      <c r="J144" s="74" t="str">
        <f t="shared" si="182"/>
        <v>x</v>
      </c>
      <c r="N144" s="94">
        <f>IF($B$89="x",-1,IF(AND($B$89=0,INDEX(KonZeile4,4)+INDEX(KonSpalte1,4)+INDEX(KonFeld4,4)=0),4,0))</f>
        <v>-1</v>
      </c>
      <c r="O144" s="39">
        <f>IF($B$89="x",-1,IF(AND($B$89=0,INDEX(KonZeile4,5)+INDEX(KonSpalte1,5)+INDEX(KonFeld4,5)=0),5,0))</f>
        <v>-1</v>
      </c>
      <c r="P144" s="41">
        <f>IF($B$89="x",-1,IF(AND($B$89=0,INDEX(KonZeile4,6)+INDEX(KonSpalte1,6)+INDEX(KonFeld4,6)=0),6,0))</f>
        <v>-1</v>
      </c>
      <c r="Q144" s="40">
        <f>IF($C$89="x",-1,IF(AND($C$89=0,INDEX(KonZeile4,4)+INDEX(KonSpalte2,4)+INDEX(KonFeld4,4)=0),4,0))</f>
        <v>-1</v>
      </c>
      <c r="R144" s="39">
        <f>IF($C$89="x",-1,IF(AND($C$89=0,INDEX(KonZeile4,5)+INDEX(KonSpalte2,5)+INDEX(KonFeld4,5)=0),5,0))</f>
        <v>-1</v>
      </c>
      <c r="S144" s="41">
        <f>IF($C$89="x",-1,IF(AND($C$89=0,INDEX(KonZeile4,6)+INDEX(KonSpalte2,6)+INDEX(KonFeld4,6)=0),6,0))</f>
        <v>-1</v>
      </c>
      <c r="T144" s="40">
        <f>IF($D$89="x",-1,IF(AND($D$89=0,INDEX(KonZeile4,4)+INDEX(KonSpalte3,4)+INDEX(KonFeld4,4)=0),4,0))</f>
        <v>-1</v>
      </c>
      <c r="U144" s="39">
        <f>IF($D$89="x",-1,IF(AND($D$89=0,INDEX(KonZeile4,5)+INDEX(KonSpalte3,5)+INDEX(KonFeld4,5)=0),5,0))</f>
        <v>-1</v>
      </c>
      <c r="V144" s="42">
        <f>IF($D$89="x",-1,IF(AND($D$89=0,INDEX(KonZeile4,6)+INDEX(KonSpalte3,6)+INDEX(KonFeld4,6)=0),6,0))</f>
        <v>-1</v>
      </c>
      <c r="W144" s="43">
        <f>IF($E$89="x",-1,IF(AND($E$89=0,INDEX(KonZeile4,4)+INDEX(KonSpalte4,4)+INDEX(KonFeld4,4)=0),4,0))</f>
        <v>-1</v>
      </c>
      <c r="X144" s="39">
        <f>IF($E$89="x",-1,IF(AND($E$89=0,INDEX(KonZeile4,5)+INDEX(KonSpalte4,5)+INDEX(KonFeld4,5)=0),5,0))</f>
        <v>-1</v>
      </c>
      <c r="Y144" s="41">
        <f>IF($E$89="x",-1,IF(AND($E$89=0,INDEX(KonZeile4,6)+INDEX(KonSpalte4,6)+INDEX(KonFeld4,6)=0),6,0))</f>
        <v>-1</v>
      </c>
      <c r="Z144" s="40">
        <f>IF($F$89="x",-1,IF(AND($F$89=0,INDEX(KonZeile4,4)+INDEX(KonSpalte5,4)+INDEX(KonFeld4,4)=0),4,0))</f>
        <v>-1</v>
      </c>
      <c r="AA144" s="39">
        <f>IF($F$89="x",-1,IF(AND($F$89=0,INDEX(KonZeile4,5)+INDEX(KonSpalte5,5)+INDEX(KonFeld4,5)=0),5,0))</f>
        <v>-1</v>
      </c>
      <c r="AB144" s="41">
        <f>IF($F$89="x",-1,IF(AND($F$89=0,INDEX(KonZeile4,6)+INDEX(KonSpalte5,6)+INDEX(KonFeld4,6)=0),6,0))</f>
        <v>-1</v>
      </c>
      <c r="AC144" s="40">
        <f>IF($G$89="x",-1,IF(AND($G$89=0,INDEX(KonZeile4,4)+INDEX(KonSpalte6,4)+INDEX(KonFeld4,4)=0),4,0))</f>
        <v>-1</v>
      </c>
      <c r="AD144" s="39">
        <f>IF($G$89="x",-1,IF(AND($G$89=0,INDEX(KonZeile4,5)+INDEX(KonSpalte6,5)+INDEX(KonFeld4,5)=0),5,0))</f>
        <v>-1</v>
      </c>
      <c r="AE144" s="42">
        <f>IF($G$89="x",-1,IF(AND($G$89=0,INDEX(KonZeile4,6)+INDEX(KonSpalte6,6)+INDEX(KonFeld4,6)=0),6,0))</f>
        <v>-1</v>
      </c>
      <c r="AF144" s="43">
        <f>IF($H$89="x",-1,IF(AND($H$89=0,INDEX(KonZeile4,4)+INDEX(KonSpalte7,4)+INDEX(KonFeld4,4)=0),4,0))</f>
        <v>-1</v>
      </c>
      <c r="AG144" s="39">
        <f>IF($H$89="x",-1,IF(AND($H$89=0,INDEX(KonZeile4,5)+INDEX(KonSpalte7,5)+INDEX(KonFeld4,5)=0),5,0))</f>
        <v>-1</v>
      </c>
      <c r="AH144" s="41">
        <f>IF($H$89="x",-1,IF(AND($H$89=0,INDEX(KonZeile4,6)+INDEX(KonSpalte7,6)+INDEX(KonFeld4,6)=0),6,0))</f>
        <v>-1</v>
      </c>
      <c r="AI144" s="40">
        <f>IF($I$89="x",-1,IF(AND($I$89=0,INDEX(KonZeile4,4)+INDEX(KonSpalte8,4)+INDEX(KonFeld4,4)=0),4,0))</f>
        <v>-1</v>
      </c>
      <c r="AJ144" s="39">
        <f>IF($I$89="x",-1,IF(AND($I$89=0,INDEX(KonZeile4,5)+INDEX(KonSpalte8,5)+INDEX(KonFeld4,5)=0),5,0))</f>
        <v>-1</v>
      </c>
      <c r="AK144" s="41">
        <f>IF($I$89="x",-1,IF(AND($I$89=0,INDEX(KonZeile4,6)+INDEX(KonSpalte8,6)+INDEX(KonFeld4,6)=0),6,0))</f>
        <v>-1</v>
      </c>
      <c r="AL144" s="40">
        <f>IF($J$89="x",-1,IF(AND($J$89=0,INDEX(KonZeile4,4)+INDEX(KonSpalte9,4)+INDEX(KonFeld4,4)=0),4,0))</f>
        <v>-1</v>
      </c>
      <c r="AM144" s="39">
        <f>IF($J$89="x",-1,IF(AND($J$89=0,INDEX(KonZeile4,5)+INDEX(KonSpalte9,5)+INDEX(KonFeld4,5)=0),5,0))</f>
        <v>-1</v>
      </c>
      <c r="AN144" s="95">
        <f>IF($J$89="x",-1,IF(AND($J$89=0,INDEX(KonZeile4,6)+INDEX(KonSpalte9,6)+INDEX(KonFeld4,6)=0),6,0))</f>
        <v>-1</v>
      </c>
      <c r="AO144" s="94">
        <f>IF($K$89="x",-1,IF(AND($K$89=0,INDEX(KonZeile4,4)+INDEX(KonSpalte1,4)+INDEX(KonFeld5,4)=0),4,0))</f>
        <v>-1</v>
      </c>
      <c r="AP144" s="39">
        <f>IF($K$89="x",-1,IF(AND($K$89=0,INDEX(KonZeile4,5)+INDEX(KonSpalte1,5)+INDEX(KonFeld5,5)=0),5,0))</f>
        <v>-1</v>
      </c>
      <c r="AQ144" s="41">
        <f>IF($K$89="x",-1,IF(AND($K$89=0,INDEX(KonZeile4,6)+INDEX(KonSpalte1,6)+INDEX(KonFeld5,6)=0),6,0))</f>
        <v>-1</v>
      </c>
      <c r="AR144" s="40">
        <f>IF($L$89="x",-1,IF(AND($L$89=0,INDEX(KonZeile4,4)+INDEX(KonSpalte2,4)+INDEX(KonFeld5,4)=0),4,0))</f>
        <v>-1</v>
      </c>
      <c r="AS144" s="39">
        <f>IF($L$89="x",-1,IF(AND($L$89=0,INDEX(KonZeile4,5)+INDEX(KonSpalte2,5)+INDEX(KonFeld5,5)=0),5,0))</f>
        <v>-1</v>
      </c>
      <c r="AT144" s="41">
        <f>IF($L$89="x",-1,IF(AND($L$89=0,INDEX(KonZeile4,6)+INDEX(KonSpalte2,6)+INDEX(KonFeld5,6)=0),6,0))</f>
        <v>-1</v>
      </c>
      <c r="AU144" s="40">
        <f>IF($M$89="x",-1,IF(AND($M$89=0,INDEX(KonZeile4,4)+INDEX(KonSpalte3,4)+INDEX(KonFeld5,4)=0),4,0))</f>
        <v>0</v>
      </c>
      <c r="AV144" s="39">
        <f>IF($M$89="x",-1,IF(AND($M$89=0,INDEX(KonZeile4,5)+INDEX(KonSpalte3,5)+INDEX(KonFeld5,5)=0),5,0))</f>
        <v>0</v>
      </c>
      <c r="AW144" s="42">
        <f>IF($M$89="x",-1,IF(AND($M$89=0,INDEX(KonZeile4,6)+INDEX(KonSpalte3,6)+INDEX(KonFeld5,6)=0),6,0))</f>
        <v>0</v>
      </c>
      <c r="AX144" s="43">
        <f>IF($N$89="x",-1,IF(AND($N$89=0,INDEX(KonZeile4,4)+INDEX(KonSpalte4,4)+INDEX(KonFeld5,4)=0),4,0))</f>
        <v>-1</v>
      </c>
      <c r="AY144" s="39">
        <f>IF($N$89="x",-1,IF(AND($N$89=0,INDEX(KonZeile4,5)+INDEX(KonSpalte4,5)+INDEX(KonFeld5,5)=0),5,0))</f>
        <v>-1</v>
      </c>
      <c r="AZ144" s="41">
        <f>IF($N$89="x",-1,IF(AND($N$89=0,INDEX(KonZeile4,6)+INDEX(KonSpalte4,6)+INDEX(KonFeld5,6)=0),6,0))</f>
        <v>-1</v>
      </c>
      <c r="BA144" s="40">
        <f>IF($O$89="x",-1,IF(AND($O$89=0,INDEX(KonZeile4,4)+INDEX(KonSpalte5,4)+INDEX(KonFeld5,4)=0),4,0))</f>
        <v>-1</v>
      </c>
      <c r="BB144" s="39">
        <f>IF($O$89="x",-1,IF(AND($O$89=0,INDEX(KonZeile4,5)+INDEX(KonSpalte5,5)+INDEX(KonFeld5,5)=0),5,0))</f>
        <v>-1</v>
      </c>
      <c r="BC144" s="41">
        <f>IF($O$89="x",-1,IF(AND($O$89=0,INDEX(KonZeile4,6)+INDEX(KonSpalte5,6)+INDEX(KonFeld5,6)=0),6,0))</f>
        <v>-1</v>
      </c>
      <c r="BD144" s="40">
        <f>IF($P$89="x",-1,IF(AND($P$89=0,INDEX(KonZeile4,4)+INDEX(KonSpalte6,4)+INDEX(KonFeld5,4)=0),4,0))</f>
        <v>0</v>
      </c>
      <c r="BE144" s="39">
        <f>IF($P$89="x",-1,IF(AND($P$89=0,INDEX(KonZeile4,5)+INDEX(KonSpalte6,5)+INDEX(KonFeld5,5)=0),5,0))</f>
        <v>0</v>
      </c>
      <c r="BF144" s="42">
        <f>IF($P$89="x",-1,IF(AND($P$89=0,INDEX(KonZeile4,6)+INDEX(KonSpalte6,6)+INDEX(KonFeld5,6)=0),6,0))</f>
        <v>0</v>
      </c>
      <c r="BG144" s="43">
        <f>IF($Q$89="x",-1,IF(AND($Q$89=0,INDEX(KonZeile4,4)+INDEX(KonSpalte7,4)+INDEX(KonFeld5,4)=0),4,0))</f>
        <v>-1</v>
      </c>
      <c r="BH144" s="39">
        <f>IF($Q$89="x",-1,IF(AND($Q$89=0,INDEX(KonZeile4,5)+INDEX(KonSpalte7,5)+INDEX(KonFeld5,5)=0),5,0))</f>
        <v>-1</v>
      </c>
      <c r="BI144" s="41">
        <f>IF($Q$89="x",-1,IF(AND($Q$89=0,INDEX(KonZeile4,6)+INDEX(KonSpalte7,6)+INDEX(KonFeld5,6)=0),6,0))</f>
        <v>-1</v>
      </c>
      <c r="BJ144" s="40">
        <f>IF($R$89="x",-1,IF(AND($R$89=0,INDEX(KonZeile4,4)+INDEX(KonSpalte8,4)+INDEX(KonFeld5,4)=0),4,0))</f>
        <v>-1</v>
      </c>
      <c r="BK144" s="39">
        <f>IF($R$89="x",-1,IF(AND($R$89=0,INDEX(KonZeile4,5)+INDEX(KonSpalte8,5)+INDEX(KonFeld5,5)=0),5,0))</f>
        <v>-1</v>
      </c>
      <c r="BL144" s="41">
        <f>IF($R$89="x",-1,IF(AND($R$89=0,INDEX(KonZeile4,6)+INDEX(KonSpalte8,6)+INDEX(KonFeld5,6)=0),6,0))</f>
        <v>-1</v>
      </c>
      <c r="BM144" s="40">
        <f>IF($S$89="x",-1,IF(AND($S$89=0,INDEX(KonZeile4,4)+INDEX(KonSpalte9,4)+INDEX(KonFeld5,4)=0),4,0))</f>
        <v>-1</v>
      </c>
      <c r="BN144" s="39">
        <f>IF($S$89="x",-1,IF(AND($S$89=0,INDEX(KonZeile4,5)+INDEX(KonSpalte9,5)+INDEX(KonFeld5,5)=0),5,0))</f>
        <v>-1</v>
      </c>
      <c r="BO144" s="95">
        <f>IF($S$89="x",-1,IF(AND($S$89=0,INDEX(KonZeile4,6)+INDEX(KonSpalte9,6)+INDEX(KonFeld5,6)=0),6,0))</f>
        <v>-1</v>
      </c>
      <c r="BP144" s="94">
        <f>IF($T$89="x",-1,IF(AND($T$89=0,INDEX(KonZeile4,4)+INDEX(KonSpalte1,4)+INDEX(KonFeld6,4)=0),4,0))</f>
        <v>-1</v>
      </c>
      <c r="BQ144" s="39">
        <f>IF($T$89="x",-1,IF(AND($T$89=0,INDEX(KonZeile4,5)+INDEX(KonSpalte1,5)+INDEX(KonFeld6,5)=0),5,0))</f>
        <v>-1</v>
      </c>
      <c r="BR144" s="41">
        <f>IF($T$89="x",-1,IF(AND($T$89=0,INDEX(KonZeile4,6)+INDEX(KonSpalte1,6)+INDEX(KonFeld6,6)=0),6,0))</f>
        <v>-1</v>
      </c>
      <c r="BS144" s="40">
        <f>IF($U$89="x",-1,IF(AND($U$89=0,INDEX(KonZeile4,4)+INDEX(KonSpalte2,4)+INDEX(KonFeld6,4)=0),4,0))</f>
        <v>-1</v>
      </c>
      <c r="BT144" s="39">
        <f>IF($U$89="x",-1,IF(AND($U$89=0,INDEX(KonZeile4,5)+INDEX(KonSpalte2,5)+INDEX(KonFeld6,5)=0),5,0))</f>
        <v>-1</v>
      </c>
      <c r="BU144" s="41">
        <f>IF($U$89="x",-1,IF(AND($U$89=0,INDEX(KonZeile4,6)+INDEX(KonSpalte2,6)+INDEX(KonFeld6,6)=0),6,0))</f>
        <v>-1</v>
      </c>
      <c r="BV144" s="40">
        <f>IF($V$89="x",-1,IF(AND($V$89=0,INDEX(KonZeile4,4)+INDEX(KonSpalte3,4)+INDEX(KonFeld6,4)=0),4,0))</f>
        <v>-1</v>
      </c>
      <c r="BW144" s="39">
        <f>IF($V$89="x",-1,IF(AND($V$89=0,INDEX(KonZeile4,5)+INDEX(KonSpalte3,5)+INDEX(KonFeld6,5)=0),5,0))</f>
        <v>-1</v>
      </c>
      <c r="BX144" s="42">
        <f>IF($V$89="x",-1,IF(AND($V$89=0,INDEX(KonZeile4,6)+INDEX(KonSpalte3,6)+INDEX(KonFeld6,6)=0),6,0))</f>
        <v>-1</v>
      </c>
      <c r="BY144" s="43">
        <f>IF($W$89="x",-1,IF(AND($W$89=0,INDEX(KonZeile4,4)+INDEX(KonSpalte4,4)+INDEX(KonFeld6,4)=0),4,0))</f>
        <v>-1</v>
      </c>
      <c r="BZ144" s="39">
        <f>IF($W$89="x",-1,IF(AND($W$89=0,INDEX(KonZeile4,5)+INDEX(KonSpalte4,5)+INDEX(KonFeld6,5)=0),5,0))</f>
        <v>-1</v>
      </c>
      <c r="CA144" s="41">
        <f>IF($W$89="x",-1,IF(AND($W$89=0,INDEX(KonZeile4,6)+INDEX(KonSpalte4,6)+INDEX(KonFeld6,6)=0),6,0))</f>
        <v>-1</v>
      </c>
      <c r="CB144" s="40">
        <f>IF($X$89="x",-1,IF(AND($X$89=0,INDEX(KonZeile4,4)+INDEX(KonSpalte5,4)+INDEX(KonFeld6,4)=0),4,0))</f>
        <v>-1</v>
      </c>
      <c r="CC144" s="39">
        <f>IF($X$89="x",-1,IF(AND($X$89=0,INDEX(KonZeile4,5)+INDEX(KonSpalte5,5)+INDEX(KonFeld6,5)=0),5,0))</f>
        <v>-1</v>
      </c>
      <c r="CD144" s="41">
        <f>IF($X$89="x",-1,IF(AND($X$89=0,INDEX(KonZeile4,6)+INDEX(KonSpalte5,6)+INDEX(KonFeld6,6)=0),6,0))</f>
        <v>-1</v>
      </c>
      <c r="CE144" s="40">
        <f>IF($Y$89="x",-1,IF(AND($Y$89=0,INDEX(KonZeile4,4)+INDEX(KonSpalte6,4)+INDEX(KonFeld6,4)=0),4,0))</f>
        <v>-1</v>
      </c>
      <c r="CF144" s="39">
        <f>IF($Y$89="x",-1,IF(AND($Y$89=0,INDEX(KonZeile4,5)+INDEX(KonSpalte6,5)+INDEX(KonFeld6,5)=0),5,0))</f>
        <v>-1</v>
      </c>
      <c r="CG144" s="42">
        <f>IF($Y$89="x",-1,IF(AND($Y$89=0,INDEX(KonZeile4,6)+INDEX(KonSpalte6,6)+INDEX(KonFeld6,6)=0),6,0))</f>
        <v>-1</v>
      </c>
      <c r="CH144" s="43">
        <f>IF($Z$89="x",-1,IF(AND($Z$89=0,INDEX(KonZeile4,4)+INDEX(KonSpalte7,4)+INDEX(KonFeld6,4)=0),4,0))</f>
        <v>0</v>
      </c>
      <c r="CI144" s="39">
        <f>IF($Z$89="x",-1,IF(AND($Z$89=0,INDEX(KonZeile4,5)+INDEX(KonSpalte7,5)+INDEX(KonFeld6,5)=0),5,0))</f>
        <v>0</v>
      </c>
      <c r="CJ144" s="41">
        <f>IF($Z$89="x",-1,IF(AND($Z$89=0,INDEX(KonZeile4,6)+INDEX(KonSpalte7,6)+INDEX(KonFeld6,6)=0),6,0))</f>
        <v>0</v>
      </c>
      <c r="CK144" s="40">
        <f>IF($AA$89="x",-1,IF(AND($AA$89=0,INDEX(KonZeile4,4)+INDEX(KonSpalte8,4)+INDEX(KonFeld6,4)=0),4,0))</f>
        <v>-1</v>
      </c>
      <c r="CL144" s="39">
        <f>IF($AA$89="x",-1,IF(AND($AA$89=0,INDEX(KonZeile4,5)+INDEX(KonSpalte8,5)+INDEX(KonFeld6,5)=0),5,0))</f>
        <v>-1</v>
      </c>
      <c r="CM144" s="41">
        <f>IF($AA$89="x",-1,IF(AND($AA$89=0,INDEX(KonZeile4,6)+INDEX(KonSpalte8,6)+INDEX(KonFeld6,6)=0),6,0))</f>
        <v>-1</v>
      </c>
      <c r="CN144" s="40">
        <f>IF($AB$89="x",-1,IF(AND($AB$89=0,INDEX(KonZeile4,4)+INDEX(KonSpalte9,4)+INDEX(KonFeld6,4)=0),4,0))</f>
        <v>-1</v>
      </c>
      <c r="CO144" s="39">
        <f>IF($AB$89="x",-1,IF(AND($AB$89=0,INDEX(KonZeile4,5)+INDEX(KonSpalte9,5)+INDEX(KonFeld6,5)=0),5,0))</f>
        <v>-1</v>
      </c>
      <c r="CP144" s="95">
        <f>IF($AB$89="x",-1,IF(AND($AB$89=0,INDEX(KonZeile4,6)+INDEX(KonSpalte9,6)+INDEX(KonFeld6,6)=0),6,0))</f>
        <v>-1</v>
      </c>
      <c r="CR144" s="40">
        <f>COUNTIF(N144:CP144,4)</f>
        <v>0</v>
      </c>
      <c r="CS144" s="39">
        <f>COUNTIF(N144:CP144,5)</f>
        <v>0</v>
      </c>
      <c r="CT144" s="41">
        <f>COUNTIF(N144:CP144,6)</f>
        <v>0</v>
      </c>
      <c r="CU144" s="39"/>
      <c r="CV144" s="39"/>
      <c r="CX144" s="72">
        <f t="shared" si="185"/>
        <v>0</v>
      </c>
      <c r="CY144" s="73">
        <f t="shared" si="185"/>
        <v>0</v>
      </c>
      <c r="CZ144" s="74">
        <f t="shared" si="185"/>
        <v>0</v>
      </c>
      <c r="DJ144" s="94">
        <f t="shared" si="186"/>
        <v>4</v>
      </c>
      <c r="DK144" s="39">
        <f t="shared" si="187"/>
        <v>0</v>
      </c>
      <c r="DL144" s="41">
        <f t="shared" si="188"/>
        <v>0</v>
      </c>
      <c r="DM144" s="40">
        <f t="shared" si="189"/>
        <v>-1</v>
      </c>
      <c r="DN144" s="39">
        <f t="shared" si="190"/>
        <v>-1</v>
      </c>
      <c r="DO144" s="41">
        <f t="shared" si="191"/>
        <v>-1</v>
      </c>
      <c r="DP144" s="40">
        <f t="shared" si="192"/>
        <v>-1</v>
      </c>
      <c r="DQ144" s="39">
        <f t="shared" si="193"/>
        <v>-1</v>
      </c>
      <c r="DR144" s="42">
        <f t="shared" si="194"/>
        <v>-1</v>
      </c>
      <c r="DS144" s="43">
        <f t="shared" si="195"/>
        <v>-1</v>
      </c>
      <c r="DT144" s="39">
        <f t="shared" si="196"/>
        <v>-1</v>
      </c>
      <c r="DU144" s="41">
        <f t="shared" si="197"/>
        <v>-1</v>
      </c>
      <c r="DV144" s="40">
        <f t="shared" si="198"/>
        <v>-1</v>
      </c>
      <c r="DW144" s="39">
        <f t="shared" si="199"/>
        <v>-1</v>
      </c>
      <c r="DX144" s="41">
        <f t="shared" si="200"/>
        <v>-1</v>
      </c>
      <c r="DY144" s="40">
        <f t="shared" si="201"/>
        <v>-1</v>
      </c>
      <c r="DZ144" s="39">
        <f t="shared" si="202"/>
        <v>-1</v>
      </c>
      <c r="EA144" s="42">
        <f t="shared" si="203"/>
        <v>-1</v>
      </c>
      <c r="EB144" s="43">
        <f t="shared" si="204"/>
        <v>-1</v>
      </c>
      <c r="EC144" s="39">
        <f t="shared" si="205"/>
        <v>-1</v>
      </c>
      <c r="ED144" s="41">
        <f t="shared" si="206"/>
        <v>-1</v>
      </c>
      <c r="EE144" s="40">
        <f t="shared" si="207"/>
        <v>-1</v>
      </c>
      <c r="EF144" s="39">
        <f t="shared" si="208"/>
        <v>-1</v>
      </c>
      <c r="EG144" s="41">
        <f t="shared" si="209"/>
        <v>-1</v>
      </c>
      <c r="EH144" s="40">
        <f t="shared" si="210"/>
        <v>-1</v>
      </c>
      <c r="EI144" s="39">
        <f t="shared" si="211"/>
        <v>-1</v>
      </c>
      <c r="EJ144" s="95">
        <f t="shared" si="212"/>
        <v>-1</v>
      </c>
      <c r="EK144" s="94">
        <f t="shared" si="213"/>
        <v>-1</v>
      </c>
      <c r="EL144" s="39">
        <f t="shared" si="214"/>
        <v>-1</v>
      </c>
      <c r="EM144" s="41">
        <f t="shared" si="215"/>
        <v>-1</v>
      </c>
      <c r="EN144" s="40">
        <f t="shared" si="216"/>
        <v>-1</v>
      </c>
      <c r="EO144" s="39">
        <f t="shared" si="217"/>
        <v>-1</v>
      </c>
      <c r="EP144" s="41">
        <f t="shared" si="218"/>
        <v>-1</v>
      </c>
      <c r="EQ144" s="40">
        <f t="shared" si="219"/>
        <v>-1</v>
      </c>
      <c r="ER144" s="39">
        <f t="shared" si="220"/>
        <v>-1</v>
      </c>
      <c r="ES144" s="42">
        <f t="shared" si="221"/>
        <v>-1</v>
      </c>
      <c r="ET144" s="43">
        <f t="shared" si="222"/>
        <v>4</v>
      </c>
      <c r="EU144" s="39">
        <f t="shared" si="223"/>
        <v>0</v>
      </c>
      <c r="EV144" s="41">
        <f t="shared" si="224"/>
        <v>0</v>
      </c>
      <c r="EW144" s="40">
        <f t="shared" si="225"/>
        <v>0</v>
      </c>
      <c r="EX144" s="39">
        <f t="shared" si="226"/>
        <v>0</v>
      </c>
      <c r="EY144" s="41">
        <f t="shared" si="227"/>
        <v>0</v>
      </c>
      <c r="EZ144" s="40">
        <f t="shared" si="228"/>
        <v>-1</v>
      </c>
      <c r="FA144" s="39">
        <f t="shared" si="229"/>
        <v>-1</v>
      </c>
      <c r="FB144" s="42">
        <f t="shared" si="230"/>
        <v>-1</v>
      </c>
      <c r="FC144" s="43">
        <f t="shared" si="231"/>
        <v>-1</v>
      </c>
      <c r="FD144" s="39">
        <f t="shared" si="232"/>
        <v>-1</v>
      </c>
      <c r="FE144" s="41">
        <f t="shared" si="233"/>
        <v>-1</v>
      </c>
      <c r="FF144" s="40">
        <f t="shared" si="234"/>
        <v>-1</v>
      </c>
      <c r="FG144" s="39">
        <f t="shared" si="235"/>
        <v>-1</v>
      </c>
      <c r="FH144" s="41">
        <f t="shared" si="236"/>
        <v>-1</v>
      </c>
      <c r="FI144" s="40">
        <f t="shared" si="237"/>
        <v>-1</v>
      </c>
      <c r="FJ144" s="39">
        <f t="shared" si="238"/>
        <v>-1</v>
      </c>
      <c r="FK144" s="95">
        <f t="shared" si="239"/>
        <v>-1</v>
      </c>
      <c r="FL144" s="94">
        <f t="shared" si="240"/>
        <v>-1</v>
      </c>
      <c r="FM144" s="39">
        <f t="shared" si="241"/>
        <v>-1</v>
      </c>
      <c r="FN144" s="41">
        <f t="shared" si="242"/>
        <v>-1</v>
      </c>
      <c r="FO144" s="40">
        <f t="shared" si="243"/>
        <v>-1</v>
      </c>
      <c r="FP144" s="39">
        <f t="shared" si="244"/>
        <v>-1</v>
      </c>
      <c r="FQ144" s="41">
        <f t="shared" si="245"/>
        <v>-1</v>
      </c>
      <c r="FR144" s="40">
        <f t="shared" si="246"/>
        <v>-1</v>
      </c>
      <c r="FS144" s="39">
        <f t="shared" si="247"/>
        <v>-1</v>
      </c>
      <c r="FT144" s="42">
        <f t="shared" si="248"/>
        <v>-1</v>
      </c>
      <c r="FU144" s="43">
        <f t="shared" si="249"/>
        <v>-1</v>
      </c>
      <c r="FV144" s="39">
        <f t="shared" si="250"/>
        <v>-1</v>
      </c>
      <c r="FW144" s="41">
        <f t="shared" si="251"/>
        <v>-1</v>
      </c>
      <c r="FX144" s="40">
        <f t="shared" si="252"/>
        <v>-1</v>
      </c>
      <c r="FY144" s="39">
        <f t="shared" si="253"/>
        <v>-1</v>
      </c>
      <c r="FZ144" s="41">
        <f t="shared" si="254"/>
        <v>-1</v>
      </c>
      <c r="GA144" s="40">
        <f t="shared" si="255"/>
        <v>-1</v>
      </c>
      <c r="GB144" s="39">
        <f t="shared" si="256"/>
        <v>-1</v>
      </c>
      <c r="GC144" s="42">
        <f t="shared" si="257"/>
        <v>-1</v>
      </c>
      <c r="GD144" s="43">
        <f t="shared" si="258"/>
        <v>-1</v>
      </c>
      <c r="GE144" s="39">
        <f t="shared" si="259"/>
        <v>-1</v>
      </c>
      <c r="GF144" s="41">
        <f t="shared" si="260"/>
        <v>-1</v>
      </c>
      <c r="GG144" s="40">
        <f t="shared" si="261"/>
        <v>-1</v>
      </c>
      <c r="GH144" s="39">
        <f t="shared" si="262"/>
        <v>-1</v>
      </c>
      <c r="GI144" s="41">
        <f t="shared" si="263"/>
        <v>-1</v>
      </c>
      <c r="GJ144" s="40">
        <f t="shared" si="264"/>
        <v>4</v>
      </c>
      <c r="GK144" s="39">
        <f t="shared" si="265"/>
        <v>0</v>
      </c>
      <c r="GL144" s="95">
        <f t="shared" si="266"/>
        <v>6</v>
      </c>
      <c r="GN144" s="40">
        <f>COUNTIF(DJ144:GL144,4)</f>
        <v>3</v>
      </c>
      <c r="GO144" s="39">
        <f>COUNTIF(DJ144:GL144,5)</f>
        <v>0</v>
      </c>
      <c r="GP144" s="41">
        <f>COUNTIF(DJ144:GL144,6)</f>
        <v>1</v>
      </c>
      <c r="GQ144" s="39"/>
      <c r="GR144" s="39"/>
      <c r="GT144" s="96">
        <f t="shared" si="267"/>
        <v>5</v>
      </c>
      <c r="GU144" s="97">
        <f t="shared" si="268"/>
        <v>0</v>
      </c>
      <c r="GV144" s="98">
        <f t="shared" si="269"/>
        <v>2</v>
      </c>
    </row>
    <row r="145" spans="2:204" ht="15" customHeight="1" thickBot="1">
      <c r="B145" s="72" t="str">
        <f t="shared" si="174"/>
        <v>x</v>
      </c>
      <c r="C145" s="73" t="str">
        <f t="shared" si="175"/>
        <v>x</v>
      </c>
      <c r="D145" s="73" t="str">
        <f t="shared" si="176"/>
        <v>x</v>
      </c>
      <c r="E145" s="73" t="str">
        <f t="shared" si="177"/>
        <v>x</v>
      </c>
      <c r="F145" s="73" t="str">
        <f t="shared" si="178"/>
        <v>x</v>
      </c>
      <c r="G145" s="73" t="str">
        <f t="shared" si="179"/>
        <v>x</v>
      </c>
      <c r="H145" s="73" t="str">
        <f t="shared" si="180"/>
        <v>x</v>
      </c>
      <c r="I145" s="73">
        <f t="shared" si="181"/>
        <v>7</v>
      </c>
      <c r="J145" s="74" t="str">
        <f t="shared" si="182"/>
        <v>x</v>
      </c>
      <c r="N145" s="99">
        <f>IF($B$89="x",-1,IF(AND($B$89=0,INDEX(KonZeile4,7)+INDEX(KonSpalte1,7)+INDEX(KonFeld4,7)=0),7,0))</f>
        <v>-1</v>
      </c>
      <c r="O145" s="45">
        <f>IF($B$89="x",-1,IF(AND($B$89=0,INDEX(KonZeile4,8)+INDEX(KonSpalte1,8)+INDEX(KonFeld4,8)=0),8,0))</f>
        <v>-1</v>
      </c>
      <c r="P145" s="47">
        <f>IF($B$89="x",-1,IF(AND($B$89=0,INDEX(KonZeile4,9)+INDEX(KonSpalte1,9)+INDEX(KonFeld4,9)=0),9,0))</f>
        <v>-1</v>
      </c>
      <c r="Q145" s="46">
        <f>IF($C$89="x",-1,IF(AND($C$89=0,INDEX(KonZeile4,7)+INDEX(KonSpalte2,7)+INDEX(KonFeld4,7)=0),7,0))</f>
        <v>-1</v>
      </c>
      <c r="R145" s="45">
        <f>IF($C$89="x",-1,IF(AND($C$89=0,INDEX(KonZeile4,8)+INDEX(KonSpalte2,8)+INDEX(KonFeld4,8)=0),8,0))</f>
        <v>-1</v>
      </c>
      <c r="S145" s="47">
        <f>IF($C$89="x",-1,IF(AND($C$89=0,INDEX(KonZeile4,9)+INDEX(KonSpalte2,9)+INDEX(KonFeld4,9)=0),9,0))</f>
        <v>-1</v>
      </c>
      <c r="T145" s="46">
        <f>IF($D$89="x",-1,IF(AND($D$89=0,INDEX(KonZeile4,7)+INDEX(KonSpalte3,7)+INDEX(KonFeld4,7)=0),7,0))</f>
        <v>-1</v>
      </c>
      <c r="U145" s="45">
        <f>IF($D$89="x",-1,IF(AND($D$89=0,INDEX(KonZeile4,8)+INDEX(KonSpalte3,8)+INDEX(KonFeld4,8)=0),8,0))</f>
        <v>-1</v>
      </c>
      <c r="V145" s="48">
        <f>IF($D$89="x",-1,IF(AND($D$89=0,INDEX(KonZeile4,9)+INDEX(KonSpalte3,9)+INDEX(KonFeld4,9)=0),9,0))</f>
        <v>-1</v>
      </c>
      <c r="W145" s="44">
        <f>IF($E$89="x",-1,IF(AND($E$89=0,INDEX(KonZeile4,7)+INDEX(KonSpalte4,7)+INDEX(KonFeld4,7)=0),7,0))</f>
        <v>-1</v>
      </c>
      <c r="X145" s="45">
        <f>IF($E$89="x",-1,IF(AND($E$89=0,INDEX(KonZeile4,8)+INDEX(KonSpalte4,8)+INDEX(KonFeld4,8)=0),8,0))</f>
        <v>-1</v>
      </c>
      <c r="Y145" s="47">
        <f>IF($E$89="x",-1,IF(AND($E$89=0,INDEX(KonZeile4,9)+INDEX(KonSpalte4,9)+INDEX(KonFeld4,9)=0),9,0))</f>
        <v>-1</v>
      </c>
      <c r="Z145" s="46">
        <f>IF($F$89="x",-1,IF(AND($F$89=0,INDEX(KonZeile4,7)+INDEX(KonSpalte5,7)+INDEX(KonFeld4,7)=0),7,0))</f>
        <v>-1</v>
      </c>
      <c r="AA145" s="45">
        <f>IF($F$89="x",-1,IF(AND($F$89=0,INDEX(KonZeile4,8)+INDEX(KonSpalte5,8)+INDEX(KonFeld4,8)=0),8,0))</f>
        <v>-1</v>
      </c>
      <c r="AB145" s="47">
        <f>IF($F$89="x",-1,IF(AND($F$89=0,INDEX(KonZeile4,9)+INDEX(KonSpalte5,9)+INDEX(KonFeld4,9)=0),9,0))</f>
        <v>-1</v>
      </c>
      <c r="AC145" s="46">
        <f>IF($G$89="x",-1,IF(AND($G$89=0,INDEX(KonZeile4,7)+INDEX(KonSpalte6,7)+INDEX(KonFeld4,7)=0),7,0))</f>
        <v>-1</v>
      </c>
      <c r="AD145" s="45">
        <f>IF($G$89="x",-1,IF(AND($G$89=0,INDEX(KonZeile4,8)+INDEX(KonSpalte6,8)+INDEX(KonFeld4,8)=0),8,0))</f>
        <v>-1</v>
      </c>
      <c r="AE145" s="48">
        <f>IF($G$89="x",-1,IF(AND($G$89=0,INDEX(KonZeile4,9)+INDEX(KonSpalte6,9)+INDEX(KonFeld4,9)=0),9,0))</f>
        <v>-1</v>
      </c>
      <c r="AF145" s="44">
        <f>IF($H$89="x",-1,IF(AND($H$89=0,INDEX(KonZeile4,7)+INDEX(KonSpalte7,7)+INDEX(KonFeld4,7)=0),7,0))</f>
        <v>-1</v>
      </c>
      <c r="AG145" s="45">
        <f>IF($H$89="x",-1,IF(AND($H$89=0,INDEX(KonZeile4,8)+INDEX(KonSpalte7,8)+INDEX(KonFeld4,8)=0),8,0))</f>
        <v>-1</v>
      </c>
      <c r="AH145" s="47">
        <f>IF($H$89="x",-1,IF(AND($H$89=0,INDEX(KonZeile4,9)+INDEX(KonSpalte7,9)+INDEX(KonFeld4,9)=0),9,0))</f>
        <v>-1</v>
      </c>
      <c r="AI145" s="46">
        <f>IF($I$89="x",-1,IF(AND($I$89=0,INDEX(KonZeile4,7)+INDEX(KonSpalte8,7)+INDEX(KonFeld4,7)=0),7,0))</f>
        <v>-1</v>
      </c>
      <c r="AJ145" s="45">
        <f>IF($I$89="x",-1,IF(AND($I$89=0,INDEX(KonZeile4,8)+INDEX(KonSpalte8,8)+INDEX(KonFeld4,8)=0),8,0))</f>
        <v>-1</v>
      </c>
      <c r="AK145" s="47">
        <f>IF($I$89="x",-1,IF(AND($I$89=0,INDEX(KonZeile4,9)+INDEX(KonSpalte8,9)+INDEX(KonFeld4,9)=0),9,0))</f>
        <v>-1</v>
      </c>
      <c r="AL145" s="46">
        <f>IF($J$89="x",-1,IF(AND($J$89=0,INDEX(KonZeile4,7)+INDEX(KonSpalte9,7)+INDEX(KonFeld4,7)=0),7,0))</f>
        <v>-1</v>
      </c>
      <c r="AM145" s="45">
        <f>IF($J$89="x",-1,IF(AND($J$89=0,INDEX(KonZeile4,8)+INDEX(KonSpalte9,8)+INDEX(KonFeld4,8)=0),8,0))</f>
        <v>-1</v>
      </c>
      <c r="AN145" s="100">
        <f>IF($J$89="x",-1,IF(AND($J$89=0,INDEX(KonZeile4,9)+INDEX(KonSpalte9,9)+INDEX(KonFeld4,9)=0),9,0))</f>
        <v>-1</v>
      </c>
      <c r="AO145" s="99">
        <f>IF($K$89="x",-1,IF(AND($K$89=0,INDEX(KonZeile4,7)+INDEX(KonSpalte1,7)+INDEX(KonFeld5,7)=0),7,0))</f>
        <v>-1</v>
      </c>
      <c r="AP145" s="45">
        <f>IF($K$89="x",-1,IF(AND($K$89=0,INDEX(KonZeile4,8)+INDEX(KonSpalte1,8)+INDEX(KonFeld5,8)=0),8,0))</f>
        <v>-1</v>
      </c>
      <c r="AQ145" s="47">
        <f>IF($K$89="x",-1,IF(AND($K$89=0,INDEX(KonZeile4,9)+INDEX(KonSpalte1,9)+INDEX(KonFeld5,9)=0),9,0))</f>
        <v>-1</v>
      </c>
      <c r="AR145" s="46">
        <f>IF($L$89="x",-1,IF(AND($L$89=0,INDEX(KonZeile4,7)+INDEX(KonSpalte2,7)+INDEX(KonFeld5,7)=0),7,0))</f>
        <v>-1</v>
      </c>
      <c r="AS145" s="45">
        <f>IF($L$89="x",-1,IF(AND($L$89=0,INDEX(KonZeile4,8)+INDEX(KonSpalte2,8)+INDEX(KonFeld5,8)=0),8,0))</f>
        <v>-1</v>
      </c>
      <c r="AT145" s="47">
        <f>IF($L$89="x",-1,IF(AND($L$89=0,INDEX(KonZeile4,9)+INDEX(KonSpalte2,9)+INDEX(KonFeld5,9)=0),9,0))</f>
        <v>-1</v>
      </c>
      <c r="AU145" s="46">
        <f>IF($M$89="x",-1,IF(AND($M$89=0,INDEX(KonZeile4,7)+INDEX(KonSpalte3,7)+INDEX(KonFeld5,7)=0),7,0))</f>
        <v>0</v>
      </c>
      <c r="AV145" s="45">
        <f>IF($M$89="x",-1,IF(AND($M$89=0,INDEX(KonZeile4,8)+INDEX(KonSpalte3,8)+INDEX(KonFeld5,8)=0),8,0))</f>
        <v>0</v>
      </c>
      <c r="AW145" s="48">
        <f>IF($M$89="x",-1,IF(AND($M$89=0,INDEX(KonZeile4,9)+INDEX(KonSpalte3,9)+INDEX(KonFeld5,9)=0),9,0))</f>
        <v>0</v>
      </c>
      <c r="AX145" s="44">
        <f>IF($N$89="x",-1,IF(AND($N$89=0,INDEX(KonZeile4,7)+INDEX(KonSpalte4,7)+INDEX(KonFeld5,7)=0),7,0))</f>
        <v>-1</v>
      </c>
      <c r="AY145" s="45">
        <f>IF($N$89="x",-1,IF(AND($N$89=0,INDEX(KonZeile4,8)+INDEX(KonSpalte4,8)+INDEX(KonFeld5,8)=0),8,0))</f>
        <v>-1</v>
      </c>
      <c r="AZ145" s="47">
        <f>IF($N$89="x",-1,IF(AND($N$89=0,INDEX(KonZeile4,9)+INDEX(KonSpalte4,9)+INDEX(KonFeld5,9)=0),9,0))</f>
        <v>-1</v>
      </c>
      <c r="BA145" s="46">
        <f>IF($O$89="x",-1,IF(AND($O$89=0,INDEX(KonZeile4,7)+INDEX(KonSpalte5,7)+INDEX(KonFeld5,7)=0),7,0))</f>
        <v>-1</v>
      </c>
      <c r="BB145" s="45">
        <f>IF($O$89="x",-1,IF(AND($O$89=0,INDEX(KonZeile4,8)+INDEX(KonSpalte5,8)+INDEX(KonFeld5,8)=0),8,0))</f>
        <v>-1</v>
      </c>
      <c r="BC145" s="47">
        <f>IF($O$89="x",-1,IF(AND($O$89=0,INDEX(KonZeile4,9)+INDEX(KonSpalte5,9)+INDEX(KonFeld5,9)=0),9,0))</f>
        <v>-1</v>
      </c>
      <c r="BD145" s="46">
        <f>IF($P$89="x",-1,IF(AND($P$89=0,INDEX(KonZeile4,7)+INDEX(KonSpalte6,7)+INDEX(KonFeld5,7)=0),7,0))</f>
        <v>0</v>
      </c>
      <c r="BE145" s="45">
        <f>IF($P$89="x",-1,IF(AND($P$89=0,INDEX(KonZeile4,8)+INDEX(KonSpalte6,8)+INDEX(KonFeld5,8)=0),8,0))</f>
        <v>0</v>
      </c>
      <c r="BF145" s="48">
        <f>IF($P$89="x",-1,IF(AND($P$89=0,INDEX(KonZeile4,9)+INDEX(KonSpalte6,9)+INDEX(KonFeld5,9)=0),9,0))</f>
        <v>0</v>
      </c>
      <c r="BG145" s="44">
        <f>IF($Q$89="x",-1,IF(AND($Q$89=0,INDEX(KonZeile4,7)+INDEX(KonSpalte7,7)+INDEX(KonFeld5,7)=0),7,0))</f>
        <v>-1</v>
      </c>
      <c r="BH145" s="45">
        <f>IF($Q$89="x",-1,IF(AND($Q$89=0,INDEX(KonZeile4,8)+INDEX(KonSpalte7,8)+INDEX(KonFeld5,8)=0),8,0))</f>
        <v>-1</v>
      </c>
      <c r="BI145" s="47">
        <f>IF($Q$89="x",-1,IF(AND($Q$89=0,INDEX(KonZeile4,9)+INDEX(KonSpalte7,9)+INDEX(KonFeld5,9)=0),9,0))</f>
        <v>-1</v>
      </c>
      <c r="BJ145" s="46">
        <f>IF($R$89="x",-1,IF(AND($R$89=0,INDEX(KonZeile4,7)+INDEX(KonSpalte8,7)+INDEX(KonFeld5,7)=0),7,0))</f>
        <v>-1</v>
      </c>
      <c r="BK145" s="45">
        <f>IF($R$89="x",-1,IF(AND($R$89=0,INDEX(KonZeile4,8)+INDEX(KonSpalte8,8)+INDEX(KonFeld5,8)=0),8,0))</f>
        <v>-1</v>
      </c>
      <c r="BL145" s="47">
        <f>IF($R$89="x",-1,IF(AND($R$89=0,INDEX(KonZeile4,9)+INDEX(KonSpalte8,9)+INDEX(KonFeld5,9)=0),9,0))</f>
        <v>-1</v>
      </c>
      <c r="BM145" s="46">
        <f>IF($S$89="x",-1,IF(AND($S$89=0,INDEX(KonZeile4,7)+INDEX(KonSpalte9,7)+INDEX(KonFeld5,7)=0),7,0))</f>
        <v>-1</v>
      </c>
      <c r="BN145" s="45">
        <f>IF($S$89="x",-1,IF(AND($S$89=0,INDEX(KonZeile4,8)+INDEX(KonSpalte9,8)+INDEX(KonFeld5,8)=0),8,0))</f>
        <v>-1</v>
      </c>
      <c r="BO145" s="100">
        <f>IF($S$89="x",-1,IF(AND($S$89=0,INDEX(KonZeile4,9)+INDEX(KonSpalte9,9)+INDEX(KonFeld5,9)=0),9,0))</f>
        <v>-1</v>
      </c>
      <c r="BP145" s="99">
        <f>IF($T$89="x",-1,IF(AND($T$89=0,INDEX(KonZeile4,7)+INDEX(KonSpalte1,7)+INDEX(KonFeld6,7)=0),7,0))</f>
        <v>-1</v>
      </c>
      <c r="BQ145" s="45">
        <f>IF($T$89="x",-1,IF(AND($T$89=0,INDEX(KonZeile4,8)+INDEX(KonSpalte1,8)+INDEX(KonFeld6,8)=0),8,0))</f>
        <v>-1</v>
      </c>
      <c r="BR145" s="47">
        <f>IF($T$89="x",-1,IF(AND($T$89=0,INDEX(KonZeile4,9)+INDEX(KonSpalte1,9)+INDEX(KonFeld6,9)=0),9,0))</f>
        <v>-1</v>
      </c>
      <c r="BS145" s="46">
        <f>IF($U$89="x",-1,IF(AND($U$89=0,INDEX(KonZeile4,7)+INDEX(KonSpalte2,7)+INDEX(KonFeld6,7)=0),7,0))</f>
        <v>-1</v>
      </c>
      <c r="BT145" s="45">
        <f>IF($U$89="x",-1,IF(AND($U$89=0,INDEX(KonZeile4,8)+INDEX(KonSpalte2,8)+INDEX(KonFeld6,8)=0),8,0))</f>
        <v>-1</v>
      </c>
      <c r="BU145" s="47">
        <f>IF($U$89="x",-1,IF(AND($U$89=0,INDEX(KonZeile4,9)+INDEX(KonSpalte2,9)+INDEX(KonFeld6,9)=0),9,0))</f>
        <v>-1</v>
      </c>
      <c r="BV145" s="46">
        <f>IF($V$89="x",-1,IF(AND($V$89=0,INDEX(KonZeile4,7)+INDEX(KonSpalte3,7)+INDEX(KonFeld6,7)=0),7,0))</f>
        <v>-1</v>
      </c>
      <c r="BW145" s="45">
        <f>IF($V$89="x",-1,IF(AND($V$89=0,INDEX(KonZeile4,8)+INDEX(KonSpalte3,8)+INDEX(KonFeld6,8)=0),8,0))</f>
        <v>-1</v>
      </c>
      <c r="BX145" s="48">
        <f>IF($V$89="x",-1,IF(AND($V$89=0,INDEX(KonZeile4,9)+INDEX(KonSpalte3,9)+INDEX(KonFeld6,9)=0),9,0))</f>
        <v>-1</v>
      </c>
      <c r="BY145" s="44">
        <f>IF($W$89="x",-1,IF(AND($W$89=0,INDEX(KonZeile4,7)+INDEX(KonSpalte4,7)+INDEX(KonFeld6,7)=0),7,0))</f>
        <v>-1</v>
      </c>
      <c r="BZ145" s="45">
        <f>IF($W$89="x",-1,IF(AND($W$89=0,INDEX(KonZeile4,8)+INDEX(KonSpalte4,8)+INDEX(KonFeld6,8)=0),8,0))</f>
        <v>-1</v>
      </c>
      <c r="CA145" s="47">
        <f>IF($W$89="x",-1,IF(AND($W$89=0,INDEX(KonZeile4,9)+INDEX(KonSpalte4,9)+INDEX(KonFeld6,9)=0),9,0))</f>
        <v>-1</v>
      </c>
      <c r="CB145" s="46">
        <f>IF($X$89="x",-1,IF(AND($X$89=0,INDEX(KonZeile4,7)+INDEX(KonSpalte5,7)+INDEX(KonFeld6,7)=0),7,0))</f>
        <v>-1</v>
      </c>
      <c r="CC145" s="45">
        <f>IF($X$89="x",-1,IF(AND($X$89=0,INDEX(KonZeile4,8)+INDEX(KonSpalte5,8)+INDEX(KonFeld6,8)=0),8,0))</f>
        <v>-1</v>
      </c>
      <c r="CD145" s="47">
        <f>IF($X$89="x",-1,IF(AND($X$89=0,INDEX(KonZeile4,9)+INDEX(KonSpalte5,9)+INDEX(KonFeld6,9)=0),9,0))</f>
        <v>-1</v>
      </c>
      <c r="CE145" s="46">
        <f>IF($Y$89="x",-1,IF(AND($Y$89=0,INDEX(KonZeile4,7)+INDEX(KonSpalte6,7)+INDEX(KonFeld6,7)=0),7,0))</f>
        <v>-1</v>
      </c>
      <c r="CF145" s="45">
        <f>IF($Y$89="x",-1,IF(AND($Y$89=0,INDEX(KonZeile4,8)+INDEX(KonSpalte6,8)+INDEX(KonFeld6,8)=0),8,0))</f>
        <v>-1</v>
      </c>
      <c r="CG145" s="48">
        <f>IF($Y$89="x",-1,IF(AND($Y$89=0,INDEX(KonZeile4,9)+INDEX(KonSpalte6,9)+INDEX(KonFeld6,9)=0),9,0))</f>
        <v>-1</v>
      </c>
      <c r="CH145" s="44">
        <f>IF($Z$89="x",-1,IF(AND($Z$89=0,INDEX(KonZeile4,7)+INDEX(KonSpalte7,7)+INDEX(KonFeld6,7)=0),7,0))</f>
        <v>0</v>
      </c>
      <c r="CI145" s="45">
        <f>IF($Z$89="x",-1,IF(AND($Z$89=0,INDEX(KonZeile4,8)+INDEX(KonSpalte7,8)+INDEX(KonFeld6,8)=0),8,0))</f>
        <v>0</v>
      </c>
      <c r="CJ145" s="47">
        <f>IF($Z$89="x",-1,IF(AND($Z$89=0,INDEX(KonZeile4,9)+INDEX(KonSpalte7,9)+INDEX(KonFeld6,9)=0),9,0))</f>
        <v>0</v>
      </c>
      <c r="CK145" s="46">
        <f>IF($AA$89="x",-1,IF(AND($AA$89=0,INDEX(KonZeile4,7)+INDEX(KonSpalte8,7)+INDEX(KonFeld6,7)=0),7,0))</f>
        <v>-1</v>
      </c>
      <c r="CL145" s="45">
        <f>IF($AA$89="x",-1,IF(AND($AA$89=0,INDEX(KonZeile4,8)+INDEX(KonSpalte8,8)+INDEX(KonFeld6,8)=0),8,0))</f>
        <v>-1</v>
      </c>
      <c r="CM145" s="47">
        <f>IF($AA$89="x",-1,IF(AND($AA$89=0,INDEX(KonZeile4,9)+INDEX(KonSpalte8,9)+INDEX(KonFeld6,9)=0),9,0))</f>
        <v>-1</v>
      </c>
      <c r="CN145" s="46">
        <f>IF($AB$89="x",-1,IF(AND($AB$89=0,INDEX(KonZeile4,7)+INDEX(KonSpalte9,7)+INDEX(KonFeld6,7)=0),7,0))</f>
        <v>-1</v>
      </c>
      <c r="CO145" s="45">
        <f>IF($AB$89="x",-1,IF(AND($AB$89=0,INDEX(KonZeile4,8)+INDEX(KonSpalte9,8)+INDEX(KonFeld6,8)=0),8,0))</f>
        <v>-1</v>
      </c>
      <c r="CP145" s="100">
        <f>IF($AB$89="x",-1,IF(AND($AB$89=0,INDEX(KonZeile4,9)+INDEX(KonSpalte9,9)+INDEX(KonFeld6,9)=0),9,0))</f>
        <v>-1</v>
      </c>
      <c r="CR145" s="46">
        <f>COUNTIF(N145:CP145,7)</f>
        <v>0</v>
      </c>
      <c r="CS145" s="45">
        <f>COUNTIF(N145:CP145,8)</f>
        <v>0</v>
      </c>
      <c r="CT145" s="47">
        <f>COUNTIF(N145:CP145,9)</f>
        <v>0</v>
      </c>
      <c r="CU145" s="39"/>
      <c r="CV145" s="39"/>
      <c r="CX145" s="78">
        <f t="shared" si="185"/>
        <v>0</v>
      </c>
      <c r="CY145" s="79">
        <f t="shared" si="185"/>
        <v>0</v>
      </c>
      <c r="CZ145" s="80">
        <f t="shared" si="185"/>
        <v>0</v>
      </c>
      <c r="DJ145" s="99">
        <f t="shared" si="186"/>
        <v>0</v>
      </c>
      <c r="DK145" s="45">
        <f t="shared" si="187"/>
        <v>0</v>
      </c>
      <c r="DL145" s="47">
        <f t="shared" si="188"/>
        <v>0</v>
      </c>
      <c r="DM145" s="46">
        <f t="shared" si="189"/>
        <v>-1</v>
      </c>
      <c r="DN145" s="45">
        <f t="shared" si="190"/>
        <v>-1</v>
      </c>
      <c r="DO145" s="47">
        <f t="shared" si="191"/>
        <v>-1</v>
      </c>
      <c r="DP145" s="46">
        <f t="shared" si="192"/>
        <v>-1</v>
      </c>
      <c r="DQ145" s="45">
        <f t="shared" si="193"/>
        <v>-1</v>
      </c>
      <c r="DR145" s="48">
        <f t="shared" si="194"/>
        <v>-1</v>
      </c>
      <c r="DS145" s="44">
        <f t="shared" si="195"/>
        <v>-1</v>
      </c>
      <c r="DT145" s="45">
        <f t="shared" si="196"/>
        <v>-1</v>
      </c>
      <c r="DU145" s="47">
        <f t="shared" si="197"/>
        <v>-1</v>
      </c>
      <c r="DV145" s="46">
        <f t="shared" si="198"/>
        <v>-1</v>
      </c>
      <c r="DW145" s="45">
        <f t="shared" si="199"/>
        <v>-1</v>
      </c>
      <c r="DX145" s="47">
        <f t="shared" si="200"/>
        <v>-1</v>
      </c>
      <c r="DY145" s="46">
        <f t="shared" si="201"/>
        <v>-1</v>
      </c>
      <c r="DZ145" s="45">
        <f t="shared" si="202"/>
        <v>-1</v>
      </c>
      <c r="EA145" s="48">
        <f t="shared" si="203"/>
        <v>-1</v>
      </c>
      <c r="EB145" s="44">
        <f t="shared" si="204"/>
        <v>-1</v>
      </c>
      <c r="EC145" s="45">
        <f t="shared" si="205"/>
        <v>-1</v>
      </c>
      <c r="ED145" s="47">
        <f t="shared" si="206"/>
        <v>-1</v>
      </c>
      <c r="EE145" s="46">
        <f t="shared" si="207"/>
        <v>-1</v>
      </c>
      <c r="EF145" s="45">
        <f t="shared" si="208"/>
        <v>-1</v>
      </c>
      <c r="EG145" s="47">
        <f t="shared" si="209"/>
        <v>-1</v>
      </c>
      <c r="EH145" s="46">
        <f t="shared" si="210"/>
        <v>-1</v>
      </c>
      <c r="EI145" s="45">
        <f t="shared" si="211"/>
        <v>-1</v>
      </c>
      <c r="EJ145" s="100">
        <f t="shared" si="212"/>
        <v>-1</v>
      </c>
      <c r="EK145" s="99">
        <f t="shared" si="213"/>
        <v>-1</v>
      </c>
      <c r="EL145" s="45">
        <f t="shared" si="214"/>
        <v>-1</v>
      </c>
      <c r="EM145" s="47">
        <f t="shared" si="215"/>
        <v>-1</v>
      </c>
      <c r="EN145" s="46">
        <f t="shared" si="216"/>
        <v>-1</v>
      </c>
      <c r="EO145" s="45">
        <f t="shared" si="217"/>
        <v>-1</v>
      </c>
      <c r="EP145" s="47">
        <f t="shared" si="218"/>
        <v>-1</v>
      </c>
      <c r="EQ145" s="46">
        <f t="shared" si="219"/>
        <v>-1</v>
      </c>
      <c r="ER145" s="45">
        <f t="shared" si="220"/>
        <v>-1</v>
      </c>
      <c r="ES145" s="48">
        <f t="shared" si="221"/>
        <v>-1</v>
      </c>
      <c r="ET145" s="44">
        <f t="shared" si="222"/>
        <v>0</v>
      </c>
      <c r="EU145" s="45">
        <f t="shared" si="223"/>
        <v>0</v>
      </c>
      <c r="EV145" s="47">
        <f t="shared" si="224"/>
        <v>0</v>
      </c>
      <c r="EW145" s="46">
        <f t="shared" si="225"/>
        <v>0</v>
      </c>
      <c r="EX145" s="45">
        <f t="shared" si="226"/>
        <v>0</v>
      </c>
      <c r="EY145" s="47">
        <f t="shared" si="227"/>
        <v>0</v>
      </c>
      <c r="EZ145" s="46">
        <f t="shared" si="228"/>
        <v>-1</v>
      </c>
      <c r="FA145" s="45">
        <f t="shared" si="229"/>
        <v>-1</v>
      </c>
      <c r="FB145" s="48">
        <f t="shared" si="230"/>
        <v>-1</v>
      </c>
      <c r="FC145" s="44">
        <f t="shared" si="231"/>
        <v>-1</v>
      </c>
      <c r="FD145" s="45">
        <f t="shared" si="232"/>
        <v>-1</v>
      </c>
      <c r="FE145" s="47">
        <f t="shared" si="233"/>
        <v>-1</v>
      </c>
      <c r="FF145" s="46">
        <f t="shared" si="234"/>
        <v>-1</v>
      </c>
      <c r="FG145" s="45">
        <f t="shared" si="235"/>
        <v>-1</v>
      </c>
      <c r="FH145" s="47">
        <f t="shared" si="236"/>
        <v>-1</v>
      </c>
      <c r="FI145" s="46">
        <f t="shared" si="237"/>
        <v>-1</v>
      </c>
      <c r="FJ145" s="45">
        <f t="shared" si="238"/>
        <v>-1</v>
      </c>
      <c r="FK145" s="100">
        <f t="shared" si="239"/>
        <v>-1</v>
      </c>
      <c r="FL145" s="99">
        <f t="shared" si="240"/>
        <v>-1</v>
      </c>
      <c r="FM145" s="45">
        <f t="shared" si="241"/>
        <v>-1</v>
      </c>
      <c r="FN145" s="47">
        <f t="shared" si="242"/>
        <v>-1</v>
      </c>
      <c r="FO145" s="46">
        <f t="shared" si="243"/>
        <v>-1</v>
      </c>
      <c r="FP145" s="45">
        <f t="shared" si="244"/>
        <v>-1</v>
      </c>
      <c r="FQ145" s="47">
        <f t="shared" si="245"/>
        <v>-1</v>
      </c>
      <c r="FR145" s="46">
        <f t="shared" si="246"/>
        <v>-1</v>
      </c>
      <c r="FS145" s="45">
        <f t="shared" si="247"/>
        <v>-1</v>
      </c>
      <c r="FT145" s="48">
        <f t="shared" si="248"/>
        <v>-1</v>
      </c>
      <c r="FU145" s="44">
        <f t="shared" si="249"/>
        <v>-1</v>
      </c>
      <c r="FV145" s="45">
        <f t="shared" si="250"/>
        <v>-1</v>
      </c>
      <c r="FW145" s="47">
        <f t="shared" si="251"/>
        <v>-1</v>
      </c>
      <c r="FX145" s="46">
        <f t="shared" si="252"/>
        <v>-1</v>
      </c>
      <c r="FY145" s="45">
        <f t="shared" si="253"/>
        <v>-1</v>
      </c>
      <c r="FZ145" s="47">
        <f t="shared" si="254"/>
        <v>-1</v>
      </c>
      <c r="GA145" s="46">
        <f t="shared" si="255"/>
        <v>-1</v>
      </c>
      <c r="GB145" s="45">
        <f t="shared" si="256"/>
        <v>-1</v>
      </c>
      <c r="GC145" s="48">
        <f t="shared" si="257"/>
        <v>-1</v>
      </c>
      <c r="GD145" s="44">
        <f t="shared" si="258"/>
        <v>-1</v>
      </c>
      <c r="GE145" s="45">
        <f t="shared" si="259"/>
        <v>-1</v>
      </c>
      <c r="GF145" s="47">
        <f t="shared" si="260"/>
        <v>-1</v>
      </c>
      <c r="GG145" s="46">
        <f t="shared" si="261"/>
        <v>-1</v>
      </c>
      <c r="GH145" s="45">
        <f t="shared" si="262"/>
        <v>-1</v>
      </c>
      <c r="GI145" s="47">
        <f t="shared" si="263"/>
        <v>-1</v>
      </c>
      <c r="GJ145" s="46">
        <f t="shared" si="264"/>
        <v>0</v>
      </c>
      <c r="GK145" s="45">
        <f t="shared" si="265"/>
        <v>8</v>
      </c>
      <c r="GL145" s="100">
        <f t="shared" si="266"/>
        <v>0</v>
      </c>
      <c r="GN145" s="46">
        <f>COUNTIF(DJ145:GL145,7)</f>
        <v>0</v>
      </c>
      <c r="GO145" s="45">
        <f>COUNTIF(DJ145:GL145,8)</f>
        <v>1</v>
      </c>
      <c r="GP145" s="47">
        <f>COUNTIF(DJ145:GL145,9)</f>
        <v>0</v>
      </c>
      <c r="GQ145" s="39"/>
      <c r="GR145" s="39"/>
      <c r="GT145" s="101">
        <f t="shared" si="267"/>
        <v>1</v>
      </c>
      <c r="GU145" s="102">
        <f t="shared" si="268"/>
        <v>3</v>
      </c>
      <c r="GV145" s="103">
        <f t="shared" si="269"/>
        <v>0</v>
      </c>
    </row>
    <row r="146" spans="2:204" ht="15" customHeight="1">
      <c r="B146" s="72" t="str">
        <f t="shared" si="174"/>
        <v>x</v>
      </c>
      <c r="C146" s="73" t="str">
        <f t="shared" si="175"/>
        <v>x</v>
      </c>
      <c r="D146" s="73" t="str">
        <f t="shared" si="176"/>
        <v>x</v>
      </c>
      <c r="E146" s="73" t="str">
        <f t="shared" si="177"/>
        <v>x</v>
      </c>
      <c r="F146" s="73" t="str">
        <f t="shared" si="178"/>
        <v>x</v>
      </c>
      <c r="G146" s="73" t="str">
        <f t="shared" si="179"/>
        <v>x</v>
      </c>
      <c r="H146" s="73">
        <f t="shared" si="180"/>
        <v>1</v>
      </c>
      <c r="I146" s="73" t="str">
        <f t="shared" si="181"/>
        <v>x</v>
      </c>
      <c r="J146" s="74" t="str">
        <f t="shared" si="182"/>
        <v>x</v>
      </c>
      <c r="N146" s="104">
        <f>IF($B$90="x",-1,IF(AND($B$90=0,INDEX(KonZeile5,1)+INDEX(KonSpalte1,1)+INDEX(KonFeld4,1)=0),1,0))</f>
        <v>-1</v>
      </c>
      <c r="O146" s="50">
        <f>IF($B$90="x",-1,IF(AND($B$90=0,INDEX(KonZeile5,2)+INDEX(KonSpalte1,2)+INDEX(KonFeld4,2)=0),2,0))</f>
        <v>-1</v>
      </c>
      <c r="P146" s="51">
        <f>IF($B$90="x",-1,IF(AND($B$90=0,INDEX(KonZeile5,3)+INDEX(KonSpalte1,3)+INDEX(KonFeld4,3)=0),3,0))</f>
        <v>-1</v>
      </c>
      <c r="Q146" s="52">
        <f>IF($C$90="x",-1,IF(AND($C$90=0,INDEX(KonZeile5,1)+INDEX(KonSpalte2,1)+INDEX(KonFeld4,1)=0),1,0))</f>
        <v>-1</v>
      </c>
      <c r="R146" s="50">
        <f>IF($C$90="x",-1,IF(AND($C$90=0,INDEX(KonZeile5,2)+INDEX(KonSpalte2,2)+INDEX(KonFeld4,2)=0),2,0))</f>
        <v>-1</v>
      </c>
      <c r="S146" s="51">
        <f>IF($C$90="x",-1,IF(AND($C$90=0,INDEX(KonZeile5,3)+INDEX(KonSpalte2,3)+INDEX(KonFeld4,3)=0),3,0))</f>
        <v>-1</v>
      </c>
      <c r="T146" s="52">
        <f>IF($D$90="x",-1,IF(AND($D$90=0,INDEX(KonZeile5,1)+INDEX(KonSpalte3,1)+INDEX(KonFeld4,1)=0),1,0))</f>
        <v>0</v>
      </c>
      <c r="U146" s="50">
        <f>IF($D$90="x",-1,IF(AND($D$90=0,INDEX(KonZeile5,2)+INDEX(KonSpalte3,2)+INDEX(KonFeld4,2)=0),2,0))</f>
        <v>0</v>
      </c>
      <c r="V146" s="53">
        <f>IF($D$90="x",-1,IF(AND($D$90=0,INDEX(KonZeile5,3)+INDEX(KonSpalte3,3)+INDEX(KonFeld4,3)=0),3,0))</f>
        <v>0</v>
      </c>
      <c r="W146" s="49">
        <f>IF($E$90="x",-1,IF(AND($E$90=0,INDEX(KonZeile5,1)+INDEX(KonSpalte4,1)+INDEX(KonFeld4,1)=0),1,0))</f>
        <v>-1</v>
      </c>
      <c r="X146" s="50">
        <f>IF($E$90="x",-1,IF(AND($E$90=0,INDEX(KonZeile5,2)+INDEX(KonSpalte4,2)+INDEX(KonFeld4,2)=0),2,0))</f>
        <v>-1</v>
      </c>
      <c r="Y146" s="51">
        <f>IF($E$90="x",-1,IF(AND($E$90=0,INDEX(KonZeile5,3)+INDEX(KonSpalte4,3)+INDEX(KonFeld4,3)=0),3,0))</f>
        <v>-1</v>
      </c>
      <c r="Z146" s="52">
        <f>IF($F$90="x",-1,IF(AND($F$90=0,INDEX(KonZeile5,1)+INDEX(KonSpalte5,1)+INDEX(KonFeld4,1)=0),1,0))</f>
        <v>-1</v>
      </c>
      <c r="AA146" s="50">
        <f>IF($F$90="x",-1,IF(AND($F$90=0,INDEX(KonZeile5,2)+INDEX(KonSpalte5,2)+INDEX(KonFeld4,2)=0),2,0))</f>
        <v>-1</v>
      </c>
      <c r="AB146" s="51">
        <f>IF($F$90="x",-1,IF(AND($F$90=0,INDEX(KonZeile5,3)+INDEX(KonSpalte5,3)+INDEX(KonFeld4,3)=0),3,0))</f>
        <v>-1</v>
      </c>
      <c r="AC146" s="52">
        <f>IF($G$90="x",-1,IF(AND($G$90=0,INDEX(KonZeile5,1)+INDEX(KonSpalte6,1)+INDEX(KonFeld4,1)=0),1,0))</f>
        <v>-1</v>
      </c>
      <c r="AD146" s="50">
        <f>IF($G$90="x",-1,IF(AND($G$90=0,INDEX(KonZeile5,2)+INDEX(KonSpalte6,2)+INDEX(KonFeld4,2)=0),2,0))</f>
        <v>-1</v>
      </c>
      <c r="AE146" s="53">
        <f>IF($G$90="x",-1,IF(AND($G$90=0,INDEX(KonZeile5,3)+INDEX(KonSpalte6,3)+INDEX(KonFeld4,3)=0),3,0))</f>
        <v>-1</v>
      </c>
      <c r="AF146" s="49">
        <f>IF($H$90="x",-1,IF(AND($H$90=0,INDEX(KonZeile5,1)+INDEX(KonSpalte7,1)+INDEX(KonFeld4,1)=0),1,0))</f>
        <v>-1</v>
      </c>
      <c r="AG146" s="50">
        <f>IF($H$90="x",-1,IF(AND($H$90=0,INDEX(KonZeile5,2)+INDEX(KonSpalte7,2)+INDEX(KonFeld4,2)=0),2,0))</f>
        <v>-1</v>
      </c>
      <c r="AH146" s="51">
        <f>IF($H$90="x",-1,IF(AND($H$90=0,INDEX(KonZeile5,3)+INDEX(KonSpalte7,3)+INDEX(KonFeld4,3)=0),3,0))</f>
        <v>-1</v>
      </c>
      <c r="AI146" s="52">
        <f>IF($I$90="x",-1,IF(AND($I$90=0,INDEX(KonZeile5,1)+INDEX(KonSpalte8,1)+INDEX(KonFeld4,1)=0),1,0))</f>
        <v>-1</v>
      </c>
      <c r="AJ146" s="50">
        <f>IF($I$90="x",-1,IF(AND($I$90=0,INDEX(KonZeile5,2)+INDEX(KonSpalte8,2)+INDEX(KonFeld4,2)=0),2,0))</f>
        <v>-1</v>
      </c>
      <c r="AK146" s="51">
        <f>IF($I$90="x",-1,IF(AND($I$90=0,INDEX(KonZeile5,3)+INDEX(KonSpalte8,3)+INDEX(KonFeld4,3)=0),3,0))</f>
        <v>-1</v>
      </c>
      <c r="AL146" s="52">
        <f>IF($J$90="x",-1,IF(AND($J$90=0,INDEX(KonZeile5,1)+INDEX(KonSpalte9,1)+INDEX(KonFeld4,1)=0),1,0))</f>
        <v>-1</v>
      </c>
      <c r="AM146" s="50">
        <f>IF($J$90="x",-1,IF(AND($J$90=0,INDEX(KonZeile5,2)+INDEX(KonSpalte9,2)+INDEX(KonFeld4,2)=0),2,0))</f>
        <v>-1</v>
      </c>
      <c r="AN146" s="105">
        <f>IF($J$90="x",-1,IF(AND($J$90=0,INDEX(KonZeile5,3)+INDEX(KonSpalte9,3)+INDEX(KonFeld4,3)=0),3,0))</f>
        <v>-1</v>
      </c>
      <c r="AO146" s="104">
        <f>IF($K$90="x",-1,IF(AND($K$90=0,INDEX(KonZeile5,1)+INDEX(KonSpalte1,1)+INDEX(KonFeld5,1)=0),1,0))</f>
        <v>-1</v>
      </c>
      <c r="AP146" s="50">
        <f>IF($K$90="x",-1,IF(AND($K$90=0,INDEX(KonZeile5,2)+INDEX(KonSpalte1,2)+INDEX(KonFeld5,2)=0),2,0))</f>
        <v>-1</v>
      </c>
      <c r="AQ146" s="51">
        <f>IF($K$90="x",-1,IF(AND($K$90=0,INDEX(KonZeile5,3)+INDEX(KonSpalte1,3)+INDEX(KonFeld5,3)=0),3,0))</f>
        <v>-1</v>
      </c>
      <c r="AR146" s="52">
        <f>IF($L$90="x",-1,IF(AND($L$90=0,INDEX(KonZeile5,1)+INDEX(KonSpalte2,1)+INDEX(KonFeld5,1)=0),1,0))</f>
        <v>-1</v>
      </c>
      <c r="AS146" s="50">
        <f>IF($L$90="x",-1,IF(AND($L$90=0,INDEX(KonZeile5,2)+INDEX(KonSpalte2,2)+INDEX(KonFeld5,2)=0),2,0))</f>
        <v>-1</v>
      </c>
      <c r="AT146" s="51">
        <f>IF($L$90="x",-1,IF(AND($L$90=0,INDEX(KonZeile5,3)+INDEX(KonSpalte2,3)+INDEX(KonFeld5,3)=0),3,0))</f>
        <v>-1</v>
      </c>
      <c r="AU146" s="52">
        <f>IF($M$90="x",-1,IF(AND($M$90=0,INDEX(KonZeile5,1)+INDEX(KonSpalte3,1)+INDEX(KonFeld5,1)=0),1,0))</f>
        <v>-1</v>
      </c>
      <c r="AV146" s="50">
        <f>IF($M$90="x",-1,IF(AND($M$90=0,INDEX(KonZeile5,2)+INDEX(KonSpalte3,2)+INDEX(KonFeld5,2)=0),2,0))</f>
        <v>-1</v>
      </c>
      <c r="AW146" s="53">
        <f>IF($M$90="x",-1,IF(AND($M$90=0,INDEX(KonZeile5,3)+INDEX(KonSpalte3,3)+INDEX(KonFeld5,3)=0),3,0))</f>
        <v>-1</v>
      </c>
      <c r="AX146" s="49">
        <f>IF($N$90="x",-1,IF(AND($N$90=0,INDEX(KonZeile5,1)+INDEX(KonSpalte4,1)+INDEX(KonFeld5,1)=0),1,0))</f>
        <v>-1</v>
      </c>
      <c r="AY146" s="50">
        <f>IF($N$90="x",-1,IF(AND($N$90=0,INDEX(KonZeile5,2)+INDEX(KonSpalte4,2)+INDEX(KonFeld5,2)=0),2,0))</f>
        <v>-1</v>
      </c>
      <c r="AZ146" s="51">
        <f>IF($N$90="x",-1,IF(AND($N$90=0,INDEX(KonZeile5,3)+INDEX(KonSpalte4,3)+INDEX(KonFeld5,3)=0),3,0))</f>
        <v>-1</v>
      </c>
      <c r="BA146" s="52">
        <f>IF($O$90="x",-1,IF(AND($O$90=0,INDEX(KonZeile5,1)+INDEX(KonSpalte5,1)+INDEX(KonFeld5,1)=0),1,0))</f>
        <v>-1</v>
      </c>
      <c r="BB146" s="50">
        <f>IF($O$90="x",-1,IF(AND($O$90=0,INDEX(KonZeile5,2)+INDEX(KonSpalte5,2)+INDEX(KonFeld5,2)=0),2,0))</f>
        <v>-1</v>
      </c>
      <c r="BC146" s="51">
        <f>IF($O$90="x",-1,IF(AND($O$90=0,INDEX(KonZeile5,3)+INDEX(KonSpalte5,3)+INDEX(KonFeld5,3)=0),3,0))</f>
        <v>-1</v>
      </c>
      <c r="BD146" s="52">
        <f>IF($P$90="x",-1,IF(AND($P$90=0,INDEX(KonZeile5,1)+INDEX(KonSpalte6,1)+INDEX(KonFeld5,1)=0),1,0))</f>
        <v>-1</v>
      </c>
      <c r="BE146" s="50">
        <f>IF($P$90="x",-1,IF(AND($P$90=0,INDEX(KonZeile5,2)+INDEX(KonSpalte6,2)+INDEX(KonFeld5,2)=0),2,0))</f>
        <v>-1</v>
      </c>
      <c r="BF146" s="53">
        <f>IF($P$90="x",-1,IF(AND($P$90=0,INDEX(KonZeile5,3)+INDEX(KonSpalte6,3)+INDEX(KonFeld5,3)=0),3,0))</f>
        <v>-1</v>
      </c>
      <c r="BG146" s="49">
        <f>IF($Q$90="x",-1,IF(AND($Q$90=0,INDEX(KonZeile5,1)+INDEX(KonSpalte7,1)+INDEX(KonFeld5,1)=0),1,0))</f>
        <v>-1</v>
      </c>
      <c r="BH146" s="50">
        <f>IF($Q$90="x",-1,IF(AND($Q$90=0,INDEX(KonZeile5,2)+INDEX(KonSpalte7,2)+INDEX(KonFeld5,2)=0),2,0))</f>
        <v>-1</v>
      </c>
      <c r="BI146" s="51">
        <f>IF($Q$90="x",-1,IF(AND($Q$90=0,INDEX(KonZeile5,3)+INDEX(KonSpalte7,3)+INDEX(KonFeld5,3)=0),3,0))</f>
        <v>-1</v>
      </c>
      <c r="BJ146" s="52">
        <f>IF($R$90="x",-1,IF(AND($R$90=0,INDEX(KonZeile5,1)+INDEX(KonSpalte8,1)+INDEX(KonFeld5,1)=0),1,0))</f>
        <v>-1</v>
      </c>
      <c r="BK146" s="50">
        <f>IF($R$90="x",-1,IF(AND($R$90=0,INDEX(KonZeile5,2)+INDEX(KonSpalte8,2)+INDEX(KonFeld5,2)=0),2,0))</f>
        <v>-1</v>
      </c>
      <c r="BL146" s="51">
        <f>IF($R$90="x",-1,IF(AND($R$90=0,INDEX(KonZeile5,3)+INDEX(KonSpalte8,3)+INDEX(KonFeld5,3)=0),3,0))</f>
        <v>-1</v>
      </c>
      <c r="BM146" s="52">
        <f>IF($S$90="x",-1,IF(AND($S$90=0,INDEX(KonZeile5,1)+INDEX(KonSpalte9,1)+INDEX(KonFeld5,1)=0),1,0))</f>
        <v>-1</v>
      </c>
      <c r="BN146" s="50">
        <f>IF($S$90="x",-1,IF(AND($S$90=0,INDEX(KonZeile5,2)+INDEX(KonSpalte9,2)+INDEX(KonFeld5,2)=0),2,0))</f>
        <v>-1</v>
      </c>
      <c r="BO146" s="105">
        <f>IF($S$90="x",-1,IF(AND($S$90=0,INDEX(KonZeile5,3)+INDEX(KonSpalte9,3)+INDEX(KonFeld5,3)=0),3,0))</f>
        <v>-1</v>
      </c>
      <c r="BP146" s="104">
        <f>IF($T$90="x",-1,IF(AND($T$90=0,INDEX(KonZeile5,1)+INDEX(KonSpalte1,1)+INDEX(KonFeld6,1)=0),1,0))</f>
        <v>-1</v>
      </c>
      <c r="BQ146" s="50">
        <f>IF($T$90="x",-1,IF(AND($T$90=0,INDEX(KonZeile5,2)+INDEX(KonSpalte1,2)+INDEX(KonFeld6,2)=0),2,0))</f>
        <v>-1</v>
      </c>
      <c r="BR146" s="51">
        <f>IF($T$90="x",-1,IF(AND($T$90=0,INDEX(KonZeile5,3)+INDEX(KonSpalte1,3)+INDEX(KonFeld6,3)=0),3,0))</f>
        <v>-1</v>
      </c>
      <c r="BS146" s="52">
        <f>IF($U$90="x",-1,IF(AND($U$90=0,INDEX(KonZeile5,1)+INDEX(KonSpalte2,1)+INDEX(KonFeld6,1)=0),1,0))</f>
        <v>-1</v>
      </c>
      <c r="BT146" s="50">
        <f>IF($U$90="x",-1,IF(AND($U$90=0,INDEX(KonZeile5,2)+INDEX(KonSpalte2,2)+INDEX(KonFeld6,2)=0),2,0))</f>
        <v>-1</v>
      </c>
      <c r="BU146" s="51">
        <f>IF($U$90="x",-1,IF(AND($U$90=0,INDEX(KonZeile5,3)+INDEX(KonSpalte2,3)+INDEX(KonFeld6,3)=0),3,0))</f>
        <v>-1</v>
      </c>
      <c r="BV146" s="52">
        <f>IF($V$90="x",-1,IF(AND($V$90=0,INDEX(KonZeile5,1)+INDEX(KonSpalte3,1)+INDEX(KonFeld6,1)=0),1,0))</f>
        <v>-1</v>
      </c>
      <c r="BW146" s="50">
        <f>IF($V$90="x",-1,IF(AND($V$90=0,INDEX(KonZeile5,2)+INDEX(KonSpalte3,2)+INDEX(KonFeld6,2)=0),2,0))</f>
        <v>-1</v>
      </c>
      <c r="BX146" s="53">
        <f>IF($V$90="x",-1,IF(AND($V$90=0,INDEX(KonZeile5,3)+INDEX(KonSpalte3,3)+INDEX(KonFeld6,3)=0),3,0))</f>
        <v>-1</v>
      </c>
      <c r="BY146" s="49">
        <f>IF($W$90="x",-1,IF(AND($W$90=0,INDEX(KonZeile5,1)+INDEX(KonSpalte4,1)+INDEX(KonFeld6,1)=0),1,0))</f>
        <v>-1</v>
      </c>
      <c r="BZ146" s="50">
        <f>IF($W$90="x",-1,IF(AND($W$90=0,INDEX(KonZeile5,2)+INDEX(KonSpalte4,2)+INDEX(KonFeld6,2)=0),2,0))</f>
        <v>-1</v>
      </c>
      <c r="CA146" s="51">
        <f>IF($W$90="x",-1,IF(AND($W$90=0,INDEX(KonZeile5,3)+INDEX(KonSpalte4,3)+INDEX(KonFeld6,3)=0),3,0))</f>
        <v>-1</v>
      </c>
      <c r="CB146" s="52">
        <f>IF($X$90="x",-1,IF(AND($X$90=0,INDEX(KonZeile5,1)+INDEX(KonSpalte5,1)+INDEX(KonFeld6,1)=0),1,0))</f>
        <v>-1</v>
      </c>
      <c r="CC146" s="50">
        <f>IF($X$90="x",-1,IF(AND($X$90=0,INDEX(KonZeile5,2)+INDEX(KonSpalte5,2)+INDEX(KonFeld6,2)=0),2,0))</f>
        <v>-1</v>
      </c>
      <c r="CD146" s="51">
        <f>IF($X$90="x",-1,IF(AND($X$90=0,INDEX(KonZeile5,3)+INDEX(KonSpalte5,3)+INDEX(KonFeld6,3)=0),3,0))</f>
        <v>-1</v>
      </c>
      <c r="CE146" s="52">
        <f>IF($Y$90="x",-1,IF(AND($Y$90=0,INDEX(KonZeile5,1)+INDEX(KonSpalte6,1)+INDEX(KonFeld6,1)=0),1,0))</f>
        <v>-1</v>
      </c>
      <c r="CF146" s="50">
        <f>IF($Y$90="x",-1,IF(AND($Y$90=0,INDEX(KonZeile5,2)+INDEX(KonSpalte6,2)+INDEX(KonFeld6,2)=0),2,0))</f>
        <v>-1</v>
      </c>
      <c r="CG146" s="53">
        <f>IF($Y$90="x",-1,IF(AND($Y$90=0,INDEX(KonZeile5,3)+INDEX(KonSpalte6,3)+INDEX(KonFeld6,3)=0),3,0))</f>
        <v>-1</v>
      </c>
      <c r="CH146" s="49">
        <f>IF($Z$90="x",-1,IF(AND($Z$90=0,INDEX(KonZeile5,1)+INDEX(KonSpalte7,1)+INDEX(KonFeld6,1)=0),1,0))</f>
        <v>0</v>
      </c>
      <c r="CI146" s="50">
        <f>IF($Z$90="x",-1,IF(AND($Z$90=0,INDEX(KonZeile5,2)+INDEX(KonSpalte7,2)+INDEX(KonFeld6,2)=0),2,0))</f>
        <v>0</v>
      </c>
      <c r="CJ146" s="51">
        <f>IF($Z$90="x",-1,IF(AND($Z$90=0,INDEX(KonZeile5,3)+INDEX(KonSpalte7,3)+INDEX(KonFeld6,3)=0),3,0))</f>
        <v>0</v>
      </c>
      <c r="CK146" s="52">
        <f>IF($AA$90="x",-1,IF(AND($AA$90=0,INDEX(KonZeile5,1)+INDEX(KonSpalte8,1)+INDEX(KonFeld6,1)=0),1,0))</f>
        <v>0</v>
      </c>
      <c r="CL146" s="50">
        <f>IF($AA$90="x",-1,IF(AND($AA$90=0,INDEX(KonZeile5,2)+INDEX(KonSpalte8,2)+INDEX(KonFeld6,2)=0),2,0))</f>
        <v>0</v>
      </c>
      <c r="CM146" s="51">
        <f>IF($AA$90="x",-1,IF(AND($AA$90=0,INDEX(KonZeile5,3)+INDEX(KonSpalte8,3)+INDEX(KonFeld6,3)=0),3,0))</f>
        <v>0</v>
      </c>
      <c r="CN146" s="52">
        <f>IF($AB$90="x",-1,IF(AND($AB$90=0,INDEX(KonZeile5,1)+INDEX(KonSpalte9,1)+INDEX(KonFeld6,1)=0),1,0))</f>
        <v>-1</v>
      </c>
      <c r="CO146" s="50">
        <f>IF($AB$90="x",-1,IF(AND($AB$90=0,INDEX(KonZeile5,2)+INDEX(KonSpalte9,2)+INDEX(KonFeld6,2)=0),2,0))</f>
        <v>-1</v>
      </c>
      <c r="CP146" s="105">
        <f>IF($AB$90="x",-1,IF(AND($AB$90=0,INDEX(KonZeile5,3)+INDEX(KonSpalte9,3)+INDEX(KonFeld6,3)=0),3,0))</f>
        <v>-1</v>
      </c>
      <c r="CR146" s="52">
        <f>COUNTIF(N146:CP146,1)</f>
        <v>0</v>
      </c>
      <c r="CS146" s="50">
        <f>COUNTIF(N146:CP146,2)</f>
        <v>0</v>
      </c>
      <c r="CT146" s="51">
        <f>COUNTIF(N146:CP146,3)</f>
        <v>0</v>
      </c>
      <c r="CU146" s="39"/>
      <c r="CV146" s="39"/>
      <c r="CX146" s="65">
        <f t="shared" si="185"/>
        <v>0</v>
      </c>
      <c r="CY146" s="66">
        <f t="shared" si="185"/>
        <v>0</v>
      </c>
      <c r="CZ146" s="67">
        <f t="shared" si="185"/>
        <v>0</v>
      </c>
      <c r="DJ146" s="104">
        <f t="shared" si="186"/>
        <v>0</v>
      </c>
      <c r="DK146" s="50">
        <f t="shared" si="187"/>
        <v>0</v>
      </c>
      <c r="DL146" s="51">
        <f t="shared" si="188"/>
        <v>0</v>
      </c>
      <c r="DM146" s="52">
        <f t="shared" si="189"/>
        <v>-1</v>
      </c>
      <c r="DN146" s="50">
        <f t="shared" si="190"/>
        <v>-1</v>
      </c>
      <c r="DO146" s="51">
        <f t="shared" si="191"/>
        <v>-1</v>
      </c>
      <c r="DP146" s="52">
        <f t="shared" si="192"/>
        <v>-1</v>
      </c>
      <c r="DQ146" s="50">
        <f t="shared" si="193"/>
        <v>-1</v>
      </c>
      <c r="DR146" s="53">
        <f t="shared" si="194"/>
        <v>-1</v>
      </c>
      <c r="DS146" s="49">
        <f t="shared" si="195"/>
        <v>-1</v>
      </c>
      <c r="DT146" s="50">
        <f t="shared" si="196"/>
        <v>-1</v>
      </c>
      <c r="DU146" s="51">
        <f t="shared" si="197"/>
        <v>-1</v>
      </c>
      <c r="DV146" s="52">
        <f t="shared" si="198"/>
        <v>-1</v>
      </c>
      <c r="DW146" s="50">
        <f t="shared" si="199"/>
        <v>-1</v>
      </c>
      <c r="DX146" s="51">
        <f t="shared" si="200"/>
        <v>-1</v>
      </c>
      <c r="DY146" s="52">
        <f t="shared" si="201"/>
        <v>-1</v>
      </c>
      <c r="DZ146" s="50">
        <f t="shared" si="202"/>
        <v>-1</v>
      </c>
      <c r="EA146" s="53">
        <f t="shared" si="203"/>
        <v>-1</v>
      </c>
      <c r="EB146" s="49">
        <f t="shared" si="204"/>
        <v>-1</v>
      </c>
      <c r="EC146" s="50">
        <f t="shared" si="205"/>
        <v>-1</v>
      </c>
      <c r="ED146" s="51">
        <f t="shared" si="206"/>
        <v>-1</v>
      </c>
      <c r="EE146" s="52">
        <f t="shared" si="207"/>
        <v>-1</v>
      </c>
      <c r="EF146" s="50">
        <f t="shared" si="208"/>
        <v>-1</v>
      </c>
      <c r="EG146" s="51">
        <f t="shared" si="209"/>
        <v>-1</v>
      </c>
      <c r="EH146" s="52">
        <f t="shared" si="210"/>
        <v>-1</v>
      </c>
      <c r="EI146" s="50">
        <f t="shared" si="211"/>
        <v>-1</v>
      </c>
      <c r="EJ146" s="105">
        <f t="shared" si="212"/>
        <v>-1</v>
      </c>
      <c r="EK146" s="104">
        <f t="shared" si="213"/>
        <v>-1</v>
      </c>
      <c r="EL146" s="50">
        <f t="shared" si="214"/>
        <v>-1</v>
      </c>
      <c r="EM146" s="51">
        <f t="shared" si="215"/>
        <v>-1</v>
      </c>
      <c r="EN146" s="52">
        <f t="shared" si="216"/>
        <v>-1</v>
      </c>
      <c r="EO146" s="50">
        <f t="shared" si="217"/>
        <v>-1</v>
      </c>
      <c r="EP146" s="51">
        <f t="shared" si="218"/>
        <v>-1</v>
      </c>
      <c r="EQ146" s="52">
        <f t="shared" si="219"/>
        <v>1</v>
      </c>
      <c r="ER146" s="50">
        <f t="shared" si="220"/>
        <v>0</v>
      </c>
      <c r="ES146" s="53">
        <f t="shared" si="221"/>
        <v>0</v>
      </c>
      <c r="ET146" s="49">
        <f t="shared" si="222"/>
        <v>-1</v>
      </c>
      <c r="EU146" s="50">
        <f t="shared" si="223"/>
        <v>-1</v>
      </c>
      <c r="EV146" s="51">
        <f t="shared" si="224"/>
        <v>-1</v>
      </c>
      <c r="EW146" s="52">
        <f t="shared" si="225"/>
        <v>-1</v>
      </c>
      <c r="EX146" s="50">
        <f t="shared" si="226"/>
        <v>-1</v>
      </c>
      <c r="EY146" s="51">
        <f t="shared" si="227"/>
        <v>-1</v>
      </c>
      <c r="EZ146" s="52">
        <f t="shared" si="228"/>
        <v>-1</v>
      </c>
      <c r="FA146" s="50">
        <f t="shared" si="229"/>
        <v>-1</v>
      </c>
      <c r="FB146" s="53">
        <f t="shared" si="230"/>
        <v>-1</v>
      </c>
      <c r="FC146" s="49">
        <f t="shared" si="231"/>
        <v>-1</v>
      </c>
      <c r="FD146" s="50">
        <f t="shared" si="232"/>
        <v>-1</v>
      </c>
      <c r="FE146" s="51">
        <f t="shared" si="233"/>
        <v>-1</v>
      </c>
      <c r="FF146" s="52">
        <f t="shared" si="234"/>
        <v>-1</v>
      </c>
      <c r="FG146" s="50">
        <f t="shared" si="235"/>
        <v>-1</v>
      </c>
      <c r="FH146" s="51">
        <f t="shared" si="236"/>
        <v>-1</v>
      </c>
      <c r="FI146" s="52">
        <f t="shared" si="237"/>
        <v>-1</v>
      </c>
      <c r="FJ146" s="50">
        <f t="shared" si="238"/>
        <v>-1</v>
      </c>
      <c r="FK146" s="105">
        <f t="shared" si="239"/>
        <v>-1</v>
      </c>
      <c r="FL146" s="104">
        <f t="shared" si="240"/>
        <v>-1</v>
      </c>
      <c r="FM146" s="50">
        <f t="shared" si="241"/>
        <v>-1</v>
      </c>
      <c r="FN146" s="51">
        <f t="shared" si="242"/>
        <v>-1</v>
      </c>
      <c r="FO146" s="52">
        <f t="shared" si="243"/>
        <v>-1</v>
      </c>
      <c r="FP146" s="50">
        <f t="shared" si="244"/>
        <v>-1</v>
      </c>
      <c r="FQ146" s="51">
        <f t="shared" si="245"/>
        <v>-1</v>
      </c>
      <c r="FR146" s="52">
        <f t="shared" si="246"/>
        <v>-1</v>
      </c>
      <c r="FS146" s="50">
        <f t="shared" si="247"/>
        <v>-1</v>
      </c>
      <c r="FT146" s="53">
        <f t="shared" si="248"/>
        <v>-1</v>
      </c>
      <c r="FU146" s="49">
        <f t="shared" si="249"/>
        <v>-1</v>
      </c>
      <c r="FV146" s="50">
        <f t="shared" si="250"/>
        <v>-1</v>
      </c>
      <c r="FW146" s="51">
        <f t="shared" si="251"/>
        <v>-1</v>
      </c>
      <c r="FX146" s="52">
        <f t="shared" si="252"/>
        <v>-1</v>
      </c>
      <c r="FY146" s="50">
        <f t="shared" si="253"/>
        <v>-1</v>
      </c>
      <c r="FZ146" s="51">
        <f t="shared" si="254"/>
        <v>-1</v>
      </c>
      <c r="GA146" s="52">
        <f t="shared" si="255"/>
        <v>-1</v>
      </c>
      <c r="GB146" s="50">
        <f t="shared" si="256"/>
        <v>-1</v>
      </c>
      <c r="GC146" s="53">
        <f t="shared" si="257"/>
        <v>-1</v>
      </c>
      <c r="GD146" s="49">
        <f t="shared" si="258"/>
        <v>-1</v>
      </c>
      <c r="GE146" s="50">
        <f t="shared" si="259"/>
        <v>-1</v>
      </c>
      <c r="GF146" s="51">
        <f t="shared" si="260"/>
        <v>-1</v>
      </c>
      <c r="GG146" s="52">
        <f t="shared" si="261"/>
        <v>0</v>
      </c>
      <c r="GH146" s="50">
        <f t="shared" si="262"/>
        <v>2</v>
      </c>
      <c r="GI146" s="51">
        <f t="shared" si="263"/>
        <v>0</v>
      </c>
      <c r="GJ146" s="52">
        <f t="shared" si="264"/>
        <v>0</v>
      </c>
      <c r="GK146" s="50">
        <f t="shared" si="265"/>
        <v>2</v>
      </c>
      <c r="GL146" s="105">
        <f t="shared" si="266"/>
        <v>0</v>
      </c>
      <c r="GN146" s="52">
        <f>COUNTIF(DJ146:GL146,1)</f>
        <v>1</v>
      </c>
      <c r="GO146" s="50">
        <f>COUNTIF(DJ146:GL146,2)</f>
        <v>2</v>
      </c>
      <c r="GP146" s="51">
        <f>COUNTIF(DJ146:GL146,3)</f>
        <v>0</v>
      </c>
      <c r="GQ146" s="39"/>
      <c r="GR146" s="39"/>
      <c r="GT146" s="91">
        <f t="shared" si="267"/>
        <v>3</v>
      </c>
      <c r="GU146" s="92">
        <f t="shared" si="268"/>
        <v>3</v>
      </c>
      <c r="GV146" s="93">
        <f t="shared" si="269"/>
        <v>0</v>
      </c>
    </row>
    <row r="147" spans="2:204" ht="15" customHeight="1">
      <c r="B147" s="72" t="str">
        <f t="shared" si="174"/>
        <v>x</v>
      </c>
      <c r="C147" s="73" t="str">
        <f t="shared" si="175"/>
        <v>x</v>
      </c>
      <c r="D147" s="73" t="str">
        <f t="shared" si="176"/>
        <v>x</v>
      </c>
      <c r="E147" s="73" t="str">
        <f t="shared" si="177"/>
        <v>x</v>
      </c>
      <c r="F147" s="73" t="str">
        <f t="shared" si="178"/>
        <v>x</v>
      </c>
      <c r="G147" s="73" t="str">
        <f t="shared" si="179"/>
        <v>x</v>
      </c>
      <c r="H147" s="73" t="str">
        <f t="shared" si="180"/>
        <v>x</v>
      </c>
      <c r="I147" s="73" t="str">
        <f t="shared" si="181"/>
        <v>x</v>
      </c>
      <c r="J147" s="74" t="str">
        <f t="shared" si="182"/>
        <v>x</v>
      </c>
      <c r="N147" s="94">
        <f>IF($B$90="x",-1,IF(AND($B$90=0,INDEX(KonZeile5,4)+INDEX(KonSpalte1,4)+INDEX(KonFeld4,4)=0),4,0))</f>
        <v>-1</v>
      </c>
      <c r="O147" s="39">
        <f>IF($B$90="x",-1,IF(AND($B$90=0,INDEX(KonZeile5,5)+INDEX(KonSpalte1,5)+INDEX(KonFeld4,5)=0),5,0))</f>
        <v>-1</v>
      </c>
      <c r="P147" s="41">
        <f>IF($B$90="x",-1,IF(AND($B$90=0,INDEX(KonZeile5,6)+INDEX(KonSpalte1,6)+INDEX(KonFeld4,6)=0),6,0))</f>
        <v>-1</v>
      </c>
      <c r="Q147" s="40">
        <f>IF($C$90="x",-1,IF(AND($C$90=0,INDEX(KonZeile5,4)+INDEX(KonSpalte2,4)+INDEX(KonFeld4,4)=0),4,0))</f>
        <v>-1</v>
      </c>
      <c r="R147" s="39">
        <f>IF($C$90="x",-1,IF(AND($C$90=0,INDEX(KonZeile5,5)+INDEX(KonSpalte2,5)+INDEX(KonFeld4,5)=0),5,0))</f>
        <v>-1</v>
      </c>
      <c r="S147" s="41">
        <f>IF($C$90="x",-1,IF(AND($C$90=0,INDEX(KonZeile5,6)+INDEX(KonSpalte2,6)+INDEX(KonFeld4,6)=0),6,0))</f>
        <v>-1</v>
      </c>
      <c r="T147" s="40">
        <f>IF($D$90="x",-1,IF(AND($D$90=0,INDEX(KonZeile5,4)+INDEX(KonSpalte3,4)+INDEX(KonFeld4,4)=0),4,0))</f>
        <v>0</v>
      </c>
      <c r="U147" s="39">
        <f>IF($D$90="x",-1,IF(AND($D$90=0,INDEX(KonZeile5,5)+INDEX(KonSpalte3,5)+INDEX(KonFeld4,5)=0),5,0))</f>
        <v>0</v>
      </c>
      <c r="V147" s="42">
        <f>IF($D$90="x",-1,IF(AND($D$90=0,INDEX(KonZeile5,6)+INDEX(KonSpalte3,6)+INDEX(KonFeld4,6)=0),6,0))</f>
        <v>0</v>
      </c>
      <c r="W147" s="43">
        <f>IF($E$90="x",-1,IF(AND($E$90=0,INDEX(KonZeile5,4)+INDEX(KonSpalte4,4)+INDEX(KonFeld4,4)=0),4,0))</f>
        <v>-1</v>
      </c>
      <c r="X147" s="39">
        <f>IF($E$90="x",-1,IF(AND($E$90=0,INDEX(KonZeile5,5)+INDEX(KonSpalte4,5)+INDEX(KonFeld4,5)=0),5,0))</f>
        <v>-1</v>
      </c>
      <c r="Y147" s="41">
        <f>IF($E$90="x",-1,IF(AND($E$90=0,INDEX(KonZeile5,6)+INDEX(KonSpalte4,6)+INDEX(KonFeld4,6)=0),6,0))</f>
        <v>-1</v>
      </c>
      <c r="Z147" s="40">
        <f>IF($F$90="x",-1,IF(AND($F$90=0,INDEX(KonZeile5,4)+INDEX(KonSpalte5,4)+INDEX(KonFeld4,4)=0),4,0))</f>
        <v>-1</v>
      </c>
      <c r="AA147" s="39">
        <f>IF($F$90="x",-1,IF(AND($F$90=0,INDEX(KonZeile5,5)+INDEX(KonSpalte5,5)+INDEX(KonFeld4,5)=0),5,0))</f>
        <v>-1</v>
      </c>
      <c r="AB147" s="41">
        <f>IF($F$90="x",-1,IF(AND($F$90=0,INDEX(KonZeile5,6)+INDEX(KonSpalte5,6)+INDEX(KonFeld4,6)=0),6,0))</f>
        <v>-1</v>
      </c>
      <c r="AC147" s="40">
        <f>IF($G$90="x",-1,IF(AND($G$90=0,INDEX(KonZeile5,4)+INDEX(KonSpalte6,4)+INDEX(KonFeld4,4)=0),4,0))</f>
        <v>-1</v>
      </c>
      <c r="AD147" s="39">
        <f>IF($G$90="x",-1,IF(AND($G$90=0,INDEX(KonZeile5,5)+INDEX(KonSpalte6,5)+INDEX(KonFeld4,5)=0),5,0))</f>
        <v>-1</v>
      </c>
      <c r="AE147" s="42">
        <f>IF($G$90="x",-1,IF(AND($G$90=0,INDEX(KonZeile5,6)+INDEX(KonSpalte6,6)+INDEX(KonFeld4,6)=0),6,0))</f>
        <v>-1</v>
      </c>
      <c r="AF147" s="43">
        <f>IF($H$90="x",-1,IF(AND($H$90=0,INDEX(KonZeile5,4)+INDEX(KonSpalte7,4)+INDEX(KonFeld4,4)=0),4,0))</f>
        <v>-1</v>
      </c>
      <c r="AG147" s="39">
        <f>IF($H$90="x",-1,IF(AND($H$90=0,INDEX(KonZeile5,5)+INDEX(KonSpalte7,5)+INDEX(KonFeld4,5)=0),5,0))</f>
        <v>-1</v>
      </c>
      <c r="AH147" s="41">
        <f>IF($H$90="x",-1,IF(AND($H$90=0,INDEX(KonZeile5,6)+INDEX(KonSpalte7,6)+INDEX(KonFeld4,6)=0),6,0))</f>
        <v>-1</v>
      </c>
      <c r="AI147" s="40">
        <f>IF($I$90="x",-1,IF(AND($I$90=0,INDEX(KonZeile5,4)+INDEX(KonSpalte8,4)+INDEX(KonFeld4,4)=0),4,0))</f>
        <v>-1</v>
      </c>
      <c r="AJ147" s="39">
        <f>IF($I$90="x",-1,IF(AND($I$90=0,INDEX(KonZeile5,5)+INDEX(KonSpalte8,5)+INDEX(KonFeld4,5)=0),5,0))</f>
        <v>-1</v>
      </c>
      <c r="AK147" s="41">
        <f>IF($I$90="x",-1,IF(AND($I$90=0,INDEX(KonZeile5,6)+INDEX(KonSpalte8,6)+INDEX(KonFeld4,6)=0),6,0))</f>
        <v>-1</v>
      </c>
      <c r="AL147" s="40">
        <f>IF($J$90="x",-1,IF(AND($J$90=0,INDEX(KonZeile5,4)+INDEX(KonSpalte9,4)+INDEX(KonFeld4,4)=0),4,0))</f>
        <v>-1</v>
      </c>
      <c r="AM147" s="39">
        <f>IF($J$90="x",-1,IF(AND($J$90=0,INDEX(KonZeile5,5)+INDEX(KonSpalte9,5)+INDEX(KonFeld4,5)=0),5,0))</f>
        <v>-1</v>
      </c>
      <c r="AN147" s="95">
        <f>IF($J$90="x",-1,IF(AND($J$90=0,INDEX(KonZeile5,6)+INDEX(KonSpalte9,6)+INDEX(KonFeld4,6)=0),6,0))</f>
        <v>-1</v>
      </c>
      <c r="AO147" s="94">
        <f>IF($K$90="x",-1,IF(AND($K$90=0,INDEX(KonZeile5,4)+INDEX(KonSpalte1,4)+INDEX(KonFeld5,4)=0),4,0))</f>
        <v>-1</v>
      </c>
      <c r="AP147" s="39">
        <f>IF($K$90="x",-1,IF(AND($K$90=0,INDEX(KonZeile5,5)+INDEX(KonSpalte1,5)+INDEX(KonFeld5,5)=0),5,0))</f>
        <v>-1</v>
      </c>
      <c r="AQ147" s="41">
        <f>IF($K$90="x",-1,IF(AND($K$90=0,INDEX(KonZeile5,6)+INDEX(KonSpalte1,6)+INDEX(KonFeld5,6)=0),6,0))</f>
        <v>-1</v>
      </c>
      <c r="AR147" s="40">
        <f>IF($L$90="x",-1,IF(AND($L$90=0,INDEX(KonZeile5,4)+INDEX(KonSpalte2,4)+INDEX(KonFeld5,4)=0),4,0))</f>
        <v>-1</v>
      </c>
      <c r="AS147" s="39">
        <f>IF($L$90="x",-1,IF(AND($L$90=0,INDEX(KonZeile5,5)+INDEX(KonSpalte2,5)+INDEX(KonFeld5,5)=0),5,0))</f>
        <v>-1</v>
      </c>
      <c r="AT147" s="41">
        <f>IF($L$90="x",-1,IF(AND($L$90=0,INDEX(KonZeile5,6)+INDEX(KonSpalte2,6)+INDEX(KonFeld5,6)=0),6,0))</f>
        <v>-1</v>
      </c>
      <c r="AU147" s="40">
        <f>IF($M$90="x",-1,IF(AND($M$90=0,INDEX(KonZeile5,4)+INDEX(KonSpalte3,4)+INDEX(KonFeld5,4)=0),4,0))</f>
        <v>-1</v>
      </c>
      <c r="AV147" s="39">
        <f>IF($M$90="x",-1,IF(AND($M$90=0,INDEX(KonZeile5,5)+INDEX(KonSpalte3,5)+INDEX(KonFeld5,5)=0),5,0))</f>
        <v>-1</v>
      </c>
      <c r="AW147" s="42">
        <f>IF($M$90="x",-1,IF(AND($M$90=0,INDEX(KonZeile5,6)+INDEX(KonSpalte3,6)+INDEX(KonFeld5,6)=0),6,0))</f>
        <v>-1</v>
      </c>
      <c r="AX147" s="43">
        <f>IF($N$90="x",-1,IF(AND($N$90=0,INDEX(KonZeile5,4)+INDEX(KonSpalte4,4)+INDEX(KonFeld5,4)=0),4,0))</f>
        <v>-1</v>
      </c>
      <c r="AY147" s="39">
        <f>IF($N$90="x",-1,IF(AND($N$90=0,INDEX(KonZeile5,5)+INDEX(KonSpalte4,5)+INDEX(KonFeld5,5)=0),5,0))</f>
        <v>-1</v>
      </c>
      <c r="AZ147" s="41">
        <f>IF($N$90="x",-1,IF(AND($N$90=0,INDEX(KonZeile5,6)+INDEX(KonSpalte4,6)+INDEX(KonFeld5,6)=0),6,0))</f>
        <v>-1</v>
      </c>
      <c r="BA147" s="40">
        <f>IF($O$90="x",-1,IF(AND($O$90=0,INDEX(KonZeile5,4)+INDEX(KonSpalte5,4)+INDEX(KonFeld5,4)=0),4,0))</f>
        <v>-1</v>
      </c>
      <c r="BB147" s="39">
        <f>IF($O$90="x",-1,IF(AND($O$90=0,INDEX(KonZeile5,5)+INDEX(KonSpalte5,5)+INDEX(KonFeld5,5)=0),5,0))</f>
        <v>-1</v>
      </c>
      <c r="BC147" s="41">
        <f>IF($O$90="x",-1,IF(AND($O$90=0,INDEX(KonZeile5,6)+INDEX(KonSpalte5,6)+INDEX(KonFeld5,6)=0),6,0))</f>
        <v>-1</v>
      </c>
      <c r="BD147" s="40">
        <f>IF($P$90="x",-1,IF(AND($P$90=0,INDEX(KonZeile5,4)+INDEX(KonSpalte6,4)+INDEX(KonFeld5,4)=0),4,0))</f>
        <v>-1</v>
      </c>
      <c r="BE147" s="39">
        <f>IF($P$90="x",-1,IF(AND($P$90=0,INDEX(KonZeile5,5)+INDEX(KonSpalte6,5)+INDEX(KonFeld5,5)=0),5,0))</f>
        <v>-1</v>
      </c>
      <c r="BF147" s="42">
        <f>IF($P$90="x",-1,IF(AND($P$90=0,INDEX(KonZeile5,6)+INDEX(KonSpalte6,6)+INDEX(KonFeld5,6)=0),6,0))</f>
        <v>-1</v>
      </c>
      <c r="BG147" s="43">
        <f>IF($Q$90="x",-1,IF(AND($Q$90=0,INDEX(KonZeile5,4)+INDEX(KonSpalte7,4)+INDEX(KonFeld5,4)=0),4,0))</f>
        <v>-1</v>
      </c>
      <c r="BH147" s="39">
        <f>IF($Q$90="x",-1,IF(AND($Q$90=0,INDEX(KonZeile5,5)+INDEX(KonSpalte7,5)+INDEX(KonFeld5,5)=0),5,0))</f>
        <v>-1</v>
      </c>
      <c r="BI147" s="41">
        <f>IF($Q$90="x",-1,IF(AND($Q$90=0,INDEX(KonZeile5,6)+INDEX(KonSpalte7,6)+INDEX(KonFeld5,6)=0),6,0))</f>
        <v>-1</v>
      </c>
      <c r="BJ147" s="40">
        <f>IF($R$90="x",-1,IF(AND($R$90=0,INDEX(KonZeile5,4)+INDEX(KonSpalte8,4)+INDEX(KonFeld5,4)=0),4,0))</f>
        <v>-1</v>
      </c>
      <c r="BK147" s="39">
        <f>IF($R$90="x",-1,IF(AND($R$90=0,INDEX(KonZeile5,5)+INDEX(KonSpalte8,5)+INDEX(KonFeld5,5)=0),5,0))</f>
        <v>-1</v>
      </c>
      <c r="BL147" s="41">
        <f>IF($R$90="x",-1,IF(AND($R$90=0,INDEX(KonZeile5,6)+INDEX(KonSpalte8,6)+INDEX(KonFeld5,6)=0),6,0))</f>
        <v>-1</v>
      </c>
      <c r="BM147" s="40">
        <f>IF($S$90="x",-1,IF(AND($S$90=0,INDEX(KonZeile5,4)+INDEX(KonSpalte9,4)+INDEX(KonFeld5,4)=0),4,0))</f>
        <v>-1</v>
      </c>
      <c r="BN147" s="39">
        <f>IF($S$90="x",-1,IF(AND($S$90=0,INDEX(KonZeile5,5)+INDEX(KonSpalte9,5)+INDEX(KonFeld5,5)=0),5,0))</f>
        <v>-1</v>
      </c>
      <c r="BO147" s="95">
        <f>IF($S$90="x",-1,IF(AND($S$90=0,INDEX(KonZeile5,6)+INDEX(KonSpalte9,6)+INDEX(KonFeld5,6)=0),6,0))</f>
        <v>-1</v>
      </c>
      <c r="BP147" s="94">
        <f>IF($T$90="x",-1,IF(AND($T$90=0,INDEX(KonZeile5,4)+INDEX(KonSpalte1,4)+INDEX(KonFeld6,4)=0),4,0))</f>
        <v>-1</v>
      </c>
      <c r="BQ147" s="39">
        <f>IF($T$90="x",-1,IF(AND($T$90=0,INDEX(KonZeile5,5)+INDEX(KonSpalte1,5)+INDEX(KonFeld6,5)=0),5,0))</f>
        <v>-1</v>
      </c>
      <c r="BR147" s="41">
        <f>IF($T$90="x",-1,IF(AND($T$90=0,INDEX(KonZeile5,6)+INDEX(KonSpalte1,6)+INDEX(KonFeld6,6)=0),6,0))</f>
        <v>-1</v>
      </c>
      <c r="BS147" s="40">
        <f>IF($U$90="x",-1,IF(AND($U$90=0,INDEX(KonZeile5,4)+INDEX(KonSpalte2,4)+INDEX(KonFeld6,4)=0),4,0))</f>
        <v>-1</v>
      </c>
      <c r="BT147" s="39">
        <f>IF($U$90="x",-1,IF(AND($U$90=0,INDEX(KonZeile5,5)+INDEX(KonSpalte2,5)+INDEX(KonFeld6,5)=0),5,0))</f>
        <v>-1</v>
      </c>
      <c r="BU147" s="41">
        <f>IF($U$90="x",-1,IF(AND($U$90=0,INDEX(KonZeile5,6)+INDEX(KonSpalte2,6)+INDEX(KonFeld6,6)=0),6,0))</f>
        <v>-1</v>
      </c>
      <c r="BV147" s="40">
        <f>IF($V$90="x",-1,IF(AND($V$90=0,INDEX(KonZeile5,4)+INDEX(KonSpalte3,4)+INDEX(KonFeld6,4)=0),4,0))</f>
        <v>-1</v>
      </c>
      <c r="BW147" s="39">
        <f>IF($V$90="x",-1,IF(AND($V$90=0,INDEX(KonZeile5,5)+INDEX(KonSpalte3,5)+INDEX(KonFeld6,5)=0),5,0))</f>
        <v>-1</v>
      </c>
      <c r="BX147" s="42">
        <f>IF($V$90="x",-1,IF(AND($V$90=0,INDEX(KonZeile5,6)+INDEX(KonSpalte3,6)+INDEX(KonFeld6,6)=0),6,0))</f>
        <v>-1</v>
      </c>
      <c r="BY147" s="43">
        <f>IF($W$90="x",-1,IF(AND($W$90=0,INDEX(KonZeile5,4)+INDEX(KonSpalte4,4)+INDEX(KonFeld6,4)=0),4,0))</f>
        <v>-1</v>
      </c>
      <c r="BZ147" s="39">
        <f>IF($W$90="x",-1,IF(AND($W$90=0,INDEX(KonZeile5,5)+INDEX(KonSpalte4,5)+INDEX(KonFeld6,5)=0),5,0))</f>
        <v>-1</v>
      </c>
      <c r="CA147" s="41">
        <f>IF($W$90="x",-1,IF(AND($W$90=0,INDEX(KonZeile5,6)+INDEX(KonSpalte4,6)+INDEX(KonFeld6,6)=0),6,0))</f>
        <v>-1</v>
      </c>
      <c r="CB147" s="40">
        <f>IF($X$90="x",-1,IF(AND($X$90=0,INDEX(KonZeile5,4)+INDEX(KonSpalte5,4)+INDEX(KonFeld6,4)=0),4,0))</f>
        <v>-1</v>
      </c>
      <c r="CC147" s="39">
        <f>IF($X$90="x",-1,IF(AND($X$90=0,INDEX(KonZeile5,5)+INDEX(KonSpalte5,5)+INDEX(KonFeld6,5)=0),5,0))</f>
        <v>-1</v>
      </c>
      <c r="CD147" s="41">
        <f>IF($X$90="x",-1,IF(AND($X$90=0,INDEX(KonZeile5,6)+INDEX(KonSpalte5,6)+INDEX(KonFeld6,6)=0),6,0))</f>
        <v>-1</v>
      </c>
      <c r="CE147" s="40">
        <f>IF($Y$90="x",-1,IF(AND($Y$90=0,INDEX(KonZeile5,4)+INDEX(KonSpalte6,4)+INDEX(KonFeld6,4)=0),4,0))</f>
        <v>-1</v>
      </c>
      <c r="CF147" s="39">
        <f>IF($Y$90="x",-1,IF(AND($Y$90=0,INDEX(KonZeile5,5)+INDEX(KonSpalte6,5)+INDEX(KonFeld6,5)=0),5,0))</f>
        <v>-1</v>
      </c>
      <c r="CG147" s="42">
        <f>IF($Y$90="x",-1,IF(AND($Y$90=0,INDEX(KonZeile5,6)+INDEX(KonSpalte6,6)+INDEX(KonFeld6,6)=0),6,0))</f>
        <v>-1</v>
      </c>
      <c r="CH147" s="43">
        <f>IF($Z$90="x",-1,IF(AND($Z$90=0,INDEX(KonZeile5,4)+INDEX(KonSpalte7,4)+INDEX(KonFeld6,4)=0),4,0))</f>
        <v>0</v>
      </c>
      <c r="CI147" s="39">
        <f>IF($Z$90="x",-1,IF(AND($Z$90=0,INDEX(KonZeile5,5)+INDEX(KonSpalte7,5)+INDEX(KonFeld6,5)=0),5,0))</f>
        <v>0</v>
      </c>
      <c r="CJ147" s="41">
        <f>IF($Z$90="x",-1,IF(AND($Z$90=0,INDEX(KonZeile5,6)+INDEX(KonSpalte7,6)+INDEX(KonFeld6,6)=0),6,0))</f>
        <v>0</v>
      </c>
      <c r="CK147" s="40">
        <f>IF($AA$90="x",-1,IF(AND($AA$90=0,INDEX(KonZeile5,4)+INDEX(KonSpalte8,4)+INDEX(KonFeld6,4)=0),4,0))</f>
        <v>0</v>
      </c>
      <c r="CL147" s="39">
        <f>IF($AA$90="x",-1,IF(AND($AA$90=0,INDEX(KonZeile5,5)+INDEX(KonSpalte8,5)+INDEX(KonFeld6,5)=0),5,0))</f>
        <v>0</v>
      </c>
      <c r="CM147" s="41">
        <f>IF($AA$90="x",-1,IF(AND($AA$90=0,INDEX(KonZeile5,6)+INDEX(KonSpalte8,6)+INDEX(KonFeld6,6)=0),6,0))</f>
        <v>0</v>
      </c>
      <c r="CN147" s="40">
        <f>IF($AB$90="x",-1,IF(AND($AB$90=0,INDEX(KonZeile5,4)+INDEX(KonSpalte9,4)+INDEX(KonFeld6,4)=0),4,0))</f>
        <v>-1</v>
      </c>
      <c r="CO147" s="39">
        <f>IF($AB$90="x",-1,IF(AND($AB$90=0,INDEX(KonZeile5,5)+INDEX(KonSpalte9,5)+INDEX(KonFeld6,5)=0),5,0))</f>
        <v>-1</v>
      </c>
      <c r="CP147" s="95">
        <f>IF($AB$90="x",-1,IF(AND($AB$90=0,INDEX(KonZeile5,6)+INDEX(KonSpalte9,6)+INDEX(KonFeld6,6)=0),6,0))</f>
        <v>-1</v>
      </c>
      <c r="CR147" s="40">
        <f>COUNTIF(N147:CP147,4)</f>
        <v>0</v>
      </c>
      <c r="CS147" s="39">
        <f>COUNTIF(N147:CP147,5)</f>
        <v>0</v>
      </c>
      <c r="CT147" s="41">
        <f>COUNTIF(N147:CP147,6)</f>
        <v>0</v>
      </c>
      <c r="CU147" s="39"/>
      <c r="CV147" s="39"/>
      <c r="CX147" s="72">
        <f t="shared" si="185"/>
        <v>0</v>
      </c>
      <c r="CY147" s="73">
        <f t="shared" si="185"/>
        <v>0</v>
      </c>
      <c r="CZ147" s="74">
        <f t="shared" si="185"/>
        <v>0</v>
      </c>
      <c r="DJ147" s="94">
        <f t="shared" si="186"/>
        <v>0</v>
      </c>
      <c r="DK147" s="39">
        <f t="shared" si="187"/>
        <v>0</v>
      </c>
      <c r="DL147" s="41">
        <f t="shared" si="188"/>
        <v>0</v>
      </c>
      <c r="DM147" s="40">
        <f t="shared" si="189"/>
        <v>-1</v>
      </c>
      <c r="DN147" s="39">
        <f t="shared" si="190"/>
        <v>-1</v>
      </c>
      <c r="DO147" s="41">
        <f t="shared" si="191"/>
        <v>-1</v>
      </c>
      <c r="DP147" s="40">
        <f t="shared" si="192"/>
        <v>-1</v>
      </c>
      <c r="DQ147" s="39">
        <f t="shared" si="193"/>
        <v>-1</v>
      </c>
      <c r="DR147" s="42">
        <f t="shared" si="194"/>
        <v>-1</v>
      </c>
      <c r="DS147" s="43">
        <f t="shared" si="195"/>
        <v>-1</v>
      </c>
      <c r="DT147" s="39">
        <f t="shared" si="196"/>
        <v>-1</v>
      </c>
      <c r="DU147" s="41">
        <f t="shared" si="197"/>
        <v>-1</v>
      </c>
      <c r="DV147" s="40">
        <f t="shared" si="198"/>
        <v>-1</v>
      </c>
      <c r="DW147" s="39">
        <f t="shared" si="199"/>
        <v>-1</v>
      </c>
      <c r="DX147" s="41">
        <f t="shared" si="200"/>
        <v>-1</v>
      </c>
      <c r="DY147" s="40">
        <f t="shared" si="201"/>
        <v>-1</v>
      </c>
      <c r="DZ147" s="39">
        <f t="shared" si="202"/>
        <v>-1</v>
      </c>
      <c r="EA147" s="42">
        <f t="shared" si="203"/>
        <v>-1</v>
      </c>
      <c r="EB147" s="43">
        <f t="shared" si="204"/>
        <v>-1</v>
      </c>
      <c r="EC147" s="39">
        <f t="shared" si="205"/>
        <v>-1</v>
      </c>
      <c r="ED147" s="41">
        <f t="shared" si="206"/>
        <v>-1</v>
      </c>
      <c r="EE147" s="40">
        <f t="shared" si="207"/>
        <v>-1</v>
      </c>
      <c r="EF147" s="39">
        <f t="shared" si="208"/>
        <v>-1</v>
      </c>
      <c r="EG147" s="41">
        <f t="shared" si="209"/>
        <v>-1</v>
      </c>
      <c r="EH147" s="40">
        <f t="shared" si="210"/>
        <v>-1</v>
      </c>
      <c r="EI147" s="39">
        <f t="shared" si="211"/>
        <v>-1</v>
      </c>
      <c r="EJ147" s="95">
        <f t="shared" si="212"/>
        <v>-1</v>
      </c>
      <c r="EK147" s="94">
        <f t="shared" si="213"/>
        <v>-1</v>
      </c>
      <c r="EL147" s="39">
        <f t="shared" si="214"/>
        <v>-1</v>
      </c>
      <c r="EM147" s="41">
        <f t="shared" si="215"/>
        <v>-1</v>
      </c>
      <c r="EN147" s="40">
        <f t="shared" si="216"/>
        <v>-1</v>
      </c>
      <c r="EO147" s="39">
        <f t="shared" si="217"/>
        <v>-1</v>
      </c>
      <c r="EP147" s="41">
        <f t="shared" si="218"/>
        <v>-1</v>
      </c>
      <c r="EQ147" s="40">
        <f t="shared" si="219"/>
        <v>4</v>
      </c>
      <c r="ER147" s="39">
        <f t="shared" si="220"/>
        <v>0</v>
      </c>
      <c r="ES147" s="42">
        <f t="shared" si="221"/>
        <v>0</v>
      </c>
      <c r="ET147" s="43">
        <f t="shared" si="222"/>
        <v>-1</v>
      </c>
      <c r="EU147" s="39">
        <f t="shared" si="223"/>
        <v>-1</v>
      </c>
      <c r="EV147" s="41">
        <f t="shared" si="224"/>
        <v>-1</v>
      </c>
      <c r="EW147" s="40">
        <f t="shared" si="225"/>
        <v>-1</v>
      </c>
      <c r="EX147" s="39">
        <f t="shared" si="226"/>
        <v>-1</v>
      </c>
      <c r="EY147" s="41">
        <f t="shared" si="227"/>
        <v>-1</v>
      </c>
      <c r="EZ147" s="40">
        <f t="shared" si="228"/>
        <v>-1</v>
      </c>
      <c r="FA147" s="39">
        <f t="shared" si="229"/>
        <v>-1</v>
      </c>
      <c r="FB147" s="42">
        <f t="shared" si="230"/>
        <v>-1</v>
      </c>
      <c r="FC147" s="43">
        <f t="shared" si="231"/>
        <v>-1</v>
      </c>
      <c r="FD147" s="39">
        <f t="shared" si="232"/>
        <v>-1</v>
      </c>
      <c r="FE147" s="41">
        <f t="shared" si="233"/>
        <v>-1</v>
      </c>
      <c r="FF147" s="40">
        <f t="shared" si="234"/>
        <v>-1</v>
      </c>
      <c r="FG147" s="39">
        <f t="shared" si="235"/>
        <v>-1</v>
      </c>
      <c r="FH147" s="41">
        <f t="shared" si="236"/>
        <v>-1</v>
      </c>
      <c r="FI147" s="40">
        <f t="shared" si="237"/>
        <v>-1</v>
      </c>
      <c r="FJ147" s="39">
        <f t="shared" si="238"/>
        <v>-1</v>
      </c>
      <c r="FK147" s="95">
        <f t="shared" si="239"/>
        <v>-1</v>
      </c>
      <c r="FL147" s="94">
        <f t="shared" si="240"/>
        <v>-1</v>
      </c>
      <c r="FM147" s="39">
        <f t="shared" si="241"/>
        <v>-1</v>
      </c>
      <c r="FN147" s="41">
        <f t="shared" si="242"/>
        <v>-1</v>
      </c>
      <c r="FO147" s="40">
        <f t="shared" si="243"/>
        <v>-1</v>
      </c>
      <c r="FP147" s="39">
        <f t="shared" si="244"/>
        <v>-1</v>
      </c>
      <c r="FQ147" s="41">
        <f t="shared" si="245"/>
        <v>-1</v>
      </c>
      <c r="FR147" s="40">
        <f t="shared" si="246"/>
        <v>-1</v>
      </c>
      <c r="FS147" s="39">
        <f t="shared" si="247"/>
        <v>-1</v>
      </c>
      <c r="FT147" s="42">
        <f t="shared" si="248"/>
        <v>-1</v>
      </c>
      <c r="FU147" s="43">
        <f t="shared" si="249"/>
        <v>-1</v>
      </c>
      <c r="FV147" s="39">
        <f t="shared" si="250"/>
        <v>-1</v>
      </c>
      <c r="FW147" s="41">
        <f t="shared" si="251"/>
        <v>-1</v>
      </c>
      <c r="FX147" s="40">
        <f t="shared" si="252"/>
        <v>-1</v>
      </c>
      <c r="FY147" s="39">
        <f t="shared" si="253"/>
        <v>-1</v>
      </c>
      <c r="FZ147" s="41">
        <f t="shared" si="254"/>
        <v>-1</v>
      </c>
      <c r="GA147" s="40">
        <f t="shared" si="255"/>
        <v>-1</v>
      </c>
      <c r="GB147" s="39">
        <f t="shared" si="256"/>
        <v>-1</v>
      </c>
      <c r="GC147" s="42">
        <f t="shared" si="257"/>
        <v>-1</v>
      </c>
      <c r="GD147" s="43">
        <f t="shared" si="258"/>
        <v>-1</v>
      </c>
      <c r="GE147" s="39">
        <f t="shared" si="259"/>
        <v>-1</v>
      </c>
      <c r="GF147" s="41">
        <f t="shared" si="260"/>
        <v>-1</v>
      </c>
      <c r="GG147" s="40">
        <f t="shared" si="261"/>
        <v>0</v>
      </c>
      <c r="GH147" s="39">
        <f t="shared" si="262"/>
        <v>5</v>
      </c>
      <c r="GI147" s="41">
        <f t="shared" si="263"/>
        <v>0</v>
      </c>
      <c r="GJ147" s="40">
        <f t="shared" si="264"/>
        <v>4</v>
      </c>
      <c r="GK147" s="39">
        <f t="shared" si="265"/>
        <v>0</v>
      </c>
      <c r="GL147" s="95">
        <f t="shared" si="266"/>
        <v>6</v>
      </c>
      <c r="GN147" s="40">
        <f>COUNTIF(DJ147:GL147,4)</f>
        <v>2</v>
      </c>
      <c r="GO147" s="39">
        <f>COUNTIF(DJ147:GL147,5)</f>
        <v>1</v>
      </c>
      <c r="GP147" s="41">
        <f>COUNTIF(DJ147:GL147,6)</f>
        <v>1</v>
      </c>
      <c r="GQ147" s="39"/>
      <c r="GR147" s="39"/>
      <c r="GT147" s="96">
        <f t="shared" si="267"/>
        <v>3</v>
      </c>
      <c r="GU147" s="97">
        <f t="shared" si="268"/>
        <v>1</v>
      </c>
      <c r="GV147" s="98">
        <f t="shared" si="269"/>
        <v>2</v>
      </c>
    </row>
    <row r="148" spans="2:204" ht="15" customHeight="1" thickBot="1">
      <c r="B148" s="78" t="str">
        <f t="shared" si="174"/>
        <v>x</v>
      </c>
      <c r="C148" s="79" t="str">
        <f t="shared" si="175"/>
        <v>x</v>
      </c>
      <c r="D148" s="79" t="str">
        <f t="shared" si="176"/>
        <v>x</v>
      </c>
      <c r="E148" s="79" t="str">
        <f t="shared" si="177"/>
        <v>x</v>
      </c>
      <c r="F148" s="79" t="str">
        <f t="shared" si="178"/>
        <v>x</v>
      </c>
      <c r="G148" s="79" t="str">
        <f t="shared" si="179"/>
        <v>x</v>
      </c>
      <c r="H148" s="79" t="str">
        <f t="shared" si="180"/>
        <v>x</v>
      </c>
      <c r="I148" s="79" t="str">
        <f t="shared" si="181"/>
        <v>x</v>
      </c>
      <c r="J148" s="80" t="str">
        <f t="shared" si="182"/>
        <v>x</v>
      </c>
      <c r="N148" s="99">
        <f>IF($B$90="x",-1,IF(AND($B$90=0,INDEX(KonZeile5,7)+INDEX(KonSpalte1,7)+INDEX(KonFeld4,7)=0),7,0))</f>
        <v>-1</v>
      </c>
      <c r="O148" s="45">
        <f>IF($B$90="x",-1,IF(AND($B$90=0,INDEX(KonZeile5,8)+INDEX(KonSpalte1,8)+INDEX(KonFeld4,8)=0),8,0))</f>
        <v>-1</v>
      </c>
      <c r="P148" s="47">
        <f>IF($B$90="x",-1,IF(AND($B$90=0,INDEX(KonZeile5,9)+INDEX(KonSpalte1,9)+INDEX(KonFeld4,9)=0),9,0))</f>
        <v>-1</v>
      </c>
      <c r="Q148" s="46">
        <f>IF($C$90="x",-1,IF(AND($C$90=0,INDEX(KonZeile5,7)+INDEX(KonSpalte2,7)+INDEX(KonFeld4,7)=0),7,0))</f>
        <v>-1</v>
      </c>
      <c r="R148" s="45">
        <f>IF($C$90="x",-1,IF(AND($C$90=0,INDEX(KonZeile5,8)+INDEX(KonSpalte2,8)+INDEX(KonFeld4,8)=0),8,0))</f>
        <v>-1</v>
      </c>
      <c r="S148" s="47">
        <f>IF($C$90="x",-1,IF(AND($C$90=0,INDEX(KonZeile5,9)+INDEX(KonSpalte2,9)+INDEX(KonFeld4,9)=0),9,0))</f>
        <v>-1</v>
      </c>
      <c r="T148" s="46">
        <f>IF($D$90="x",-1,IF(AND($D$90=0,INDEX(KonZeile5,7)+INDEX(KonSpalte3,7)+INDEX(KonFeld4,7)=0),7,0))</f>
        <v>0</v>
      </c>
      <c r="U148" s="45">
        <f>IF($D$90="x",-1,IF(AND($D$90=0,INDEX(KonZeile5,8)+INDEX(KonSpalte3,8)+INDEX(KonFeld4,8)=0),8,0))</f>
        <v>0</v>
      </c>
      <c r="V148" s="48">
        <f>IF($D$90="x",-1,IF(AND($D$90=0,INDEX(KonZeile5,9)+INDEX(KonSpalte3,9)+INDEX(KonFeld4,9)=0),9,0))</f>
        <v>0</v>
      </c>
      <c r="W148" s="44">
        <f>IF($E$90="x",-1,IF(AND($E$90=0,INDEX(KonZeile5,7)+INDEX(KonSpalte4,7)+INDEX(KonFeld4,7)=0),7,0))</f>
        <v>-1</v>
      </c>
      <c r="X148" s="45">
        <f>IF($E$90="x",-1,IF(AND($E$90=0,INDEX(KonZeile5,8)+INDEX(KonSpalte4,8)+INDEX(KonFeld4,8)=0),8,0))</f>
        <v>-1</v>
      </c>
      <c r="Y148" s="47">
        <f>IF($E$90="x",-1,IF(AND($E$90=0,INDEX(KonZeile5,9)+INDEX(KonSpalte4,9)+INDEX(KonFeld4,9)=0),9,0))</f>
        <v>-1</v>
      </c>
      <c r="Z148" s="46">
        <f>IF($F$90="x",-1,IF(AND($F$90=0,INDEX(KonZeile5,7)+INDEX(KonSpalte5,7)+INDEX(KonFeld4,7)=0),7,0))</f>
        <v>-1</v>
      </c>
      <c r="AA148" s="45">
        <f>IF($F$90="x",-1,IF(AND($F$90=0,INDEX(KonZeile5,8)+INDEX(KonSpalte5,8)+INDEX(KonFeld4,8)=0),8,0))</f>
        <v>-1</v>
      </c>
      <c r="AB148" s="47">
        <f>IF($F$90="x",-1,IF(AND($F$90=0,INDEX(KonZeile5,9)+INDEX(KonSpalte5,9)+INDEX(KonFeld4,9)=0),9,0))</f>
        <v>-1</v>
      </c>
      <c r="AC148" s="46">
        <f>IF($G$90="x",-1,IF(AND($G$90=0,INDEX(KonZeile5,7)+INDEX(KonSpalte6,7)+INDEX(KonFeld4,7)=0),7,0))</f>
        <v>-1</v>
      </c>
      <c r="AD148" s="45">
        <f>IF($G$90="x",-1,IF(AND($G$90=0,INDEX(KonZeile5,8)+INDEX(KonSpalte6,8)+INDEX(KonFeld4,8)=0),8,0))</f>
        <v>-1</v>
      </c>
      <c r="AE148" s="48">
        <f>IF($G$90="x",-1,IF(AND($G$90=0,INDEX(KonZeile5,9)+INDEX(KonSpalte6,9)+INDEX(KonFeld4,9)=0),9,0))</f>
        <v>-1</v>
      </c>
      <c r="AF148" s="44">
        <f>IF($H$90="x",-1,IF(AND($H$90=0,INDEX(KonZeile5,7)+INDEX(KonSpalte7,7)+INDEX(KonFeld4,7)=0),7,0))</f>
        <v>-1</v>
      </c>
      <c r="AG148" s="45">
        <f>IF($H$90="x",-1,IF(AND($H$90=0,INDEX(KonZeile5,8)+INDEX(KonSpalte7,8)+INDEX(KonFeld4,8)=0),8,0))</f>
        <v>-1</v>
      </c>
      <c r="AH148" s="47">
        <f>IF($H$90="x",-1,IF(AND($H$90=0,INDEX(KonZeile5,9)+INDEX(KonSpalte7,9)+INDEX(KonFeld4,9)=0),9,0))</f>
        <v>-1</v>
      </c>
      <c r="AI148" s="46">
        <f>IF($I$90="x",-1,IF(AND($I$90=0,INDEX(KonZeile5,7)+INDEX(KonSpalte8,7)+INDEX(KonFeld4,7)=0),7,0))</f>
        <v>-1</v>
      </c>
      <c r="AJ148" s="45">
        <f>IF($I$90="x",-1,IF(AND($I$90=0,INDEX(KonZeile5,8)+INDEX(KonSpalte8,8)+INDEX(KonFeld4,8)=0),8,0))</f>
        <v>-1</v>
      </c>
      <c r="AK148" s="47">
        <f>IF($I$90="x",-1,IF(AND($I$90=0,INDEX(KonZeile5,9)+INDEX(KonSpalte8,9)+INDEX(KonFeld4,9)=0),9,0))</f>
        <v>-1</v>
      </c>
      <c r="AL148" s="46">
        <f>IF($J$90="x",-1,IF(AND($J$90=0,INDEX(KonZeile5,7)+INDEX(KonSpalte9,7)+INDEX(KonFeld4,7)=0),7,0))</f>
        <v>-1</v>
      </c>
      <c r="AM148" s="45">
        <f>IF($J$90="x",-1,IF(AND($J$90=0,INDEX(KonZeile5,8)+INDEX(KonSpalte9,8)+INDEX(KonFeld4,8)=0),8,0))</f>
        <v>-1</v>
      </c>
      <c r="AN148" s="100">
        <f>IF($J$90="x",-1,IF(AND($J$90=0,INDEX(KonZeile5,9)+INDEX(KonSpalte9,9)+INDEX(KonFeld4,9)=0),9,0))</f>
        <v>-1</v>
      </c>
      <c r="AO148" s="99">
        <f>IF($K$90="x",-1,IF(AND($K$90=0,INDEX(KonZeile5,7)+INDEX(KonSpalte1,7)+INDEX(KonFeld5,7)=0),7,0))</f>
        <v>-1</v>
      </c>
      <c r="AP148" s="45">
        <f>IF($K$90="x",-1,IF(AND($K$90=0,INDEX(KonZeile5,8)+INDEX(KonSpalte1,8)+INDEX(KonFeld5,8)=0),8,0))</f>
        <v>-1</v>
      </c>
      <c r="AQ148" s="47">
        <f>IF($K$90="x",-1,IF(AND($K$90=0,INDEX(KonZeile5,9)+INDEX(KonSpalte1,9)+INDEX(KonFeld5,9)=0),9,0))</f>
        <v>-1</v>
      </c>
      <c r="AR148" s="46">
        <f>IF($L$90="x",-1,IF(AND($L$90=0,INDEX(KonZeile5,7)+INDEX(KonSpalte2,7)+INDEX(KonFeld5,7)=0),7,0))</f>
        <v>-1</v>
      </c>
      <c r="AS148" s="45">
        <f>IF($L$90="x",-1,IF(AND($L$90=0,INDEX(KonZeile5,8)+INDEX(KonSpalte2,8)+INDEX(KonFeld5,8)=0),8,0))</f>
        <v>-1</v>
      </c>
      <c r="AT148" s="47">
        <f>IF($L$90="x",-1,IF(AND($L$90=0,INDEX(KonZeile5,9)+INDEX(KonSpalte2,9)+INDEX(KonFeld5,9)=0),9,0))</f>
        <v>-1</v>
      </c>
      <c r="AU148" s="46">
        <f>IF($M$90="x",-1,IF(AND($M$90=0,INDEX(KonZeile5,7)+INDEX(KonSpalte3,7)+INDEX(KonFeld5,7)=0),7,0))</f>
        <v>-1</v>
      </c>
      <c r="AV148" s="45">
        <f>IF($M$90="x",-1,IF(AND($M$90=0,INDEX(KonZeile5,8)+INDEX(KonSpalte3,8)+INDEX(KonFeld5,8)=0),8,0))</f>
        <v>-1</v>
      </c>
      <c r="AW148" s="48">
        <f>IF($M$90="x",-1,IF(AND($M$90=0,INDEX(KonZeile5,9)+INDEX(KonSpalte3,9)+INDEX(KonFeld5,9)=0),9,0))</f>
        <v>-1</v>
      </c>
      <c r="AX148" s="44">
        <f>IF($N$90="x",-1,IF(AND($N$90=0,INDEX(KonZeile5,7)+INDEX(KonSpalte4,7)+INDEX(KonFeld5,7)=0),7,0))</f>
        <v>-1</v>
      </c>
      <c r="AY148" s="45">
        <f>IF($N$90="x",-1,IF(AND($N$90=0,INDEX(KonZeile5,8)+INDEX(KonSpalte4,8)+INDEX(KonFeld5,8)=0),8,0))</f>
        <v>-1</v>
      </c>
      <c r="AZ148" s="47">
        <f>IF($N$90="x",-1,IF(AND($N$90=0,INDEX(KonZeile5,9)+INDEX(KonSpalte4,9)+INDEX(KonFeld5,9)=0),9,0))</f>
        <v>-1</v>
      </c>
      <c r="BA148" s="46">
        <f>IF($O$90="x",-1,IF(AND($O$90=0,INDEX(KonZeile5,7)+INDEX(KonSpalte5,7)+INDEX(KonFeld5,7)=0),7,0))</f>
        <v>-1</v>
      </c>
      <c r="BB148" s="45">
        <f>IF($O$90="x",-1,IF(AND($O$90=0,INDEX(KonZeile5,8)+INDEX(KonSpalte5,8)+INDEX(KonFeld5,8)=0),8,0))</f>
        <v>-1</v>
      </c>
      <c r="BC148" s="47">
        <f>IF($O$90="x",-1,IF(AND($O$90=0,INDEX(KonZeile5,9)+INDEX(KonSpalte5,9)+INDEX(KonFeld5,9)=0),9,0))</f>
        <v>-1</v>
      </c>
      <c r="BD148" s="46">
        <f>IF($P$90="x",-1,IF(AND($P$90=0,INDEX(KonZeile5,7)+INDEX(KonSpalte6,7)+INDEX(KonFeld5,7)=0),7,0))</f>
        <v>-1</v>
      </c>
      <c r="BE148" s="45">
        <f>IF($P$90="x",-1,IF(AND($P$90=0,INDEX(KonZeile5,8)+INDEX(KonSpalte6,8)+INDEX(KonFeld5,8)=0),8,0))</f>
        <v>-1</v>
      </c>
      <c r="BF148" s="48">
        <f>IF($P$90="x",-1,IF(AND($P$90=0,INDEX(KonZeile5,9)+INDEX(KonSpalte6,9)+INDEX(KonFeld5,9)=0),9,0))</f>
        <v>-1</v>
      </c>
      <c r="BG148" s="44">
        <f>IF($Q$90="x",-1,IF(AND($Q$90=0,INDEX(KonZeile5,7)+INDEX(KonSpalte7,7)+INDEX(KonFeld5,7)=0),7,0))</f>
        <v>-1</v>
      </c>
      <c r="BH148" s="45">
        <f>IF($Q$90="x",-1,IF(AND($Q$90=0,INDEX(KonZeile5,8)+INDEX(KonSpalte7,8)+INDEX(KonFeld5,8)=0),8,0))</f>
        <v>-1</v>
      </c>
      <c r="BI148" s="47">
        <f>IF($Q$90="x",-1,IF(AND($Q$90=0,INDEX(KonZeile5,9)+INDEX(KonSpalte7,9)+INDEX(KonFeld5,9)=0),9,0))</f>
        <v>-1</v>
      </c>
      <c r="BJ148" s="46">
        <f>IF($R$90="x",-1,IF(AND($R$90=0,INDEX(KonZeile5,7)+INDEX(KonSpalte8,7)+INDEX(KonFeld5,7)=0),7,0))</f>
        <v>-1</v>
      </c>
      <c r="BK148" s="45">
        <f>IF($R$90="x",-1,IF(AND($R$90=0,INDEX(KonZeile5,8)+INDEX(KonSpalte8,8)+INDEX(KonFeld5,8)=0),8,0))</f>
        <v>-1</v>
      </c>
      <c r="BL148" s="47">
        <f>IF($R$90="x",-1,IF(AND($R$90=0,INDEX(KonZeile5,9)+INDEX(KonSpalte8,9)+INDEX(KonFeld5,9)=0),9,0))</f>
        <v>-1</v>
      </c>
      <c r="BM148" s="46">
        <f>IF($S$90="x",-1,IF(AND($S$90=0,INDEX(KonZeile5,7)+INDEX(KonSpalte9,7)+INDEX(KonFeld5,7)=0),7,0))</f>
        <v>-1</v>
      </c>
      <c r="BN148" s="45">
        <f>IF($S$90="x",-1,IF(AND($S$90=0,INDEX(KonZeile5,8)+INDEX(KonSpalte9,8)+INDEX(KonFeld5,8)=0),8,0))</f>
        <v>-1</v>
      </c>
      <c r="BO148" s="100">
        <f>IF($S$90="x",-1,IF(AND($S$90=0,INDEX(KonZeile5,9)+INDEX(KonSpalte9,9)+INDEX(KonFeld5,9)=0),9,0))</f>
        <v>-1</v>
      </c>
      <c r="BP148" s="99">
        <f>IF($T$90="x",-1,IF(AND($T$90=0,INDEX(KonZeile5,7)+INDEX(KonSpalte1,7)+INDEX(KonFeld6,7)=0),7,0))</f>
        <v>-1</v>
      </c>
      <c r="BQ148" s="45">
        <f>IF($T$90="x",-1,IF(AND($T$90=0,INDEX(KonZeile5,8)+INDEX(KonSpalte1,8)+INDEX(KonFeld6,8)=0),8,0))</f>
        <v>-1</v>
      </c>
      <c r="BR148" s="47">
        <f>IF($T$90="x",-1,IF(AND($T$90=0,INDEX(KonZeile5,9)+INDEX(KonSpalte1,9)+INDEX(KonFeld6,9)=0),9,0))</f>
        <v>-1</v>
      </c>
      <c r="BS148" s="46">
        <f>IF($U$90="x",-1,IF(AND($U$90=0,INDEX(KonZeile5,7)+INDEX(KonSpalte2,7)+INDEX(KonFeld6,7)=0),7,0))</f>
        <v>-1</v>
      </c>
      <c r="BT148" s="45">
        <f>IF($U$90="x",-1,IF(AND($U$90=0,INDEX(KonZeile5,8)+INDEX(KonSpalte2,8)+INDEX(KonFeld6,8)=0),8,0))</f>
        <v>-1</v>
      </c>
      <c r="BU148" s="47">
        <f>IF($U$90="x",-1,IF(AND($U$90=0,INDEX(KonZeile5,9)+INDEX(KonSpalte2,9)+INDEX(KonFeld6,9)=0),9,0))</f>
        <v>-1</v>
      </c>
      <c r="BV148" s="46">
        <f>IF($V$90="x",-1,IF(AND($V$90=0,INDEX(KonZeile5,7)+INDEX(KonSpalte3,7)+INDEX(KonFeld6,7)=0),7,0))</f>
        <v>-1</v>
      </c>
      <c r="BW148" s="45">
        <f>IF($V$90="x",-1,IF(AND($V$90=0,INDEX(KonZeile5,8)+INDEX(KonSpalte3,8)+INDEX(KonFeld6,8)=0),8,0))</f>
        <v>-1</v>
      </c>
      <c r="BX148" s="48">
        <f>IF($V$90="x",-1,IF(AND($V$90=0,INDEX(KonZeile5,9)+INDEX(KonSpalte3,9)+INDEX(KonFeld6,9)=0),9,0))</f>
        <v>-1</v>
      </c>
      <c r="BY148" s="44">
        <f>IF($W$90="x",-1,IF(AND($W$90=0,INDEX(KonZeile5,7)+INDEX(KonSpalte4,7)+INDEX(KonFeld6,7)=0),7,0))</f>
        <v>-1</v>
      </c>
      <c r="BZ148" s="45">
        <f>IF($W$90="x",-1,IF(AND($W$90=0,INDEX(KonZeile5,8)+INDEX(KonSpalte4,8)+INDEX(KonFeld6,8)=0),8,0))</f>
        <v>-1</v>
      </c>
      <c r="CA148" s="47">
        <f>IF($W$90="x",-1,IF(AND($W$90=0,INDEX(KonZeile5,9)+INDEX(KonSpalte4,9)+INDEX(KonFeld6,9)=0),9,0))</f>
        <v>-1</v>
      </c>
      <c r="CB148" s="46">
        <f>IF($X$90="x",-1,IF(AND($X$90=0,INDEX(KonZeile5,7)+INDEX(KonSpalte5,7)+INDEX(KonFeld6,7)=0),7,0))</f>
        <v>-1</v>
      </c>
      <c r="CC148" s="45">
        <f>IF($X$90="x",-1,IF(AND($X$90=0,INDEX(KonZeile5,8)+INDEX(KonSpalte5,8)+INDEX(KonFeld6,8)=0),8,0))</f>
        <v>-1</v>
      </c>
      <c r="CD148" s="47">
        <f>IF($X$90="x",-1,IF(AND($X$90=0,INDEX(KonZeile5,9)+INDEX(KonSpalte5,9)+INDEX(KonFeld6,9)=0),9,0))</f>
        <v>-1</v>
      </c>
      <c r="CE148" s="46">
        <f>IF($Y$90="x",-1,IF(AND($Y$90=0,INDEX(KonZeile5,7)+INDEX(KonSpalte6,7)+INDEX(KonFeld6,7)=0),7,0))</f>
        <v>-1</v>
      </c>
      <c r="CF148" s="45">
        <f>IF($Y$90="x",-1,IF(AND($Y$90=0,INDEX(KonZeile5,8)+INDEX(KonSpalte6,8)+INDEX(KonFeld6,8)=0),8,0))</f>
        <v>-1</v>
      </c>
      <c r="CG148" s="48">
        <f>IF($Y$90="x",-1,IF(AND($Y$90=0,INDEX(KonZeile5,9)+INDEX(KonSpalte6,9)+INDEX(KonFeld6,9)=0),9,0))</f>
        <v>-1</v>
      </c>
      <c r="CH148" s="44">
        <f>IF($Z$90="x",-1,IF(AND($Z$90=0,INDEX(KonZeile5,7)+INDEX(KonSpalte7,7)+INDEX(KonFeld6,7)=0),7,0))</f>
        <v>0</v>
      </c>
      <c r="CI148" s="45">
        <f>IF($Z$90="x",-1,IF(AND($Z$90=0,INDEX(KonZeile5,8)+INDEX(KonSpalte7,8)+INDEX(KonFeld6,8)=0),8,0))</f>
        <v>0</v>
      </c>
      <c r="CJ148" s="47">
        <f>IF($Z$90="x",-1,IF(AND($Z$90=0,INDEX(KonZeile5,9)+INDEX(KonSpalte7,9)+INDEX(KonFeld6,9)=0),9,0))</f>
        <v>0</v>
      </c>
      <c r="CK148" s="46">
        <f>IF($AA$90="x",-1,IF(AND($AA$90=0,INDEX(KonZeile5,7)+INDEX(KonSpalte8,7)+INDEX(KonFeld6,7)=0),7,0))</f>
        <v>0</v>
      </c>
      <c r="CL148" s="45">
        <f>IF($AA$90="x",-1,IF(AND($AA$90=0,INDEX(KonZeile5,8)+INDEX(KonSpalte8,8)+INDEX(KonFeld6,8)=0),8,0))</f>
        <v>0</v>
      </c>
      <c r="CM148" s="47">
        <f>IF($AA$90="x",-1,IF(AND($AA$90=0,INDEX(KonZeile5,9)+INDEX(KonSpalte8,9)+INDEX(KonFeld6,9)=0),9,0))</f>
        <v>0</v>
      </c>
      <c r="CN148" s="46">
        <f>IF($AB$90="x",-1,IF(AND($AB$90=0,INDEX(KonZeile5,7)+INDEX(KonSpalte9,7)+INDEX(KonFeld6,7)=0),7,0))</f>
        <v>-1</v>
      </c>
      <c r="CO148" s="45">
        <f>IF($AB$90="x",-1,IF(AND($AB$90=0,INDEX(KonZeile5,8)+INDEX(KonSpalte9,8)+INDEX(KonFeld6,8)=0),8,0))</f>
        <v>-1</v>
      </c>
      <c r="CP148" s="100">
        <f>IF($AB$90="x",-1,IF(AND($AB$90=0,INDEX(KonZeile5,9)+INDEX(KonSpalte9,9)+INDEX(KonFeld6,9)=0),9,0))</f>
        <v>-1</v>
      </c>
      <c r="CR148" s="46">
        <f>COUNTIF(N148:CP148,7)</f>
        <v>0</v>
      </c>
      <c r="CS148" s="45">
        <f>COUNTIF(N148:CP148,8)</f>
        <v>0</v>
      </c>
      <c r="CT148" s="47">
        <f>COUNTIF(N148:CP148,9)</f>
        <v>0</v>
      </c>
      <c r="CU148" s="39"/>
      <c r="CV148" s="39"/>
      <c r="CX148" s="78">
        <f t="shared" si="185"/>
        <v>0</v>
      </c>
      <c r="CY148" s="79">
        <f t="shared" si="185"/>
        <v>0</v>
      </c>
      <c r="CZ148" s="80">
        <f t="shared" si="185"/>
        <v>0</v>
      </c>
      <c r="DJ148" s="106">
        <f t="shared" si="186"/>
        <v>0</v>
      </c>
      <c r="DK148" s="55">
        <f t="shared" si="187"/>
        <v>0</v>
      </c>
      <c r="DL148" s="56">
        <f t="shared" si="188"/>
        <v>0</v>
      </c>
      <c r="DM148" s="57">
        <f t="shared" si="189"/>
        <v>-1</v>
      </c>
      <c r="DN148" s="55">
        <f t="shared" si="190"/>
        <v>-1</v>
      </c>
      <c r="DO148" s="56">
        <f t="shared" si="191"/>
        <v>-1</v>
      </c>
      <c r="DP148" s="57">
        <f t="shared" si="192"/>
        <v>-1</v>
      </c>
      <c r="DQ148" s="55">
        <f t="shared" si="193"/>
        <v>-1</v>
      </c>
      <c r="DR148" s="58">
        <f t="shared" si="194"/>
        <v>-1</v>
      </c>
      <c r="DS148" s="54">
        <f t="shared" si="195"/>
        <v>-1</v>
      </c>
      <c r="DT148" s="55">
        <f t="shared" si="196"/>
        <v>-1</v>
      </c>
      <c r="DU148" s="56">
        <f t="shared" si="197"/>
        <v>-1</v>
      </c>
      <c r="DV148" s="57">
        <f t="shared" si="198"/>
        <v>-1</v>
      </c>
      <c r="DW148" s="55">
        <f t="shared" si="199"/>
        <v>-1</v>
      </c>
      <c r="DX148" s="56">
        <f t="shared" si="200"/>
        <v>-1</v>
      </c>
      <c r="DY148" s="57">
        <f t="shared" si="201"/>
        <v>-1</v>
      </c>
      <c r="DZ148" s="55">
        <f t="shared" si="202"/>
        <v>-1</v>
      </c>
      <c r="EA148" s="58">
        <f t="shared" si="203"/>
        <v>-1</v>
      </c>
      <c r="EB148" s="54">
        <f t="shared" si="204"/>
        <v>-1</v>
      </c>
      <c r="EC148" s="55">
        <f t="shared" si="205"/>
        <v>-1</v>
      </c>
      <c r="ED148" s="56">
        <f t="shared" si="206"/>
        <v>-1</v>
      </c>
      <c r="EE148" s="57">
        <f t="shared" si="207"/>
        <v>-1</v>
      </c>
      <c r="EF148" s="55">
        <f t="shared" si="208"/>
        <v>-1</v>
      </c>
      <c r="EG148" s="56">
        <f t="shared" si="209"/>
        <v>-1</v>
      </c>
      <c r="EH148" s="57">
        <f t="shared" si="210"/>
        <v>-1</v>
      </c>
      <c r="EI148" s="55">
        <f t="shared" si="211"/>
        <v>-1</v>
      </c>
      <c r="EJ148" s="107">
        <f t="shared" si="212"/>
        <v>-1</v>
      </c>
      <c r="EK148" s="106">
        <f t="shared" si="213"/>
        <v>-1</v>
      </c>
      <c r="EL148" s="55">
        <f t="shared" si="214"/>
        <v>-1</v>
      </c>
      <c r="EM148" s="56">
        <f t="shared" si="215"/>
        <v>-1</v>
      </c>
      <c r="EN148" s="57">
        <f t="shared" si="216"/>
        <v>-1</v>
      </c>
      <c r="EO148" s="55">
        <f t="shared" si="217"/>
        <v>-1</v>
      </c>
      <c r="EP148" s="56">
        <f t="shared" si="218"/>
        <v>-1</v>
      </c>
      <c r="EQ148" s="57">
        <f t="shared" si="219"/>
        <v>0</v>
      </c>
      <c r="ER148" s="55">
        <f t="shared" si="220"/>
        <v>0</v>
      </c>
      <c r="ES148" s="58">
        <f t="shared" si="221"/>
        <v>0</v>
      </c>
      <c r="ET148" s="54">
        <f t="shared" si="222"/>
        <v>-1</v>
      </c>
      <c r="EU148" s="55">
        <f t="shared" si="223"/>
        <v>-1</v>
      </c>
      <c r="EV148" s="56">
        <f t="shared" si="224"/>
        <v>-1</v>
      </c>
      <c r="EW148" s="57">
        <f t="shared" si="225"/>
        <v>-1</v>
      </c>
      <c r="EX148" s="55">
        <f t="shared" si="226"/>
        <v>-1</v>
      </c>
      <c r="EY148" s="56">
        <f t="shared" si="227"/>
        <v>-1</v>
      </c>
      <c r="EZ148" s="57">
        <f t="shared" si="228"/>
        <v>-1</v>
      </c>
      <c r="FA148" s="55">
        <f t="shared" si="229"/>
        <v>-1</v>
      </c>
      <c r="FB148" s="58">
        <f t="shared" si="230"/>
        <v>-1</v>
      </c>
      <c r="FC148" s="54">
        <f t="shared" si="231"/>
        <v>-1</v>
      </c>
      <c r="FD148" s="55">
        <f t="shared" si="232"/>
        <v>-1</v>
      </c>
      <c r="FE148" s="56">
        <f t="shared" si="233"/>
        <v>-1</v>
      </c>
      <c r="FF148" s="57">
        <f t="shared" si="234"/>
        <v>-1</v>
      </c>
      <c r="FG148" s="55">
        <f t="shared" si="235"/>
        <v>-1</v>
      </c>
      <c r="FH148" s="56">
        <f t="shared" si="236"/>
        <v>-1</v>
      </c>
      <c r="FI148" s="57">
        <f t="shared" si="237"/>
        <v>-1</v>
      </c>
      <c r="FJ148" s="55">
        <f t="shared" si="238"/>
        <v>-1</v>
      </c>
      <c r="FK148" s="107">
        <f t="shared" si="239"/>
        <v>-1</v>
      </c>
      <c r="FL148" s="106">
        <f t="shared" si="240"/>
        <v>-1</v>
      </c>
      <c r="FM148" s="55">
        <f t="shared" si="241"/>
        <v>-1</v>
      </c>
      <c r="FN148" s="56">
        <f t="shared" si="242"/>
        <v>-1</v>
      </c>
      <c r="FO148" s="57">
        <f t="shared" si="243"/>
        <v>-1</v>
      </c>
      <c r="FP148" s="55">
        <f t="shared" si="244"/>
        <v>-1</v>
      </c>
      <c r="FQ148" s="56">
        <f t="shared" si="245"/>
        <v>-1</v>
      </c>
      <c r="FR148" s="57">
        <f t="shared" si="246"/>
        <v>-1</v>
      </c>
      <c r="FS148" s="55">
        <f t="shared" si="247"/>
        <v>-1</v>
      </c>
      <c r="FT148" s="58">
        <f t="shared" si="248"/>
        <v>-1</v>
      </c>
      <c r="FU148" s="54">
        <f t="shared" si="249"/>
        <v>-1</v>
      </c>
      <c r="FV148" s="55">
        <f t="shared" si="250"/>
        <v>-1</v>
      </c>
      <c r="FW148" s="56">
        <f t="shared" si="251"/>
        <v>-1</v>
      </c>
      <c r="FX148" s="57">
        <f t="shared" si="252"/>
        <v>-1</v>
      </c>
      <c r="FY148" s="55">
        <f t="shared" si="253"/>
        <v>-1</v>
      </c>
      <c r="FZ148" s="56">
        <f t="shared" si="254"/>
        <v>-1</v>
      </c>
      <c r="GA148" s="57">
        <f t="shared" si="255"/>
        <v>-1</v>
      </c>
      <c r="GB148" s="55">
        <f t="shared" si="256"/>
        <v>-1</v>
      </c>
      <c r="GC148" s="58">
        <f t="shared" si="257"/>
        <v>-1</v>
      </c>
      <c r="GD148" s="54">
        <f t="shared" si="258"/>
        <v>-1</v>
      </c>
      <c r="GE148" s="55">
        <f t="shared" si="259"/>
        <v>-1</v>
      </c>
      <c r="GF148" s="56">
        <f t="shared" si="260"/>
        <v>-1</v>
      </c>
      <c r="GG148" s="57">
        <f t="shared" si="261"/>
        <v>0</v>
      </c>
      <c r="GH148" s="55">
        <f t="shared" si="262"/>
        <v>0</v>
      </c>
      <c r="GI148" s="56">
        <f t="shared" si="263"/>
        <v>0</v>
      </c>
      <c r="GJ148" s="57">
        <f t="shared" si="264"/>
        <v>0</v>
      </c>
      <c r="GK148" s="55">
        <f t="shared" si="265"/>
        <v>0</v>
      </c>
      <c r="GL148" s="107">
        <f t="shared" si="266"/>
        <v>0</v>
      </c>
      <c r="GN148" s="46">
        <f>COUNTIF(DJ148:GL148,7)</f>
        <v>0</v>
      </c>
      <c r="GO148" s="45">
        <f>COUNTIF(DJ148:GL148,8)</f>
        <v>0</v>
      </c>
      <c r="GP148" s="47">
        <f>COUNTIF(DJ148:GL148,9)</f>
        <v>0</v>
      </c>
      <c r="GQ148" s="39"/>
      <c r="GR148" s="39"/>
      <c r="GT148" s="101">
        <f t="shared" si="267"/>
        <v>1</v>
      </c>
      <c r="GU148" s="102">
        <f t="shared" si="268"/>
        <v>0</v>
      </c>
      <c r="GV148" s="103">
        <f t="shared" si="269"/>
        <v>0</v>
      </c>
    </row>
    <row r="149" spans="2:204" ht="15" customHeight="1">
      <c r="B149" s="65" t="str">
        <f t="shared" si="174"/>
        <v>x</v>
      </c>
      <c r="C149" s="66" t="str">
        <f t="shared" si="175"/>
        <v>x</v>
      </c>
      <c r="D149" s="66" t="str">
        <f t="shared" si="176"/>
        <v>x</v>
      </c>
      <c r="E149" s="66" t="str">
        <f t="shared" si="177"/>
        <v>x</v>
      </c>
      <c r="F149" s="66" t="str">
        <f t="shared" si="178"/>
        <v>x</v>
      </c>
      <c r="G149" s="66" t="str">
        <f t="shared" si="179"/>
        <v>x</v>
      </c>
      <c r="H149" s="66" t="str">
        <f t="shared" si="180"/>
        <v>x</v>
      </c>
      <c r="I149" s="66" t="str">
        <f t="shared" si="181"/>
        <v>x</v>
      </c>
      <c r="J149" s="67" t="str">
        <f t="shared" si="182"/>
        <v>x</v>
      </c>
      <c r="N149" s="104">
        <f>IF($B$91="x",-1,IF(AND($B$91=0,INDEX(KonZeile6,1)+INDEX(KonSpalte1,1)+INDEX(KonFeld4,1)=0),1,0))</f>
        <v>0</v>
      </c>
      <c r="O149" s="50">
        <f>IF($B$91="x",-1,IF(AND($B$91=0,INDEX(KonZeile6,2)+INDEX(KonSpalte1,2)+INDEX(KonFeld4,2)=0),2,0))</f>
        <v>0</v>
      </c>
      <c r="P149" s="51">
        <f>IF($B$91="x",-1,IF(AND($B$91=0,INDEX(KonZeile6,3)+INDEX(KonSpalte1,3)+INDEX(KonFeld4,3)=0),3,0))</f>
        <v>0</v>
      </c>
      <c r="Q149" s="52">
        <f>IF($C$91="x",-1,IF(AND($C$91=0,INDEX(KonZeile6,1)+INDEX(KonSpalte2,1)+INDEX(KonFeld4,1)=0),1,0))</f>
        <v>0</v>
      </c>
      <c r="R149" s="50">
        <f>IF($C$91="x",-1,IF(AND($C$91=0,INDEX(KonZeile6,2)+INDEX(KonSpalte2,2)+INDEX(KonFeld4,2)=0),2,0))</f>
        <v>0</v>
      </c>
      <c r="S149" s="51">
        <f>IF($C$91="x",-1,IF(AND($C$91=0,INDEX(KonZeile6,3)+INDEX(KonSpalte2,3)+INDEX(KonFeld4,3)=0),3,0))</f>
        <v>0</v>
      </c>
      <c r="T149" s="52">
        <f>IF($D$91="x",-1,IF(AND($D$91=0,INDEX(KonZeile6,1)+INDEX(KonSpalte3,1)+INDEX(KonFeld4,1)=0),1,0))</f>
        <v>0</v>
      </c>
      <c r="U149" s="50">
        <f>IF($D$91="x",-1,IF(AND($D$91=0,INDEX(KonZeile6,2)+INDEX(KonSpalte3,2)+INDEX(KonFeld4,2)=0),2,0))</f>
        <v>0</v>
      </c>
      <c r="V149" s="53">
        <f>IF($D$91="x",-1,IF(AND($D$91=0,INDEX(KonZeile6,3)+INDEX(KonSpalte3,3)+INDEX(KonFeld4,3)=0),3,0))</f>
        <v>0</v>
      </c>
      <c r="W149" s="49">
        <f>IF($E$91="x",-1,IF(AND($E$91=0,INDEX(KonZeile6,1)+INDEX(KonSpalte4,1)+INDEX(KonFeld4,1)=0),1,0))</f>
        <v>0</v>
      </c>
      <c r="X149" s="50">
        <f>IF($E$91="x",-1,IF(AND($E$91=0,INDEX(KonZeile6,2)+INDEX(KonSpalte4,2)+INDEX(KonFeld4,2)=0),2,0))</f>
        <v>0</v>
      </c>
      <c r="Y149" s="51">
        <f>IF($E$91="x",-1,IF(AND($E$91=0,INDEX(KonZeile6,3)+INDEX(KonSpalte4,3)+INDEX(KonFeld4,3)=0),3,0))</f>
        <v>0</v>
      </c>
      <c r="Z149" s="52">
        <f>IF($F$91="x",-1,IF(AND($F$91=0,INDEX(KonZeile6,1)+INDEX(KonSpalte5,1)+INDEX(KonFeld4,1)=0),1,0))</f>
        <v>-1</v>
      </c>
      <c r="AA149" s="50">
        <f>IF($F$91="x",-1,IF(AND($F$91=0,INDEX(KonZeile6,2)+INDEX(KonSpalte5,2)+INDEX(KonFeld4,2)=0),2,0))</f>
        <v>-1</v>
      </c>
      <c r="AB149" s="51">
        <f>IF($F$91="x",-1,IF(AND($F$91=0,INDEX(KonZeile6,3)+INDEX(KonSpalte5,3)+INDEX(KonFeld4,3)=0),3,0))</f>
        <v>-1</v>
      </c>
      <c r="AC149" s="52">
        <f>IF($G$91="x",-1,IF(AND($G$91=0,INDEX(KonZeile6,1)+INDEX(KonSpalte6,1)+INDEX(KonFeld4,1)=0),1,0))</f>
        <v>-1</v>
      </c>
      <c r="AD149" s="50">
        <f>IF($G$91="x",-1,IF(AND($G$91=0,INDEX(KonZeile6,2)+INDEX(KonSpalte6,2)+INDEX(KonFeld4,2)=0),2,0))</f>
        <v>-1</v>
      </c>
      <c r="AE149" s="53">
        <f>IF($G$91="x",-1,IF(AND($G$91=0,INDEX(KonZeile6,3)+INDEX(KonSpalte6,3)+INDEX(KonFeld4,3)=0),3,0))</f>
        <v>-1</v>
      </c>
      <c r="AF149" s="49">
        <f>IF($H$91="x",-1,IF(AND($H$91=0,INDEX(KonZeile6,1)+INDEX(KonSpalte7,1)+INDEX(KonFeld4,1)=0),1,0))</f>
        <v>-1</v>
      </c>
      <c r="AG149" s="50">
        <f>IF($H$91="x",-1,IF(AND($H$91=0,INDEX(KonZeile6,2)+INDEX(KonSpalte7,2)+INDEX(KonFeld4,2)=0),2,0))</f>
        <v>-1</v>
      </c>
      <c r="AH149" s="51">
        <f>IF($H$91="x",-1,IF(AND($H$91=0,INDEX(KonZeile6,3)+INDEX(KonSpalte7,3)+INDEX(KonFeld4,3)=0),3,0))</f>
        <v>-1</v>
      </c>
      <c r="AI149" s="52">
        <f>IF($I$91="x",-1,IF(AND($I$91=0,INDEX(KonZeile6,1)+INDEX(KonSpalte8,1)+INDEX(KonFeld4,1)=0),1,0))</f>
        <v>-1</v>
      </c>
      <c r="AJ149" s="50">
        <f>IF($I$91="x",-1,IF(AND($I$91=0,INDEX(KonZeile6,2)+INDEX(KonSpalte8,2)+INDEX(KonFeld4,2)=0),2,0))</f>
        <v>-1</v>
      </c>
      <c r="AK149" s="51">
        <f>IF($I$91="x",-1,IF(AND($I$91=0,INDEX(KonZeile6,3)+INDEX(KonSpalte8,3)+INDEX(KonFeld4,3)=0),3,0))</f>
        <v>-1</v>
      </c>
      <c r="AL149" s="52">
        <f>IF($J$91="x",-1,IF(AND($J$91=0,INDEX(KonZeile6,1)+INDEX(KonSpalte9,1)+INDEX(KonFeld4,1)=0),1,0))</f>
        <v>-1</v>
      </c>
      <c r="AM149" s="50">
        <f>IF($J$91="x",-1,IF(AND($J$91=0,INDEX(KonZeile6,2)+INDEX(KonSpalte9,2)+INDEX(KonFeld4,2)=0),2,0))</f>
        <v>-1</v>
      </c>
      <c r="AN149" s="105">
        <f>IF($J$91="x",-1,IF(AND($J$91=0,INDEX(KonZeile6,3)+INDEX(KonSpalte9,3)+INDEX(KonFeld4,3)=0),3,0))</f>
        <v>-1</v>
      </c>
      <c r="AO149" s="104">
        <f>IF($K$91="x",-1,IF(AND($K$91=0,INDEX(KonZeile6,1)+INDEX(KonSpalte1,1)+INDEX(KonFeld5,1)=0),1,0))</f>
        <v>-1</v>
      </c>
      <c r="AP149" s="50">
        <f>IF($K$91="x",-1,IF(AND($K$91=0,INDEX(KonZeile6,2)+INDEX(KonSpalte1,2)+INDEX(KonFeld5,2)=0),2,0))</f>
        <v>-1</v>
      </c>
      <c r="AQ149" s="51">
        <f>IF($K$91="x",-1,IF(AND($K$91=0,INDEX(KonZeile6,3)+INDEX(KonSpalte1,3)+INDEX(KonFeld5,3)=0),3,0))</f>
        <v>-1</v>
      </c>
      <c r="AR149" s="52">
        <f>IF($L$91="x",-1,IF(AND($L$91=0,INDEX(KonZeile6,1)+INDEX(KonSpalte2,1)+INDEX(KonFeld5,1)=0),1,0))</f>
        <v>-1</v>
      </c>
      <c r="AS149" s="50">
        <f>IF($L$91="x",-1,IF(AND($L$91=0,INDEX(KonZeile6,2)+INDEX(KonSpalte2,2)+INDEX(KonFeld5,2)=0),2,0))</f>
        <v>-1</v>
      </c>
      <c r="AT149" s="51">
        <f>IF($L$91="x",-1,IF(AND($L$91=0,INDEX(KonZeile6,3)+INDEX(KonSpalte2,3)+INDEX(KonFeld5,3)=0),3,0))</f>
        <v>-1</v>
      </c>
      <c r="AU149" s="52">
        <f>IF($M$91="x",-1,IF(AND($M$91=0,INDEX(KonZeile6,1)+INDEX(KonSpalte3,1)+INDEX(KonFeld5,1)=0),1,0))</f>
        <v>-1</v>
      </c>
      <c r="AV149" s="50">
        <f>IF($M$91="x",-1,IF(AND($M$91=0,INDEX(KonZeile6,2)+INDEX(KonSpalte3,2)+INDEX(KonFeld5,2)=0),2,0))</f>
        <v>-1</v>
      </c>
      <c r="AW149" s="53">
        <f>IF($M$91="x",-1,IF(AND($M$91=0,INDEX(KonZeile6,3)+INDEX(KonSpalte3,3)+INDEX(KonFeld5,3)=0),3,0))</f>
        <v>-1</v>
      </c>
      <c r="AX149" s="49">
        <f>IF($N$91="x",-1,IF(AND($N$91=0,INDEX(KonZeile6,1)+INDEX(KonSpalte4,1)+INDEX(KonFeld5,1)=0),1,0))</f>
        <v>-1</v>
      </c>
      <c r="AY149" s="50">
        <f>IF($N$91="x",-1,IF(AND($N$91=0,INDEX(KonZeile6,2)+INDEX(KonSpalte4,2)+INDEX(KonFeld5,2)=0),2,0))</f>
        <v>-1</v>
      </c>
      <c r="AZ149" s="51">
        <f>IF($N$91="x",-1,IF(AND($N$91=0,INDEX(KonZeile6,3)+INDEX(KonSpalte4,3)+INDEX(KonFeld5,3)=0),3,0))</f>
        <v>-1</v>
      </c>
      <c r="BA149" s="52">
        <f>IF($O$91="x",-1,IF(AND($O$91=0,INDEX(KonZeile6,1)+INDEX(KonSpalte5,1)+INDEX(KonFeld5,1)=0),1,0))</f>
        <v>-1</v>
      </c>
      <c r="BB149" s="50">
        <f>IF($O$91="x",-1,IF(AND($O$91=0,INDEX(KonZeile6,2)+INDEX(KonSpalte5,2)+INDEX(KonFeld5,2)=0),2,0))</f>
        <v>-1</v>
      </c>
      <c r="BC149" s="51">
        <f>IF($O$91="x",-1,IF(AND($O$91=0,INDEX(KonZeile6,3)+INDEX(KonSpalte5,3)+INDEX(KonFeld5,3)=0),3,0))</f>
        <v>-1</v>
      </c>
      <c r="BD149" s="52">
        <f>IF($P$91="x",-1,IF(AND($P$91=0,INDEX(KonZeile6,1)+INDEX(KonSpalte6,1)+INDEX(KonFeld5,1)=0),1,0))</f>
        <v>-1</v>
      </c>
      <c r="BE149" s="50">
        <f>IF($P$91="x",-1,IF(AND($P$91=0,INDEX(KonZeile6,2)+INDEX(KonSpalte6,2)+INDEX(KonFeld5,2)=0),2,0))</f>
        <v>-1</v>
      </c>
      <c r="BF149" s="53">
        <f>IF($P$91="x",-1,IF(AND($P$91=0,INDEX(KonZeile6,3)+INDEX(KonSpalte6,3)+INDEX(KonFeld5,3)=0),3,0))</f>
        <v>-1</v>
      </c>
      <c r="BG149" s="49">
        <f>IF($Q$91="x",-1,IF(AND($Q$91=0,INDEX(KonZeile6,1)+INDEX(KonSpalte7,1)+INDEX(KonFeld5,1)=0),1,0))</f>
        <v>-1</v>
      </c>
      <c r="BH149" s="50">
        <f>IF($Q$91="x",-1,IF(AND($Q$91=0,INDEX(KonZeile6,2)+INDEX(KonSpalte7,2)+INDEX(KonFeld5,2)=0),2,0))</f>
        <v>-1</v>
      </c>
      <c r="BI149" s="51">
        <f>IF($Q$91="x",-1,IF(AND($Q$91=0,INDEX(KonZeile6,3)+INDEX(KonSpalte7,3)+INDEX(KonFeld5,3)=0),3,0))</f>
        <v>-1</v>
      </c>
      <c r="BJ149" s="52">
        <f>IF($R$91="x",-1,IF(AND($R$91=0,INDEX(KonZeile6,1)+INDEX(KonSpalte8,1)+INDEX(KonFeld5,1)=0),1,0))</f>
        <v>-1</v>
      </c>
      <c r="BK149" s="50">
        <f>IF($R$91="x",-1,IF(AND($R$91=0,INDEX(KonZeile6,2)+INDEX(KonSpalte8,2)+INDEX(KonFeld5,2)=0),2,0))</f>
        <v>-1</v>
      </c>
      <c r="BL149" s="51">
        <f>IF($R$91="x",-1,IF(AND($R$91=0,INDEX(KonZeile6,3)+INDEX(KonSpalte8,3)+INDEX(KonFeld5,3)=0),3,0))</f>
        <v>-1</v>
      </c>
      <c r="BM149" s="52">
        <f>IF($S$91="x",-1,IF(AND($S$91=0,INDEX(KonZeile6,1)+INDEX(KonSpalte9,1)+INDEX(KonFeld5,1)=0),1,0))</f>
        <v>-1</v>
      </c>
      <c r="BN149" s="50">
        <f>IF($S$91="x",-1,IF(AND($S$91=0,INDEX(KonZeile6,2)+INDEX(KonSpalte9,2)+INDEX(KonFeld5,2)=0),2,0))</f>
        <v>-1</v>
      </c>
      <c r="BO149" s="105">
        <f>IF($S$91="x",-1,IF(AND($S$91=0,INDEX(KonZeile6,3)+INDEX(KonSpalte9,3)+INDEX(KonFeld5,3)=0),3,0))</f>
        <v>-1</v>
      </c>
      <c r="BP149" s="104">
        <f>IF($T$91="x",-1,IF(AND($T$91=0,INDEX(KonZeile6,1)+INDEX(KonSpalte1,1)+INDEX(KonFeld6,1)=0),1,0))</f>
        <v>-1</v>
      </c>
      <c r="BQ149" s="50">
        <f>IF($T$91="x",-1,IF(AND($T$91=0,INDEX(KonZeile6,2)+INDEX(KonSpalte1,2)+INDEX(KonFeld6,2)=0),2,0))</f>
        <v>-1</v>
      </c>
      <c r="BR149" s="51">
        <f>IF($T$91="x",-1,IF(AND($T$91=0,INDEX(KonZeile6,3)+INDEX(KonSpalte1,3)+INDEX(KonFeld6,3)=0),3,0))</f>
        <v>-1</v>
      </c>
      <c r="BS149" s="52">
        <f>IF($U$91="x",-1,IF(AND($U$91=0,INDEX(KonZeile6,1)+INDEX(KonSpalte2,1)+INDEX(KonFeld6,1)=0),1,0))</f>
        <v>-1</v>
      </c>
      <c r="BT149" s="50">
        <f>IF($U$91="x",-1,IF(AND($U$91=0,INDEX(KonZeile6,2)+INDEX(KonSpalte2,2)+INDEX(KonFeld6,2)=0),2,0))</f>
        <v>-1</v>
      </c>
      <c r="BU149" s="51">
        <f>IF($U$91="x",-1,IF(AND($U$91=0,INDEX(KonZeile6,3)+INDEX(KonSpalte2,3)+INDEX(KonFeld6,3)=0),3,0))</f>
        <v>-1</v>
      </c>
      <c r="BV149" s="52">
        <f>IF($V$91="x",-1,IF(AND($V$91=0,INDEX(KonZeile6,1)+INDEX(KonSpalte3,1)+INDEX(KonFeld6,1)=0),1,0))</f>
        <v>-1</v>
      </c>
      <c r="BW149" s="50">
        <f>IF($V$91="x",-1,IF(AND($V$91=0,INDEX(KonZeile6,2)+INDEX(KonSpalte3,2)+INDEX(KonFeld6,2)=0),2,0))</f>
        <v>-1</v>
      </c>
      <c r="BX149" s="53">
        <f>IF($V$91="x",-1,IF(AND($V$91=0,INDEX(KonZeile6,3)+INDEX(KonSpalte3,3)+INDEX(KonFeld6,3)=0),3,0))</f>
        <v>-1</v>
      </c>
      <c r="BY149" s="49">
        <f>IF($W$91="x",-1,IF(AND($W$91=0,INDEX(KonZeile6,1)+INDEX(KonSpalte4,1)+INDEX(KonFeld6,1)=0),1,0))</f>
        <v>-1</v>
      </c>
      <c r="BZ149" s="50">
        <f>IF($W$91="x",-1,IF(AND($W$91=0,INDEX(KonZeile6,2)+INDEX(KonSpalte4,2)+INDEX(KonFeld6,2)=0),2,0))</f>
        <v>-1</v>
      </c>
      <c r="CA149" s="51">
        <f>IF($W$91="x",-1,IF(AND($W$91=0,INDEX(KonZeile6,3)+INDEX(KonSpalte4,3)+INDEX(KonFeld6,3)=0),3,0))</f>
        <v>-1</v>
      </c>
      <c r="CB149" s="52">
        <f>IF($X$91="x",-1,IF(AND($X$91=0,INDEX(KonZeile6,1)+INDEX(KonSpalte5,1)+INDEX(KonFeld6,1)=0),1,0))</f>
        <v>-1</v>
      </c>
      <c r="CC149" s="50">
        <f>IF($X$91="x",-1,IF(AND($X$91=0,INDEX(KonZeile6,2)+INDEX(KonSpalte5,2)+INDEX(KonFeld6,2)=0),2,0))</f>
        <v>-1</v>
      </c>
      <c r="CD149" s="51">
        <f>IF($X$91="x",-1,IF(AND($X$91=0,INDEX(KonZeile6,3)+INDEX(KonSpalte5,3)+INDEX(KonFeld6,3)=0),3,0))</f>
        <v>-1</v>
      </c>
      <c r="CE149" s="52">
        <f>IF($Y$91="x",-1,IF(AND($Y$91=0,INDEX(KonZeile6,1)+INDEX(KonSpalte6,1)+INDEX(KonFeld6,1)=0),1,0))</f>
        <v>-1</v>
      </c>
      <c r="CF149" s="50">
        <f>IF($Y$91="x",-1,IF(AND($Y$91=0,INDEX(KonZeile6,2)+INDEX(KonSpalte6,2)+INDEX(KonFeld6,2)=0),2,0))</f>
        <v>-1</v>
      </c>
      <c r="CG149" s="53">
        <f>IF($Y$91="x",-1,IF(AND($Y$91=0,INDEX(KonZeile6,3)+INDEX(KonSpalte6,3)+INDEX(KonFeld6,3)=0),3,0))</f>
        <v>-1</v>
      </c>
      <c r="CH149" s="49">
        <f>IF($Z$91="x",-1,IF(AND($Z$91=0,INDEX(KonZeile6,1)+INDEX(KonSpalte7,1)+INDEX(KonFeld6,1)=0),1,0))</f>
        <v>-1</v>
      </c>
      <c r="CI149" s="50">
        <f>IF($Z$91="x",-1,IF(AND($Z$91=0,INDEX(KonZeile6,2)+INDEX(KonSpalte7,2)+INDEX(KonFeld6,2)=0),2,0))</f>
        <v>-1</v>
      </c>
      <c r="CJ149" s="51">
        <f>IF($Z$91="x",-1,IF(AND($Z$91=0,INDEX(KonZeile6,3)+INDEX(KonSpalte7,3)+INDEX(KonFeld6,3)=0),3,0))</f>
        <v>-1</v>
      </c>
      <c r="CK149" s="52">
        <f>IF($AA$91="x",-1,IF(AND($AA$91=0,INDEX(KonZeile6,1)+INDEX(KonSpalte8,1)+INDEX(KonFeld6,1)=0),1,0))</f>
        <v>0</v>
      </c>
      <c r="CL149" s="50">
        <f>IF($AA$91="x",-1,IF(AND($AA$91=0,INDEX(KonZeile6,2)+INDEX(KonSpalte8,2)+INDEX(KonFeld6,2)=0),2,0))</f>
        <v>0</v>
      </c>
      <c r="CM149" s="51">
        <f>IF($AA$91="x",-1,IF(AND($AA$91=0,INDEX(KonZeile6,3)+INDEX(KonSpalte8,3)+INDEX(KonFeld6,3)=0),3,0))</f>
        <v>0</v>
      </c>
      <c r="CN149" s="52">
        <f>IF($AB$91="x",-1,IF(AND($AB$91=0,INDEX(KonZeile6,1)+INDEX(KonSpalte9,1)+INDEX(KonFeld6,1)=0),1,0))</f>
        <v>-1</v>
      </c>
      <c r="CO149" s="50">
        <f>IF($AB$91="x",-1,IF(AND($AB$91=0,INDEX(KonZeile6,2)+INDEX(KonSpalte9,2)+INDEX(KonFeld6,2)=0),2,0))</f>
        <v>-1</v>
      </c>
      <c r="CP149" s="105">
        <f>IF($AB$91="x",-1,IF(AND($AB$91=0,INDEX(KonZeile6,3)+INDEX(KonSpalte9,3)+INDEX(KonFeld6,3)=0),3,0))</f>
        <v>-1</v>
      </c>
      <c r="CR149" s="52">
        <f>COUNTIF(N149:CP149,1)</f>
        <v>0</v>
      </c>
      <c r="CS149" s="50">
        <f>COUNTIF(N149:CP149,2)</f>
        <v>0</v>
      </c>
      <c r="CT149" s="51">
        <f>COUNTIF(N149:CP149,3)</f>
        <v>0</v>
      </c>
      <c r="CU149" s="39"/>
      <c r="CV149" s="39"/>
      <c r="CX149" s="65">
        <f t="shared" si="185"/>
        <v>0</v>
      </c>
      <c r="CY149" s="66">
        <f t="shared" si="185"/>
        <v>0</v>
      </c>
      <c r="CZ149" s="67">
        <f t="shared" si="185"/>
        <v>0</v>
      </c>
      <c r="DJ149" s="108">
        <f t="shared" si="186"/>
        <v>0</v>
      </c>
      <c r="DK149" s="37">
        <f t="shared" si="187"/>
        <v>0</v>
      </c>
      <c r="DL149" s="35">
        <f t="shared" si="188"/>
        <v>0</v>
      </c>
      <c r="DM149" s="36">
        <f t="shared" si="189"/>
        <v>1</v>
      </c>
      <c r="DN149" s="37">
        <f t="shared" si="190"/>
        <v>2</v>
      </c>
      <c r="DO149" s="35">
        <f t="shared" si="191"/>
        <v>0</v>
      </c>
      <c r="DP149" s="36">
        <f t="shared" si="192"/>
        <v>-1</v>
      </c>
      <c r="DQ149" s="37">
        <f t="shared" si="193"/>
        <v>-1</v>
      </c>
      <c r="DR149" s="38">
        <f t="shared" si="194"/>
        <v>-1</v>
      </c>
      <c r="DS149" s="416">
        <f t="shared" si="195"/>
        <v>-1</v>
      </c>
      <c r="DT149" s="37">
        <f t="shared" si="196"/>
        <v>-1</v>
      </c>
      <c r="DU149" s="35">
        <f t="shared" si="197"/>
        <v>-1</v>
      </c>
      <c r="DV149" s="36">
        <f t="shared" si="198"/>
        <v>-1</v>
      </c>
      <c r="DW149" s="37">
        <f t="shared" si="199"/>
        <v>-1</v>
      </c>
      <c r="DX149" s="35">
        <f t="shared" si="200"/>
        <v>-1</v>
      </c>
      <c r="DY149" s="36">
        <f t="shared" si="201"/>
        <v>-1</v>
      </c>
      <c r="DZ149" s="37">
        <f t="shared" si="202"/>
        <v>-1</v>
      </c>
      <c r="EA149" s="38">
        <f t="shared" si="203"/>
        <v>-1</v>
      </c>
      <c r="EB149" s="416">
        <f t="shared" si="204"/>
        <v>-1</v>
      </c>
      <c r="EC149" s="37">
        <f t="shared" si="205"/>
        <v>-1</v>
      </c>
      <c r="ED149" s="35">
        <f t="shared" si="206"/>
        <v>-1</v>
      </c>
      <c r="EE149" s="36">
        <f t="shared" si="207"/>
        <v>-1</v>
      </c>
      <c r="EF149" s="37">
        <f t="shared" si="208"/>
        <v>-1</v>
      </c>
      <c r="EG149" s="35">
        <f t="shared" si="209"/>
        <v>-1</v>
      </c>
      <c r="EH149" s="36">
        <f t="shared" si="210"/>
        <v>-1</v>
      </c>
      <c r="EI149" s="37">
        <f t="shared" si="211"/>
        <v>-1</v>
      </c>
      <c r="EJ149" s="109">
        <f t="shared" si="212"/>
        <v>-1</v>
      </c>
      <c r="EK149" s="108">
        <f t="shared" si="213"/>
        <v>-1</v>
      </c>
      <c r="EL149" s="37">
        <f t="shared" si="214"/>
        <v>-1</v>
      </c>
      <c r="EM149" s="35">
        <f t="shared" si="215"/>
        <v>-1</v>
      </c>
      <c r="EN149" s="36">
        <f t="shared" si="216"/>
        <v>-1</v>
      </c>
      <c r="EO149" s="37">
        <f t="shared" si="217"/>
        <v>-1</v>
      </c>
      <c r="EP149" s="35">
        <f t="shared" si="218"/>
        <v>-1</v>
      </c>
      <c r="EQ149" s="36">
        <f t="shared" si="219"/>
        <v>-1</v>
      </c>
      <c r="ER149" s="37">
        <f t="shared" si="220"/>
        <v>-1</v>
      </c>
      <c r="ES149" s="38">
        <f t="shared" si="221"/>
        <v>-1</v>
      </c>
      <c r="ET149" s="416">
        <f t="shared" si="222"/>
        <v>1</v>
      </c>
      <c r="EU149" s="37">
        <f t="shared" si="223"/>
        <v>2</v>
      </c>
      <c r="EV149" s="35">
        <f t="shared" si="224"/>
        <v>3</v>
      </c>
      <c r="EW149" s="36">
        <f t="shared" si="225"/>
        <v>-1</v>
      </c>
      <c r="EX149" s="37">
        <f t="shared" si="226"/>
        <v>-1</v>
      </c>
      <c r="EY149" s="35">
        <f t="shared" si="227"/>
        <v>-1</v>
      </c>
      <c r="EZ149" s="36">
        <f t="shared" si="228"/>
        <v>-1</v>
      </c>
      <c r="FA149" s="37">
        <f t="shared" si="229"/>
        <v>-1</v>
      </c>
      <c r="FB149" s="38">
        <f t="shared" si="230"/>
        <v>-1</v>
      </c>
      <c r="FC149" s="416">
        <f t="shared" si="231"/>
        <v>-1</v>
      </c>
      <c r="FD149" s="37">
        <f t="shared" si="232"/>
        <v>-1</v>
      </c>
      <c r="FE149" s="35">
        <f t="shared" si="233"/>
        <v>-1</v>
      </c>
      <c r="FF149" s="36">
        <f t="shared" si="234"/>
        <v>-1</v>
      </c>
      <c r="FG149" s="37">
        <f t="shared" si="235"/>
        <v>-1</v>
      </c>
      <c r="FH149" s="35">
        <f t="shared" si="236"/>
        <v>-1</v>
      </c>
      <c r="FI149" s="36">
        <f t="shared" si="237"/>
        <v>-1</v>
      </c>
      <c r="FJ149" s="37">
        <f t="shared" si="238"/>
        <v>-1</v>
      </c>
      <c r="FK149" s="109">
        <f t="shared" si="239"/>
        <v>-1</v>
      </c>
      <c r="FL149" s="108">
        <f t="shared" si="240"/>
        <v>-1</v>
      </c>
      <c r="FM149" s="37">
        <f t="shared" si="241"/>
        <v>-1</v>
      </c>
      <c r="FN149" s="35">
        <f t="shared" si="242"/>
        <v>-1</v>
      </c>
      <c r="FO149" s="36">
        <f t="shared" si="243"/>
        <v>-1</v>
      </c>
      <c r="FP149" s="37">
        <f t="shared" si="244"/>
        <v>-1</v>
      </c>
      <c r="FQ149" s="35">
        <f t="shared" si="245"/>
        <v>-1</v>
      </c>
      <c r="FR149" s="36">
        <f t="shared" si="246"/>
        <v>-1</v>
      </c>
      <c r="FS149" s="37">
        <f t="shared" si="247"/>
        <v>-1</v>
      </c>
      <c r="FT149" s="38">
        <f t="shared" si="248"/>
        <v>-1</v>
      </c>
      <c r="FU149" s="416">
        <f t="shared" si="249"/>
        <v>-1</v>
      </c>
      <c r="FV149" s="37">
        <f t="shared" si="250"/>
        <v>-1</v>
      </c>
      <c r="FW149" s="35">
        <f t="shared" si="251"/>
        <v>-1</v>
      </c>
      <c r="FX149" s="36">
        <f t="shared" si="252"/>
        <v>-1</v>
      </c>
      <c r="FY149" s="37">
        <f t="shared" si="253"/>
        <v>-1</v>
      </c>
      <c r="FZ149" s="35">
        <f t="shared" si="254"/>
        <v>-1</v>
      </c>
      <c r="GA149" s="36">
        <f t="shared" si="255"/>
        <v>-1</v>
      </c>
      <c r="GB149" s="37">
        <f t="shared" si="256"/>
        <v>-1</v>
      </c>
      <c r="GC149" s="38">
        <f t="shared" si="257"/>
        <v>-1</v>
      </c>
      <c r="GD149" s="416">
        <f t="shared" si="258"/>
        <v>-1</v>
      </c>
      <c r="GE149" s="37">
        <f t="shared" si="259"/>
        <v>-1</v>
      </c>
      <c r="GF149" s="35">
        <f t="shared" si="260"/>
        <v>-1</v>
      </c>
      <c r="GG149" s="36">
        <f t="shared" si="261"/>
        <v>0</v>
      </c>
      <c r="GH149" s="37">
        <f t="shared" si="262"/>
        <v>2</v>
      </c>
      <c r="GI149" s="35">
        <f t="shared" si="263"/>
        <v>3</v>
      </c>
      <c r="GJ149" s="36">
        <f t="shared" si="264"/>
        <v>0</v>
      </c>
      <c r="GK149" s="37">
        <f t="shared" si="265"/>
        <v>2</v>
      </c>
      <c r="GL149" s="109">
        <f t="shared" si="266"/>
        <v>3</v>
      </c>
      <c r="GN149" s="52">
        <f>COUNTIF(DJ149:GL149,1)</f>
        <v>2</v>
      </c>
      <c r="GO149" s="50">
        <f>COUNTIF(DJ149:GL149,2)</f>
        <v>4</v>
      </c>
      <c r="GP149" s="51">
        <f>COUNTIF(DJ149:GL149,3)</f>
        <v>3</v>
      </c>
      <c r="GQ149" s="39"/>
      <c r="GR149" s="39"/>
      <c r="GT149" s="91">
        <f t="shared" si="267"/>
        <v>5</v>
      </c>
      <c r="GU149" s="92">
        <f t="shared" si="268"/>
        <v>5</v>
      </c>
      <c r="GV149" s="93">
        <f t="shared" si="269"/>
        <v>4</v>
      </c>
    </row>
    <row r="150" spans="2:204" ht="15" customHeight="1">
      <c r="B150" s="72" t="str">
        <f t="shared" si="174"/>
        <v>x</v>
      </c>
      <c r="C150" s="73" t="str">
        <f t="shared" si="175"/>
        <v>x</v>
      </c>
      <c r="D150" s="73" t="str">
        <f t="shared" si="176"/>
        <v>x</v>
      </c>
      <c r="E150" s="73" t="str">
        <f t="shared" si="177"/>
        <v>x</v>
      </c>
      <c r="F150" s="73" t="str">
        <f t="shared" si="178"/>
        <v>x</v>
      </c>
      <c r="G150" s="73" t="str">
        <f t="shared" si="179"/>
        <v>x</v>
      </c>
      <c r="H150" s="73" t="str">
        <f t="shared" si="180"/>
        <v>x</v>
      </c>
      <c r="I150" s="73" t="str">
        <f t="shared" si="181"/>
        <v>x</v>
      </c>
      <c r="J150" s="74" t="str">
        <f t="shared" si="182"/>
        <v>x</v>
      </c>
      <c r="N150" s="94">
        <f>IF($B$91="x",-1,IF(AND($B$91=0,INDEX(KonZeile6,4)+INDEX(KonSpalte1,4)+INDEX(KonFeld4,4)=0),4,0))</f>
        <v>0</v>
      </c>
      <c r="O150" s="39">
        <f>IF($B$91="x",-1,IF(AND($B$91=0,INDEX(KonZeile6,5)+INDEX(KonSpalte1,5)+INDEX(KonFeld4,5)=0),5,0))</f>
        <v>0</v>
      </c>
      <c r="P150" s="41">
        <f>IF($B$91="x",-1,IF(AND($B$91=0,INDEX(KonZeile6,6)+INDEX(KonSpalte1,6)+INDEX(KonFeld4,6)=0),6,0))</f>
        <v>0</v>
      </c>
      <c r="Q150" s="40">
        <f>IF($C$91="x",-1,IF(AND($C$91=0,INDEX(KonZeile6,4)+INDEX(KonSpalte2,4)+INDEX(KonFeld4,4)=0),4,0))</f>
        <v>0</v>
      </c>
      <c r="R150" s="39">
        <f>IF($C$91="x",-1,IF(AND($C$91=0,INDEX(KonZeile6,5)+INDEX(KonSpalte2,5)+INDEX(KonFeld4,5)=0),5,0))</f>
        <v>0</v>
      </c>
      <c r="S150" s="41">
        <f>IF($C$91="x",-1,IF(AND($C$91=0,INDEX(KonZeile6,6)+INDEX(KonSpalte2,6)+INDEX(KonFeld4,6)=0),6,0))</f>
        <v>0</v>
      </c>
      <c r="T150" s="40">
        <f>IF($D$91="x",-1,IF(AND($D$91=0,INDEX(KonZeile6,4)+INDEX(KonSpalte3,4)+INDEX(KonFeld4,4)=0),4,0))</f>
        <v>0</v>
      </c>
      <c r="U150" s="39">
        <f>IF($D$91="x",-1,IF(AND($D$91=0,INDEX(KonZeile6,5)+INDEX(KonSpalte3,5)+INDEX(KonFeld4,5)=0),5,0))</f>
        <v>0</v>
      </c>
      <c r="V150" s="42">
        <f>IF($D$91="x",-1,IF(AND($D$91=0,INDEX(KonZeile6,6)+INDEX(KonSpalte3,6)+INDEX(KonFeld4,6)=0),6,0))</f>
        <v>0</v>
      </c>
      <c r="W150" s="43">
        <f>IF($E$91="x",-1,IF(AND($E$91=0,INDEX(KonZeile6,4)+INDEX(KonSpalte4,4)+INDEX(KonFeld4,4)=0),4,0))</f>
        <v>0</v>
      </c>
      <c r="X150" s="39">
        <f>IF($E$91="x",-1,IF(AND($E$91=0,INDEX(KonZeile6,5)+INDEX(KonSpalte4,5)+INDEX(KonFeld4,5)=0),5,0))</f>
        <v>0</v>
      </c>
      <c r="Y150" s="41">
        <f>IF($E$91="x",-1,IF(AND($E$91=0,INDEX(KonZeile6,6)+INDEX(KonSpalte4,6)+INDEX(KonFeld4,6)=0),6,0))</f>
        <v>0</v>
      </c>
      <c r="Z150" s="40">
        <f>IF($F$91="x",-1,IF(AND($F$91=0,INDEX(KonZeile6,4)+INDEX(KonSpalte5,4)+INDEX(KonFeld4,4)=0),4,0))</f>
        <v>-1</v>
      </c>
      <c r="AA150" s="39">
        <f>IF($F$91="x",-1,IF(AND($F$91=0,INDEX(KonZeile6,5)+INDEX(KonSpalte5,5)+INDEX(KonFeld4,5)=0),5,0))</f>
        <v>-1</v>
      </c>
      <c r="AB150" s="41">
        <f>IF($F$91="x",-1,IF(AND($F$91=0,INDEX(KonZeile6,6)+INDEX(KonSpalte5,6)+INDEX(KonFeld4,6)=0),6,0))</f>
        <v>-1</v>
      </c>
      <c r="AC150" s="40">
        <f>IF($G$91="x",-1,IF(AND($G$91=0,INDEX(KonZeile6,4)+INDEX(KonSpalte6,4)+INDEX(KonFeld4,4)=0),4,0))</f>
        <v>-1</v>
      </c>
      <c r="AD150" s="39">
        <f>IF($G$91="x",-1,IF(AND($G$91=0,INDEX(KonZeile6,5)+INDEX(KonSpalte6,5)+INDEX(KonFeld4,5)=0),5,0))</f>
        <v>-1</v>
      </c>
      <c r="AE150" s="42">
        <f>IF($G$91="x",-1,IF(AND($G$91=0,INDEX(KonZeile6,6)+INDEX(KonSpalte6,6)+INDEX(KonFeld4,6)=0),6,0))</f>
        <v>-1</v>
      </c>
      <c r="AF150" s="43">
        <f>IF($H$91="x",-1,IF(AND($H$91=0,INDEX(KonZeile6,4)+INDEX(KonSpalte7,4)+INDEX(KonFeld4,4)=0),4,0))</f>
        <v>-1</v>
      </c>
      <c r="AG150" s="39">
        <f>IF($H$91="x",-1,IF(AND($H$91=0,INDEX(KonZeile6,5)+INDEX(KonSpalte7,5)+INDEX(KonFeld4,5)=0),5,0))</f>
        <v>-1</v>
      </c>
      <c r="AH150" s="41">
        <f>IF($H$91="x",-1,IF(AND($H$91=0,INDEX(KonZeile6,6)+INDEX(KonSpalte7,6)+INDEX(KonFeld4,6)=0),6,0))</f>
        <v>-1</v>
      </c>
      <c r="AI150" s="40">
        <f>IF($I$91="x",-1,IF(AND($I$91=0,INDEX(KonZeile6,4)+INDEX(KonSpalte8,4)+INDEX(KonFeld4,4)=0),4,0))</f>
        <v>-1</v>
      </c>
      <c r="AJ150" s="39">
        <f>IF($I$91="x",-1,IF(AND($I$91=0,INDEX(KonZeile6,5)+INDEX(KonSpalte8,5)+INDEX(KonFeld4,5)=0),5,0))</f>
        <v>-1</v>
      </c>
      <c r="AK150" s="41">
        <f>IF($I$91="x",-1,IF(AND($I$91=0,INDEX(KonZeile6,6)+INDEX(KonSpalte8,6)+INDEX(KonFeld4,6)=0),6,0))</f>
        <v>-1</v>
      </c>
      <c r="AL150" s="40">
        <f>IF($J$91="x",-1,IF(AND($J$91=0,INDEX(KonZeile6,4)+INDEX(KonSpalte9,4)+INDEX(KonFeld4,4)=0),4,0))</f>
        <v>-1</v>
      </c>
      <c r="AM150" s="39">
        <f>IF($J$91="x",-1,IF(AND($J$91=0,INDEX(KonZeile6,5)+INDEX(KonSpalte9,5)+INDEX(KonFeld4,5)=0),5,0))</f>
        <v>-1</v>
      </c>
      <c r="AN150" s="95">
        <f>IF($J$91="x",-1,IF(AND($J$91=0,INDEX(KonZeile6,6)+INDEX(KonSpalte9,6)+INDEX(KonFeld4,6)=0),6,0))</f>
        <v>-1</v>
      </c>
      <c r="AO150" s="94">
        <f>IF($K$91="x",-1,IF(AND($K$91=0,INDEX(KonZeile6,4)+INDEX(KonSpalte1,4)+INDEX(KonFeld5,4)=0),4,0))</f>
        <v>-1</v>
      </c>
      <c r="AP150" s="39">
        <f>IF($K$91="x",-1,IF(AND($K$91=0,INDEX(KonZeile6,5)+INDEX(KonSpalte1,5)+INDEX(KonFeld5,5)=0),5,0))</f>
        <v>-1</v>
      </c>
      <c r="AQ150" s="41">
        <f>IF($K$91="x",-1,IF(AND($K$91=0,INDEX(KonZeile6,6)+INDEX(KonSpalte1,6)+INDEX(KonFeld5,6)=0),6,0))</f>
        <v>-1</v>
      </c>
      <c r="AR150" s="40">
        <f>IF($L$91="x",-1,IF(AND($L$91=0,INDEX(KonZeile6,4)+INDEX(KonSpalte2,4)+INDEX(KonFeld5,4)=0),4,0))</f>
        <v>-1</v>
      </c>
      <c r="AS150" s="39">
        <f>IF($L$91="x",-1,IF(AND($L$91=0,INDEX(KonZeile6,5)+INDEX(KonSpalte2,5)+INDEX(KonFeld5,5)=0),5,0))</f>
        <v>-1</v>
      </c>
      <c r="AT150" s="41">
        <f>IF($L$91="x",-1,IF(AND($L$91=0,INDEX(KonZeile6,6)+INDEX(KonSpalte2,6)+INDEX(KonFeld5,6)=0),6,0))</f>
        <v>-1</v>
      </c>
      <c r="AU150" s="40">
        <f>IF($M$91="x",-1,IF(AND($M$91=0,INDEX(KonZeile6,4)+INDEX(KonSpalte3,4)+INDEX(KonFeld5,4)=0),4,0))</f>
        <v>-1</v>
      </c>
      <c r="AV150" s="39">
        <f>IF($M$91="x",-1,IF(AND($M$91=0,INDEX(KonZeile6,5)+INDEX(KonSpalte3,5)+INDEX(KonFeld5,5)=0),5,0))</f>
        <v>-1</v>
      </c>
      <c r="AW150" s="42">
        <f>IF($M$91="x",-1,IF(AND($M$91=0,INDEX(KonZeile6,6)+INDEX(KonSpalte3,6)+INDEX(KonFeld5,6)=0),6,0))</f>
        <v>-1</v>
      </c>
      <c r="AX150" s="43">
        <f>IF($N$91="x",-1,IF(AND($N$91=0,INDEX(KonZeile6,4)+INDEX(KonSpalte4,4)+INDEX(KonFeld5,4)=0),4,0))</f>
        <v>-1</v>
      </c>
      <c r="AY150" s="39">
        <f>IF($N$91="x",-1,IF(AND($N$91=0,INDEX(KonZeile6,5)+INDEX(KonSpalte4,5)+INDEX(KonFeld5,5)=0),5,0))</f>
        <v>-1</v>
      </c>
      <c r="AZ150" s="41">
        <f>IF($N$91="x",-1,IF(AND($N$91=0,INDEX(KonZeile6,6)+INDEX(KonSpalte4,6)+INDEX(KonFeld5,6)=0),6,0))</f>
        <v>-1</v>
      </c>
      <c r="BA150" s="40">
        <f>IF($O$91="x",-1,IF(AND($O$91=0,INDEX(KonZeile6,4)+INDEX(KonSpalte5,4)+INDEX(KonFeld5,4)=0),4,0))</f>
        <v>-1</v>
      </c>
      <c r="BB150" s="39">
        <f>IF($O$91="x",-1,IF(AND($O$91=0,INDEX(KonZeile6,5)+INDEX(KonSpalte5,5)+INDEX(KonFeld5,5)=0),5,0))</f>
        <v>-1</v>
      </c>
      <c r="BC150" s="41">
        <f>IF($O$91="x",-1,IF(AND($O$91=0,INDEX(KonZeile6,6)+INDEX(KonSpalte5,6)+INDEX(KonFeld5,6)=0),6,0))</f>
        <v>-1</v>
      </c>
      <c r="BD150" s="40">
        <f>IF($P$91="x",-1,IF(AND($P$91=0,INDEX(KonZeile6,4)+INDEX(KonSpalte6,4)+INDEX(KonFeld5,4)=0),4,0))</f>
        <v>-1</v>
      </c>
      <c r="BE150" s="39">
        <f>IF($P$91="x",-1,IF(AND($P$91=0,INDEX(KonZeile6,5)+INDEX(KonSpalte6,5)+INDEX(KonFeld5,5)=0),5,0))</f>
        <v>-1</v>
      </c>
      <c r="BF150" s="42">
        <f>IF($P$91="x",-1,IF(AND($P$91=0,INDEX(KonZeile6,6)+INDEX(KonSpalte6,6)+INDEX(KonFeld5,6)=0),6,0))</f>
        <v>-1</v>
      </c>
      <c r="BG150" s="43">
        <f>IF($Q$91="x",-1,IF(AND($Q$91=0,INDEX(KonZeile6,4)+INDEX(KonSpalte7,4)+INDEX(KonFeld5,4)=0),4,0))</f>
        <v>-1</v>
      </c>
      <c r="BH150" s="39">
        <f>IF($Q$91="x",-1,IF(AND($Q$91=0,INDEX(KonZeile6,5)+INDEX(KonSpalte7,5)+INDEX(KonFeld5,5)=0),5,0))</f>
        <v>-1</v>
      </c>
      <c r="BI150" s="41">
        <f>IF($Q$91="x",-1,IF(AND($Q$91=0,INDEX(KonZeile6,6)+INDEX(KonSpalte7,6)+INDEX(KonFeld5,6)=0),6,0))</f>
        <v>-1</v>
      </c>
      <c r="BJ150" s="40">
        <f>IF($R$91="x",-1,IF(AND($R$91=0,INDEX(KonZeile6,4)+INDEX(KonSpalte8,4)+INDEX(KonFeld5,4)=0),4,0))</f>
        <v>-1</v>
      </c>
      <c r="BK150" s="39">
        <f>IF($R$91="x",-1,IF(AND($R$91=0,INDEX(KonZeile6,5)+INDEX(KonSpalte8,5)+INDEX(KonFeld5,5)=0),5,0))</f>
        <v>-1</v>
      </c>
      <c r="BL150" s="41">
        <f>IF($R$91="x",-1,IF(AND($R$91=0,INDEX(KonZeile6,6)+INDEX(KonSpalte8,6)+INDEX(KonFeld5,6)=0),6,0))</f>
        <v>-1</v>
      </c>
      <c r="BM150" s="40">
        <f>IF($S$91="x",-1,IF(AND($S$91=0,INDEX(KonZeile6,4)+INDEX(KonSpalte9,4)+INDEX(KonFeld5,4)=0),4,0))</f>
        <v>-1</v>
      </c>
      <c r="BN150" s="39">
        <f>IF($S$91="x",-1,IF(AND($S$91=0,INDEX(KonZeile6,5)+INDEX(KonSpalte9,5)+INDEX(KonFeld5,5)=0),5,0))</f>
        <v>-1</v>
      </c>
      <c r="BO150" s="95">
        <f>IF($S$91="x",-1,IF(AND($S$91=0,INDEX(KonZeile6,6)+INDEX(KonSpalte9,6)+INDEX(KonFeld5,6)=0),6,0))</f>
        <v>-1</v>
      </c>
      <c r="BP150" s="94">
        <f>IF($T$91="x",-1,IF(AND($T$91=0,INDEX(KonZeile6,4)+INDEX(KonSpalte1,4)+INDEX(KonFeld6,4)=0),4,0))</f>
        <v>-1</v>
      </c>
      <c r="BQ150" s="39">
        <f>IF($T$91="x",-1,IF(AND($T$91=0,INDEX(KonZeile6,5)+INDEX(KonSpalte1,5)+INDEX(KonFeld6,5)=0),5,0))</f>
        <v>-1</v>
      </c>
      <c r="BR150" s="41">
        <f>IF($T$91="x",-1,IF(AND($T$91=0,INDEX(KonZeile6,6)+INDEX(KonSpalte1,6)+INDEX(KonFeld6,6)=0),6,0))</f>
        <v>-1</v>
      </c>
      <c r="BS150" s="40">
        <f>IF($U$91="x",-1,IF(AND($U$91=0,INDEX(KonZeile6,4)+INDEX(KonSpalte2,4)+INDEX(KonFeld6,4)=0),4,0))</f>
        <v>-1</v>
      </c>
      <c r="BT150" s="39">
        <f>IF($U$91="x",-1,IF(AND($U$91=0,INDEX(KonZeile6,5)+INDEX(KonSpalte2,5)+INDEX(KonFeld6,5)=0),5,0))</f>
        <v>-1</v>
      </c>
      <c r="BU150" s="41">
        <f>IF($U$91="x",-1,IF(AND($U$91=0,INDEX(KonZeile6,6)+INDEX(KonSpalte2,6)+INDEX(KonFeld6,6)=0),6,0))</f>
        <v>-1</v>
      </c>
      <c r="BV150" s="40">
        <f>IF($V$91="x",-1,IF(AND($V$91=0,INDEX(KonZeile6,4)+INDEX(KonSpalte3,4)+INDEX(KonFeld6,4)=0),4,0))</f>
        <v>-1</v>
      </c>
      <c r="BW150" s="39">
        <f>IF($V$91="x",-1,IF(AND($V$91=0,INDEX(KonZeile6,5)+INDEX(KonSpalte3,5)+INDEX(KonFeld6,5)=0),5,0))</f>
        <v>-1</v>
      </c>
      <c r="BX150" s="42">
        <f>IF($V$91="x",-1,IF(AND($V$91=0,INDEX(KonZeile6,6)+INDEX(KonSpalte3,6)+INDEX(KonFeld6,6)=0),6,0))</f>
        <v>-1</v>
      </c>
      <c r="BY150" s="43">
        <f>IF($W$91="x",-1,IF(AND($W$91=0,INDEX(KonZeile6,4)+INDEX(KonSpalte4,4)+INDEX(KonFeld6,4)=0),4,0))</f>
        <v>-1</v>
      </c>
      <c r="BZ150" s="39">
        <f>IF($W$91="x",-1,IF(AND($W$91=0,INDEX(KonZeile6,5)+INDEX(KonSpalte4,5)+INDEX(KonFeld6,5)=0),5,0))</f>
        <v>-1</v>
      </c>
      <c r="CA150" s="41">
        <f>IF($W$91="x",-1,IF(AND($W$91=0,INDEX(KonZeile6,6)+INDEX(KonSpalte4,6)+INDEX(KonFeld6,6)=0),6,0))</f>
        <v>-1</v>
      </c>
      <c r="CB150" s="40">
        <f>IF($X$91="x",-1,IF(AND($X$91=0,INDEX(KonZeile6,4)+INDEX(KonSpalte5,4)+INDEX(KonFeld6,4)=0),4,0))</f>
        <v>-1</v>
      </c>
      <c r="CC150" s="39">
        <f>IF($X$91="x",-1,IF(AND($X$91=0,INDEX(KonZeile6,5)+INDEX(KonSpalte5,5)+INDEX(KonFeld6,5)=0),5,0))</f>
        <v>-1</v>
      </c>
      <c r="CD150" s="41">
        <f>IF($X$91="x",-1,IF(AND($X$91=0,INDEX(KonZeile6,6)+INDEX(KonSpalte5,6)+INDEX(KonFeld6,6)=0),6,0))</f>
        <v>-1</v>
      </c>
      <c r="CE150" s="40">
        <f>IF($Y$91="x",-1,IF(AND($Y$91=0,INDEX(KonZeile6,4)+INDEX(KonSpalte6,4)+INDEX(KonFeld6,4)=0),4,0))</f>
        <v>-1</v>
      </c>
      <c r="CF150" s="39">
        <f>IF($Y$91="x",-1,IF(AND($Y$91=0,INDEX(KonZeile6,5)+INDEX(KonSpalte6,5)+INDEX(KonFeld6,5)=0),5,0))</f>
        <v>-1</v>
      </c>
      <c r="CG150" s="42">
        <f>IF($Y$91="x",-1,IF(AND($Y$91=0,INDEX(KonZeile6,6)+INDEX(KonSpalte6,6)+INDEX(KonFeld6,6)=0),6,0))</f>
        <v>-1</v>
      </c>
      <c r="CH150" s="43">
        <f>IF($Z$91="x",-1,IF(AND($Z$91=0,INDEX(KonZeile6,4)+INDEX(KonSpalte7,4)+INDEX(KonFeld6,4)=0),4,0))</f>
        <v>-1</v>
      </c>
      <c r="CI150" s="39">
        <f>IF($Z$91="x",-1,IF(AND($Z$91=0,INDEX(KonZeile6,5)+INDEX(KonSpalte7,5)+INDEX(KonFeld6,5)=0),5,0))</f>
        <v>-1</v>
      </c>
      <c r="CJ150" s="41">
        <f>IF($Z$91="x",-1,IF(AND($Z$91=0,INDEX(KonZeile6,6)+INDEX(KonSpalte7,6)+INDEX(KonFeld6,6)=0),6,0))</f>
        <v>-1</v>
      </c>
      <c r="CK150" s="40">
        <f>IF($AA$91="x",-1,IF(AND($AA$91=0,INDEX(KonZeile6,4)+INDEX(KonSpalte8,4)+INDEX(KonFeld6,4)=0),4,0))</f>
        <v>0</v>
      </c>
      <c r="CL150" s="39">
        <f>IF($AA$91="x",-1,IF(AND($AA$91=0,INDEX(KonZeile6,5)+INDEX(KonSpalte8,5)+INDEX(KonFeld6,5)=0),5,0))</f>
        <v>0</v>
      </c>
      <c r="CM150" s="41">
        <f>IF($AA$91="x",-1,IF(AND($AA$91=0,INDEX(KonZeile6,6)+INDEX(KonSpalte8,6)+INDEX(KonFeld6,6)=0),6,0))</f>
        <v>0</v>
      </c>
      <c r="CN150" s="40">
        <f>IF($AB$91="x",-1,IF(AND($AB$91=0,INDEX(KonZeile6,4)+INDEX(KonSpalte9,4)+INDEX(KonFeld6,4)=0),4,0))</f>
        <v>-1</v>
      </c>
      <c r="CO150" s="39">
        <f>IF($AB$91="x",-1,IF(AND($AB$91=0,INDEX(KonZeile6,5)+INDEX(KonSpalte9,5)+INDEX(KonFeld6,5)=0),5,0))</f>
        <v>-1</v>
      </c>
      <c r="CP150" s="95">
        <f>IF($AB$91="x",-1,IF(AND($AB$91=0,INDEX(KonZeile6,6)+INDEX(KonSpalte9,6)+INDEX(KonFeld6,6)=0),6,0))</f>
        <v>-1</v>
      </c>
      <c r="CR150" s="40">
        <f>COUNTIF(N150:CP150,4)</f>
        <v>0</v>
      </c>
      <c r="CS150" s="39">
        <f>COUNTIF(N150:CP150,5)</f>
        <v>0</v>
      </c>
      <c r="CT150" s="41">
        <f>COUNTIF(N150:CP150,6)</f>
        <v>0</v>
      </c>
      <c r="CU150" s="39"/>
      <c r="CV150" s="39"/>
      <c r="CX150" s="72">
        <f t="shared" si="185"/>
        <v>0</v>
      </c>
      <c r="CY150" s="73">
        <f t="shared" si="185"/>
        <v>0</v>
      </c>
      <c r="CZ150" s="74">
        <f t="shared" si="185"/>
        <v>0</v>
      </c>
      <c r="DJ150" s="94">
        <f t="shared" si="186"/>
        <v>0</v>
      </c>
      <c r="DK150" s="39">
        <f t="shared" si="187"/>
        <v>0</v>
      </c>
      <c r="DL150" s="41">
        <f t="shared" si="188"/>
        <v>0</v>
      </c>
      <c r="DM150" s="40">
        <f t="shared" si="189"/>
        <v>4</v>
      </c>
      <c r="DN150" s="39">
        <f t="shared" si="190"/>
        <v>5</v>
      </c>
      <c r="DO150" s="41">
        <f t="shared" si="191"/>
        <v>0</v>
      </c>
      <c r="DP150" s="40">
        <f t="shared" si="192"/>
        <v>-1</v>
      </c>
      <c r="DQ150" s="39">
        <f t="shared" si="193"/>
        <v>-1</v>
      </c>
      <c r="DR150" s="42">
        <f t="shared" si="194"/>
        <v>-1</v>
      </c>
      <c r="DS150" s="43">
        <f t="shared" si="195"/>
        <v>-1</v>
      </c>
      <c r="DT150" s="39">
        <f t="shared" si="196"/>
        <v>-1</v>
      </c>
      <c r="DU150" s="41">
        <f t="shared" si="197"/>
        <v>-1</v>
      </c>
      <c r="DV150" s="40">
        <f t="shared" si="198"/>
        <v>-1</v>
      </c>
      <c r="DW150" s="39">
        <f t="shared" si="199"/>
        <v>-1</v>
      </c>
      <c r="DX150" s="41">
        <f t="shared" si="200"/>
        <v>-1</v>
      </c>
      <c r="DY150" s="40">
        <f t="shared" si="201"/>
        <v>-1</v>
      </c>
      <c r="DZ150" s="39">
        <f t="shared" si="202"/>
        <v>-1</v>
      </c>
      <c r="EA150" s="42">
        <f t="shared" si="203"/>
        <v>-1</v>
      </c>
      <c r="EB150" s="43">
        <f t="shared" si="204"/>
        <v>-1</v>
      </c>
      <c r="EC150" s="39">
        <f t="shared" si="205"/>
        <v>-1</v>
      </c>
      <c r="ED150" s="41">
        <f t="shared" si="206"/>
        <v>-1</v>
      </c>
      <c r="EE150" s="40">
        <f t="shared" si="207"/>
        <v>-1</v>
      </c>
      <c r="EF150" s="39">
        <f t="shared" si="208"/>
        <v>-1</v>
      </c>
      <c r="EG150" s="41">
        <f t="shared" si="209"/>
        <v>-1</v>
      </c>
      <c r="EH150" s="40">
        <f t="shared" si="210"/>
        <v>-1</v>
      </c>
      <c r="EI150" s="39">
        <f t="shared" si="211"/>
        <v>-1</v>
      </c>
      <c r="EJ150" s="95">
        <f t="shared" si="212"/>
        <v>-1</v>
      </c>
      <c r="EK150" s="94">
        <f t="shared" si="213"/>
        <v>-1</v>
      </c>
      <c r="EL150" s="39">
        <f t="shared" si="214"/>
        <v>-1</v>
      </c>
      <c r="EM150" s="41">
        <f t="shared" si="215"/>
        <v>-1</v>
      </c>
      <c r="EN150" s="40">
        <f t="shared" si="216"/>
        <v>-1</v>
      </c>
      <c r="EO150" s="39">
        <f t="shared" si="217"/>
        <v>-1</v>
      </c>
      <c r="EP150" s="41">
        <f t="shared" si="218"/>
        <v>-1</v>
      </c>
      <c r="EQ150" s="40">
        <f t="shared" si="219"/>
        <v>-1</v>
      </c>
      <c r="ER150" s="39">
        <f t="shared" si="220"/>
        <v>-1</v>
      </c>
      <c r="ES150" s="42">
        <f t="shared" si="221"/>
        <v>-1</v>
      </c>
      <c r="ET150" s="43">
        <f t="shared" si="222"/>
        <v>4</v>
      </c>
      <c r="EU150" s="39">
        <f t="shared" si="223"/>
        <v>0</v>
      </c>
      <c r="EV150" s="41">
        <f t="shared" si="224"/>
        <v>0</v>
      </c>
      <c r="EW150" s="40">
        <f t="shared" si="225"/>
        <v>-1</v>
      </c>
      <c r="EX150" s="39">
        <f t="shared" si="226"/>
        <v>-1</v>
      </c>
      <c r="EY150" s="41">
        <f t="shared" si="227"/>
        <v>-1</v>
      </c>
      <c r="EZ150" s="40">
        <f t="shared" si="228"/>
        <v>-1</v>
      </c>
      <c r="FA150" s="39">
        <f t="shared" si="229"/>
        <v>-1</v>
      </c>
      <c r="FB150" s="42">
        <f t="shared" si="230"/>
        <v>-1</v>
      </c>
      <c r="FC150" s="43">
        <f t="shared" si="231"/>
        <v>-1</v>
      </c>
      <c r="FD150" s="39">
        <f t="shared" si="232"/>
        <v>-1</v>
      </c>
      <c r="FE150" s="41">
        <f t="shared" si="233"/>
        <v>-1</v>
      </c>
      <c r="FF150" s="40">
        <f t="shared" si="234"/>
        <v>-1</v>
      </c>
      <c r="FG150" s="39">
        <f t="shared" si="235"/>
        <v>-1</v>
      </c>
      <c r="FH150" s="41">
        <f t="shared" si="236"/>
        <v>-1</v>
      </c>
      <c r="FI150" s="40">
        <f t="shared" si="237"/>
        <v>-1</v>
      </c>
      <c r="FJ150" s="39">
        <f t="shared" si="238"/>
        <v>-1</v>
      </c>
      <c r="FK150" s="95">
        <f t="shared" si="239"/>
        <v>-1</v>
      </c>
      <c r="FL150" s="94">
        <f t="shared" si="240"/>
        <v>-1</v>
      </c>
      <c r="FM150" s="39">
        <f t="shared" si="241"/>
        <v>-1</v>
      </c>
      <c r="FN150" s="41">
        <f t="shared" si="242"/>
        <v>-1</v>
      </c>
      <c r="FO150" s="40">
        <f t="shared" si="243"/>
        <v>-1</v>
      </c>
      <c r="FP150" s="39">
        <f t="shared" si="244"/>
        <v>-1</v>
      </c>
      <c r="FQ150" s="41">
        <f t="shared" si="245"/>
        <v>-1</v>
      </c>
      <c r="FR150" s="40">
        <f t="shared" si="246"/>
        <v>-1</v>
      </c>
      <c r="FS150" s="39">
        <f t="shared" si="247"/>
        <v>-1</v>
      </c>
      <c r="FT150" s="42">
        <f t="shared" si="248"/>
        <v>-1</v>
      </c>
      <c r="FU150" s="43">
        <f t="shared" si="249"/>
        <v>-1</v>
      </c>
      <c r="FV150" s="39">
        <f t="shared" si="250"/>
        <v>-1</v>
      </c>
      <c r="FW150" s="41">
        <f t="shared" si="251"/>
        <v>-1</v>
      </c>
      <c r="FX150" s="40">
        <f t="shared" si="252"/>
        <v>-1</v>
      </c>
      <c r="FY150" s="39">
        <f t="shared" si="253"/>
        <v>-1</v>
      </c>
      <c r="FZ150" s="41">
        <f t="shared" si="254"/>
        <v>-1</v>
      </c>
      <c r="GA150" s="40">
        <f t="shared" si="255"/>
        <v>-1</v>
      </c>
      <c r="GB150" s="39">
        <f t="shared" si="256"/>
        <v>-1</v>
      </c>
      <c r="GC150" s="42">
        <f t="shared" si="257"/>
        <v>-1</v>
      </c>
      <c r="GD150" s="43">
        <f t="shared" si="258"/>
        <v>-1</v>
      </c>
      <c r="GE150" s="39">
        <f t="shared" si="259"/>
        <v>-1</v>
      </c>
      <c r="GF150" s="41">
        <f t="shared" si="260"/>
        <v>-1</v>
      </c>
      <c r="GG150" s="40">
        <f t="shared" si="261"/>
        <v>0</v>
      </c>
      <c r="GH150" s="39">
        <f t="shared" si="262"/>
        <v>0</v>
      </c>
      <c r="GI150" s="41">
        <f t="shared" si="263"/>
        <v>0</v>
      </c>
      <c r="GJ150" s="40">
        <f t="shared" si="264"/>
        <v>4</v>
      </c>
      <c r="GK150" s="39">
        <f t="shared" si="265"/>
        <v>0</v>
      </c>
      <c r="GL150" s="95">
        <f t="shared" si="266"/>
        <v>6</v>
      </c>
      <c r="GN150" s="40">
        <f>COUNTIF(DJ150:GL150,4)</f>
        <v>3</v>
      </c>
      <c r="GO150" s="39">
        <f>COUNTIF(DJ150:GL150,5)</f>
        <v>1</v>
      </c>
      <c r="GP150" s="41">
        <f>COUNTIF(DJ150:GL150,6)</f>
        <v>1</v>
      </c>
      <c r="GQ150" s="39"/>
      <c r="GR150" s="39"/>
      <c r="GT150" s="96">
        <f t="shared" si="267"/>
        <v>4</v>
      </c>
      <c r="GU150" s="97">
        <f t="shared" si="268"/>
        <v>1</v>
      </c>
      <c r="GV150" s="98">
        <f t="shared" si="269"/>
        <v>3</v>
      </c>
    </row>
    <row r="151" spans="2:204" ht="15" customHeight="1" thickBot="1">
      <c r="B151" s="72" t="str">
        <f t="shared" si="174"/>
        <v>x</v>
      </c>
      <c r="C151" s="73" t="str">
        <f t="shared" si="175"/>
        <v>x</v>
      </c>
      <c r="D151" s="73" t="str">
        <f t="shared" si="176"/>
        <v>x</v>
      </c>
      <c r="E151" s="73" t="str">
        <f t="shared" si="177"/>
        <v>x</v>
      </c>
      <c r="F151" s="73" t="str">
        <f t="shared" si="178"/>
        <v>x</v>
      </c>
      <c r="G151" s="73" t="str">
        <f t="shared" si="179"/>
        <v>x</v>
      </c>
      <c r="H151" s="73" t="str">
        <f t="shared" si="180"/>
        <v>x</v>
      </c>
      <c r="I151" s="73" t="str">
        <f t="shared" si="181"/>
        <v>x</v>
      </c>
      <c r="J151" s="74" t="str">
        <f t="shared" si="182"/>
        <v>x</v>
      </c>
      <c r="N151" s="106">
        <f>IF($B$91="x",-1,IF(AND($B$91=0,INDEX(KonZeile6,7)+INDEX(KonSpalte1,7)+INDEX(KonFeld4,7)=0),7,0))</f>
        <v>0</v>
      </c>
      <c r="O151" s="55">
        <f>IF($B$91="x",-1,IF(AND($B$91=0,INDEX(KonZeile6,8)+INDEX(KonSpalte1,8)+INDEX(KonFeld4,8)=0),8,0))</f>
        <v>0</v>
      </c>
      <c r="P151" s="56">
        <f>IF($B$91="x",-1,IF(AND($B$91=0,INDEX(KonZeile6,9)+INDEX(KonSpalte1,9)+INDEX(KonFeld4,9)=0),9,0))</f>
        <v>0</v>
      </c>
      <c r="Q151" s="57">
        <f>IF($C$91="x",-1,IF(AND($C$91=0,INDEX(KonZeile6,7)+INDEX(KonSpalte2,7)+INDEX(KonFeld4,7)=0),7,0))</f>
        <v>0</v>
      </c>
      <c r="R151" s="55">
        <f>IF($C$91="x",-1,IF(AND($C$91=0,INDEX(KonZeile6,8)+INDEX(KonSpalte2,8)+INDEX(KonFeld4,8)=0),8,0))</f>
        <v>0</v>
      </c>
      <c r="S151" s="56">
        <f>IF($C$91="x",-1,IF(AND($C$91=0,INDEX(KonZeile6,9)+INDEX(KonSpalte2,9)+INDEX(KonFeld4,9)=0),9,0))</f>
        <v>0</v>
      </c>
      <c r="T151" s="57">
        <f>IF($D$91="x",-1,IF(AND($D$91=0,INDEX(KonZeile6,7)+INDEX(KonSpalte3,7)+INDEX(KonFeld4,7)=0),7,0))</f>
        <v>0</v>
      </c>
      <c r="U151" s="55">
        <f>IF($D$91="x",-1,IF(AND($D$91=0,INDEX(KonZeile6,8)+INDEX(KonSpalte3,8)+INDEX(KonFeld4,8)=0),8,0))</f>
        <v>0</v>
      </c>
      <c r="V151" s="58">
        <f>IF($D$91="x",-1,IF(AND($D$91=0,INDEX(KonZeile6,9)+INDEX(KonSpalte3,9)+INDEX(KonFeld4,9)=0),9,0))</f>
        <v>0</v>
      </c>
      <c r="W151" s="54">
        <f>IF($E$91="x",-1,IF(AND($E$91=0,INDEX(KonZeile6,7)+INDEX(KonSpalte4,7)+INDEX(KonFeld4,7)=0),7,0))</f>
        <v>0</v>
      </c>
      <c r="X151" s="55">
        <f>IF($E$91="x",-1,IF(AND($E$91=0,INDEX(KonZeile6,8)+INDEX(KonSpalte4,8)+INDEX(KonFeld4,8)=0),8,0))</f>
        <v>0</v>
      </c>
      <c r="Y151" s="56">
        <f>IF($E$91="x",-1,IF(AND($E$91=0,INDEX(KonZeile6,9)+INDEX(KonSpalte4,9)+INDEX(KonFeld4,9)=0),9,0))</f>
        <v>0</v>
      </c>
      <c r="Z151" s="57">
        <f>IF($F$91="x",-1,IF(AND($F$91=0,INDEX(KonZeile6,7)+INDEX(KonSpalte5,7)+INDEX(KonFeld4,7)=0),7,0))</f>
        <v>-1</v>
      </c>
      <c r="AA151" s="55">
        <f>IF($F$91="x",-1,IF(AND($F$91=0,INDEX(KonZeile6,8)+INDEX(KonSpalte5,8)+INDEX(KonFeld4,8)=0),8,0))</f>
        <v>-1</v>
      </c>
      <c r="AB151" s="56">
        <f>IF($F$91="x",-1,IF(AND($F$91=0,INDEX(KonZeile6,9)+INDEX(KonSpalte5,9)+INDEX(KonFeld4,9)=0),9,0))</f>
        <v>-1</v>
      </c>
      <c r="AC151" s="57">
        <f>IF($G$91="x",-1,IF(AND($G$91=0,INDEX(KonZeile6,7)+INDEX(KonSpalte6,7)+INDEX(KonFeld4,7)=0),7,0))</f>
        <v>-1</v>
      </c>
      <c r="AD151" s="55">
        <f>IF($G$91="x",-1,IF(AND($G$91=0,INDEX(KonZeile6,8)+INDEX(KonSpalte6,8)+INDEX(KonFeld4,8)=0),8,0))</f>
        <v>-1</v>
      </c>
      <c r="AE151" s="58">
        <f>IF($G$91="x",-1,IF(AND($G$91=0,INDEX(KonZeile6,9)+INDEX(KonSpalte6,9)+INDEX(KonFeld4,9)=0),9,0))</f>
        <v>-1</v>
      </c>
      <c r="AF151" s="54">
        <f>IF($H$91="x",-1,IF(AND($H$91=0,INDEX(KonZeile6,7)+INDEX(KonSpalte7,7)+INDEX(KonFeld4,7)=0),7,0))</f>
        <v>-1</v>
      </c>
      <c r="AG151" s="55">
        <f>IF($H$91="x",-1,IF(AND($H$91=0,INDEX(KonZeile6,8)+INDEX(KonSpalte7,8)+INDEX(KonFeld4,8)=0),8,0))</f>
        <v>-1</v>
      </c>
      <c r="AH151" s="56">
        <f>IF($H$91="x",-1,IF(AND($H$91=0,INDEX(KonZeile6,9)+INDEX(KonSpalte7,9)+INDEX(KonFeld4,9)=0),9,0))</f>
        <v>-1</v>
      </c>
      <c r="AI151" s="57">
        <f>IF($I$91="x",-1,IF(AND($I$91=0,INDEX(KonZeile6,7)+INDEX(KonSpalte8,7)+INDEX(KonFeld4,7)=0),7,0))</f>
        <v>-1</v>
      </c>
      <c r="AJ151" s="55">
        <f>IF($I$91="x",-1,IF(AND($I$91=0,INDEX(KonZeile6,8)+INDEX(KonSpalte8,8)+INDEX(KonFeld4,8)=0),8,0))</f>
        <v>-1</v>
      </c>
      <c r="AK151" s="56">
        <f>IF($I$91="x",-1,IF(AND($I$91=0,INDEX(KonZeile6,9)+INDEX(KonSpalte8,9)+INDEX(KonFeld4,9)=0),9,0))</f>
        <v>-1</v>
      </c>
      <c r="AL151" s="57">
        <f>IF($J$91="x",-1,IF(AND($J$91=0,INDEX(KonZeile6,7)+INDEX(KonSpalte9,7)+INDEX(KonFeld4,7)=0),7,0))</f>
        <v>-1</v>
      </c>
      <c r="AM151" s="55">
        <f>IF($J$91="x",-1,IF(AND($J$91=0,INDEX(KonZeile6,8)+INDEX(KonSpalte9,8)+INDEX(KonFeld4,8)=0),8,0))</f>
        <v>-1</v>
      </c>
      <c r="AN151" s="107">
        <f>IF($J$91="x",-1,IF(AND($J$91=0,INDEX(KonZeile6,9)+INDEX(KonSpalte9,9)+INDEX(KonFeld4,9)=0),9,0))</f>
        <v>-1</v>
      </c>
      <c r="AO151" s="106">
        <f>IF($K$91="x",-1,IF(AND($K$91=0,INDEX(KonZeile6,7)+INDEX(KonSpalte1,7)+INDEX(KonFeld5,7)=0),7,0))</f>
        <v>-1</v>
      </c>
      <c r="AP151" s="55">
        <f>IF($K$91="x",-1,IF(AND($K$91=0,INDEX(KonZeile6,8)+INDEX(KonSpalte1,8)+INDEX(KonFeld5,8)=0),8,0))</f>
        <v>-1</v>
      </c>
      <c r="AQ151" s="56">
        <f>IF($K$91="x",-1,IF(AND($K$91=0,INDEX(KonZeile6,9)+INDEX(KonSpalte1,9)+INDEX(KonFeld5,9)=0),9,0))</f>
        <v>-1</v>
      </c>
      <c r="AR151" s="57">
        <f>IF($L$91="x",-1,IF(AND($L$91=0,INDEX(KonZeile6,7)+INDEX(KonSpalte2,7)+INDEX(KonFeld5,7)=0),7,0))</f>
        <v>-1</v>
      </c>
      <c r="AS151" s="55">
        <f>IF($L$91="x",-1,IF(AND($L$91=0,INDEX(KonZeile6,8)+INDEX(KonSpalte2,8)+INDEX(KonFeld5,8)=0),8,0))</f>
        <v>-1</v>
      </c>
      <c r="AT151" s="56">
        <f>IF($L$91="x",-1,IF(AND($L$91=0,INDEX(KonZeile6,9)+INDEX(KonSpalte2,9)+INDEX(KonFeld5,9)=0),9,0))</f>
        <v>-1</v>
      </c>
      <c r="AU151" s="57">
        <f>IF($M$91="x",-1,IF(AND($M$91=0,INDEX(KonZeile6,7)+INDEX(KonSpalte3,7)+INDEX(KonFeld5,7)=0),7,0))</f>
        <v>-1</v>
      </c>
      <c r="AV151" s="55">
        <f>IF($M$91="x",-1,IF(AND($M$91=0,INDEX(KonZeile6,8)+INDEX(KonSpalte3,8)+INDEX(KonFeld5,8)=0),8,0))</f>
        <v>-1</v>
      </c>
      <c r="AW151" s="58">
        <f>IF($M$91="x",-1,IF(AND($M$91=0,INDEX(KonZeile6,9)+INDEX(KonSpalte3,9)+INDEX(KonFeld5,9)=0),9,0))</f>
        <v>-1</v>
      </c>
      <c r="AX151" s="54">
        <f>IF($N$91="x",-1,IF(AND($N$91=0,INDEX(KonZeile6,7)+INDEX(KonSpalte4,7)+INDEX(KonFeld5,7)=0),7,0))</f>
        <v>-1</v>
      </c>
      <c r="AY151" s="55">
        <f>IF($N$91="x",-1,IF(AND($N$91=0,INDEX(KonZeile6,8)+INDEX(KonSpalte4,8)+INDEX(KonFeld5,8)=0),8,0))</f>
        <v>-1</v>
      </c>
      <c r="AZ151" s="56">
        <f>IF($N$91="x",-1,IF(AND($N$91=0,INDEX(KonZeile6,9)+INDEX(KonSpalte4,9)+INDEX(KonFeld5,9)=0),9,0))</f>
        <v>-1</v>
      </c>
      <c r="BA151" s="57">
        <f>IF($O$91="x",-1,IF(AND($O$91=0,INDEX(KonZeile6,7)+INDEX(KonSpalte5,7)+INDEX(KonFeld5,7)=0),7,0))</f>
        <v>-1</v>
      </c>
      <c r="BB151" s="55">
        <f>IF($O$91="x",-1,IF(AND($O$91=0,INDEX(KonZeile6,8)+INDEX(KonSpalte5,8)+INDEX(KonFeld5,8)=0),8,0))</f>
        <v>-1</v>
      </c>
      <c r="BC151" s="56">
        <f>IF($O$91="x",-1,IF(AND($O$91=0,INDEX(KonZeile6,9)+INDEX(KonSpalte5,9)+INDEX(KonFeld5,9)=0),9,0))</f>
        <v>-1</v>
      </c>
      <c r="BD151" s="57">
        <f>IF($P$91="x",-1,IF(AND($P$91=0,INDEX(KonZeile6,7)+INDEX(KonSpalte6,7)+INDEX(KonFeld5,7)=0),7,0))</f>
        <v>-1</v>
      </c>
      <c r="BE151" s="55">
        <f>IF($P$91="x",-1,IF(AND($P$91=0,INDEX(KonZeile6,8)+INDEX(KonSpalte6,8)+INDEX(KonFeld5,8)=0),8,0))</f>
        <v>-1</v>
      </c>
      <c r="BF151" s="58">
        <f>IF($P$91="x",-1,IF(AND($P$91=0,INDEX(KonZeile6,9)+INDEX(KonSpalte6,9)+INDEX(KonFeld5,9)=0),9,0))</f>
        <v>-1</v>
      </c>
      <c r="BG151" s="54">
        <f>IF($Q$91="x",-1,IF(AND($Q$91=0,INDEX(KonZeile6,7)+INDEX(KonSpalte7,7)+INDEX(KonFeld5,7)=0),7,0))</f>
        <v>-1</v>
      </c>
      <c r="BH151" s="55">
        <f>IF($Q$91="x",-1,IF(AND($Q$91=0,INDEX(KonZeile6,8)+INDEX(KonSpalte7,8)+INDEX(KonFeld5,8)=0),8,0))</f>
        <v>-1</v>
      </c>
      <c r="BI151" s="56">
        <f>IF($Q$91="x",-1,IF(AND($Q$91=0,INDEX(KonZeile6,9)+INDEX(KonSpalte7,9)+INDEX(KonFeld5,9)=0),9,0))</f>
        <v>-1</v>
      </c>
      <c r="BJ151" s="57">
        <f>IF($R$91="x",-1,IF(AND($R$91=0,INDEX(KonZeile6,7)+INDEX(KonSpalte8,7)+INDEX(KonFeld5,7)=0),7,0))</f>
        <v>-1</v>
      </c>
      <c r="BK151" s="55">
        <f>IF($R$91="x",-1,IF(AND($R$91=0,INDEX(KonZeile6,8)+INDEX(KonSpalte8,8)+INDEX(KonFeld5,8)=0),8,0))</f>
        <v>-1</v>
      </c>
      <c r="BL151" s="56">
        <f>IF($R$91="x",-1,IF(AND($R$91=0,INDEX(KonZeile6,9)+INDEX(KonSpalte8,9)+INDEX(KonFeld5,9)=0),9,0))</f>
        <v>-1</v>
      </c>
      <c r="BM151" s="57">
        <f>IF($S$91="x",-1,IF(AND($S$91=0,INDEX(KonZeile6,7)+INDEX(KonSpalte9,7)+INDEX(KonFeld5,7)=0),7,0))</f>
        <v>-1</v>
      </c>
      <c r="BN151" s="55">
        <f>IF($S$91="x",-1,IF(AND($S$91=0,INDEX(KonZeile6,8)+INDEX(KonSpalte9,8)+INDEX(KonFeld5,8)=0),8,0))</f>
        <v>-1</v>
      </c>
      <c r="BO151" s="107">
        <f>IF($S$91="x",-1,IF(AND($S$91=0,INDEX(KonZeile6,9)+INDEX(KonSpalte9,9)+INDEX(KonFeld5,9)=0),9,0))</f>
        <v>-1</v>
      </c>
      <c r="BP151" s="106">
        <f>IF($T$91="x",-1,IF(AND($T$91=0,INDEX(KonZeile6,7)+INDEX(KonSpalte1,7)+INDEX(KonFeld6,7)=0),7,0))</f>
        <v>-1</v>
      </c>
      <c r="BQ151" s="55">
        <f>IF($T$91="x",-1,IF(AND($T$91=0,INDEX(KonZeile6,8)+INDEX(KonSpalte1,8)+INDEX(KonFeld6,8)=0),8,0))</f>
        <v>-1</v>
      </c>
      <c r="BR151" s="56">
        <f>IF($T$91="x",-1,IF(AND($T$91=0,INDEX(KonZeile6,9)+INDEX(KonSpalte1,9)+INDEX(KonFeld6,9)=0),9,0))</f>
        <v>-1</v>
      </c>
      <c r="BS151" s="57">
        <f>IF($U$91="x",-1,IF(AND($U$91=0,INDEX(KonZeile6,7)+INDEX(KonSpalte2,7)+INDEX(KonFeld6,7)=0),7,0))</f>
        <v>-1</v>
      </c>
      <c r="BT151" s="55">
        <f>IF($U$91="x",-1,IF(AND($U$91=0,INDEX(KonZeile6,8)+INDEX(KonSpalte2,8)+INDEX(KonFeld6,8)=0),8,0))</f>
        <v>-1</v>
      </c>
      <c r="BU151" s="56">
        <f>IF($U$91="x",-1,IF(AND($U$91=0,INDEX(KonZeile6,9)+INDEX(KonSpalte2,9)+INDEX(KonFeld6,9)=0),9,0))</f>
        <v>-1</v>
      </c>
      <c r="BV151" s="57">
        <f>IF($V$91="x",-1,IF(AND($V$91=0,INDEX(KonZeile6,7)+INDEX(KonSpalte3,7)+INDEX(KonFeld6,7)=0),7,0))</f>
        <v>-1</v>
      </c>
      <c r="BW151" s="55">
        <f>IF($V$91="x",-1,IF(AND($V$91=0,INDEX(KonZeile6,8)+INDEX(KonSpalte3,8)+INDEX(KonFeld6,8)=0),8,0))</f>
        <v>-1</v>
      </c>
      <c r="BX151" s="58">
        <f>IF($V$91="x",-1,IF(AND($V$91=0,INDEX(KonZeile6,9)+INDEX(KonSpalte3,9)+INDEX(KonFeld6,9)=0),9,0))</f>
        <v>-1</v>
      </c>
      <c r="BY151" s="54">
        <f>IF($W$91="x",-1,IF(AND($W$91=0,INDEX(KonZeile6,7)+INDEX(KonSpalte4,7)+INDEX(KonFeld6,7)=0),7,0))</f>
        <v>-1</v>
      </c>
      <c r="BZ151" s="55">
        <f>IF($W$91="x",-1,IF(AND($W$91=0,INDEX(KonZeile6,8)+INDEX(KonSpalte4,8)+INDEX(KonFeld6,8)=0),8,0))</f>
        <v>-1</v>
      </c>
      <c r="CA151" s="56">
        <f>IF($W$91="x",-1,IF(AND($W$91=0,INDEX(KonZeile6,9)+INDEX(KonSpalte4,9)+INDEX(KonFeld6,9)=0),9,0))</f>
        <v>-1</v>
      </c>
      <c r="CB151" s="57">
        <f>IF($X$91="x",-1,IF(AND($X$91=0,INDEX(KonZeile6,7)+INDEX(KonSpalte5,7)+INDEX(KonFeld6,7)=0),7,0))</f>
        <v>-1</v>
      </c>
      <c r="CC151" s="55">
        <f>IF($X$91="x",-1,IF(AND($X$91=0,INDEX(KonZeile6,8)+INDEX(KonSpalte5,8)+INDEX(KonFeld6,8)=0),8,0))</f>
        <v>-1</v>
      </c>
      <c r="CD151" s="56">
        <f>IF($X$91="x",-1,IF(AND($X$91=0,INDEX(KonZeile6,9)+INDEX(KonSpalte5,9)+INDEX(KonFeld6,9)=0),9,0))</f>
        <v>-1</v>
      </c>
      <c r="CE151" s="57">
        <f>IF($Y$91="x",-1,IF(AND($Y$91=0,INDEX(KonZeile6,7)+INDEX(KonSpalte6,7)+INDEX(KonFeld6,7)=0),7,0))</f>
        <v>-1</v>
      </c>
      <c r="CF151" s="55">
        <f>IF($Y$91="x",-1,IF(AND($Y$91=0,INDEX(KonZeile6,8)+INDEX(KonSpalte6,8)+INDEX(KonFeld6,8)=0),8,0))</f>
        <v>-1</v>
      </c>
      <c r="CG151" s="58">
        <f>IF($Y$91="x",-1,IF(AND($Y$91=0,INDEX(KonZeile6,9)+INDEX(KonSpalte6,9)+INDEX(KonFeld6,9)=0),9,0))</f>
        <v>-1</v>
      </c>
      <c r="CH151" s="54">
        <f>IF($Z$91="x",-1,IF(AND($Z$91=0,INDEX(KonZeile6,7)+INDEX(KonSpalte7,7)+INDEX(KonFeld6,7)=0),7,0))</f>
        <v>-1</v>
      </c>
      <c r="CI151" s="55">
        <f>IF($Z$91="x",-1,IF(AND($Z$91=0,INDEX(KonZeile6,8)+INDEX(KonSpalte7,8)+INDEX(KonFeld6,8)=0),8,0))</f>
        <v>-1</v>
      </c>
      <c r="CJ151" s="56">
        <f>IF($Z$91="x",-1,IF(AND($Z$91=0,INDEX(KonZeile6,9)+INDEX(KonSpalte7,9)+INDEX(KonFeld6,9)=0),9,0))</f>
        <v>-1</v>
      </c>
      <c r="CK151" s="57">
        <f>IF($AA$91="x",-1,IF(AND($AA$91=0,INDEX(KonZeile6,7)+INDEX(KonSpalte8,7)+INDEX(KonFeld6,7)=0),7,0))</f>
        <v>0</v>
      </c>
      <c r="CL151" s="55">
        <f>IF($AA$91="x",-1,IF(AND($AA$91=0,INDEX(KonZeile6,8)+INDEX(KonSpalte8,8)+INDEX(KonFeld6,8)=0),8,0))</f>
        <v>0</v>
      </c>
      <c r="CM151" s="56">
        <f>IF($AA$91="x",-1,IF(AND($AA$91=0,INDEX(KonZeile6,9)+INDEX(KonSpalte8,9)+INDEX(KonFeld6,9)=0),9,0))</f>
        <v>0</v>
      </c>
      <c r="CN151" s="57">
        <f>IF($AB$91="x",-1,IF(AND($AB$91=0,INDEX(KonZeile6,7)+INDEX(KonSpalte9,7)+INDEX(KonFeld6,7)=0),7,0))</f>
        <v>-1</v>
      </c>
      <c r="CO151" s="55">
        <f>IF($AB$91="x",-1,IF(AND($AB$91=0,INDEX(KonZeile6,8)+INDEX(KonSpalte9,8)+INDEX(KonFeld6,8)=0),8,0))</f>
        <v>-1</v>
      </c>
      <c r="CP151" s="107">
        <f>IF($AB$91="x",-1,IF(AND($AB$91=0,INDEX(KonZeile6,9)+INDEX(KonSpalte9,9)+INDEX(KonFeld6,9)=0),9,0))</f>
        <v>-1</v>
      </c>
      <c r="CR151" s="46">
        <f>COUNTIF(N151:CP151,7)</f>
        <v>0</v>
      </c>
      <c r="CS151" s="45">
        <f>COUNTIF(N151:CP151,8)</f>
        <v>0</v>
      </c>
      <c r="CT151" s="47">
        <f>COUNTIF(N151:CP151,9)</f>
        <v>0</v>
      </c>
      <c r="CU151" s="39"/>
      <c r="CV151" s="39"/>
      <c r="CX151" s="78">
        <f t="shared" si="185"/>
        <v>0</v>
      </c>
      <c r="CY151" s="79">
        <f t="shared" si="185"/>
        <v>0</v>
      </c>
      <c r="CZ151" s="80">
        <f t="shared" si="185"/>
        <v>0</v>
      </c>
      <c r="DJ151" s="99">
        <f t="shared" si="186"/>
        <v>0</v>
      </c>
      <c r="DK151" s="45">
        <f t="shared" si="187"/>
        <v>0</v>
      </c>
      <c r="DL151" s="47">
        <f t="shared" si="188"/>
        <v>0</v>
      </c>
      <c r="DM151" s="46">
        <f t="shared" si="189"/>
        <v>0</v>
      </c>
      <c r="DN151" s="45">
        <f t="shared" si="190"/>
        <v>0</v>
      </c>
      <c r="DO151" s="47">
        <f t="shared" si="191"/>
        <v>0</v>
      </c>
      <c r="DP151" s="46">
        <f t="shared" si="192"/>
        <v>-1</v>
      </c>
      <c r="DQ151" s="45">
        <f t="shared" si="193"/>
        <v>-1</v>
      </c>
      <c r="DR151" s="48">
        <f t="shared" si="194"/>
        <v>-1</v>
      </c>
      <c r="DS151" s="44">
        <f t="shared" si="195"/>
        <v>-1</v>
      </c>
      <c r="DT151" s="45">
        <f t="shared" si="196"/>
        <v>-1</v>
      </c>
      <c r="DU151" s="47">
        <f t="shared" si="197"/>
        <v>-1</v>
      </c>
      <c r="DV151" s="46">
        <f t="shared" si="198"/>
        <v>-1</v>
      </c>
      <c r="DW151" s="45">
        <f t="shared" si="199"/>
        <v>-1</v>
      </c>
      <c r="DX151" s="47">
        <f t="shared" si="200"/>
        <v>-1</v>
      </c>
      <c r="DY151" s="46">
        <f t="shared" si="201"/>
        <v>-1</v>
      </c>
      <c r="DZ151" s="45">
        <f t="shared" si="202"/>
        <v>-1</v>
      </c>
      <c r="EA151" s="48">
        <f t="shared" si="203"/>
        <v>-1</v>
      </c>
      <c r="EB151" s="44">
        <f t="shared" si="204"/>
        <v>-1</v>
      </c>
      <c r="EC151" s="45">
        <f t="shared" si="205"/>
        <v>-1</v>
      </c>
      <c r="ED151" s="47">
        <f t="shared" si="206"/>
        <v>-1</v>
      </c>
      <c r="EE151" s="46">
        <f t="shared" si="207"/>
        <v>-1</v>
      </c>
      <c r="EF151" s="45">
        <f t="shared" si="208"/>
        <v>-1</v>
      </c>
      <c r="EG151" s="47">
        <f t="shared" si="209"/>
        <v>-1</v>
      </c>
      <c r="EH151" s="46">
        <f t="shared" si="210"/>
        <v>-1</v>
      </c>
      <c r="EI151" s="45">
        <f t="shared" si="211"/>
        <v>-1</v>
      </c>
      <c r="EJ151" s="100">
        <f t="shared" si="212"/>
        <v>-1</v>
      </c>
      <c r="EK151" s="99">
        <f t="shared" si="213"/>
        <v>-1</v>
      </c>
      <c r="EL151" s="45">
        <f t="shared" si="214"/>
        <v>-1</v>
      </c>
      <c r="EM151" s="47">
        <f t="shared" si="215"/>
        <v>-1</v>
      </c>
      <c r="EN151" s="46">
        <f t="shared" si="216"/>
        <v>-1</v>
      </c>
      <c r="EO151" s="45">
        <f t="shared" si="217"/>
        <v>-1</v>
      </c>
      <c r="EP151" s="47">
        <f t="shared" si="218"/>
        <v>-1</v>
      </c>
      <c r="EQ151" s="46">
        <f t="shared" si="219"/>
        <v>-1</v>
      </c>
      <c r="ER151" s="45">
        <f t="shared" si="220"/>
        <v>-1</v>
      </c>
      <c r="ES151" s="48">
        <f t="shared" si="221"/>
        <v>-1</v>
      </c>
      <c r="ET151" s="44">
        <f t="shared" si="222"/>
        <v>7</v>
      </c>
      <c r="EU151" s="45">
        <f t="shared" si="223"/>
        <v>0</v>
      </c>
      <c r="EV151" s="47">
        <f t="shared" si="224"/>
        <v>0</v>
      </c>
      <c r="EW151" s="46">
        <f t="shared" si="225"/>
        <v>-1</v>
      </c>
      <c r="EX151" s="45">
        <f t="shared" si="226"/>
        <v>-1</v>
      </c>
      <c r="EY151" s="47">
        <f t="shared" si="227"/>
        <v>-1</v>
      </c>
      <c r="EZ151" s="46">
        <f t="shared" si="228"/>
        <v>-1</v>
      </c>
      <c r="FA151" s="45">
        <f t="shared" si="229"/>
        <v>-1</v>
      </c>
      <c r="FB151" s="48">
        <f t="shared" si="230"/>
        <v>-1</v>
      </c>
      <c r="FC151" s="44">
        <f t="shared" si="231"/>
        <v>-1</v>
      </c>
      <c r="FD151" s="45">
        <f t="shared" si="232"/>
        <v>-1</v>
      </c>
      <c r="FE151" s="47">
        <f t="shared" si="233"/>
        <v>-1</v>
      </c>
      <c r="FF151" s="46">
        <f t="shared" si="234"/>
        <v>-1</v>
      </c>
      <c r="FG151" s="45">
        <f t="shared" si="235"/>
        <v>-1</v>
      </c>
      <c r="FH151" s="47">
        <f t="shared" si="236"/>
        <v>-1</v>
      </c>
      <c r="FI151" s="46">
        <f t="shared" si="237"/>
        <v>-1</v>
      </c>
      <c r="FJ151" s="45">
        <f t="shared" si="238"/>
        <v>-1</v>
      </c>
      <c r="FK151" s="100">
        <f t="shared" si="239"/>
        <v>-1</v>
      </c>
      <c r="FL151" s="99">
        <f t="shared" si="240"/>
        <v>-1</v>
      </c>
      <c r="FM151" s="45">
        <f t="shared" si="241"/>
        <v>-1</v>
      </c>
      <c r="FN151" s="47">
        <f t="shared" si="242"/>
        <v>-1</v>
      </c>
      <c r="FO151" s="46">
        <f t="shared" si="243"/>
        <v>-1</v>
      </c>
      <c r="FP151" s="45">
        <f t="shared" si="244"/>
        <v>-1</v>
      </c>
      <c r="FQ151" s="47">
        <f t="shared" si="245"/>
        <v>-1</v>
      </c>
      <c r="FR151" s="46">
        <f t="shared" si="246"/>
        <v>-1</v>
      </c>
      <c r="FS151" s="45">
        <f t="shared" si="247"/>
        <v>-1</v>
      </c>
      <c r="FT151" s="48">
        <f t="shared" si="248"/>
        <v>-1</v>
      </c>
      <c r="FU151" s="44">
        <f t="shared" si="249"/>
        <v>-1</v>
      </c>
      <c r="FV151" s="45">
        <f t="shared" si="250"/>
        <v>-1</v>
      </c>
      <c r="FW151" s="47">
        <f t="shared" si="251"/>
        <v>-1</v>
      </c>
      <c r="FX151" s="46">
        <f t="shared" si="252"/>
        <v>-1</v>
      </c>
      <c r="FY151" s="45">
        <f t="shared" si="253"/>
        <v>-1</v>
      </c>
      <c r="FZ151" s="47">
        <f t="shared" si="254"/>
        <v>-1</v>
      </c>
      <c r="GA151" s="46">
        <f t="shared" si="255"/>
        <v>-1</v>
      </c>
      <c r="GB151" s="45">
        <f t="shared" si="256"/>
        <v>-1</v>
      </c>
      <c r="GC151" s="48">
        <f t="shared" si="257"/>
        <v>-1</v>
      </c>
      <c r="GD151" s="44">
        <f t="shared" si="258"/>
        <v>-1</v>
      </c>
      <c r="GE151" s="45">
        <f t="shared" si="259"/>
        <v>-1</v>
      </c>
      <c r="GF151" s="47">
        <f t="shared" si="260"/>
        <v>-1</v>
      </c>
      <c r="GG151" s="46">
        <f t="shared" si="261"/>
        <v>0</v>
      </c>
      <c r="GH151" s="45">
        <f t="shared" si="262"/>
        <v>8</v>
      </c>
      <c r="GI151" s="47">
        <f t="shared" si="263"/>
        <v>0</v>
      </c>
      <c r="GJ151" s="46">
        <f t="shared" si="264"/>
        <v>0</v>
      </c>
      <c r="GK151" s="45">
        <f t="shared" si="265"/>
        <v>8</v>
      </c>
      <c r="GL151" s="100">
        <f t="shared" si="266"/>
        <v>0</v>
      </c>
      <c r="GN151" s="46">
        <f>COUNTIF(DJ151:GL151,7)</f>
        <v>1</v>
      </c>
      <c r="GO151" s="45">
        <f>COUNTIF(DJ151:GL151,8)</f>
        <v>2</v>
      </c>
      <c r="GP151" s="47">
        <f>COUNTIF(DJ151:GL151,9)</f>
        <v>0</v>
      </c>
      <c r="GQ151" s="39"/>
      <c r="GR151" s="39"/>
      <c r="GT151" s="101">
        <f t="shared" si="267"/>
        <v>1</v>
      </c>
      <c r="GU151" s="102">
        <f t="shared" si="268"/>
        <v>4</v>
      </c>
      <c r="GV151" s="103">
        <f t="shared" si="269"/>
        <v>0</v>
      </c>
    </row>
    <row r="152" spans="2:204" ht="15" customHeight="1">
      <c r="B152" s="72" t="str">
        <f t="shared" si="174"/>
        <v>x</v>
      </c>
      <c r="C152" s="73" t="str">
        <f t="shared" si="175"/>
        <v>x</v>
      </c>
      <c r="D152" s="73" t="str">
        <f t="shared" si="176"/>
        <v>x</v>
      </c>
      <c r="E152" s="73" t="str">
        <f t="shared" si="177"/>
        <v>x</v>
      </c>
      <c r="F152" s="73" t="str">
        <f t="shared" si="178"/>
        <v>x</v>
      </c>
      <c r="G152" s="73" t="str">
        <f t="shared" si="179"/>
        <v>x</v>
      </c>
      <c r="H152" s="73" t="str">
        <f t="shared" si="180"/>
        <v>x</v>
      </c>
      <c r="I152" s="73" t="str">
        <f t="shared" si="181"/>
        <v>x</v>
      </c>
      <c r="J152" s="74" t="str">
        <f t="shared" si="182"/>
        <v>x</v>
      </c>
      <c r="N152" s="108">
        <f>IF($B$92="x",-1,IF(AND($B$92=0,INDEX(KonZeile7,1)+INDEX(KonSpalte1,1)+INDEX(KonFeld4,1)=0),1,0))</f>
        <v>0</v>
      </c>
      <c r="O152" s="37">
        <f>IF($B$92="x",-1,IF(AND($B$92=0,INDEX(KonZeile7,2)+INDEX(KonSpalte1,2)+INDEX(KonFeld4,2)=0),2,0))</f>
        <v>0</v>
      </c>
      <c r="P152" s="35">
        <f>IF($B$92="x",-1,IF(AND($B$92=0,INDEX(KonZeile7,3)+INDEX(KonSpalte1,3)+INDEX(KonFeld4,3)=0),3,0))</f>
        <v>0</v>
      </c>
      <c r="Q152" s="36">
        <f>IF($C$92="x",-1,IF(AND($C$92=0,INDEX(KonZeile7,1)+INDEX(KonSpalte2,1)+INDEX(KonFeld4,1)=0),1,0))</f>
        <v>0</v>
      </c>
      <c r="R152" s="37">
        <f>IF($C$92="x",-1,IF(AND($C$92=0,INDEX(KonZeile7,2)+INDEX(KonSpalte2,2)+INDEX(KonFeld4,2)=0),2,0))</f>
        <v>0</v>
      </c>
      <c r="S152" s="35">
        <f>IF($C$92="x",-1,IF(AND($C$92=0,INDEX(KonZeile7,3)+INDEX(KonSpalte2,3)+INDEX(KonFeld4,3)=0),3,0))</f>
        <v>0</v>
      </c>
      <c r="T152" s="36">
        <f>IF($D$92="x",-1,IF(AND($D$92=0,INDEX(KonZeile7,1)+INDEX(KonSpalte3,1)+INDEX(KonFeld4,1)=0),1,0))</f>
        <v>0</v>
      </c>
      <c r="U152" s="37">
        <f>IF($D$92="x",-1,IF(AND($D$92=0,INDEX(KonZeile7,2)+INDEX(KonSpalte3,2)+INDEX(KonFeld4,2)=0),2,0))</f>
        <v>0</v>
      </c>
      <c r="V152" s="38">
        <f>IF($D$92="x",-1,IF(AND($D$92=0,INDEX(KonZeile7,3)+INDEX(KonSpalte3,3)+INDEX(KonFeld4,3)=0),3,0))</f>
        <v>0</v>
      </c>
      <c r="W152" s="34">
        <f>IF($E$92="x",-1,IF(AND($E$92=0,INDEX(KonZeile7,1)+INDEX(KonSpalte4,1)+INDEX(KonFeld4,1)=0),1,0))</f>
        <v>-1</v>
      </c>
      <c r="X152" s="37">
        <f>IF($E$92="x",-1,IF(AND($E$92=0,INDEX(KonZeile7,2)+INDEX(KonSpalte4,2)+INDEX(KonFeld4,2)=0),2,0))</f>
        <v>-1</v>
      </c>
      <c r="Y152" s="35">
        <f>IF($E$92="x",-1,IF(AND($E$92=0,INDEX(KonZeile7,3)+INDEX(KonSpalte4,3)+INDEX(KonFeld4,3)=0),3,0))</f>
        <v>-1</v>
      </c>
      <c r="Z152" s="36">
        <f>IF($F$92="x",-1,IF(AND($F$92=0,INDEX(KonZeile7,1)+INDEX(KonSpalte5,1)+INDEX(KonFeld4,1)=0),1,0))</f>
        <v>-1</v>
      </c>
      <c r="AA152" s="37">
        <f>IF($F$92="x",-1,IF(AND($F$92=0,INDEX(KonZeile7,2)+INDEX(KonSpalte5,2)+INDEX(KonFeld4,2)=0),2,0))</f>
        <v>-1</v>
      </c>
      <c r="AB152" s="35">
        <f>IF($F$92="x",-1,IF(AND($F$92=0,INDEX(KonZeile7,3)+INDEX(KonSpalte5,3)+INDEX(KonFeld4,3)=0),3,0))</f>
        <v>-1</v>
      </c>
      <c r="AC152" s="36">
        <f>IF($G$92="x",-1,IF(AND($G$92=0,INDEX(KonZeile7,1)+INDEX(KonSpalte6,1)+INDEX(KonFeld4,1)=0),1,0))</f>
        <v>-1</v>
      </c>
      <c r="AD152" s="37">
        <f>IF($G$92="x",-1,IF(AND($G$92=0,INDEX(KonZeile7,2)+INDEX(KonSpalte6,2)+INDEX(KonFeld4,2)=0),2,0))</f>
        <v>-1</v>
      </c>
      <c r="AE152" s="38">
        <f>IF($G$92="x",-1,IF(AND($G$92=0,INDEX(KonZeile7,3)+INDEX(KonSpalte6,3)+INDEX(KonFeld4,3)=0),3,0))</f>
        <v>-1</v>
      </c>
      <c r="AF152" s="34">
        <f>IF($H$92="x",-1,IF(AND($H$92=0,INDEX(KonZeile7,1)+INDEX(KonSpalte7,1)+INDEX(KonFeld4,1)=0),1,0))</f>
        <v>-1</v>
      </c>
      <c r="AG152" s="37">
        <f>IF($H$92="x",-1,IF(AND($H$92=0,INDEX(KonZeile7,2)+INDEX(KonSpalte7,2)+INDEX(KonFeld4,2)=0),2,0))</f>
        <v>-1</v>
      </c>
      <c r="AH152" s="35">
        <f>IF($H$92="x",-1,IF(AND($H$92=0,INDEX(KonZeile7,3)+INDEX(KonSpalte7,3)+INDEX(KonFeld4,3)=0),3,0))</f>
        <v>-1</v>
      </c>
      <c r="AI152" s="36">
        <f>IF($I$92="x",-1,IF(AND($I$92=0,INDEX(KonZeile7,1)+INDEX(KonSpalte8,1)+INDEX(KonFeld4,1)=0),1,0))</f>
        <v>-1</v>
      </c>
      <c r="AJ152" s="37">
        <f>IF($I$92="x",-1,IF(AND($I$92=0,INDEX(KonZeile7,2)+INDEX(KonSpalte8,2)+INDEX(KonFeld4,2)=0),2,0))</f>
        <v>-1</v>
      </c>
      <c r="AK152" s="35">
        <f>IF($I$92="x",-1,IF(AND($I$92=0,INDEX(KonZeile7,3)+INDEX(KonSpalte8,3)+INDEX(KonFeld4,3)=0),3,0))</f>
        <v>-1</v>
      </c>
      <c r="AL152" s="36">
        <f>IF($J$92="x",-1,IF(AND($J$92=0,INDEX(KonZeile7,1)+INDEX(KonSpalte9,1)+INDEX(KonFeld4,1)=0),1,0))</f>
        <v>-1</v>
      </c>
      <c r="AM152" s="37">
        <f>IF($J$92="x",-1,IF(AND($J$92=0,INDEX(KonZeile7,2)+INDEX(KonSpalte9,2)+INDEX(KonFeld4,2)=0),2,0))</f>
        <v>-1</v>
      </c>
      <c r="AN152" s="109">
        <f>IF($J$92="x",-1,IF(AND($J$92=0,INDEX(KonZeile7,3)+INDEX(KonSpalte9,3)+INDEX(KonFeld4,3)=0),3,0))</f>
        <v>-1</v>
      </c>
      <c r="AO152" s="108">
        <f>IF($K$92="x",-1,IF(AND($K$92=0,INDEX(KonZeile7,1)+INDEX(KonSpalte1,1)+INDEX(KonFeld5,1)=0),1,0))</f>
        <v>-1</v>
      </c>
      <c r="AP152" s="37">
        <f>IF($K$92="x",-1,IF(AND($K$92=0,INDEX(KonZeile7,2)+INDEX(KonSpalte1,2)+INDEX(KonFeld5,2)=0),2,0))</f>
        <v>-1</v>
      </c>
      <c r="AQ152" s="35">
        <f>IF($K$92="x",-1,IF(AND($K$92=0,INDEX(KonZeile7,3)+INDEX(KonSpalte1,3)+INDEX(KonFeld5,3)=0),3,0))</f>
        <v>-1</v>
      </c>
      <c r="AR152" s="36">
        <f>IF($L$92="x",-1,IF(AND($L$92=0,INDEX(KonZeile7,1)+INDEX(KonSpalte2,1)+INDEX(KonFeld5,1)=0),1,0))</f>
        <v>-1</v>
      </c>
      <c r="AS152" s="37">
        <f>IF($L$92="x",-1,IF(AND($L$92=0,INDEX(KonZeile7,2)+INDEX(KonSpalte2,2)+INDEX(KonFeld5,2)=0),2,0))</f>
        <v>-1</v>
      </c>
      <c r="AT152" s="35">
        <f>IF($L$92="x",-1,IF(AND($L$92=0,INDEX(KonZeile7,3)+INDEX(KonSpalte2,3)+INDEX(KonFeld5,3)=0),3,0))</f>
        <v>-1</v>
      </c>
      <c r="AU152" s="36">
        <f>IF($M$92="x",-1,IF(AND($M$92=0,INDEX(KonZeile7,1)+INDEX(KonSpalte3,1)+INDEX(KonFeld5,1)=0),1,0))</f>
        <v>-1</v>
      </c>
      <c r="AV152" s="37">
        <f>IF($M$92="x",-1,IF(AND($M$92=0,INDEX(KonZeile7,2)+INDEX(KonSpalte3,2)+INDEX(KonFeld5,2)=0),2,0))</f>
        <v>-1</v>
      </c>
      <c r="AW152" s="38">
        <f>IF($M$92="x",-1,IF(AND($M$92=0,INDEX(KonZeile7,3)+INDEX(KonSpalte3,3)+INDEX(KonFeld5,3)=0),3,0))</f>
        <v>-1</v>
      </c>
      <c r="AX152" s="34">
        <f>IF($N$92="x",-1,IF(AND($N$92=0,INDEX(KonZeile7,1)+INDEX(KonSpalte4,1)+INDEX(KonFeld5,1)=0),1,0))</f>
        <v>-1</v>
      </c>
      <c r="AY152" s="37">
        <f>IF($N$92="x",-1,IF(AND($N$92=0,INDEX(KonZeile7,2)+INDEX(KonSpalte4,2)+INDEX(KonFeld5,2)=0),2,0))</f>
        <v>-1</v>
      </c>
      <c r="AZ152" s="35">
        <f>IF($N$92="x",-1,IF(AND($N$92=0,INDEX(KonZeile7,3)+INDEX(KonSpalte4,3)+INDEX(KonFeld5,3)=0),3,0))</f>
        <v>-1</v>
      </c>
      <c r="BA152" s="36">
        <f>IF($O$92="x",-1,IF(AND($O$92=0,INDEX(KonZeile7,1)+INDEX(KonSpalte5,1)+INDEX(KonFeld5,1)=0),1,0))</f>
        <v>-1</v>
      </c>
      <c r="BB152" s="37">
        <f>IF($O$92="x",-1,IF(AND($O$92=0,INDEX(KonZeile7,2)+INDEX(KonSpalte5,2)+INDEX(KonFeld5,2)=0),2,0))</f>
        <v>-1</v>
      </c>
      <c r="BC152" s="35">
        <f>IF($O$92="x",-1,IF(AND($O$92=0,INDEX(KonZeile7,3)+INDEX(KonSpalte5,3)+INDEX(KonFeld5,3)=0),3,0))</f>
        <v>-1</v>
      </c>
      <c r="BD152" s="36">
        <f>IF($P$92="x",-1,IF(AND($P$92=0,INDEX(KonZeile7,1)+INDEX(KonSpalte6,1)+INDEX(KonFeld5,1)=0),1,0))</f>
        <v>-1</v>
      </c>
      <c r="BE152" s="37">
        <f>IF($P$92="x",-1,IF(AND($P$92=0,INDEX(KonZeile7,2)+INDEX(KonSpalte6,2)+INDEX(KonFeld5,2)=0),2,0))</f>
        <v>-1</v>
      </c>
      <c r="BF152" s="38">
        <f>IF($P$92="x",-1,IF(AND($P$92=0,INDEX(KonZeile7,3)+INDEX(KonSpalte6,3)+INDEX(KonFeld5,3)=0),3,0))</f>
        <v>-1</v>
      </c>
      <c r="BG152" s="34">
        <f>IF($Q$92="x",-1,IF(AND($Q$92=0,INDEX(KonZeile7,1)+INDEX(KonSpalte7,1)+INDEX(KonFeld5,1)=0),1,0))</f>
        <v>-1</v>
      </c>
      <c r="BH152" s="37">
        <f>IF($Q$92="x",-1,IF(AND($Q$92=0,INDEX(KonZeile7,2)+INDEX(KonSpalte7,2)+INDEX(KonFeld5,2)=0),2,0))</f>
        <v>-1</v>
      </c>
      <c r="BI152" s="35">
        <f>IF($Q$92="x",-1,IF(AND($Q$92=0,INDEX(KonZeile7,3)+INDEX(KonSpalte7,3)+INDEX(KonFeld5,3)=0),3,0))</f>
        <v>-1</v>
      </c>
      <c r="BJ152" s="36">
        <f>IF($R$92="x",-1,IF(AND($R$92=0,INDEX(KonZeile7,1)+INDEX(KonSpalte8,1)+INDEX(KonFeld5,1)=0),1,0))</f>
        <v>-1</v>
      </c>
      <c r="BK152" s="37">
        <f>IF($R$92="x",-1,IF(AND($R$92=0,INDEX(KonZeile7,2)+INDEX(KonSpalte8,2)+INDEX(KonFeld5,2)=0),2,0))</f>
        <v>-1</v>
      </c>
      <c r="BL152" s="35">
        <f>IF($R$92="x",-1,IF(AND($R$92=0,INDEX(KonZeile7,3)+INDEX(KonSpalte8,3)+INDEX(KonFeld5,3)=0),3,0))</f>
        <v>-1</v>
      </c>
      <c r="BM152" s="36">
        <f>IF($S$92="x",-1,IF(AND($S$92=0,INDEX(KonZeile7,1)+INDEX(KonSpalte9,1)+INDEX(KonFeld5,1)=0),1,0))</f>
        <v>-1</v>
      </c>
      <c r="BN152" s="37">
        <f>IF($S$92="x",-1,IF(AND($S$92=0,INDEX(KonZeile7,2)+INDEX(KonSpalte9,2)+INDEX(KonFeld5,2)=0),2,0))</f>
        <v>-1</v>
      </c>
      <c r="BO152" s="109">
        <f>IF($S$92="x",-1,IF(AND($S$92=0,INDEX(KonZeile7,3)+INDEX(KonSpalte9,3)+INDEX(KonFeld5,3)=0),3,0))</f>
        <v>-1</v>
      </c>
      <c r="BP152" s="108">
        <f>IF($T$92="x",-1,IF(AND($T$92=0,INDEX(KonZeile7,1)+INDEX(KonSpalte1,1)+INDEX(KonFeld6,1)=0),1,0))</f>
        <v>-1</v>
      </c>
      <c r="BQ152" s="37">
        <f>IF($T$92="x",-1,IF(AND($T$92=0,INDEX(KonZeile7,2)+INDEX(KonSpalte1,2)+INDEX(KonFeld6,2)=0),2,0))</f>
        <v>-1</v>
      </c>
      <c r="BR152" s="35">
        <f>IF($T$92="x",-1,IF(AND($T$92=0,INDEX(KonZeile7,3)+INDEX(KonSpalte1,3)+INDEX(KonFeld6,3)=0),3,0))</f>
        <v>-1</v>
      </c>
      <c r="BS152" s="36">
        <f>IF($U$92="x",-1,IF(AND($U$92=0,INDEX(KonZeile7,1)+INDEX(KonSpalte2,1)+INDEX(KonFeld6,1)=0),1,0))</f>
        <v>-1</v>
      </c>
      <c r="BT152" s="37">
        <f>IF($U$92="x",-1,IF(AND($U$92=0,INDEX(KonZeile7,2)+INDEX(KonSpalte2,2)+INDEX(KonFeld6,2)=0),2,0))</f>
        <v>-1</v>
      </c>
      <c r="BU152" s="35">
        <f>IF($U$92="x",-1,IF(AND($U$92=0,INDEX(KonZeile7,3)+INDEX(KonSpalte2,3)+INDEX(KonFeld6,3)=0),3,0))</f>
        <v>-1</v>
      </c>
      <c r="BV152" s="36">
        <f>IF($V$92="x",-1,IF(AND($V$92=0,INDEX(KonZeile7,1)+INDEX(KonSpalte3,1)+INDEX(KonFeld6,1)=0),1,0))</f>
        <v>-1</v>
      </c>
      <c r="BW152" s="37">
        <f>IF($V$92="x",-1,IF(AND($V$92=0,INDEX(KonZeile7,2)+INDEX(KonSpalte3,2)+INDEX(KonFeld6,2)=0),2,0))</f>
        <v>-1</v>
      </c>
      <c r="BX152" s="38">
        <f>IF($V$92="x",-1,IF(AND($V$92=0,INDEX(KonZeile7,3)+INDEX(KonSpalte3,3)+INDEX(KonFeld6,3)=0),3,0))</f>
        <v>-1</v>
      </c>
      <c r="BY152" s="34">
        <f>IF($W$92="x",-1,IF(AND($W$92=0,INDEX(KonZeile7,1)+INDEX(KonSpalte4,1)+INDEX(KonFeld6,1)=0),1,0))</f>
        <v>-1</v>
      </c>
      <c r="BZ152" s="37">
        <f>IF($W$92="x",-1,IF(AND($W$92=0,INDEX(KonZeile7,2)+INDEX(KonSpalte4,2)+INDEX(KonFeld6,2)=0),2,0))</f>
        <v>-1</v>
      </c>
      <c r="CA152" s="35">
        <f>IF($W$92="x",-1,IF(AND($W$92=0,INDEX(KonZeile7,3)+INDEX(KonSpalte4,3)+INDEX(KonFeld6,3)=0),3,0))</f>
        <v>-1</v>
      </c>
      <c r="CB152" s="36">
        <f>IF($X$92="x",-1,IF(AND($X$92=0,INDEX(KonZeile7,1)+INDEX(KonSpalte5,1)+INDEX(KonFeld6,1)=0),1,0))</f>
        <v>-1</v>
      </c>
      <c r="CC152" s="37">
        <f>IF($X$92="x",-1,IF(AND($X$92=0,INDEX(KonZeile7,2)+INDEX(KonSpalte5,2)+INDEX(KonFeld6,2)=0),2,0))</f>
        <v>-1</v>
      </c>
      <c r="CD152" s="35">
        <f>IF($X$92="x",-1,IF(AND($X$92=0,INDEX(KonZeile7,3)+INDEX(KonSpalte5,3)+INDEX(KonFeld6,3)=0),3,0))</f>
        <v>-1</v>
      </c>
      <c r="CE152" s="36">
        <f>IF($Y$92="x",-1,IF(AND($Y$92=0,INDEX(KonZeile7,1)+INDEX(KonSpalte6,1)+INDEX(KonFeld6,1)=0),1,0))</f>
        <v>-1</v>
      </c>
      <c r="CF152" s="37">
        <f>IF($Y$92="x",-1,IF(AND($Y$92=0,INDEX(KonZeile7,2)+INDEX(KonSpalte6,2)+INDEX(KonFeld6,2)=0),2,0))</f>
        <v>-1</v>
      </c>
      <c r="CG152" s="38">
        <f>IF($Y$92="x",-1,IF(AND($Y$92=0,INDEX(KonZeile7,3)+INDEX(KonSpalte6,3)+INDEX(KonFeld6,3)=0),3,0))</f>
        <v>-1</v>
      </c>
      <c r="CH152" s="34">
        <f>IF($Z$92="x",-1,IF(AND($Z$92=0,INDEX(KonZeile7,1)+INDEX(KonSpalte7,1)+INDEX(KonFeld6,1)=0),1,0))</f>
        <v>0</v>
      </c>
      <c r="CI152" s="37">
        <f>IF($Z$92="x",-1,IF(AND($Z$92=0,INDEX(KonZeile7,2)+INDEX(KonSpalte7,2)+INDEX(KonFeld6,2)=0),2,0))</f>
        <v>0</v>
      </c>
      <c r="CJ152" s="35">
        <f>IF($Z$92="x",-1,IF(AND($Z$92=0,INDEX(KonZeile7,3)+INDEX(KonSpalte7,3)+INDEX(KonFeld6,3)=0),3,0))</f>
        <v>0</v>
      </c>
      <c r="CK152" s="36">
        <f>IF($AA$92="x",-1,IF(AND($AA$92=0,INDEX(KonZeile7,1)+INDEX(KonSpalte8,1)+INDEX(KonFeld6,1)=0),1,0))</f>
        <v>-1</v>
      </c>
      <c r="CL152" s="37">
        <f>IF($AA$92="x",-1,IF(AND($AA$92=0,INDEX(KonZeile7,2)+INDEX(KonSpalte8,2)+INDEX(KonFeld6,2)=0),2,0))</f>
        <v>-1</v>
      </c>
      <c r="CM152" s="35">
        <f>IF($AA$92="x",-1,IF(AND($AA$92=0,INDEX(KonZeile7,3)+INDEX(KonSpalte8,3)+INDEX(KonFeld6,3)=0),3,0))</f>
        <v>-1</v>
      </c>
      <c r="CN152" s="36">
        <f>IF($AB$92="x",-1,IF(AND($AB$92=0,INDEX(KonZeile7,1)+INDEX(KonSpalte9,1)+INDEX(KonFeld6,1)=0),1,0))</f>
        <v>-1</v>
      </c>
      <c r="CO152" s="37">
        <f>IF($AB$92="x",-1,IF(AND($AB$92=0,INDEX(KonZeile7,2)+INDEX(KonSpalte9,2)+INDEX(KonFeld6,2)=0),2,0))</f>
        <v>-1</v>
      </c>
      <c r="CP152" s="109">
        <f>IF($AB$92="x",-1,IF(AND($AB$92=0,INDEX(KonZeile7,3)+INDEX(KonSpalte9,3)+INDEX(KonFeld6,3)=0),3,0))</f>
        <v>-1</v>
      </c>
      <c r="CR152" s="52">
        <f>COUNTIF(N152:CP152,1)</f>
        <v>0</v>
      </c>
      <c r="CS152" s="50">
        <f>COUNTIF(N152:CP152,2)</f>
        <v>0</v>
      </c>
      <c r="CT152" s="51">
        <f>COUNTIF(N152:CP152,3)</f>
        <v>0</v>
      </c>
      <c r="CU152" s="39"/>
      <c r="CV152" s="39"/>
      <c r="CX152" s="65">
        <f t="shared" si="185"/>
        <v>0</v>
      </c>
      <c r="CY152" s="66">
        <f t="shared" si="185"/>
        <v>0</v>
      </c>
      <c r="CZ152" s="67">
        <f t="shared" si="185"/>
        <v>0</v>
      </c>
      <c r="DJ152" s="104">
        <f t="shared" si="186"/>
        <v>0</v>
      </c>
      <c r="DK152" s="50">
        <f t="shared" si="187"/>
        <v>0</v>
      </c>
      <c r="DL152" s="51">
        <f t="shared" si="188"/>
        <v>0</v>
      </c>
      <c r="DM152" s="52">
        <f t="shared" si="189"/>
        <v>0</v>
      </c>
      <c r="DN152" s="50">
        <f t="shared" si="190"/>
        <v>0</v>
      </c>
      <c r="DO152" s="51">
        <f t="shared" si="191"/>
        <v>0</v>
      </c>
      <c r="DP152" s="52">
        <f t="shared" si="192"/>
        <v>-1</v>
      </c>
      <c r="DQ152" s="50">
        <f t="shared" si="193"/>
        <v>-1</v>
      </c>
      <c r="DR152" s="53">
        <f t="shared" si="194"/>
        <v>-1</v>
      </c>
      <c r="DS152" s="49">
        <f t="shared" si="195"/>
        <v>-1</v>
      </c>
      <c r="DT152" s="50">
        <f t="shared" si="196"/>
        <v>-1</v>
      </c>
      <c r="DU152" s="51">
        <f t="shared" si="197"/>
        <v>-1</v>
      </c>
      <c r="DV152" s="52">
        <f t="shared" si="198"/>
        <v>-1</v>
      </c>
      <c r="DW152" s="50">
        <f t="shared" si="199"/>
        <v>-1</v>
      </c>
      <c r="DX152" s="51">
        <f t="shared" si="200"/>
        <v>-1</v>
      </c>
      <c r="DY152" s="52">
        <f t="shared" si="201"/>
        <v>-1</v>
      </c>
      <c r="DZ152" s="50">
        <f t="shared" si="202"/>
        <v>-1</v>
      </c>
      <c r="EA152" s="53">
        <f t="shared" si="203"/>
        <v>-1</v>
      </c>
      <c r="EB152" s="49">
        <f t="shared" si="204"/>
        <v>-1</v>
      </c>
      <c r="EC152" s="50">
        <f t="shared" si="205"/>
        <v>-1</v>
      </c>
      <c r="ED152" s="51">
        <f t="shared" si="206"/>
        <v>-1</v>
      </c>
      <c r="EE152" s="52">
        <f t="shared" si="207"/>
        <v>-1</v>
      </c>
      <c r="EF152" s="50">
        <f t="shared" si="208"/>
        <v>-1</v>
      </c>
      <c r="EG152" s="51">
        <f t="shared" si="209"/>
        <v>-1</v>
      </c>
      <c r="EH152" s="52">
        <f t="shared" si="210"/>
        <v>-1</v>
      </c>
      <c r="EI152" s="50">
        <f t="shared" si="211"/>
        <v>-1</v>
      </c>
      <c r="EJ152" s="105">
        <f t="shared" si="212"/>
        <v>-1</v>
      </c>
      <c r="EK152" s="104">
        <f t="shared" si="213"/>
        <v>-1</v>
      </c>
      <c r="EL152" s="50">
        <f t="shared" si="214"/>
        <v>-1</v>
      </c>
      <c r="EM152" s="51">
        <f t="shared" si="215"/>
        <v>-1</v>
      </c>
      <c r="EN152" s="52">
        <f t="shared" si="216"/>
        <v>-1</v>
      </c>
      <c r="EO152" s="50">
        <f t="shared" si="217"/>
        <v>-1</v>
      </c>
      <c r="EP152" s="51">
        <f t="shared" si="218"/>
        <v>-1</v>
      </c>
      <c r="EQ152" s="52">
        <f t="shared" si="219"/>
        <v>-1</v>
      </c>
      <c r="ER152" s="50">
        <f t="shared" si="220"/>
        <v>-1</v>
      </c>
      <c r="ES152" s="53">
        <f t="shared" si="221"/>
        <v>-1</v>
      </c>
      <c r="ET152" s="49">
        <f t="shared" si="222"/>
        <v>-1</v>
      </c>
      <c r="EU152" s="50">
        <f t="shared" si="223"/>
        <v>-1</v>
      </c>
      <c r="EV152" s="51">
        <f t="shared" si="224"/>
        <v>-1</v>
      </c>
      <c r="EW152" s="52">
        <f t="shared" si="225"/>
        <v>0</v>
      </c>
      <c r="EX152" s="50">
        <f t="shared" si="226"/>
        <v>0</v>
      </c>
      <c r="EY152" s="51">
        <f t="shared" si="227"/>
        <v>0</v>
      </c>
      <c r="EZ152" s="52">
        <f t="shared" si="228"/>
        <v>0</v>
      </c>
      <c r="FA152" s="50">
        <f t="shared" si="229"/>
        <v>0</v>
      </c>
      <c r="FB152" s="53">
        <f t="shared" si="230"/>
        <v>0</v>
      </c>
      <c r="FC152" s="49">
        <f t="shared" si="231"/>
        <v>-1</v>
      </c>
      <c r="FD152" s="50">
        <f t="shared" si="232"/>
        <v>-1</v>
      </c>
      <c r="FE152" s="51">
        <f t="shared" si="233"/>
        <v>-1</v>
      </c>
      <c r="FF152" s="52">
        <f t="shared" si="234"/>
        <v>-1</v>
      </c>
      <c r="FG152" s="50">
        <f t="shared" si="235"/>
        <v>-1</v>
      </c>
      <c r="FH152" s="51">
        <f t="shared" si="236"/>
        <v>-1</v>
      </c>
      <c r="FI152" s="52">
        <f t="shared" si="237"/>
        <v>-1</v>
      </c>
      <c r="FJ152" s="50">
        <f t="shared" si="238"/>
        <v>-1</v>
      </c>
      <c r="FK152" s="105">
        <f t="shared" si="239"/>
        <v>-1</v>
      </c>
      <c r="FL152" s="104">
        <f t="shared" si="240"/>
        <v>-1</v>
      </c>
      <c r="FM152" s="50">
        <f t="shared" si="241"/>
        <v>-1</v>
      </c>
      <c r="FN152" s="51">
        <f t="shared" si="242"/>
        <v>-1</v>
      </c>
      <c r="FO152" s="52">
        <f t="shared" si="243"/>
        <v>-1</v>
      </c>
      <c r="FP152" s="50">
        <f t="shared" si="244"/>
        <v>-1</v>
      </c>
      <c r="FQ152" s="51">
        <f t="shared" si="245"/>
        <v>-1</v>
      </c>
      <c r="FR152" s="52">
        <f t="shared" si="246"/>
        <v>-1</v>
      </c>
      <c r="FS152" s="50">
        <f t="shared" si="247"/>
        <v>-1</v>
      </c>
      <c r="FT152" s="53">
        <f t="shared" si="248"/>
        <v>-1</v>
      </c>
      <c r="FU152" s="49">
        <f t="shared" si="249"/>
        <v>-1</v>
      </c>
      <c r="FV152" s="50">
        <f t="shared" si="250"/>
        <v>-1</v>
      </c>
      <c r="FW152" s="51">
        <f t="shared" si="251"/>
        <v>-1</v>
      </c>
      <c r="FX152" s="52">
        <f t="shared" si="252"/>
        <v>-1</v>
      </c>
      <c r="FY152" s="50">
        <f t="shared" si="253"/>
        <v>-1</v>
      </c>
      <c r="FZ152" s="51">
        <f t="shared" si="254"/>
        <v>-1</v>
      </c>
      <c r="GA152" s="52">
        <f t="shared" si="255"/>
        <v>-1</v>
      </c>
      <c r="GB152" s="50">
        <f t="shared" si="256"/>
        <v>-1</v>
      </c>
      <c r="GC152" s="53">
        <f t="shared" si="257"/>
        <v>-1</v>
      </c>
      <c r="GD152" s="49">
        <f t="shared" si="258"/>
        <v>-1</v>
      </c>
      <c r="GE152" s="50">
        <f t="shared" si="259"/>
        <v>-1</v>
      </c>
      <c r="GF152" s="51">
        <f t="shared" si="260"/>
        <v>-1</v>
      </c>
      <c r="GG152" s="52">
        <f t="shared" si="261"/>
        <v>-1</v>
      </c>
      <c r="GH152" s="50">
        <f t="shared" si="262"/>
        <v>-1</v>
      </c>
      <c r="GI152" s="51">
        <f t="shared" si="263"/>
        <v>-1</v>
      </c>
      <c r="GJ152" s="52">
        <f t="shared" si="264"/>
        <v>0</v>
      </c>
      <c r="GK152" s="50">
        <f t="shared" si="265"/>
        <v>0</v>
      </c>
      <c r="GL152" s="105">
        <f t="shared" si="266"/>
        <v>0</v>
      </c>
      <c r="GN152" s="52">
        <f>COUNTIF(DJ152:GL152,1)</f>
        <v>0</v>
      </c>
      <c r="GO152" s="50">
        <f>COUNTIF(DJ152:GL152,2)</f>
        <v>0</v>
      </c>
      <c r="GP152" s="51">
        <f>COUNTIF(DJ152:GL152,3)</f>
        <v>0</v>
      </c>
      <c r="GQ152" s="39"/>
      <c r="GR152" s="39"/>
      <c r="GT152" s="91">
        <f t="shared" si="267"/>
        <v>0</v>
      </c>
      <c r="GU152" s="92">
        <f t="shared" si="268"/>
        <v>0</v>
      </c>
      <c r="GV152" s="93">
        <f t="shared" si="269"/>
        <v>0</v>
      </c>
    </row>
    <row r="153" spans="2:204" ht="15" customHeight="1">
      <c r="B153" s="72" t="str">
        <f t="shared" si="174"/>
        <v>x</v>
      </c>
      <c r="C153" s="73" t="str">
        <f t="shared" si="175"/>
        <v>x</v>
      </c>
      <c r="D153" s="73" t="str">
        <f t="shared" si="176"/>
        <v>x</v>
      </c>
      <c r="E153" s="73" t="str">
        <f t="shared" si="177"/>
        <v>x</v>
      </c>
      <c r="F153" s="73" t="str">
        <f t="shared" si="178"/>
        <v>x</v>
      </c>
      <c r="G153" s="73" t="str">
        <f t="shared" si="179"/>
        <v>x</v>
      </c>
      <c r="H153" s="73" t="str">
        <f t="shared" si="180"/>
        <v>x</v>
      </c>
      <c r="I153" s="73" t="str">
        <f t="shared" si="181"/>
        <v>x</v>
      </c>
      <c r="J153" s="74" t="str">
        <f t="shared" si="182"/>
        <v>x</v>
      </c>
      <c r="N153" s="94">
        <f>IF($B$92="x",-1,IF(AND($B$92=0,INDEX(KonZeile7,4)+INDEX(KonSpalte1,4)+INDEX(KonFeld4,4)=0),4,0))</f>
        <v>0</v>
      </c>
      <c r="O153" s="39">
        <f>IF($B$92="x",-1,IF(AND($B$92=0,INDEX(KonZeile7,5)+INDEX(KonSpalte1,5)+INDEX(KonFeld4,5)=0),5,0))</f>
        <v>0</v>
      </c>
      <c r="P153" s="41">
        <f>IF($B$92="x",-1,IF(AND($B$92=0,INDEX(KonZeile7,6)+INDEX(KonSpalte1,6)+INDEX(KonFeld4,6)=0),6,0))</f>
        <v>0</v>
      </c>
      <c r="Q153" s="40">
        <f>IF($C$92="x",-1,IF(AND($C$92=0,INDEX(KonZeile7,4)+INDEX(KonSpalte2,4)+INDEX(KonFeld4,4)=0),4,0))</f>
        <v>0</v>
      </c>
      <c r="R153" s="39">
        <f>IF($C$92="x",-1,IF(AND($C$92=0,INDEX(KonZeile7,5)+INDEX(KonSpalte2,5)+INDEX(KonFeld4,5)=0),5,0))</f>
        <v>0</v>
      </c>
      <c r="S153" s="41">
        <f>IF($C$92="x",-1,IF(AND($C$92=0,INDEX(KonZeile7,6)+INDEX(KonSpalte2,6)+INDEX(KonFeld4,6)=0),6,0))</f>
        <v>0</v>
      </c>
      <c r="T153" s="40">
        <f>IF($D$92="x",-1,IF(AND($D$92=0,INDEX(KonZeile7,4)+INDEX(KonSpalte3,4)+INDEX(KonFeld4,4)=0),4,0))</f>
        <v>0</v>
      </c>
      <c r="U153" s="39">
        <f>IF($D$92="x",-1,IF(AND($D$92=0,INDEX(KonZeile7,5)+INDEX(KonSpalte3,5)+INDEX(KonFeld4,5)=0),5,0))</f>
        <v>0</v>
      </c>
      <c r="V153" s="42">
        <f>IF($D$92="x",-1,IF(AND($D$92=0,INDEX(KonZeile7,6)+INDEX(KonSpalte3,6)+INDEX(KonFeld4,6)=0),6,0))</f>
        <v>0</v>
      </c>
      <c r="W153" s="43">
        <f>IF($E$92="x",-1,IF(AND($E$92=0,INDEX(KonZeile7,4)+INDEX(KonSpalte4,4)+INDEX(KonFeld4,4)=0),4,0))</f>
        <v>-1</v>
      </c>
      <c r="X153" s="39">
        <f>IF($E$92="x",-1,IF(AND($E$92=0,INDEX(KonZeile7,5)+INDEX(KonSpalte4,5)+INDEX(KonFeld4,5)=0),5,0))</f>
        <v>-1</v>
      </c>
      <c r="Y153" s="41">
        <f>IF($E$92="x",-1,IF(AND($E$92=0,INDEX(KonZeile7,6)+INDEX(KonSpalte4,6)+INDEX(KonFeld4,6)=0),6,0))</f>
        <v>-1</v>
      </c>
      <c r="Z153" s="40">
        <f>IF($F$92="x",-1,IF(AND($F$92=0,INDEX(KonZeile7,4)+INDEX(KonSpalte5,4)+INDEX(KonFeld4,4)=0),4,0))</f>
        <v>-1</v>
      </c>
      <c r="AA153" s="39">
        <f>IF($F$92="x",-1,IF(AND($F$92=0,INDEX(KonZeile7,5)+INDEX(KonSpalte5,5)+INDEX(KonFeld4,5)=0),5,0))</f>
        <v>-1</v>
      </c>
      <c r="AB153" s="41">
        <f>IF($F$92="x",-1,IF(AND($F$92=0,INDEX(KonZeile7,6)+INDEX(KonSpalte5,6)+INDEX(KonFeld4,6)=0),6,0))</f>
        <v>-1</v>
      </c>
      <c r="AC153" s="40">
        <f>IF($G$92="x",-1,IF(AND($G$92=0,INDEX(KonZeile7,4)+INDEX(KonSpalte6,4)+INDEX(KonFeld4,4)=0),4,0))</f>
        <v>-1</v>
      </c>
      <c r="AD153" s="39">
        <f>IF($G$92="x",-1,IF(AND($G$92=0,INDEX(KonZeile7,5)+INDEX(KonSpalte6,5)+INDEX(KonFeld4,5)=0),5,0))</f>
        <v>-1</v>
      </c>
      <c r="AE153" s="42">
        <f>IF($G$92="x",-1,IF(AND($G$92=0,INDEX(KonZeile7,6)+INDEX(KonSpalte6,6)+INDEX(KonFeld4,6)=0),6,0))</f>
        <v>-1</v>
      </c>
      <c r="AF153" s="43">
        <f>IF($H$92="x",-1,IF(AND($H$92=0,INDEX(KonZeile7,4)+INDEX(KonSpalte7,4)+INDEX(KonFeld4,4)=0),4,0))</f>
        <v>-1</v>
      </c>
      <c r="AG153" s="39">
        <f>IF($H$92="x",-1,IF(AND($H$92=0,INDEX(KonZeile7,5)+INDEX(KonSpalte7,5)+INDEX(KonFeld4,5)=0),5,0))</f>
        <v>-1</v>
      </c>
      <c r="AH153" s="41">
        <f>IF($H$92="x",-1,IF(AND($H$92=0,INDEX(KonZeile7,6)+INDEX(KonSpalte7,6)+INDEX(KonFeld4,6)=0),6,0))</f>
        <v>-1</v>
      </c>
      <c r="AI153" s="40">
        <f>IF($I$92="x",-1,IF(AND($I$92=0,INDEX(KonZeile7,4)+INDEX(KonSpalte8,4)+INDEX(KonFeld4,4)=0),4,0))</f>
        <v>-1</v>
      </c>
      <c r="AJ153" s="39">
        <f>IF($I$92="x",-1,IF(AND($I$92=0,INDEX(KonZeile7,5)+INDEX(KonSpalte8,5)+INDEX(KonFeld4,5)=0),5,0))</f>
        <v>-1</v>
      </c>
      <c r="AK153" s="41">
        <f>IF($I$92="x",-1,IF(AND($I$92=0,INDEX(KonZeile7,6)+INDEX(KonSpalte8,6)+INDEX(KonFeld4,6)=0),6,0))</f>
        <v>-1</v>
      </c>
      <c r="AL153" s="40">
        <f>IF($J$92="x",-1,IF(AND($J$92=0,INDEX(KonZeile7,4)+INDEX(KonSpalte9,4)+INDEX(KonFeld4,4)=0),4,0))</f>
        <v>-1</v>
      </c>
      <c r="AM153" s="39">
        <f>IF($J$92="x",-1,IF(AND($J$92=0,INDEX(KonZeile7,5)+INDEX(KonSpalte9,5)+INDEX(KonFeld4,5)=0),5,0))</f>
        <v>-1</v>
      </c>
      <c r="AN153" s="95">
        <f>IF($J$92="x",-1,IF(AND($J$92=0,INDEX(KonZeile7,6)+INDEX(KonSpalte9,6)+INDEX(KonFeld4,6)=0),6,0))</f>
        <v>-1</v>
      </c>
      <c r="AO153" s="94">
        <f>IF($K$92="x",-1,IF(AND($K$92=0,INDEX(KonZeile7,4)+INDEX(KonSpalte1,4)+INDEX(KonFeld5,4)=0),4,0))</f>
        <v>-1</v>
      </c>
      <c r="AP153" s="39">
        <f>IF($K$92="x",-1,IF(AND($K$92=0,INDEX(KonZeile7,5)+INDEX(KonSpalte1,5)+INDEX(KonFeld5,5)=0),5,0))</f>
        <v>-1</v>
      </c>
      <c r="AQ153" s="41">
        <f>IF($K$92="x",-1,IF(AND($K$92=0,INDEX(KonZeile7,6)+INDEX(KonSpalte1,6)+INDEX(KonFeld5,6)=0),6,0))</f>
        <v>-1</v>
      </c>
      <c r="AR153" s="40">
        <f>IF($L$92="x",-1,IF(AND($L$92=0,INDEX(KonZeile7,4)+INDEX(KonSpalte2,4)+INDEX(KonFeld5,4)=0),4,0))</f>
        <v>-1</v>
      </c>
      <c r="AS153" s="39">
        <f>IF($L$92="x",-1,IF(AND($L$92=0,INDEX(KonZeile7,5)+INDEX(KonSpalte2,5)+INDEX(KonFeld5,5)=0),5,0))</f>
        <v>-1</v>
      </c>
      <c r="AT153" s="41">
        <f>IF($L$92="x",-1,IF(AND($L$92=0,INDEX(KonZeile7,6)+INDEX(KonSpalte2,6)+INDEX(KonFeld5,6)=0),6,0))</f>
        <v>-1</v>
      </c>
      <c r="AU153" s="40">
        <f>IF($M$92="x",-1,IF(AND($M$92=0,INDEX(KonZeile7,4)+INDEX(KonSpalte3,4)+INDEX(KonFeld5,4)=0),4,0))</f>
        <v>-1</v>
      </c>
      <c r="AV153" s="39">
        <f>IF($M$92="x",-1,IF(AND($M$92=0,INDEX(KonZeile7,5)+INDEX(KonSpalte3,5)+INDEX(KonFeld5,5)=0),5,0))</f>
        <v>-1</v>
      </c>
      <c r="AW153" s="42">
        <f>IF($M$92="x",-1,IF(AND($M$92=0,INDEX(KonZeile7,6)+INDEX(KonSpalte3,6)+INDEX(KonFeld5,6)=0),6,0))</f>
        <v>-1</v>
      </c>
      <c r="AX153" s="43">
        <f>IF($N$92="x",-1,IF(AND($N$92=0,INDEX(KonZeile7,4)+INDEX(KonSpalte4,4)+INDEX(KonFeld5,4)=0),4,0))</f>
        <v>-1</v>
      </c>
      <c r="AY153" s="39">
        <f>IF($N$92="x",-1,IF(AND($N$92=0,INDEX(KonZeile7,5)+INDEX(KonSpalte4,5)+INDEX(KonFeld5,5)=0),5,0))</f>
        <v>-1</v>
      </c>
      <c r="AZ153" s="41">
        <f>IF($N$92="x",-1,IF(AND($N$92=0,INDEX(KonZeile7,6)+INDEX(KonSpalte4,6)+INDEX(KonFeld5,6)=0),6,0))</f>
        <v>-1</v>
      </c>
      <c r="BA153" s="40">
        <f>IF($O$92="x",-1,IF(AND($O$92=0,INDEX(KonZeile7,4)+INDEX(KonSpalte5,4)+INDEX(KonFeld5,4)=0),4,0))</f>
        <v>-1</v>
      </c>
      <c r="BB153" s="39">
        <f>IF($O$92="x",-1,IF(AND($O$92=0,INDEX(KonZeile7,5)+INDEX(KonSpalte5,5)+INDEX(KonFeld5,5)=0),5,0))</f>
        <v>-1</v>
      </c>
      <c r="BC153" s="41">
        <f>IF($O$92="x",-1,IF(AND($O$92=0,INDEX(KonZeile7,6)+INDEX(KonSpalte5,6)+INDEX(KonFeld5,6)=0),6,0))</f>
        <v>-1</v>
      </c>
      <c r="BD153" s="40">
        <f>IF($P$92="x",-1,IF(AND($P$92=0,INDEX(KonZeile7,4)+INDEX(KonSpalte6,4)+INDEX(KonFeld5,4)=0),4,0))</f>
        <v>-1</v>
      </c>
      <c r="BE153" s="39">
        <f>IF($P$92="x",-1,IF(AND($P$92=0,INDEX(KonZeile7,5)+INDEX(KonSpalte6,5)+INDEX(KonFeld5,5)=0),5,0))</f>
        <v>-1</v>
      </c>
      <c r="BF153" s="42">
        <f>IF($P$92="x",-1,IF(AND($P$92=0,INDEX(KonZeile7,6)+INDEX(KonSpalte6,6)+INDEX(KonFeld5,6)=0),6,0))</f>
        <v>-1</v>
      </c>
      <c r="BG153" s="43">
        <f>IF($Q$92="x",-1,IF(AND($Q$92=0,INDEX(KonZeile7,4)+INDEX(KonSpalte7,4)+INDEX(KonFeld5,4)=0),4,0))</f>
        <v>-1</v>
      </c>
      <c r="BH153" s="39">
        <f>IF($Q$92="x",-1,IF(AND($Q$92=0,INDEX(KonZeile7,5)+INDEX(KonSpalte7,5)+INDEX(KonFeld5,5)=0),5,0))</f>
        <v>-1</v>
      </c>
      <c r="BI153" s="41">
        <f>IF($Q$92="x",-1,IF(AND($Q$92=0,INDEX(KonZeile7,6)+INDEX(KonSpalte7,6)+INDEX(KonFeld5,6)=0),6,0))</f>
        <v>-1</v>
      </c>
      <c r="BJ153" s="40">
        <f>IF($R$92="x",-1,IF(AND($R$92=0,INDEX(KonZeile7,4)+INDEX(KonSpalte8,4)+INDEX(KonFeld5,4)=0),4,0))</f>
        <v>-1</v>
      </c>
      <c r="BK153" s="39">
        <f>IF($R$92="x",-1,IF(AND($R$92=0,INDEX(KonZeile7,5)+INDEX(KonSpalte8,5)+INDEX(KonFeld5,5)=0),5,0))</f>
        <v>-1</v>
      </c>
      <c r="BL153" s="41">
        <f>IF($R$92="x",-1,IF(AND($R$92=0,INDEX(KonZeile7,6)+INDEX(KonSpalte8,6)+INDEX(KonFeld5,6)=0),6,0))</f>
        <v>-1</v>
      </c>
      <c r="BM153" s="40">
        <f>IF($S$92="x",-1,IF(AND($S$92=0,INDEX(KonZeile7,4)+INDEX(KonSpalte9,4)+INDEX(KonFeld5,4)=0),4,0))</f>
        <v>-1</v>
      </c>
      <c r="BN153" s="39">
        <f>IF($S$92="x",-1,IF(AND($S$92=0,INDEX(KonZeile7,5)+INDEX(KonSpalte9,5)+INDEX(KonFeld5,5)=0),5,0))</f>
        <v>-1</v>
      </c>
      <c r="BO153" s="95">
        <f>IF($S$92="x",-1,IF(AND($S$92=0,INDEX(KonZeile7,6)+INDEX(KonSpalte9,6)+INDEX(KonFeld5,6)=0),6,0))</f>
        <v>-1</v>
      </c>
      <c r="BP153" s="94">
        <f>IF($T$92="x",-1,IF(AND($T$92=0,INDEX(KonZeile7,4)+INDEX(KonSpalte1,4)+INDEX(KonFeld6,4)=0),4,0))</f>
        <v>-1</v>
      </c>
      <c r="BQ153" s="39">
        <f>IF($T$92="x",-1,IF(AND($T$92=0,INDEX(KonZeile7,5)+INDEX(KonSpalte1,5)+INDEX(KonFeld6,5)=0),5,0))</f>
        <v>-1</v>
      </c>
      <c r="BR153" s="41">
        <f>IF($T$92="x",-1,IF(AND($T$92=0,INDEX(KonZeile7,6)+INDEX(KonSpalte1,6)+INDEX(KonFeld6,6)=0),6,0))</f>
        <v>-1</v>
      </c>
      <c r="BS153" s="40">
        <f>IF($U$92="x",-1,IF(AND($U$92=0,INDEX(KonZeile7,4)+INDEX(KonSpalte2,4)+INDEX(KonFeld6,4)=0),4,0))</f>
        <v>-1</v>
      </c>
      <c r="BT153" s="39">
        <f>IF($U$92="x",-1,IF(AND($U$92=0,INDEX(KonZeile7,5)+INDEX(KonSpalte2,5)+INDEX(KonFeld6,5)=0),5,0))</f>
        <v>-1</v>
      </c>
      <c r="BU153" s="41">
        <f>IF($U$92="x",-1,IF(AND($U$92=0,INDEX(KonZeile7,6)+INDEX(KonSpalte2,6)+INDEX(KonFeld6,6)=0),6,0))</f>
        <v>-1</v>
      </c>
      <c r="BV153" s="40">
        <f>IF($V$92="x",-1,IF(AND($V$92=0,INDEX(KonZeile7,4)+INDEX(KonSpalte3,4)+INDEX(KonFeld6,4)=0),4,0))</f>
        <v>-1</v>
      </c>
      <c r="BW153" s="39">
        <f>IF($V$92="x",-1,IF(AND($V$92=0,INDEX(KonZeile7,5)+INDEX(KonSpalte3,5)+INDEX(KonFeld6,5)=0),5,0))</f>
        <v>-1</v>
      </c>
      <c r="BX153" s="42">
        <f>IF($V$92="x",-1,IF(AND($V$92=0,INDEX(KonZeile7,6)+INDEX(KonSpalte3,6)+INDEX(KonFeld6,6)=0),6,0))</f>
        <v>-1</v>
      </c>
      <c r="BY153" s="43">
        <f>IF($W$92="x",-1,IF(AND($W$92=0,INDEX(KonZeile7,4)+INDEX(KonSpalte4,4)+INDEX(KonFeld6,4)=0),4,0))</f>
        <v>-1</v>
      </c>
      <c r="BZ153" s="39">
        <f>IF($W$92="x",-1,IF(AND($W$92=0,INDEX(KonZeile7,5)+INDEX(KonSpalte4,5)+INDEX(KonFeld6,5)=0),5,0))</f>
        <v>-1</v>
      </c>
      <c r="CA153" s="41">
        <f>IF($W$92="x",-1,IF(AND($W$92=0,INDEX(KonZeile7,6)+INDEX(KonSpalte4,6)+INDEX(KonFeld6,6)=0),6,0))</f>
        <v>-1</v>
      </c>
      <c r="CB153" s="40">
        <f>IF($X$92="x",-1,IF(AND($X$92=0,INDEX(KonZeile7,4)+INDEX(KonSpalte5,4)+INDEX(KonFeld6,4)=0),4,0))</f>
        <v>-1</v>
      </c>
      <c r="CC153" s="39">
        <f>IF($X$92="x",-1,IF(AND($X$92=0,INDEX(KonZeile7,5)+INDEX(KonSpalte5,5)+INDEX(KonFeld6,5)=0),5,0))</f>
        <v>-1</v>
      </c>
      <c r="CD153" s="41">
        <f>IF($X$92="x",-1,IF(AND($X$92=0,INDEX(KonZeile7,6)+INDEX(KonSpalte5,6)+INDEX(KonFeld6,6)=0),6,0))</f>
        <v>-1</v>
      </c>
      <c r="CE153" s="40">
        <f>IF($Y$92="x",-1,IF(AND($Y$92=0,INDEX(KonZeile7,4)+INDEX(KonSpalte6,4)+INDEX(KonFeld6,4)=0),4,0))</f>
        <v>-1</v>
      </c>
      <c r="CF153" s="39">
        <f>IF($Y$92="x",-1,IF(AND($Y$92=0,INDEX(KonZeile7,5)+INDEX(KonSpalte6,5)+INDEX(KonFeld6,5)=0),5,0))</f>
        <v>-1</v>
      </c>
      <c r="CG153" s="42">
        <f>IF($Y$92="x",-1,IF(AND($Y$92=0,INDEX(KonZeile7,6)+INDEX(KonSpalte6,6)+INDEX(KonFeld6,6)=0),6,0))</f>
        <v>-1</v>
      </c>
      <c r="CH153" s="43">
        <f>IF($Z$92="x",-1,IF(AND($Z$92=0,INDEX(KonZeile7,4)+INDEX(KonSpalte7,4)+INDEX(KonFeld6,4)=0),4,0))</f>
        <v>0</v>
      </c>
      <c r="CI153" s="39">
        <f>IF($Z$92="x",-1,IF(AND($Z$92=0,INDEX(KonZeile7,5)+INDEX(KonSpalte7,5)+INDEX(KonFeld6,5)=0),5,0))</f>
        <v>0</v>
      </c>
      <c r="CJ153" s="41">
        <f>IF($Z$92="x",-1,IF(AND($Z$92=0,INDEX(KonZeile7,6)+INDEX(KonSpalte7,6)+INDEX(KonFeld6,6)=0),6,0))</f>
        <v>0</v>
      </c>
      <c r="CK153" s="40">
        <f>IF($AA$92="x",-1,IF(AND($AA$92=0,INDEX(KonZeile7,4)+INDEX(KonSpalte8,4)+INDEX(KonFeld6,4)=0),4,0))</f>
        <v>-1</v>
      </c>
      <c r="CL153" s="39">
        <f>IF($AA$92="x",-1,IF(AND($AA$92=0,INDEX(KonZeile7,5)+INDEX(KonSpalte8,5)+INDEX(KonFeld6,5)=0),5,0))</f>
        <v>-1</v>
      </c>
      <c r="CM153" s="41">
        <f>IF($AA$92="x",-1,IF(AND($AA$92=0,INDEX(KonZeile7,6)+INDEX(KonSpalte8,6)+INDEX(KonFeld6,6)=0),6,0))</f>
        <v>-1</v>
      </c>
      <c r="CN153" s="40">
        <f>IF($AB$92="x",-1,IF(AND($AB$92=0,INDEX(KonZeile7,4)+INDEX(KonSpalte9,4)+INDEX(KonFeld6,4)=0),4,0))</f>
        <v>-1</v>
      </c>
      <c r="CO153" s="39">
        <f>IF($AB$92="x",-1,IF(AND($AB$92=0,INDEX(KonZeile7,5)+INDEX(KonSpalte9,5)+INDEX(KonFeld6,5)=0),5,0))</f>
        <v>-1</v>
      </c>
      <c r="CP153" s="95">
        <f>IF($AB$92="x",-1,IF(AND($AB$92=0,INDEX(KonZeile7,6)+INDEX(KonSpalte9,6)+INDEX(KonFeld6,6)=0),6,0))</f>
        <v>-1</v>
      </c>
      <c r="CR153" s="40">
        <f>COUNTIF(N153:CP153,4)</f>
        <v>0</v>
      </c>
      <c r="CS153" s="39">
        <f>COUNTIF(N153:CP153,5)</f>
        <v>0</v>
      </c>
      <c r="CT153" s="41">
        <f>COUNTIF(N153:CP153,6)</f>
        <v>0</v>
      </c>
      <c r="CU153" s="39"/>
      <c r="CV153" s="39"/>
      <c r="CX153" s="72">
        <f t="shared" si="185"/>
        <v>0</v>
      </c>
      <c r="CY153" s="73">
        <f t="shared" si="185"/>
        <v>0</v>
      </c>
      <c r="CZ153" s="74">
        <f t="shared" si="185"/>
        <v>0</v>
      </c>
      <c r="DJ153" s="94">
        <f t="shared" si="186"/>
        <v>0</v>
      </c>
      <c r="DK153" s="39">
        <f t="shared" si="187"/>
        <v>0</v>
      </c>
      <c r="DL153" s="41">
        <f t="shared" si="188"/>
        <v>0</v>
      </c>
      <c r="DM153" s="40">
        <f t="shared" si="189"/>
        <v>0</v>
      </c>
      <c r="DN153" s="39">
        <f t="shared" si="190"/>
        <v>0</v>
      </c>
      <c r="DO153" s="41">
        <f t="shared" si="191"/>
        <v>0</v>
      </c>
      <c r="DP153" s="40">
        <f t="shared" si="192"/>
        <v>-1</v>
      </c>
      <c r="DQ153" s="39">
        <f t="shared" si="193"/>
        <v>-1</v>
      </c>
      <c r="DR153" s="42">
        <f t="shared" si="194"/>
        <v>-1</v>
      </c>
      <c r="DS153" s="43">
        <f t="shared" si="195"/>
        <v>-1</v>
      </c>
      <c r="DT153" s="39">
        <f t="shared" si="196"/>
        <v>-1</v>
      </c>
      <c r="DU153" s="41">
        <f t="shared" si="197"/>
        <v>-1</v>
      </c>
      <c r="DV153" s="40">
        <f t="shared" si="198"/>
        <v>-1</v>
      </c>
      <c r="DW153" s="39">
        <f t="shared" si="199"/>
        <v>-1</v>
      </c>
      <c r="DX153" s="41">
        <f t="shared" si="200"/>
        <v>-1</v>
      </c>
      <c r="DY153" s="40">
        <f t="shared" si="201"/>
        <v>-1</v>
      </c>
      <c r="DZ153" s="39">
        <f t="shared" si="202"/>
        <v>-1</v>
      </c>
      <c r="EA153" s="42">
        <f t="shared" si="203"/>
        <v>-1</v>
      </c>
      <c r="EB153" s="43">
        <f t="shared" si="204"/>
        <v>-1</v>
      </c>
      <c r="EC153" s="39">
        <f t="shared" si="205"/>
        <v>-1</v>
      </c>
      <c r="ED153" s="41">
        <f t="shared" si="206"/>
        <v>-1</v>
      </c>
      <c r="EE153" s="40">
        <f t="shared" si="207"/>
        <v>-1</v>
      </c>
      <c r="EF153" s="39">
        <f t="shared" si="208"/>
        <v>-1</v>
      </c>
      <c r="EG153" s="41">
        <f t="shared" si="209"/>
        <v>-1</v>
      </c>
      <c r="EH153" s="40">
        <f t="shared" si="210"/>
        <v>-1</v>
      </c>
      <c r="EI153" s="39">
        <f t="shared" si="211"/>
        <v>-1</v>
      </c>
      <c r="EJ153" s="95">
        <f t="shared" si="212"/>
        <v>-1</v>
      </c>
      <c r="EK153" s="94">
        <f t="shared" si="213"/>
        <v>-1</v>
      </c>
      <c r="EL153" s="39">
        <f t="shared" si="214"/>
        <v>-1</v>
      </c>
      <c r="EM153" s="41">
        <f t="shared" si="215"/>
        <v>-1</v>
      </c>
      <c r="EN153" s="40">
        <f t="shared" si="216"/>
        <v>-1</v>
      </c>
      <c r="EO153" s="39">
        <f t="shared" si="217"/>
        <v>-1</v>
      </c>
      <c r="EP153" s="41">
        <f t="shared" si="218"/>
        <v>-1</v>
      </c>
      <c r="EQ153" s="40">
        <f t="shared" si="219"/>
        <v>-1</v>
      </c>
      <c r="ER153" s="39">
        <f t="shared" si="220"/>
        <v>-1</v>
      </c>
      <c r="ES153" s="42">
        <f t="shared" si="221"/>
        <v>-1</v>
      </c>
      <c r="ET153" s="43">
        <f t="shared" si="222"/>
        <v>-1</v>
      </c>
      <c r="EU153" s="39">
        <f t="shared" si="223"/>
        <v>-1</v>
      </c>
      <c r="EV153" s="41">
        <f t="shared" si="224"/>
        <v>-1</v>
      </c>
      <c r="EW153" s="40">
        <f t="shared" si="225"/>
        <v>0</v>
      </c>
      <c r="EX153" s="39">
        <f t="shared" si="226"/>
        <v>0</v>
      </c>
      <c r="EY153" s="41">
        <f t="shared" si="227"/>
        <v>0</v>
      </c>
      <c r="EZ153" s="40">
        <f t="shared" si="228"/>
        <v>0</v>
      </c>
      <c r="FA153" s="39">
        <f t="shared" si="229"/>
        <v>0</v>
      </c>
      <c r="FB153" s="42">
        <f t="shared" si="230"/>
        <v>0</v>
      </c>
      <c r="FC153" s="43">
        <f t="shared" si="231"/>
        <v>-1</v>
      </c>
      <c r="FD153" s="39">
        <f t="shared" si="232"/>
        <v>-1</v>
      </c>
      <c r="FE153" s="41">
        <f t="shared" si="233"/>
        <v>-1</v>
      </c>
      <c r="FF153" s="40">
        <f t="shared" si="234"/>
        <v>-1</v>
      </c>
      <c r="FG153" s="39">
        <f t="shared" si="235"/>
        <v>-1</v>
      </c>
      <c r="FH153" s="41">
        <f t="shared" si="236"/>
        <v>-1</v>
      </c>
      <c r="FI153" s="40">
        <f t="shared" si="237"/>
        <v>-1</v>
      </c>
      <c r="FJ153" s="39">
        <f t="shared" si="238"/>
        <v>-1</v>
      </c>
      <c r="FK153" s="95">
        <f t="shared" si="239"/>
        <v>-1</v>
      </c>
      <c r="FL153" s="94">
        <f t="shared" si="240"/>
        <v>-1</v>
      </c>
      <c r="FM153" s="39">
        <f t="shared" si="241"/>
        <v>-1</v>
      </c>
      <c r="FN153" s="41">
        <f t="shared" si="242"/>
        <v>-1</v>
      </c>
      <c r="FO153" s="40">
        <f t="shared" si="243"/>
        <v>-1</v>
      </c>
      <c r="FP153" s="39">
        <f t="shared" si="244"/>
        <v>-1</v>
      </c>
      <c r="FQ153" s="41">
        <f t="shared" si="245"/>
        <v>-1</v>
      </c>
      <c r="FR153" s="40">
        <f t="shared" si="246"/>
        <v>-1</v>
      </c>
      <c r="FS153" s="39">
        <f t="shared" si="247"/>
        <v>-1</v>
      </c>
      <c r="FT153" s="42">
        <f t="shared" si="248"/>
        <v>-1</v>
      </c>
      <c r="FU153" s="43">
        <f t="shared" si="249"/>
        <v>-1</v>
      </c>
      <c r="FV153" s="39">
        <f t="shared" si="250"/>
        <v>-1</v>
      </c>
      <c r="FW153" s="41">
        <f t="shared" si="251"/>
        <v>-1</v>
      </c>
      <c r="FX153" s="40">
        <f t="shared" si="252"/>
        <v>-1</v>
      </c>
      <c r="FY153" s="39">
        <f t="shared" si="253"/>
        <v>-1</v>
      </c>
      <c r="FZ153" s="41">
        <f t="shared" si="254"/>
        <v>-1</v>
      </c>
      <c r="GA153" s="40">
        <f t="shared" si="255"/>
        <v>-1</v>
      </c>
      <c r="GB153" s="39">
        <f t="shared" si="256"/>
        <v>-1</v>
      </c>
      <c r="GC153" s="42">
        <f t="shared" si="257"/>
        <v>-1</v>
      </c>
      <c r="GD153" s="43">
        <f t="shared" si="258"/>
        <v>-1</v>
      </c>
      <c r="GE153" s="39">
        <f t="shared" si="259"/>
        <v>-1</v>
      </c>
      <c r="GF153" s="41">
        <f t="shared" si="260"/>
        <v>-1</v>
      </c>
      <c r="GG153" s="40">
        <f t="shared" si="261"/>
        <v>-1</v>
      </c>
      <c r="GH153" s="39">
        <f t="shared" si="262"/>
        <v>-1</v>
      </c>
      <c r="GI153" s="41">
        <f t="shared" si="263"/>
        <v>-1</v>
      </c>
      <c r="GJ153" s="40">
        <f t="shared" si="264"/>
        <v>0</v>
      </c>
      <c r="GK153" s="39">
        <f t="shared" si="265"/>
        <v>0</v>
      </c>
      <c r="GL153" s="95">
        <f t="shared" si="266"/>
        <v>0</v>
      </c>
      <c r="GN153" s="40">
        <f>COUNTIF(DJ153:GL153,4)</f>
        <v>0</v>
      </c>
      <c r="GO153" s="39">
        <f>COUNTIF(DJ153:GL153,5)</f>
        <v>0</v>
      </c>
      <c r="GP153" s="41">
        <f>COUNTIF(DJ153:GL153,6)</f>
        <v>0</v>
      </c>
      <c r="GQ153" s="39"/>
      <c r="GR153" s="39"/>
      <c r="GT153" s="96">
        <f t="shared" si="267"/>
        <v>0</v>
      </c>
      <c r="GU153" s="97">
        <f t="shared" si="268"/>
        <v>0</v>
      </c>
      <c r="GV153" s="98">
        <f t="shared" si="269"/>
        <v>0</v>
      </c>
    </row>
    <row r="154" spans="2:204" ht="15" customHeight="1" thickBot="1">
      <c r="B154" s="72" t="str">
        <f t="shared" si="174"/>
        <v>x</v>
      </c>
      <c r="C154" s="73" t="str">
        <f t="shared" si="175"/>
        <v>x</v>
      </c>
      <c r="D154" s="73" t="str">
        <f t="shared" si="176"/>
        <v>x</v>
      </c>
      <c r="E154" s="73" t="str">
        <f t="shared" si="177"/>
        <v>x</v>
      </c>
      <c r="F154" s="73" t="str">
        <f t="shared" si="178"/>
        <v>x</v>
      </c>
      <c r="G154" s="73" t="str">
        <f t="shared" si="179"/>
        <v>x</v>
      </c>
      <c r="H154" s="73" t="str">
        <f t="shared" si="180"/>
        <v>x</v>
      </c>
      <c r="I154" s="73" t="str">
        <f t="shared" si="181"/>
        <v>x</v>
      </c>
      <c r="J154" s="74" t="str">
        <f t="shared" si="182"/>
        <v>x</v>
      </c>
      <c r="N154" s="99">
        <f>IF($B$92="x",-1,IF(AND($B$92=0,INDEX(KonZeile7,7)+INDEX(KonSpalte1,7)+INDEX(KonFeld4,7)=0),7,0))</f>
        <v>0</v>
      </c>
      <c r="O154" s="45">
        <f>IF($B$92="x",-1,IF(AND($B$92=0,INDEX(KonZeile7,8)+INDEX(KonSpalte1,8)+INDEX(KonFeld4,8)=0),8,0))</f>
        <v>0</v>
      </c>
      <c r="P154" s="47">
        <f>IF($B$92="x",-1,IF(AND($B$92=0,INDEX(KonZeile7,9)+INDEX(KonSpalte1,9)+INDEX(KonFeld4,9)=0),9,0))</f>
        <v>0</v>
      </c>
      <c r="Q154" s="46">
        <f>IF($C$92="x",-1,IF(AND($C$92=0,INDEX(KonZeile7,7)+INDEX(KonSpalte2,7)+INDEX(KonFeld4,7)=0),7,0))</f>
        <v>0</v>
      </c>
      <c r="R154" s="45">
        <f>IF($C$92="x",-1,IF(AND($C$92=0,INDEX(KonZeile7,8)+INDEX(KonSpalte2,8)+INDEX(KonFeld4,8)=0),8,0))</f>
        <v>0</v>
      </c>
      <c r="S154" s="47">
        <f>IF($C$92="x",-1,IF(AND($C$92=0,INDEX(KonZeile7,9)+INDEX(KonSpalte2,9)+INDEX(KonFeld4,9)=0),9,0))</f>
        <v>0</v>
      </c>
      <c r="T154" s="46">
        <f>IF($D$92="x",-1,IF(AND($D$92=0,INDEX(KonZeile7,7)+INDEX(KonSpalte3,7)+INDEX(KonFeld4,7)=0),7,0))</f>
        <v>0</v>
      </c>
      <c r="U154" s="45">
        <f>IF($D$92="x",-1,IF(AND($D$92=0,INDEX(KonZeile7,8)+INDEX(KonSpalte3,8)+INDEX(KonFeld4,8)=0),8,0))</f>
        <v>0</v>
      </c>
      <c r="V154" s="48">
        <f>IF($D$92="x",-1,IF(AND($D$92=0,INDEX(KonZeile7,9)+INDEX(KonSpalte3,9)+INDEX(KonFeld4,9)=0),9,0))</f>
        <v>0</v>
      </c>
      <c r="W154" s="44">
        <f>IF($E$92="x",-1,IF(AND($E$92=0,INDEX(KonZeile7,7)+INDEX(KonSpalte4,7)+INDEX(KonFeld4,7)=0),7,0))</f>
        <v>-1</v>
      </c>
      <c r="X154" s="45">
        <f>IF($E$92="x",-1,IF(AND($E$92=0,INDEX(KonZeile7,8)+INDEX(KonSpalte4,8)+INDEX(KonFeld4,8)=0),8,0))</f>
        <v>-1</v>
      </c>
      <c r="Y154" s="47">
        <f>IF($E$92="x",-1,IF(AND($E$92=0,INDEX(KonZeile7,9)+INDEX(KonSpalte4,9)+INDEX(KonFeld4,9)=0),9,0))</f>
        <v>-1</v>
      </c>
      <c r="Z154" s="46">
        <f>IF($F$92="x",-1,IF(AND($F$92=0,INDEX(KonZeile7,7)+INDEX(KonSpalte5,7)+INDEX(KonFeld4,7)=0),7,0))</f>
        <v>-1</v>
      </c>
      <c r="AA154" s="45">
        <f>IF($F$92="x",-1,IF(AND($F$92=0,INDEX(KonZeile7,8)+INDEX(KonSpalte5,8)+INDEX(KonFeld4,8)=0),8,0))</f>
        <v>-1</v>
      </c>
      <c r="AB154" s="47">
        <f>IF($F$92="x",-1,IF(AND($F$92=0,INDEX(KonZeile7,9)+INDEX(KonSpalte5,9)+INDEX(KonFeld4,9)=0),9,0))</f>
        <v>-1</v>
      </c>
      <c r="AC154" s="46">
        <f>IF($G$92="x",-1,IF(AND($G$92=0,INDEX(KonZeile7,7)+INDEX(KonSpalte6,7)+INDEX(KonFeld4,7)=0),7,0))</f>
        <v>-1</v>
      </c>
      <c r="AD154" s="45">
        <f>IF($G$92="x",-1,IF(AND($G$92=0,INDEX(KonZeile7,8)+INDEX(KonSpalte6,8)+INDEX(KonFeld4,8)=0),8,0))</f>
        <v>-1</v>
      </c>
      <c r="AE154" s="48">
        <f>IF($G$92="x",-1,IF(AND($G$92=0,INDEX(KonZeile7,9)+INDEX(KonSpalte6,9)+INDEX(KonFeld4,9)=0),9,0))</f>
        <v>-1</v>
      </c>
      <c r="AF154" s="44">
        <f>IF($H$92="x",-1,IF(AND($H$92=0,INDEX(KonZeile7,7)+INDEX(KonSpalte7,7)+INDEX(KonFeld4,7)=0),7,0))</f>
        <v>-1</v>
      </c>
      <c r="AG154" s="45">
        <f>IF($H$92="x",-1,IF(AND($H$92=0,INDEX(KonZeile7,8)+INDEX(KonSpalte7,8)+INDEX(KonFeld4,8)=0),8,0))</f>
        <v>-1</v>
      </c>
      <c r="AH154" s="47">
        <f>IF($H$92="x",-1,IF(AND($H$92=0,INDEX(KonZeile7,9)+INDEX(KonSpalte7,9)+INDEX(KonFeld4,9)=0),9,0))</f>
        <v>-1</v>
      </c>
      <c r="AI154" s="46">
        <f>IF($I$92="x",-1,IF(AND($I$92=0,INDEX(KonZeile7,7)+INDEX(KonSpalte8,7)+INDEX(KonFeld4,7)=0),7,0))</f>
        <v>-1</v>
      </c>
      <c r="AJ154" s="45">
        <f>IF($I$92="x",-1,IF(AND($I$92=0,INDEX(KonZeile7,8)+INDEX(KonSpalte8,8)+INDEX(KonFeld4,8)=0),8,0))</f>
        <v>-1</v>
      </c>
      <c r="AK154" s="47">
        <f>IF($I$92="x",-1,IF(AND($I$92=0,INDEX(KonZeile7,9)+INDEX(KonSpalte8,9)+INDEX(KonFeld4,9)=0),9,0))</f>
        <v>-1</v>
      </c>
      <c r="AL154" s="46">
        <f>IF($J$92="x",-1,IF(AND($J$92=0,INDEX(KonZeile7,7)+INDEX(KonSpalte9,7)+INDEX(KonFeld4,7)=0),7,0))</f>
        <v>-1</v>
      </c>
      <c r="AM154" s="45">
        <f>IF($J$92="x",-1,IF(AND($J$92=0,INDEX(KonZeile7,8)+INDEX(KonSpalte9,8)+INDEX(KonFeld4,8)=0),8,0))</f>
        <v>-1</v>
      </c>
      <c r="AN154" s="100">
        <f>IF($J$92="x",-1,IF(AND($J$92=0,INDEX(KonZeile7,9)+INDEX(KonSpalte9,9)+INDEX(KonFeld4,9)=0),9,0))</f>
        <v>-1</v>
      </c>
      <c r="AO154" s="99">
        <f>IF($K$92="x",-1,IF(AND($K$92=0,INDEX(KonZeile7,7)+INDEX(KonSpalte1,7)+INDEX(KonFeld5,7)=0),7,0))</f>
        <v>-1</v>
      </c>
      <c r="AP154" s="45">
        <f>IF($K$92="x",-1,IF(AND($K$92=0,INDEX(KonZeile7,8)+INDEX(KonSpalte1,8)+INDEX(KonFeld5,8)=0),8,0))</f>
        <v>-1</v>
      </c>
      <c r="AQ154" s="47">
        <f>IF($K$92="x",-1,IF(AND($K$92=0,INDEX(KonZeile7,9)+INDEX(KonSpalte1,9)+INDEX(KonFeld5,9)=0),9,0))</f>
        <v>-1</v>
      </c>
      <c r="AR154" s="46">
        <f>IF($L$92="x",-1,IF(AND($L$92=0,INDEX(KonZeile7,7)+INDEX(KonSpalte2,7)+INDEX(KonFeld5,7)=0),7,0))</f>
        <v>-1</v>
      </c>
      <c r="AS154" s="45">
        <f>IF($L$92="x",-1,IF(AND($L$92=0,INDEX(KonZeile7,8)+INDEX(KonSpalte2,8)+INDEX(KonFeld5,8)=0),8,0))</f>
        <v>-1</v>
      </c>
      <c r="AT154" s="47">
        <f>IF($L$92="x",-1,IF(AND($L$92=0,INDEX(KonZeile7,9)+INDEX(KonSpalte2,9)+INDEX(KonFeld5,9)=0),9,0))</f>
        <v>-1</v>
      </c>
      <c r="AU154" s="46">
        <f>IF($M$92="x",-1,IF(AND($M$92=0,INDEX(KonZeile7,7)+INDEX(KonSpalte3,7)+INDEX(KonFeld5,7)=0),7,0))</f>
        <v>-1</v>
      </c>
      <c r="AV154" s="45">
        <f>IF($M$92="x",-1,IF(AND($M$92=0,INDEX(KonZeile7,8)+INDEX(KonSpalte3,8)+INDEX(KonFeld5,8)=0),8,0))</f>
        <v>-1</v>
      </c>
      <c r="AW154" s="48">
        <f>IF($M$92="x",-1,IF(AND($M$92=0,INDEX(KonZeile7,9)+INDEX(KonSpalte3,9)+INDEX(KonFeld5,9)=0),9,0))</f>
        <v>-1</v>
      </c>
      <c r="AX154" s="44">
        <f>IF($N$92="x",-1,IF(AND($N$92=0,INDEX(KonZeile7,7)+INDEX(KonSpalte4,7)+INDEX(KonFeld5,7)=0),7,0))</f>
        <v>-1</v>
      </c>
      <c r="AY154" s="45">
        <f>IF($N$92="x",-1,IF(AND($N$92=0,INDEX(KonZeile7,8)+INDEX(KonSpalte4,8)+INDEX(KonFeld5,8)=0),8,0))</f>
        <v>-1</v>
      </c>
      <c r="AZ154" s="47">
        <f>IF($N$92="x",-1,IF(AND($N$92=0,INDEX(KonZeile7,9)+INDEX(KonSpalte4,9)+INDEX(KonFeld5,9)=0),9,0))</f>
        <v>-1</v>
      </c>
      <c r="BA154" s="46">
        <f>IF($O$92="x",-1,IF(AND($O$92=0,INDEX(KonZeile7,7)+INDEX(KonSpalte5,7)+INDEX(KonFeld5,7)=0),7,0))</f>
        <v>-1</v>
      </c>
      <c r="BB154" s="45">
        <f>IF($O$92="x",-1,IF(AND($O$92=0,INDEX(KonZeile7,8)+INDEX(KonSpalte5,8)+INDEX(KonFeld5,8)=0),8,0))</f>
        <v>-1</v>
      </c>
      <c r="BC154" s="47">
        <f>IF($O$92="x",-1,IF(AND($O$92=0,INDEX(KonZeile7,9)+INDEX(KonSpalte5,9)+INDEX(KonFeld5,9)=0),9,0))</f>
        <v>-1</v>
      </c>
      <c r="BD154" s="46">
        <f>IF($P$92="x",-1,IF(AND($P$92=0,INDEX(KonZeile7,7)+INDEX(KonSpalte6,7)+INDEX(KonFeld5,7)=0),7,0))</f>
        <v>-1</v>
      </c>
      <c r="BE154" s="45">
        <f>IF($P$92="x",-1,IF(AND($P$92=0,INDEX(KonZeile7,8)+INDEX(KonSpalte6,8)+INDEX(KonFeld5,8)=0),8,0))</f>
        <v>-1</v>
      </c>
      <c r="BF154" s="48">
        <f>IF($P$92="x",-1,IF(AND($P$92=0,INDEX(KonZeile7,9)+INDEX(KonSpalte6,9)+INDEX(KonFeld5,9)=0),9,0))</f>
        <v>-1</v>
      </c>
      <c r="BG154" s="44">
        <f>IF($Q$92="x",-1,IF(AND($Q$92=0,INDEX(KonZeile7,7)+INDEX(KonSpalte7,7)+INDEX(KonFeld5,7)=0),7,0))</f>
        <v>-1</v>
      </c>
      <c r="BH154" s="45">
        <f>IF($Q$92="x",-1,IF(AND($Q$92=0,INDEX(KonZeile7,8)+INDEX(KonSpalte7,8)+INDEX(KonFeld5,8)=0),8,0))</f>
        <v>-1</v>
      </c>
      <c r="BI154" s="47">
        <f>IF($Q$92="x",-1,IF(AND($Q$92=0,INDEX(KonZeile7,9)+INDEX(KonSpalte7,9)+INDEX(KonFeld5,9)=0),9,0))</f>
        <v>-1</v>
      </c>
      <c r="BJ154" s="46">
        <f>IF($R$92="x",-1,IF(AND($R$92=0,INDEX(KonZeile7,7)+INDEX(KonSpalte8,7)+INDEX(KonFeld5,7)=0),7,0))</f>
        <v>-1</v>
      </c>
      <c r="BK154" s="45">
        <f>IF($R$92="x",-1,IF(AND($R$92=0,INDEX(KonZeile7,8)+INDEX(KonSpalte8,8)+INDEX(KonFeld5,8)=0),8,0))</f>
        <v>-1</v>
      </c>
      <c r="BL154" s="47">
        <f>IF($R$92="x",-1,IF(AND($R$92=0,INDEX(KonZeile7,9)+INDEX(KonSpalte8,9)+INDEX(KonFeld5,9)=0),9,0))</f>
        <v>-1</v>
      </c>
      <c r="BM154" s="46">
        <f>IF($S$92="x",-1,IF(AND($S$92=0,INDEX(KonZeile7,7)+INDEX(KonSpalte9,7)+INDEX(KonFeld5,7)=0),7,0))</f>
        <v>-1</v>
      </c>
      <c r="BN154" s="45">
        <f>IF($S$92="x",-1,IF(AND($S$92=0,INDEX(KonZeile7,8)+INDEX(KonSpalte9,8)+INDEX(KonFeld5,8)=0),8,0))</f>
        <v>-1</v>
      </c>
      <c r="BO154" s="100">
        <f>IF($S$92="x",-1,IF(AND($S$92=0,INDEX(KonZeile7,9)+INDEX(KonSpalte9,9)+INDEX(KonFeld5,9)=0),9,0))</f>
        <v>-1</v>
      </c>
      <c r="BP154" s="99">
        <f>IF($T$92="x",-1,IF(AND($T$92=0,INDEX(KonZeile7,7)+INDEX(KonSpalte1,7)+INDEX(KonFeld6,7)=0),7,0))</f>
        <v>-1</v>
      </c>
      <c r="BQ154" s="45">
        <f>IF($T$92="x",-1,IF(AND($T$92=0,INDEX(KonZeile7,8)+INDEX(KonSpalte1,8)+INDEX(KonFeld6,8)=0),8,0))</f>
        <v>-1</v>
      </c>
      <c r="BR154" s="47">
        <f>IF($T$92="x",-1,IF(AND($T$92=0,INDEX(KonZeile7,9)+INDEX(KonSpalte1,9)+INDEX(KonFeld6,9)=0),9,0))</f>
        <v>-1</v>
      </c>
      <c r="BS154" s="46">
        <f>IF($U$92="x",-1,IF(AND($U$92=0,INDEX(KonZeile7,7)+INDEX(KonSpalte2,7)+INDEX(KonFeld6,7)=0),7,0))</f>
        <v>-1</v>
      </c>
      <c r="BT154" s="45">
        <f>IF($U$92="x",-1,IF(AND($U$92=0,INDEX(KonZeile7,8)+INDEX(KonSpalte2,8)+INDEX(KonFeld6,8)=0),8,0))</f>
        <v>-1</v>
      </c>
      <c r="BU154" s="47">
        <f>IF($U$92="x",-1,IF(AND($U$92=0,INDEX(KonZeile7,9)+INDEX(KonSpalte2,9)+INDEX(KonFeld6,9)=0),9,0))</f>
        <v>-1</v>
      </c>
      <c r="BV154" s="46">
        <f>IF($V$92="x",-1,IF(AND($V$92=0,INDEX(KonZeile7,7)+INDEX(KonSpalte3,7)+INDEX(KonFeld6,7)=0),7,0))</f>
        <v>-1</v>
      </c>
      <c r="BW154" s="45">
        <f>IF($V$92="x",-1,IF(AND($V$92=0,INDEX(KonZeile7,8)+INDEX(KonSpalte3,8)+INDEX(KonFeld6,8)=0),8,0))</f>
        <v>-1</v>
      </c>
      <c r="BX154" s="48">
        <f>IF($V$92="x",-1,IF(AND($V$92=0,INDEX(KonZeile7,9)+INDEX(KonSpalte3,9)+INDEX(KonFeld6,9)=0),9,0))</f>
        <v>-1</v>
      </c>
      <c r="BY154" s="44">
        <f>IF($W$92="x",-1,IF(AND($W$92=0,INDEX(KonZeile7,7)+INDEX(KonSpalte4,7)+INDEX(KonFeld6,7)=0),7,0))</f>
        <v>-1</v>
      </c>
      <c r="BZ154" s="45">
        <f>IF($W$92="x",-1,IF(AND($W$92=0,INDEX(KonZeile7,8)+INDEX(KonSpalte4,8)+INDEX(KonFeld6,8)=0),8,0))</f>
        <v>-1</v>
      </c>
      <c r="CA154" s="47">
        <f>IF($W$92="x",-1,IF(AND($W$92=0,INDEX(KonZeile7,9)+INDEX(KonSpalte4,9)+INDEX(KonFeld6,9)=0),9,0))</f>
        <v>-1</v>
      </c>
      <c r="CB154" s="46">
        <f>IF($X$92="x",-1,IF(AND($X$92=0,INDEX(KonZeile7,7)+INDEX(KonSpalte5,7)+INDEX(KonFeld6,7)=0),7,0))</f>
        <v>-1</v>
      </c>
      <c r="CC154" s="45">
        <f>IF($X$92="x",-1,IF(AND($X$92=0,INDEX(KonZeile7,8)+INDEX(KonSpalte5,8)+INDEX(KonFeld6,8)=0),8,0))</f>
        <v>-1</v>
      </c>
      <c r="CD154" s="47">
        <f>IF($X$92="x",-1,IF(AND($X$92=0,INDEX(KonZeile7,9)+INDEX(KonSpalte5,9)+INDEX(KonFeld6,9)=0),9,0))</f>
        <v>-1</v>
      </c>
      <c r="CE154" s="46">
        <f>IF($Y$92="x",-1,IF(AND($Y$92=0,INDEX(KonZeile7,7)+INDEX(KonSpalte6,7)+INDEX(KonFeld6,7)=0),7,0))</f>
        <v>-1</v>
      </c>
      <c r="CF154" s="45">
        <f>IF($Y$92="x",-1,IF(AND($Y$92=0,INDEX(KonZeile7,8)+INDEX(KonSpalte6,8)+INDEX(KonFeld6,8)=0),8,0))</f>
        <v>-1</v>
      </c>
      <c r="CG154" s="48">
        <f>IF($Y$92="x",-1,IF(AND($Y$92=0,INDEX(KonZeile7,9)+INDEX(KonSpalte6,9)+INDEX(KonFeld6,9)=0),9,0))</f>
        <v>-1</v>
      </c>
      <c r="CH154" s="44">
        <f>IF($Z$92="x",-1,IF(AND($Z$92=0,INDEX(KonZeile7,7)+INDEX(KonSpalte7,7)+INDEX(KonFeld6,7)=0),7,0))</f>
        <v>0</v>
      </c>
      <c r="CI154" s="45">
        <f>IF($Z$92="x",-1,IF(AND($Z$92=0,INDEX(KonZeile7,8)+INDEX(KonSpalte7,8)+INDEX(KonFeld6,8)=0),8,0))</f>
        <v>0</v>
      </c>
      <c r="CJ154" s="47">
        <f>IF($Z$92="x",-1,IF(AND($Z$92=0,INDEX(KonZeile7,9)+INDEX(KonSpalte7,9)+INDEX(KonFeld6,9)=0),9,0))</f>
        <v>0</v>
      </c>
      <c r="CK154" s="46">
        <f>IF($AA$92="x",-1,IF(AND($AA$92=0,INDEX(KonZeile7,7)+INDEX(KonSpalte8,7)+INDEX(KonFeld6,7)=0),7,0))</f>
        <v>-1</v>
      </c>
      <c r="CL154" s="45">
        <f>IF($AA$92="x",-1,IF(AND($AA$92=0,INDEX(KonZeile7,8)+INDEX(KonSpalte8,8)+INDEX(KonFeld6,8)=0),8,0))</f>
        <v>-1</v>
      </c>
      <c r="CM154" s="47">
        <f>IF($AA$92="x",-1,IF(AND($AA$92=0,INDEX(KonZeile7,9)+INDEX(KonSpalte8,9)+INDEX(KonFeld6,9)=0),9,0))</f>
        <v>-1</v>
      </c>
      <c r="CN154" s="46">
        <f>IF($AB$92="x",-1,IF(AND($AB$92=0,INDEX(KonZeile7,7)+INDEX(KonSpalte9,7)+INDEX(KonFeld6,7)=0),7,0))</f>
        <v>-1</v>
      </c>
      <c r="CO154" s="45">
        <f>IF($AB$92="x",-1,IF(AND($AB$92=0,INDEX(KonZeile7,8)+INDEX(KonSpalte9,8)+INDEX(KonFeld6,8)=0),8,0))</f>
        <v>-1</v>
      </c>
      <c r="CP154" s="100">
        <f>IF($AB$92="x",-1,IF(AND($AB$92=0,INDEX(KonZeile7,9)+INDEX(KonSpalte9,9)+INDEX(KonFeld6,9)=0),9,0))</f>
        <v>-1</v>
      </c>
      <c r="CR154" s="46">
        <f>COUNTIF(N154:CP154,7)</f>
        <v>0</v>
      </c>
      <c r="CS154" s="45">
        <f>COUNTIF(N154:CP154,8)</f>
        <v>0</v>
      </c>
      <c r="CT154" s="47">
        <f>COUNTIF(N154:CP154,9)</f>
        <v>0</v>
      </c>
      <c r="CU154" s="39"/>
      <c r="CV154" s="39"/>
      <c r="CX154" s="78">
        <f t="shared" ref="CX154:CZ173" si="270">CX127</f>
        <v>0</v>
      </c>
      <c r="CY154" s="79">
        <f t="shared" si="270"/>
        <v>0</v>
      </c>
      <c r="CZ154" s="80">
        <f t="shared" si="270"/>
        <v>0</v>
      </c>
      <c r="DJ154" s="99">
        <f t="shared" si="186"/>
        <v>0</v>
      </c>
      <c r="DK154" s="45">
        <f t="shared" si="187"/>
        <v>0</v>
      </c>
      <c r="DL154" s="47">
        <f t="shared" si="188"/>
        <v>0</v>
      </c>
      <c r="DM154" s="46">
        <f t="shared" si="189"/>
        <v>0</v>
      </c>
      <c r="DN154" s="45">
        <f t="shared" si="190"/>
        <v>0</v>
      </c>
      <c r="DO154" s="47">
        <f t="shared" si="191"/>
        <v>0</v>
      </c>
      <c r="DP154" s="46">
        <f t="shared" si="192"/>
        <v>-1</v>
      </c>
      <c r="DQ154" s="45">
        <f t="shared" si="193"/>
        <v>-1</v>
      </c>
      <c r="DR154" s="48">
        <f t="shared" si="194"/>
        <v>-1</v>
      </c>
      <c r="DS154" s="44">
        <f t="shared" si="195"/>
        <v>-1</v>
      </c>
      <c r="DT154" s="45">
        <f t="shared" si="196"/>
        <v>-1</v>
      </c>
      <c r="DU154" s="47">
        <f t="shared" si="197"/>
        <v>-1</v>
      </c>
      <c r="DV154" s="46">
        <f t="shared" si="198"/>
        <v>-1</v>
      </c>
      <c r="DW154" s="45">
        <f t="shared" si="199"/>
        <v>-1</v>
      </c>
      <c r="DX154" s="47">
        <f t="shared" si="200"/>
        <v>-1</v>
      </c>
      <c r="DY154" s="46">
        <f t="shared" si="201"/>
        <v>-1</v>
      </c>
      <c r="DZ154" s="45">
        <f t="shared" si="202"/>
        <v>-1</v>
      </c>
      <c r="EA154" s="48">
        <f t="shared" si="203"/>
        <v>-1</v>
      </c>
      <c r="EB154" s="44">
        <f t="shared" si="204"/>
        <v>-1</v>
      </c>
      <c r="EC154" s="45">
        <f t="shared" si="205"/>
        <v>-1</v>
      </c>
      <c r="ED154" s="47">
        <f t="shared" si="206"/>
        <v>-1</v>
      </c>
      <c r="EE154" s="46">
        <f t="shared" si="207"/>
        <v>-1</v>
      </c>
      <c r="EF154" s="45">
        <f t="shared" si="208"/>
        <v>-1</v>
      </c>
      <c r="EG154" s="47">
        <f t="shared" si="209"/>
        <v>-1</v>
      </c>
      <c r="EH154" s="46">
        <f t="shared" si="210"/>
        <v>-1</v>
      </c>
      <c r="EI154" s="45">
        <f t="shared" si="211"/>
        <v>-1</v>
      </c>
      <c r="EJ154" s="100">
        <f t="shared" si="212"/>
        <v>-1</v>
      </c>
      <c r="EK154" s="99">
        <f t="shared" si="213"/>
        <v>-1</v>
      </c>
      <c r="EL154" s="45">
        <f t="shared" si="214"/>
        <v>-1</v>
      </c>
      <c r="EM154" s="47">
        <f t="shared" si="215"/>
        <v>-1</v>
      </c>
      <c r="EN154" s="46">
        <f t="shared" si="216"/>
        <v>-1</v>
      </c>
      <c r="EO154" s="45">
        <f t="shared" si="217"/>
        <v>-1</v>
      </c>
      <c r="EP154" s="47">
        <f t="shared" si="218"/>
        <v>-1</v>
      </c>
      <c r="EQ154" s="46">
        <f t="shared" si="219"/>
        <v>-1</v>
      </c>
      <c r="ER154" s="45">
        <f t="shared" si="220"/>
        <v>-1</v>
      </c>
      <c r="ES154" s="48">
        <f t="shared" si="221"/>
        <v>-1</v>
      </c>
      <c r="ET154" s="44">
        <f t="shared" si="222"/>
        <v>-1</v>
      </c>
      <c r="EU154" s="45">
        <f t="shared" si="223"/>
        <v>-1</v>
      </c>
      <c r="EV154" s="47">
        <f t="shared" si="224"/>
        <v>-1</v>
      </c>
      <c r="EW154" s="46">
        <f t="shared" si="225"/>
        <v>0</v>
      </c>
      <c r="EX154" s="45">
        <f t="shared" si="226"/>
        <v>0</v>
      </c>
      <c r="EY154" s="47">
        <f t="shared" si="227"/>
        <v>0</v>
      </c>
      <c r="EZ154" s="46">
        <f t="shared" si="228"/>
        <v>0</v>
      </c>
      <c r="FA154" s="45">
        <f t="shared" si="229"/>
        <v>0</v>
      </c>
      <c r="FB154" s="48">
        <f t="shared" si="230"/>
        <v>0</v>
      </c>
      <c r="FC154" s="44">
        <f t="shared" si="231"/>
        <v>-1</v>
      </c>
      <c r="FD154" s="45">
        <f t="shared" si="232"/>
        <v>-1</v>
      </c>
      <c r="FE154" s="47">
        <f t="shared" si="233"/>
        <v>-1</v>
      </c>
      <c r="FF154" s="46">
        <f t="shared" si="234"/>
        <v>-1</v>
      </c>
      <c r="FG154" s="45">
        <f t="shared" si="235"/>
        <v>-1</v>
      </c>
      <c r="FH154" s="47">
        <f t="shared" si="236"/>
        <v>-1</v>
      </c>
      <c r="FI154" s="46">
        <f t="shared" si="237"/>
        <v>-1</v>
      </c>
      <c r="FJ154" s="45">
        <f t="shared" si="238"/>
        <v>-1</v>
      </c>
      <c r="FK154" s="100">
        <f t="shared" si="239"/>
        <v>-1</v>
      </c>
      <c r="FL154" s="99">
        <f t="shared" si="240"/>
        <v>-1</v>
      </c>
      <c r="FM154" s="45">
        <f t="shared" si="241"/>
        <v>-1</v>
      </c>
      <c r="FN154" s="47">
        <f t="shared" si="242"/>
        <v>-1</v>
      </c>
      <c r="FO154" s="46">
        <f t="shared" si="243"/>
        <v>-1</v>
      </c>
      <c r="FP154" s="45">
        <f t="shared" si="244"/>
        <v>-1</v>
      </c>
      <c r="FQ154" s="47">
        <f t="shared" si="245"/>
        <v>-1</v>
      </c>
      <c r="FR154" s="46">
        <f t="shared" si="246"/>
        <v>-1</v>
      </c>
      <c r="FS154" s="45">
        <f t="shared" si="247"/>
        <v>-1</v>
      </c>
      <c r="FT154" s="48">
        <f t="shared" si="248"/>
        <v>-1</v>
      </c>
      <c r="FU154" s="44">
        <f t="shared" si="249"/>
        <v>-1</v>
      </c>
      <c r="FV154" s="45">
        <f t="shared" si="250"/>
        <v>-1</v>
      </c>
      <c r="FW154" s="47">
        <f t="shared" si="251"/>
        <v>-1</v>
      </c>
      <c r="FX154" s="46">
        <f t="shared" si="252"/>
        <v>-1</v>
      </c>
      <c r="FY154" s="45">
        <f t="shared" si="253"/>
        <v>-1</v>
      </c>
      <c r="FZ154" s="47">
        <f t="shared" si="254"/>
        <v>-1</v>
      </c>
      <c r="GA154" s="46">
        <f t="shared" si="255"/>
        <v>-1</v>
      </c>
      <c r="GB154" s="45">
        <f t="shared" si="256"/>
        <v>-1</v>
      </c>
      <c r="GC154" s="48">
        <f t="shared" si="257"/>
        <v>-1</v>
      </c>
      <c r="GD154" s="44">
        <f t="shared" si="258"/>
        <v>-1</v>
      </c>
      <c r="GE154" s="45">
        <f t="shared" si="259"/>
        <v>-1</v>
      </c>
      <c r="GF154" s="47">
        <f t="shared" si="260"/>
        <v>-1</v>
      </c>
      <c r="GG154" s="46">
        <f t="shared" si="261"/>
        <v>-1</v>
      </c>
      <c r="GH154" s="45">
        <f t="shared" si="262"/>
        <v>-1</v>
      </c>
      <c r="GI154" s="47">
        <f t="shared" si="263"/>
        <v>-1</v>
      </c>
      <c r="GJ154" s="46">
        <f t="shared" si="264"/>
        <v>0</v>
      </c>
      <c r="GK154" s="45">
        <f t="shared" si="265"/>
        <v>0</v>
      </c>
      <c r="GL154" s="100">
        <f t="shared" si="266"/>
        <v>0</v>
      </c>
      <c r="GN154" s="46">
        <f>COUNTIF(DJ154:GL154,7)</f>
        <v>0</v>
      </c>
      <c r="GO154" s="45">
        <f>COUNTIF(DJ154:GL154,8)</f>
        <v>0</v>
      </c>
      <c r="GP154" s="47">
        <f>COUNTIF(DJ154:GL154,9)</f>
        <v>0</v>
      </c>
      <c r="GQ154" s="39"/>
      <c r="GR154" s="39"/>
      <c r="GT154" s="101">
        <f t="shared" si="267"/>
        <v>0</v>
      </c>
      <c r="GU154" s="102">
        <f t="shared" si="268"/>
        <v>0</v>
      </c>
      <c r="GV154" s="103">
        <f t="shared" si="269"/>
        <v>0</v>
      </c>
    </row>
    <row r="155" spans="2:204" ht="15" customHeight="1">
      <c r="B155" s="72" t="str">
        <f t="shared" si="174"/>
        <v>x</v>
      </c>
      <c r="C155" s="73" t="str">
        <f t="shared" si="175"/>
        <v>x</v>
      </c>
      <c r="D155" s="73" t="str">
        <f t="shared" si="176"/>
        <v>x</v>
      </c>
      <c r="E155" s="73" t="str">
        <f t="shared" si="177"/>
        <v>x</v>
      </c>
      <c r="F155" s="73" t="str">
        <f t="shared" si="178"/>
        <v>x</v>
      </c>
      <c r="G155" s="73" t="str">
        <f t="shared" si="179"/>
        <v>x</v>
      </c>
      <c r="H155" s="73" t="str">
        <f t="shared" si="180"/>
        <v>x</v>
      </c>
      <c r="I155" s="73" t="str">
        <f t="shared" si="181"/>
        <v>x</v>
      </c>
      <c r="J155" s="74" t="str">
        <f t="shared" si="182"/>
        <v>x</v>
      </c>
      <c r="N155" s="104">
        <f>IF($B$93="x",-1,IF(AND($B$93=0,INDEX(KonZeile8,1)+INDEX(KonSpalte1,1)+INDEX(KonFeld4,1)=0),1,0))</f>
        <v>-1</v>
      </c>
      <c r="O155" s="50">
        <f>IF($B$93="x",-1,IF(AND($B$93=0,INDEX(KonZeile8,2)+INDEX(KonSpalte1,2)+INDEX(KonFeld4,2)=0),2,0))</f>
        <v>-1</v>
      </c>
      <c r="P155" s="51">
        <f>IF($B$93="x",-1,IF(AND($B$93=0,INDEX(KonZeile8,3)+INDEX(KonSpalte1,3)+INDEX(KonFeld4,3)=0),3,0))</f>
        <v>-1</v>
      </c>
      <c r="Q155" s="52">
        <f>IF($C$93="x",-1,IF(AND($C$93=0,INDEX(KonZeile8,1)+INDEX(KonSpalte2,1)+INDEX(KonFeld4,1)=0),1,0))</f>
        <v>-1</v>
      </c>
      <c r="R155" s="50">
        <f>IF($C$93="x",-1,IF(AND($C$93=0,INDEX(KonZeile8,2)+INDEX(KonSpalte2,2)+INDEX(KonFeld4,2)=0),2,0))</f>
        <v>-1</v>
      </c>
      <c r="S155" s="51">
        <f>IF($C$93="x",-1,IF(AND($C$93=0,INDEX(KonZeile8,3)+INDEX(KonSpalte2,3)+INDEX(KonFeld4,3)=0),3,0))</f>
        <v>-1</v>
      </c>
      <c r="T155" s="52">
        <f>IF($D$93="x",-1,IF(AND($D$93=0,INDEX(KonZeile8,1)+INDEX(KonSpalte3,1)+INDEX(KonFeld4,1)=0),1,0))</f>
        <v>0</v>
      </c>
      <c r="U155" s="50">
        <f>IF($D$93="x",-1,IF(AND($D$93=0,INDEX(KonZeile8,2)+INDEX(KonSpalte3,2)+INDEX(KonFeld4,2)=0),2,0))</f>
        <v>0</v>
      </c>
      <c r="V155" s="53">
        <f>IF($D$93="x",-1,IF(AND($D$93=0,INDEX(KonZeile8,3)+INDEX(KonSpalte3,3)+INDEX(KonFeld4,3)=0),3,0))</f>
        <v>0</v>
      </c>
      <c r="W155" s="49">
        <f>IF($E$93="x",-1,IF(AND($E$93=0,INDEX(KonZeile8,1)+INDEX(KonSpalte4,1)+INDEX(KonFeld4,1)=0),1,0))</f>
        <v>-1</v>
      </c>
      <c r="X155" s="50">
        <f>IF($E$93="x",-1,IF(AND($E$93=0,INDEX(KonZeile8,2)+INDEX(KonSpalte4,2)+INDEX(KonFeld4,2)=0),2,0))</f>
        <v>-1</v>
      </c>
      <c r="Y155" s="51">
        <f>IF($E$93="x",-1,IF(AND($E$93=0,INDEX(KonZeile8,3)+INDEX(KonSpalte4,3)+INDEX(KonFeld4,3)=0),3,0))</f>
        <v>-1</v>
      </c>
      <c r="Z155" s="52">
        <f>IF($F$93="x",-1,IF(AND($F$93=0,INDEX(KonZeile8,1)+INDEX(KonSpalte5,1)+INDEX(KonFeld4,1)=0),1,0))</f>
        <v>-1</v>
      </c>
      <c r="AA155" s="50">
        <f>IF($F$93="x",-1,IF(AND($F$93=0,INDEX(KonZeile8,2)+INDEX(KonSpalte5,2)+INDEX(KonFeld4,2)=0),2,0))</f>
        <v>-1</v>
      </c>
      <c r="AB155" s="51">
        <f>IF($F$93="x",-1,IF(AND($F$93=0,INDEX(KonZeile8,3)+INDEX(KonSpalte5,3)+INDEX(KonFeld4,3)=0),3,0))</f>
        <v>-1</v>
      </c>
      <c r="AC155" s="52">
        <f>IF($G$93="x",-1,IF(AND($G$93=0,INDEX(KonZeile8,1)+INDEX(KonSpalte6,1)+INDEX(KonFeld4,1)=0),1,0))</f>
        <v>-1</v>
      </c>
      <c r="AD155" s="50">
        <f>IF($G$93="x",-1,IF(AND($G$93=0,INDEX(KonZeile8,2)+INDEX(KonSpalte6,2)+INDEX(KonFeld4,2)=0),2,0))</f>
        <v>-1</v>
      </c>
      <c r="AE155" s="53">
        <f>IF($G$93="x",-1,IF(AND($G$93=0,INDEX(KonZeile8,3)+INDEX(KonSpalte6,3)+INDEX(KonFeld4,3)=0),3,0))</f>
        <v>-1</v>
      </c>
      <c r="AF155" s="49">
        <f>IF($H$93="x",-1,IF(AND($H$93=0,INDEX(KonZeile8,1)+INDEX(KonSpalte7,1)+INDEX(KonFeld4,1)=0),1,0))</f>
        <v>-1</v>
      </c>
      <c r="AG155" s="50">
        <f>IF($H$93="x",-1,IF(AND($H$93=0,INDEX(KonZeile8,2)+INDEX(KonSpalte7,2)+INDEX(KonFeld4,2)=0),2,0))</f>
        <v>-1</v>
      </c>
      <c r="AH155" s="51">
        <f>IF($H$93="x",-1,IF(AND($H$93=0,INDEX(KonZeile8,3)+INDEX(KonSpalte7,3)+INDEX(KonFeld4,3)=0),3,0))</f>
        <v>-1</v>
      </c>
      <c r="AI155" s="52">
        <f>IF($I$93="x",-1,IF(AND($I$93=0,INDEX(KonZeile8,1)+INDEX(KonSpalte8,1)+INDEX(KonFeld4,1)=0),1,0))</f>
        <v>-1</v>
      </c>
      <c r="AJ155" s="50">
        <f>IF($I$93="x",-1,IF(AND($I$93=0,INDEX(KonZeile8,2)+INDEX(KonSpalte8,2)+INDEX(KonFeld4,2)=0),2,0))</f>
        <v>-1</v>
      </c>
      <c r="AK155" s="51">
        <f>IF($I$93="x",-1,IF(AND($I$93=0,INDEX(KonZeile8,3)+INDEX(KonSpalte8,3)+INDEX(KonFeld4,3)=0),3,0))</f>
        <v>-1</v>
      </c>
      <c r="AL155" s="52">
        <f>IF($J$93="x",-1,IF(AND($J$93=0,INDEX(KonZeile8,1)+INDEX(KonSpalte9,1)+INDEX(KonFeld4,1)=0),1,0))</f>
        <v>-1</v>
      </c>
      <c r="AM155" s="50">
        <f>IF($J$93="x",-1,IF(AND($J$93=0,INDEX(KonZeile8,2)+INDEX(KonSpalte9,2)+INDEX(KonFeld4,2)=0),2,0))</f>
        <v>-1</v>
      </c>
      <c r="AN155" s="105">
        <f>IF($J$93="x",-1,IF(AND($J$93=0,INDEX(KonZeile8,3)+INDEX(KonSpalte9,3)+INDEX(KonFeld4,3)=0),3,0))</f>
        <v>-1</v>
      </c>
      <c r="AO155" s="104">
        <f>IF($K$93="x",-1,IF(AND($K$93=0,INDEX(KonZeile8,1)+INDEX(KonSpalte1,1)+INDEX(KonFeld5,1)=0),1,0))</f>
        <v>-1</v>
      </c>
      <c r="AP155" s="50">
        <f>IF($K$93="x",-1,IF(AND($K$93=0,INDEX(KonZeile8,2)+INDEX(KonSpalte1,2)+INDEX(KonFeld5,2)=0),2,0))</f>
        <v>-1</v>
      </c>
      <c r="AQ155" s="51">
        <f>IF($K$93="x",-1,IF(AND($K$93=0,INDEX(KonZeile8,3)+INDEX(KonSpalte1,3)+INDEX(KonFeld5,3)=0),3,0))</f>
        <v>-1</v>
      </c>
      <c r="AR155" s="52">
        <f>IF($L$93="x",-1,IF(AND($L$93=0,INDEX(KonZeile8,1)+INDEX(KonSpalte2,1)+INDEX(KonFeld5,1)=0),1,0))</f>
        <v>-1</v>
      </c>
      <c r="AS155" s="50">
        <f>IF($L$93="x",-1,IF(AND($L$93=0,INDEX(KonZeile8,2)+INDEX(KonSpalte2,2)+INDEX(KonFeld5,2)=0),2,0))</f>
        <v>-1</v>
      </c>
      <c r="AT155" s="51">
        <f>IF($L$93="x",-1,IF(AND($L$93=0,INDEX(KonZeile8,3)+INDEX(KonSpalte2,3)+INDEX(KonFeld5,3)=0),3,0))</f>
        <v>-1</v>
      </c>
      <c r="AU155" s="52">
        <f>IF($M$93="x",-1,IF(AND($M$93=0,INDEX(KonZeile8,1)+INDEX(KonSpalte3,1)+INDEX(KonFeld5,1)=0),1,0))</f>
        <v>-1</v>
      </c>
      <c r="AV155" s="50">
        <f>IF($M$93="x",-1,IF(AND($M$93=0,INDEX(KonZeile8,2)+INDEX(KonSpalte3,2)+INDEX(KonFeld5,2)=0),2,0))</f>
        <v>-1</v>
      </c>
      <c r="AW155" s="53">
        <f>IF($M$93="x",-1,IF(AND($M$93=0,INDEX(KonZeile8,3)+INDEX(KonSpalte3,3)+INDEX(KonFeld5,3)=0),3,0))</f>
        <v>-1</v>
      </c>
      <c r="AX155" s="49">
        <f>IF($N$93="x",-1,IF(AND($N$93=0,INDEX(KonZeile8,1)+INDEX(KonSpalte4,1)+INDEX(KonFeld5,1)=0),1,0))</f>
        <v>-1</v>
      </c>
      <c r="AY155" s="50">
        <f>IF($N$93="x",-1,IF(AND($N$93=0,INDEX(KonZeile8,2)+INDEX(KonSpalte4,2)+INDEX(KonFeld5,2)=0),2,0))</f>
        <v>-1</v>
      </c>
      <c r="AZ155" s="51">
        <f>IF($N$93="x",-1,IF(AND($N$93=0,INDEX(KonZeile8,3)+INDEX(KonSpalte4,3)+INDEX(KonFeld5,3)=0),3,0))</f>
        <v>-1</v>
      </c>
      <c r="BA155" s="52">
        <f>IF($O$93="x",-1,IF(AND($O$93=0,INDEX(KonZeile8,1)+INDEX(KonSpalte5,1)+INDEX(KonFeld5,1)=0),1,0))</f>
        <v>-1</v>
      </c>
      <c r="BB155" s="50">
        <f>IF($O$93="x",-1,IF(AND($O$93=0,INDEX(KonZeile8,2)+INDEX(KonSpalte5,2)+INDEX(KonFeld5,2)=0),2,0))</f>
        <v>-1</v>
      </c>
      <c r="BC155" s="51">
        <f>IF($O$93="x",-1,IF(AND($O$93=0,INDEX(KonZeile8,3)+INDEX(KonSpalte5,3)+INDEX(KonFeld5,3)=0),3,0))</f>
        <v>-1</v>
      </c>
      <c r="BD155" s="52">
        <f>IF($P$93="x",-1,IF(AND($P$93=0,INDEX(KonZeile8,1)+INDEX(KonSpalte6,1)+INDEX(KonFeld5,1)=0),1,0))</f>
        <v>-1</v>
      </c>
      <c r="BE155" s="50">
        <f>IF($P$93="x",-1,IF(AND($P$93=0,INDEX(KonZeile8,2)+INDEX(KonSpalte6,2)+INDEX(KonFeld5,2)=0),2,0))</f>
        <v>-1</v>
      </c>
      <c r="BF155" s="53">
        <f>IF($P$93="x",-1,IF(AND($P$93=0,INDEX(KonZeile8,3)+INDEX(KonSpalte6,3)+INDEX(KonFeld5,3)=0),3,0))</f>
        <v>-1</v>
      </c>
      <c r="BG155" s="49">
        <f>IF($Q$93="x",-1,IF(AND($Q$93=0,INDEX(KonZeile8,1)+INDEX(KonSpalte7,1)+INDEX(KonFeld5,1)=0),1,0))</f>
        <v>-1</v>
      </c>
      <c r="BH155" s="50">
        <f>IF($Q$93="x",-1,IF(AND($Q$93=0,INDEX(KonZeile8,2)+INDEX(KonSpalte7,2)+INDEX(KonFeld5,2)=0),2,0))</f>
        <v>-1</v>
      </c>
      <c r="BI155" s="51">
        <f>IF($Q$93="x",-1,IF(AND($Q$93=0,INDEX(KonZeile8,3)+INDEX(KonSpalte7,3)+INDEX(KonFeld5,3)=0),3,0))</f>
        <v>-1</v>
      </c>
      <c r="BJ155" s="52">
        <f>IF($R$93="x",-1,IF(AND($R$93=0,INDEX(KonZeile8,1)+INDEX(KonSpalte8,1)+INDEX(KonFeld5,1)=0),1,0))</f>
        <v>-1</v>
      </c>
      <c r="BK155" s="50">
        <f>IF($R$93="x",-1,IF(AND($R$93=0,INDEX(KonZeile8,2)+INDEX(KonSpalte8,2)+INDEX(KonFeld5,2)=0),2,0))</f>
        <v>-1</v>
      </c>
      <c r="BL155" s="51">
        <f>IF($R$93="x",-1,IF(AND($R$93=0,INDEX(KonZeile8,3)+INDEX(KonSpalte8,3)+INDEX(KonFeld5,3)=0),3,0))</f>
        <v>-1</v>
      </c>
      <c r="BM155" s="52">
        <f>IF($S$93="x",-1,IF(AND($S$93=0,INDEX(KonZeile8,1)+INDEX(KonSpalte9,1)+INDEX(KonFeld5,1)=0),1,0))</f>
        <v>-1</v>
      </c>
      <c r="BN155" s="50">
        <f>IF($S$93="x",-1,IF(AND($S$93=0,INDEX(KonZeile8,2)+INDEX(KonSpalte9,2)+INDEX(KonFeld5,2)=0),2,0))</f>
        <v>-1</v>
      </c>
      <c r="BO155" s="105">
        <f>IF($S$93="x",-1,IF(AND($S$93=0,INDEX(KonZeile8,3)+INDEX(KonSpalte9,3)+INDEX(KonFeld5,3)=0),3,0))</f>
        <v>-1</v>
      </c>
      <c r="BP155" s="104">
        <f>IF($T$93="x",-1,IF(AND($T$93=0,INDEX(KonZeile8,1)+INDEX(KonSpalte1,1)+INDEX(KonFeld6,1)=0),1,0))</f>
        <v>-1</v>
      </c>
      <c r="BQ155" s="50">
        <f>IF($T$93="x",-1,IF(AND($T$93=0,INDEX(KonZeile8,2)+INDEX(KonSpalte1,2)+INDEX(KonFeld6,2)=0),2,0))</f>
        <v>-1</v>
      </c>
      <c r="BR155" s="51">
        <f>IF($T$93="x",-1,IF(AND($T$93=0,INDEX(KonZeile8,3)+INDEX(KonSpalte1,3)+INDEX(KonFeld6,3)=0),3,0))</f>
        <v>-1</v>
      </c>
      <c r="BS155" s="52">
        <f>IF($U$93="x",-1,IF(AND($U$93=0,INDEX(KonZeile8,1)+INDEX(KonSpalte2,1)+INDEX(KonFeld6,1)=0),1,0))</f>
        <v>-1</v>
      </c>
      <c r="BT155" s="50">
        <f>IF($U$93="x",-1,IF(AND($U$93=0,INDEX(KonZeile8,2)+INDEX(KonSpalte2,2)+INDEX(KonFeld6,2)=0),2,0))</f>
        <v>-1</v>
      </c>
      <c r="BU155" s="51">
        <f>IF($U$93="x",-1,IF(AND($U$93=0,INDEX(KonZeile8,3)+INDEX(KonSpalte2,3)+INDEX(KonFeld6,3)=0),3,0))</f>
        <v>-1</v>
      </c>
      <c r="BV155" s="52">
        <f>IF($V$93="x",-1,IF(AND($V$93=0,INDEX(KonZeile8,1)+INDEX(KonSpalte3,1)+INDEX(KonFeld6,1)=0),1,0))</f>
        <v>-1</v>
      </c>
      <c r="BW155" s="50">
        <f>IF($V$93="x",-1,IF(AND($V$93=0,INDEX(KonZeile8,2)+INDEX(KonSpalte3,2)+INDEX(KonFeld6,2)=0),2,0))</f>
        <v>-1</v>
      </c>
      <c r="BX155" s="53">
        <f>IF($V$93="x",-1,IF(AND($V$93=0,INDEX(KonZeile8,3)+INDEX(KonSpalte3,3)+INDEX(KonFeld6,3)=0),3,0))</f>
        <v>-1</v>
      </c>
      <c r="BY155" s="49">
        <f>IF($W$93="x",-1,IF(AND($W$93=0,INDEX(KonZeile8,1)+INDEX(KonSpalte4,1)+INDEX(KonFeld6,1)=0),1,0))</f>
        <v>-1</v>
      </c>
      <c r="BZ155" s="50">
        <f>IF($W$93="x",-1,IF(AND($W$93=0,INDEX(KonZeile8,2)+INDEX(KonSpalte4,2)+INDEX(KonFeld6,2)=0),2,0))</f>
        <v>-1</v>
      </c>
      <c r="CA155" s="51">
        <f>IF($W$93="x",-1,IF(AND($W$93=0,INDEX(KonZeile8,3)+INDEX(KonSpalte4,3)+INDEX(KonFeld6,3)=0),3,0))</f>
        <v>-1</v>
      </c>
      <c r="CB155" s="52">
        <f>IF($X$93="x",-1,IF(AND($X$93=0,INDEX(KonZeile8,1)+INDEX(KonSpalte5,1)+INDEX(KonFeld6,1)=0),1,0))</f>
        <v>-1</v>
      </c>
      <c r="CC155" s="50">
        <f>IF($X$93="x",-1,IF(AND($X$93=0,INDEX(KonZeile8,2)+INDEX(KonSpalte5,2)+INDEX(KonFeld6,2)=0),2,0))</f>
        <v>-1</v>
      </c>
      <c r="CD155" s="51">
        <f>IF($X$93="x",-1,IF(AND($X$93=0,INDEX(KonZeile8,3)+INDEX(KonSpalte5,3)+INDEX(KonFeld6,3)=0),3,0))</f>
        <v>-1</v>
      </c>
      <c r="CE155" s="52">
        <f>IF($Y$93="x",-1,IF(AND($Y$93=0,INDEX(KonZeile8,1)+INDEX(KonSpalte6,1)+INDEX(KonFeld6,1)=0),1,0))</f>
        <v>-1</v>
      </c>
      <c r="CF155" s="50">
        <f>IF($Y$93="x",-1,IF(AND($Y$93=0,INDEX(KonZeile8,2)+INDEX(KonSpalte6,2)+INDEX(KonFeld6,2)=0),2,0))</f>
        <v>-1</v>
      </c>
      <c r="CG155" s="53">
        <f>IF($Y$93="x",-1,IF(AND($Y$93=0,INDEX(KonZeile8,3)+INDEX(KonSpalte6,3)+INDEX(KonFeld6,3)=0),3,0))</f>
        <v>-1</v>
      </c>
      <c r="CH155" s="49">
        <f>IF($Z$93="x",-1,IF(AND($Z$93=0,INDEX(KonZeile8,1)+INDEX(KonSpalte7,1)+INDEX(KonFeld6,1)=0),1,0))</f>
        <v>-1</v>
      </c>
      <c r="CI155" s="50">
        <f>IF($Z$93="x",-1,IF(AND($Z$93=0,INDEX(KonZeile8,2)+INDEX(KonSpalte7,2)+INDEX(KonFeld6,2)=0),2,0))</f>
        <v>-1</v>
      </c>
      <c r="CJ155" s="51">
        <f>IF($Z$93="x",-1,IF(AND($Z$93=0,INDEX(KonZeile8,3)+INDEX(KonSpalte7,3)+INDEX(KonFeld6,3)=0),3,0))</f>
        <v>-1</v>
      </c>
      <c r="CK155" s="52">
        <f>IF($AA$93="x",-1,IF(AND($AA$93=0,INDEX(KonZeile8,1)+INDEX(KonSpalte8,1)+INDEX(KonFeld6,1)=0),1,0))</f>
        <v>-1</v>
      </c>
      <c r="CL155" s="50">
        <f>IF($AA$93="x",-1,IF(AND($AA$93=0,INDEX(KonZeile8,2)+INDEX(KonSpalte8,2)+INDEX(KonFeld6,2)=0),2,0))</f>
        <v>-1</v>
      </c>
      <c r="CM155" s="51">
        <f>IF($AA$93="x",-1,IF(AND($AA$93=0,INDEX(KonZeile8,3)+INDEX(KonSpalte8,3)+INDEX(KonFeld6,3)=0),3,0))</f>
        <v>-1</v>
      </c>
      <c r="CN155" s="52">
        <f>IF($AB$93="x",-1,IF(AND($AB$93=0,INDEX(KonZeile8,1)+INDEX(KonSpalte9,1)+INDEX(KonFeld6,1)=0),1,0))</f>
        <v>-1</v>
      </c>
      <c r="CO155" s="50">
        <f>IF($AB$93="x",-1,IF(AND($AB$93=0,INDEX(KonZeile8,2)+INDEX(KonSpalte9,2)+INDEX(KonFeld6,2)=0),2,0))</f>
        <v>-1</v>
      </c>
      <c r="CP155" s="105">
        <f>IF($AB$93="x",-1,IF(AND($AB$93=0,INDEX(KonZeile8,3)+INDEX(KonSpalte9,3)+INDEX(KonFeld6,3)=0),3,0))</f>
        <v>-1</v>
      </c>
      <c r="CR155" s="52">
        <f>COUNTIF(N155:CP155,1)</f>
        <v>0</v>
      </c>
      <c r="CS155" s="50">
        <f>COUNTIF(N155:CP155,2)</f>
        <v>0</v>
      </c>
      <c r="CT155" s="51">
        <f>COUNTIF(N155:CP155,3)</f>
        <v>0</v>
      </c>
      <c r="CU155" s="39"/>
      <c r="CV155" s="39"/>
      <c r="CX155" s="65">
        <f t="shared" si="270"/>
        <v>0</v>
      </c>
      <c r="CY155" s="66">
        <f t="shared" si="270"/>
        <v>0</v>
      </c>
      <c r="CZ155" s="67">
        <f t="shared" si="270"/>
        <v>0</v>
      </c>
      <c r="DJ155" s="104">
        <f t="shared" si="186"/>
        <v>-1</v>
      </c>
      <c r="DK155" s="50">
        <f t="shared" si="187"/>
        <v>-1</v>
      </c>
      <c r="DL155" s="51">
        <f t="shared" si="188"/>
        <v>-1</v>
      </c>
      <c r="DM155" s="52">
        <f t="shared" si="189"/>
        <v>-1</v>
      </c>
      <c r="DN155" s="50">
        <f t="shared" si="190"/>
        <v>-1</v>
      </c>
      <c r="DO155" s="51">
        <f t="shared" si="191"/>
        <v>-1</v>
      </c>
      <c r="DP155" s="52">
        <f t="shared" si="192"/>
        <v>-1</v>
      </c>
      <c r="DQ155" s="50">
        <f t="shared" si="193"/>
        <v>-1</v>
      </c>
      <c r="DR155" s="53">
        <f t="shared" si="194"/>
        <v>-1</v>
      </c>
      <c r="DS155" s="49">
        <f t="shared" si="195"/>
        <v>-1</v>
      </c>
      <c r="DT155" s="50">
        <f t="shared" si="196"/>
        <v>-1</v>
      </c>
      <c r="DU155" s="51">
        <f t="shared" si="197"/>
        <v>-1</v>
      </c>
      <c r="DV155" s="52">
        <f t="shared" si="198"/>
        <v>-1</v>
      </c>
      <c r="DW155" s="50">
        <f t="shared" si="199"/>
        <v>-1</v>
      </c>
      <c r="DX155" s="51">
        <f t="shared" si="200"/>
        <v>-1</v>
      </c>
      <c r="DY155" s="52">
        <f t="shared" si="201"/>
        <v>-1</v>
      </c>
      <c r="DZ155" s="50">
        <f t="shared" si="202"/>
        <v>-1</v>
      </c>
      <c r="EA155" s="53">
        <f t="shared" si="203"/>
        <v>-1</v>
      </c>
      <c r="EB155" s="49">
        <f t="shared" si="204"/>
        <v>-1</v>
      </c>
      <c r="EC155" s="50">
        <f t="shared" si="205"/>
        <v>-1</v>
      </c>
      <c r="ED155" s="51">
        <f t="shared" si="206"/>
        <v>-1</v>
      </c>
      <c r="EE155" s="52">
        <f t="shared" si="207"/>
        <v>-1</v>
      </c>
      <c r="EF155" s="50">
        <f t="shared" si="208"/>
        <v>-1</v>
      </c>
      <c r="EG155" s="51">
        <f t="shared" si="209"/>
        <v>-1</v>
      </c>
      <c r="EH155" s="52">
        <f t="shared" si="210"/>
        <v>-1</v>
      </c>
      <c r="EI155" s="50">
        <f t="shared" si="211"/>
        <v>-1</v>
      </c>
      <c r="EJ155" s="105">
        <f t="shared" si="212"/>
        <v>-1</v>
      </c>
      <c r="EK155" s="104">
        <f t="shared" si="213"/>
        <v>-1</v>
      </c>
      <c r="EL155" s="50">
        <f t="shared" si="214"/>
        <v>-1</v>
      </c>
      <c r="EM155" s="51">
        <f t="shared" si="215"/>
        <v>-1</v>
      </c>
      <c r="EN155" s="52">
        <f t="shared" si="216"/>
        <v>-1</v>
      </c>
      <c r="EO155" s="50">
        <f t="shared" si="217"/>
        <v>-1</v>
      </c>
      <c r="EP155" s="51">
        <f t="shared" si="218"/>
        <v>-1</v>
      </c>
      <c r="EQ155" s="52">
        <f t="shared" si="219"/>
        <v>-1</v>
      </c>
      <c r="ER155" s="50">
        <f t="shared" si="220"/>
        <v>-1</v>
      </c>
      <c r="ES155" s="53">
        <f t="shared" si="221"/>
        <v>-1</v>
      </c>
      <c r="ET155" s="49">
        <f t="shared" si="222"/>
        <v>-1</v>
      </c>
      <c r="EU155" s="50">
        <f t="shared" si="223"/>
        <v>-1</v>
      </c>
      <c r="EV155" s="51">
        <f t="shared" si="224"/>
        <v>-1</v>
      </c>
      <c r="EW155" s="52">
        <f t="shared" si="225"/>
        <v>-1</v>
      </c>
      <c r="EX155" s="50">
        <f t="shared" si="226"/>
        <v>-1</v>
      </c>
      <c r="EY155" s="51">
        <f t="shared" si="227"/>
        <v>-1</v>
      </c>
      <c r="EZ155" s="52">
        <f t="shared" si="228"/>
        <v>-1</v>
      </c>
      <c r="FA155" s="50">
        <f t="shared" si="229"/>
        <v>-1</v>
      </c>
      <c r="FB155" s="53">
        <f t="shared" si="230"/>
        <v>-1</v>
      </c>
      <c r="FC155" s="49">
        <f t="shared" si="231"/>
        <v>-1</v>
      </c>
      <c r="FD155" s="50">
        <f t="shared" si="232"/>
        <v>-1</v>
      </c>
      <c r="FE155" s="51">
        <f t="shared" si="233"/>
        <v>-1</v>
      </c>
      <c r="FF155" s="52">
        <f t="shared" si="234"/>
        <v>-1</v>
      </c>
      <c r="FG155" s="50">
        <f t="shared" si="235"/>
        <v>-1</v>
      </c>
      <c r="FH155" s="51">
        <f t="shared" si="236"/>
        <v>-1</v>
      </c>
      <c r="FI155" s="52">
        <f t="shared" si="237"/>
        <v>-1</v>
      </c>
      <c r="FJ155" s="50">
        <f t="shared" si="238"/>
        <v>-1</v>
      </c>
      <c r="FK155" s="105">
        <f t="shared" si="239"/>
        <v>-1</v>
      </c>
      <c r="FL155" s="104">
        <f t="shared" si="240"/>
        <v>-1</v>
      </c>
      <c r="FM155" s="50">
        <f t="shared" si="241"/>
        <v>-1</v>
      </c>
      <c r="FN155" s="51">
        <f t="shared" si="242"/>
        <v>-1</v>
      </c>
      <c r="FO155" s="52">
        <f t="shared" si="243"/>
        <v>-1</v>
      </c>
      <c r="FP155" s="50">
        <f t="shared" si="244"/>
        <v>-1</v>
      </c>
      <c r="FQ155" s="51">
        <f t="shared" si="245"/>
        <v>-1</v>
      </c>
      <c r="FR155" s="52">
        <f t="shared" si="246"/>
        <v>-1</v>
      </c>
      <c r="FS155" s="50">
        <f t="shared" si="247"/>
        <v>-1</v>
      </c>
      <c r="FT155" s="53">
        <f t="shared" si="248"/>
        <v>-1</v>
      </c>
      <c r="FU155" s="49">
        <f t="shared" si="249"/>
        <v>-1</v>
      </c>
      <c r="FV155" s="50">
        <f t="shared" si="250"/>
        <v>-1</v>
      </c>
      <c r="FW155" s="51">
        <f t="shared" si="251"/>
        <v>-1</v>
      </c>
      <c r="FX155" s="52">
        <f t="shared" si="252"/>
        <v>-1</v>
      </c>
      <c r="FY155" s="50">
        <f t="shared" si="253"/>
        <v>-1</v>
      </c>
      <c r="FZ155" s="51">
        <f t="shared" si="254"/>
        <v>-1</v>
      </c>
      <c r="GA155" s="52">
        <f t="shared" si="255"/>
        <v>-1</v>
      </c>
      <c r="GB155" s="50">
        <f t="shared" si="256"/>
        <v>-1</v>
      </c>
      <c r="GC155" s="53">
        <f t="shared" si="257"/>
        <v>-1</v>
      </c>
      <c r="GD155" s="49">
        <f t="shared" si="258"/>
        <v>-1</v>
      </c>
      <c r="GE155" s="50">
        <f t="shared" si="259"/>
        <v>-1</v>
      </c>
      <c r="GF155" s="51">
        <f t="shared" si="260"/>
        <v>-1</v>
      </c>
      <c r="GG155" s="52">
        <f t="shared" si="261"/>
        <v>-1</v>
      </c>
      <c r="GH155" s="50">
        <f t="shared" si="262"/>
        <v>-1</v>
      </c>
      <c r="GI155" s="51">
        <f t="shared" si="263"/>
        <v>-1</v>
      </c>
      <c r="GJ155" s="52">
        <f t="shared" si="264"/>
        <v>0</v>
      </c>
      <c r="GK155" s="50">
        <f t="shared" si="265"/>
        <v>0</v>
      </c>
      <c r="GL155" s="105">
        <f t="shared" si="266"/>
        <v>0</v>
      </c>
      <c r="GN155" s="52">
        <f>COUNTIF(DJ155:GL155,1)</f>
        <v>0</v>
      </c>
      <c r="GO155" s="50">
        <f>COUNTIF(DJ155:GL155,2)</f>
        <v>0</v>
      </c>
      <c r="GP155" s="51">
        <f>COUNTIF(DJ155:GL155,3)</f>
        <v>0</v>
      </c>
      <c r="GQ155" s="39"/>
      <c r="GR155" s="39"/>
      <c r="GT155" s="91">
        <f t="shared" si="267"/>
        <v>5</v>
      </c>
      <c r="GU155" s="92">
        <f t="shared" si="268"/>
        <v>3</v>
      </c>
      <c r="GV155" s="93">
        <f t="shared" si="269"/>
        <v>2</v>
      </c>
    </row>
    <row r="156" spans="2:204" ht="15" customHeight="1">
      <c r="B156" s="72" t="str">
        <f t="shared" si="174"/>
        <v>x</v>
      </c>
      <c r="C156" s="73" t="str">
        <f t="shared" si="175"/>
        <v>x</v>
      </c>
      <c r="D156" s="73" t="str">
        <f t="shared" si="176"/>
        <v>x</v>
      </c>
      <c r="E156" s="73" t="str">
        <f t="shared" si="177"/>
        <v>x</v>
      </c>
      <c r="F156" s="73" t="str">
        <f t="shared" si="178"/>
        <v>x</v>
      </c>
      <c r="G156" s="73">
        <f t="shared" si="179"/>
        <v>3</v>
      </c>
      <c r="H156" s="73">
        <f t="shared" si="180"/>
        <v>4</v>
      </c>
      <c r="I156" s="73">
        <f t="shared" si="181"/>
        <v>1</v>
      </c>
      <c r="J156" s="74">
        <f t="shared" si="182"/>
        <v>2</v>
      </c>
      <c r="N156" s="94">
        <f>IF($B$93="x",-1,IF(AND($B$93=0,INDEX(KonZeile8,4)+INDEX(KonSpalte1,4)+INDEX(KonFeld4,4)=0),4,0))</f>
        <v>-1</v>
      </c>
      <c r="O156" s="39">
        <f>IF($B$93="x",-1,IF(AND($B$93=0,INDEX(KonZeile8,5)+INDEX(KonSpalte1,5)+INDEX(KonFeld4,5)=0),5,0))</f>
        <v>-1</v>
      </c>
      <c r="P156" s="41">
        <f>IF($B$93="x",-1,IF(AND($B$93=0,INDEX(KonZeile8,6)+INDEX(KonSpalte1,6)+INDEX(KonFeld4,6)=0),6,0))</f>
        <v>-1</v>
      </c>
      <c r="Q156" s="40">
        <f>IF($C$93="x",-1,IF(AND($C$93=0,INDEX(KonZeile8,4)+INDEX(KonSpalte2,4)+INDEX(KonFeld4,4)=0),4,0))</f>
        <v>-1</v>
      </c>
      <c r="R156" s="39">
        <f>IF($C$93="x",-1,IF(AND($C$93=0,INDEX(KonZeile8,5)+INDEX(KonSpalte2,5)+INDEX(KonFeld4,5)=0),5,0))</f>
        <v>-1</v>
      </c>
      <c r="S156" s="41">
        <f>IF($C$93="x",-1,IF(AND($C$93=0,INDEX(KonZeile8,6)+INDEX(KonSpalte2,6)+INDEX(KonFeld4,6)=0),6,0))</f>
        <v>-1</v>
      </c>
      <c r="T156" s="40">
        <f>IF($D$93="x",-1,IF(AND($D$93=0,INDEX(KonZeile8,4)+INDEX(KonSpalte3,4)+INDEX(KonFeld4,4)=0),4,0))</f>
        <v>0</v>
      </c>
      <c r="U156" s="39">
        <f>IF($D$93="x",-1,IF(AND($D$93=0,INDEX(KonZeile8,5)+INDEX(KonSpalte3,5)+INDEX(KonFeld4,5)=0),5,0))</f>
        <v>0</v>
      </c>
      <c r="V156" s="42">
        <f>IF($D$93="x",-1,IF(AND($D$93=0,INDEX(KonZeile8,6)+INDEX(KonSpalte3,6)+INDEX(KonFeld4,6)=0),6,0))</f>
        <v>0</v>
      </c>
      <c r="W156" s="43">
        <f>IF($E$93="x",-1,IF(AND($E$93=0,INDEX(KonZeile8,4)+INDEX(KonSpalte4,4)+INDEX(KonFeld4,4)=0),4,0))</f>
        <v>-1</v>
      </c>
      <c r="X156" s="39">
        <f>IF($E$93="x",-1,IF(AND($E$93=0,INDEX(KonZeile8,5)+INDEX(KonSpalte4,5)+INDEX(KonFeld4,5)=0),5,0))</f>
        <v>-1</v>
      </c>
      <c r="Y156" s="41">
        <f>IF($E$93="x",-1,IF(AND($E$93=0,INDEX(KonZeile8,6)+INDEX(KonSpalte4,6)+INDEX(KonFeld4,6)=0),6,0))</f>
        <v>-1</v>
      </c>
      <c r="Z156" s="40">
        <f>IF($F$93="x",-1,IF(AND($F$93=0,INDEX(KonZeile8,4)+INDEX(KonSpalte5,4)+INDEX(KonFeld4,4)=0),4,0))</f>
        <v>-1</v>
      </c>
      <c r="AA156" s="39">
        <f>IF($F$93="x",-1,IF(AND($F$93=0,INDEX(KonZeile8,5)+INDEX(KonSpalte5,5)+INDEX(KonFeld4,5)=0),5,0))</f>
        <v>-1</v>
      </c>
      <c r="AB156" s="41">
        <f>IF($F$93="x",-1,IF(AND($F$93=0,INDEX(KonZeile8,6)+INDEX(KonSpalte5,6)+INDEX(KonFeld4,6)=0),6,0))</f>
        <v>-1</v>
      </c>
      <c r="AC156" s="40">
        <f>IF($G$93="x",-1,IF(AND($G$93=0,INDEX(KonZeile8,4)+INDEX(KonSpalte6,4)+INDEX(KonFeld4,4)=0),4,0))</f>
        <v>-1</v>
      </c>
      <c r="AD156" s="39">
        <f>IF($G$93="x",-1,IF(AND($G$93=0,INDEX(KonZeile8,5)+INDEX(KonSpalte6,5)+INDEX(KonFeld4,5)=0),5,0))</f>
        <v>-1</v>
      </c>
      <c r="AE156" s="42">
        <f>IF($G$93="x",-1,IF(AND($G$93=0,INDEX(KonZeile8,6)+INDEX(KonSpalte6,6)+INDEX(KonFeld4,6)=0),6,0))</f>
        <v>-1</v>
      </c>
      <c r="AF156" s="43">
        <f>IF($H$93="x",-1,IF(AND($H$93=0,INDEX(KonZeile8,4)+INDEX(KonSpalte7,4)+INDEX(KonFeld4,4)=0),4,0))</f>
        <v>-1</v>
      </c>
      <c r="AG156" s="39">
        <f>IF($H$93="x",-1,IF(AND($H$93=0,INDEX(KonZeile8,5)+INDEX(KonSpalte7,5)+INDEX(KonFeld4,5)=0),5,0))</f>
        <v>-1</v>
      </c>
      <c r="AH156" s="41">
        <f>IF($H$93="x",-1,IF(AND($H$93=0,INDEX(KonZeile8,6)+INDEX(KonSpalte7,6)+INDEX(KonFeld4,6)=0),6,0))</f>
        <v>-1</v>
      </c>
      <c r="AI156" s="40">
        <f>IF($I$93="x",-1,IF(AND($I$93=0,INDEX(KonZeile8,4)+INDEX(KonSpalte8,4)+INDEX(KonFeld4,4)=0),4,0))</f>
        <v>-1</v>
      </c>
      <c r="AJ156" s="39">
        <f>IF($I$93="x",-1,IF(AND($I$93=0,INDEX(KonZeile8,5)+INDEX(KonSpalte8,5)+INDEX(KonFeld4,5)=0),5,0))</f>
        <v>-1</v>
      </c>
      <c r="AK156" s="41">
        <f>IF($I$93="x",-1,IF(AND($I$93=0,INDEX(KonZeile8,6)+INDEX(KonSpalte8,6)+INDEX(KonFeld4,6)=0),6,0))</f>
        <v>-1</v>
      </c>
      <c r="AL156" s="40">
        <f>IF($J$93="x",-1,IF(AND($J$93=0,INDEX(KonZeile8,4)+INDEX(KonSpalte9,4)+INDEX(KonFeld4,4)=0),4,0))</f>
        <v>-1</v>
      </c>
      <c r="AM156" s="39">
        <f>IF($J$93="x",-1,IF(AND($J$93=0,INDEX(KonZeile8,5)+INDEX(KonSpalte9,5)+INDEX(KonFeld4,5)=0),5,0))</f>
        <v>-1</v>
      </c>
      <c r="AN156" s="95">
        <f>IF($J$93="x",-1,IF(AND($J$93=0,INDEX(KonZeile8,6)+INDEX(KonSpalte9,6)+INDEX(KonFeld4,6)=0),6,0))</f>
        <v>-1</v>
      </c>
      <c r="AO156" s="94">
        <f>IF($K$93="x",-1,IF(AND($K$93=0,INDEX(KonZeile8,4)+INDEX(KonSpalte1,4)+INDEX(KonFeld5,4)=0),4,0))</f>
        <v>-1</v>
      </c>
      <c r="AP156" s="39">
        <f>IF($K$93="x",-1,IF(AND($K$93=0,INDEX(KonZeile8,5)+INDEX(KonSpalte1,5)+INDEX(KonFeld5,5)=0),5,0))</f>
        <v>-1</v>
      </c>
      <c r="AQ156" s="41">
        <f>IF($K$93="x",-1,IF(AND($K$93=0,INDEX(KonZeile8,6)+INDEX(KonSpalte1,6)+INDEX(KonFeld5,6)=0),6,0))</f>
        <v>-1</v>
      </c>
      <c r="AR156" s="40">
        <f>IF($L$93="x",-1,IF(AND($L$93=0,INDEX(KonZeile8,4)+INDEX(KonSpalte2,4)+INDEX(KonFeld5,4)=0),4,0))</f>
        <v>-1</v>
      </c>
      <c r="AS156" s="39">
        <f>IF($L$93="x",-1,IF(AND($L$93=0,INDEX(KonZeile8,5)+INDEX(KonSpalte2,5)+INDEX(KonFeld5,5)=0),5,0))</f>
        <v>-1</v>
      </c>
      <c r="AT156" s="41">
        <f>IF($L$93="x",-1,IF(AND($L$93=0,INDEX(KonZeile8,6)+INDEX(KonSpalte2,6)+INDEX(KonFeld5,6)=0),6,0))</f>
        <v>-1</v>
      </c>
      <c r="AU156" s="40">
        <f>IF($M$93="x",-1,IF(AND($M$93=0,INDEX(KonZeile8,4)+INDEX(KonSpalte3,4)+INDEX(KonFeld5,4)=0),4,0))</f>
        <v>-1</v>
      </c>
      <c r="AV156" s="39">
        <f>IF($M$93="x",-1,IF(AND($M$93=0,INDEX(KonZeile8,5)+INDEX(KonSpalte3,5)+INDEX(KonFeld5,5)=0),5,0))</f>
        <v>-1</v>
      </c>
      <c r="AW156" s="42">
        <f>IF($M$93="x",-1,IF(AND($M$93=0,INDEX(KonZeile8,6)+INDEX(KonSpalte3,6)+INDEX(KonFeld5,6)=0),6,0))</f>
        <v>-1</v>
      </c>
      <c r="AX156" s="43">
        <f>IF($N$93="x",-1,IF(AND($N$93=0,INDEX(KonZeile8,4)+INDEX(KonSpalte4,4)+INDEX(KonFeld5,4)=0),4,0))</f>
        <v>-1</v>
      </c>
      <c r="AY156" s="39">
        <f>IF($N$93="x",-1,IF(AND($N$93=0,INDEX(KonZeile8,5)+INDEX(KonSpalte4,5)+INDEX(KonFeld5,5)=0),5,0))</f>
        <v>-1</v>
      </c>
      <c r="AZ156" s="41">
        <f>IF($N$93="x",-1,IF(AND($N$93=0,INDEX(KonZeile8,6)+INDEX(KonSpalte4,6)+INDEX(KonFeld5,6)=0),6,0))</f>
        <v>-1</v>
      </c>
      <c r="BA156" s="40">
        <f>IF($O$93="x",-1,IF(AND($O$93=0,INDEX(KonZeile8,4)+INDEX(KonSpalte5,4)+INDEX(KonFeld5,4)=0),4,0))</f>
        <v>-1</v>
      </c>
      <c r="BB156" s="39">
        <f>IF($O$93="x",-1,IF(AND($O$93=0,INDEX(KonZeile8,5)+INDEX(KonSpalte5,5)+INDEX(KonFeld5,5)=0),5,0))</f>
        <v>-1</v>
      </c>
      <c r="BC156" s="41">
        <f>IF($O$93="x",-1,IF(AND($O$93=0,INDEX(KonZeile8,6)+INDEX(KonSpalte5,6)+INDEX(KonFeld5,6)=0),6,0))</f>
        <v>-1</v>
      </c>
      <c r="BD156" s="40">
        <f>IF($P$93="x",-1,IF(AND($P$93=0,INDEX(KonZeile8,4)+INDEX(KonSpalte6,4)+INDEX(KonFeld5,4)=0),4,0))</f>
        <v>-1</v>
      </c>
      <c r="BE156" s="39">
        <f>IF($P$93="x",-1,IF(AND($P$93=0,INDEX(KonZeile8,5)+INDEX(KonSpalte6,5)+INDEX(KonFeld5,5)=0),5,0))</f>
        <v>-1</v>
      </c>
      <c r="BF156" s="42">
        <f>IF($P$93="x",-1,IF(AND($P$93=0,INDEX(KonZeile8,6)+INDEX(KonSpalte6,6)+INDEX(KonFeld5,6)=0),6,0))</f>
        <v>-1</v>
      </c>
      <c r="BG156" s="43">
        <f>IF($Q$93="x",-1,IF(AND($Q$93=0,INDEX(KonZeile8,4)+INDEX(KonSpalte7,4)+INDEX(KonFeld5,4)=0),4,0))</f>
        <v>-1</v>
      </c>
      <c r="BH156" s="39">
        <f>IF($Q$93="x",-1,IF(AND($Q$93=0,INDEX(KonZeile8,5)+INDEX(KonSpalte7,5)+INDEX(KonFeld5,5)=0),5,0))</f>
        <v>-1</v>
      </c>
      <c r="BI156" s="41">
        <f>IF($Q$93="x",-1,IF(AND($Q$93=0,INDEX(KonZeile8,6)+INDEX(KonSpalte7,6)+INDEX(KonFeld5,6)=0),6,0))</f>
        <v>-1</v>
      </c>
      <c r="BJ156" s="40">
        <f>IF($R$93="x",-1,IF(AND($R$93=0,INDEX(KonZeile8,4)+INDEX(KonSpalte8,4)+INDEX(KonFeld5,4)=0),4,0))</f>
        <v>-1</v>
      </c>
      <c r="BK156" s="39">
        <f>IF($R$93="x",-1,IF(AND($R$93=0,INDEX(KonZeile8,5)+INDEX(KonSpalte8,5)+INDEX(KonFeld5,5)=0),5,0))</f>
        <v>-1</v>
      </c>
      <c r="BL156" s="41">
        <f>IF($R$93="x",-1,IF(AND($R$93=0,INDEX(KonZeile8,6)+INDEX(KonSpalte8,6)+INDEX(KonFeld5,6)=0),6,0))</f>
        <v>-1</v>
      </c>
      <c r="BM156" s="40">
        <f>IF($S$93="x",-1,IF(AND($S$93=0,INDEX(KonZeile8,4)+INDEX(KonSpalte9,4)+INDEX(KonFeld5,4)=0),4,0))</f>
        <v>-1</v>
      </c>
      <c r="BN156" s="39">
        <f>IF($S$93="x",-1,IF(AND($S$93=0,INDEX(KonZeile8,5)+INDEX(KonSpalte9,5)+INDEX(KonFeld5,5)=0),5,0))</f>
        <v>-1</v>
      </c>
      <c r="BO156" s="95">
        <f>IF($S$93="x",-1,IF(AND($S$93=0,INDEX(KonZeile8,6)+INDEX(KonSpalte9,6)+INDEX(KonFeld5,6)=0),6,0))</f>
        <v>-1</v>
      </c>
      <c r="BP156" s="94">
        <f>IF($T$93="x",-1,IF(AND($T$93=0,INDEX(KonZeile8,4)+INDEX(KonSpalte1,4)+INDEX(KonFeld6,4)=0),4,0))</f>
        <v>-1</v>
      </c>
      <c r="BQ156" s="39">
        <f>IF($T$93="x",-1,IF(AND($T$93=0,INDEX(KonZeile8,5)+INDEX(KonSpalte1,5)+INDEX(KonFeld6,5)=0),5,0))</f>
        <v>-1</v>
      </c>
      <c r="BR156" s="41">
        <f>IF($T$93="x",-1,IF(AND($T$93=0,INDEX(KonZeile8,6)+INDEX(KonSpalte1,6)+INDEX(KonFeld6,6)=0),6,0))</f>
        <v>-1</v>
      </c>
      <c r="BS156" s="40">
        <f>IF($U$93="x",-1,IF(AND($U$93=0,INDEX(KonZeile8,4)+INDEX(KonSpalte2,4)+INDEX(KonFeld6,4)=0),4,0))</f>
        <v>-1</v>
      </c>
      <c r="BT156" s="39">
        <f>IF($U$93="x",-1,IF(AND($U$93=0,INDEX(KonZeile8,5)+INDEX(KonSpalte2,5)+INDEX(KonFeld6,5)=0),5,0))</f>
        <v>-1</v>
      </c>
      <c r="BU156" s="41">
        <f>IF($U$93="x",-1,IF(AND($U$93=0,INDEX(KonZeile8,6)+INDEX(KonSpalte2,6)+INDEX(KonFeld6,6)=0),6,0))</f>
        <v>-1</v>
      </c>
      <c r="BV156" s="40">
        <f>IF($V$93="x",-1,IF(AND($V$93=0,INDEX(KonZeile8,4)+INDEX(KonSpalte3,4)+INDEX(KonFeld6,4)=0),4,0))</f>
        <v>-1</v>
      </c>
      <c r="BW156" s="39">
        <f>IF($V$93="x",-1,IF(AND($V$93=0,INDEX(KonZeile8,5)+INDEX(KonSpalte3,5)+INDEX(KonFeld6,5)=0),5,0))</f>
        <v>-1</v>
      </c>
      <c r="BX156" s="42">
        <f>IF($V$93="x",-1,IF(AND($V$93=0,INDEX(KonZeile8,6)+INDEX(KonSpalte3,6)+INDEX(KonFeld6,6)=0),6,0))</f>
        <v>-1</v>
      </c>
      <c r="BY156" s="43">
        <f>IF($W$93="x",-1,IF(AND($W$93=0,INDEX(KonZeile8,4)+INDEX(KonSpalte4,4)+INDEX(KonFeld6,4)=0),4,0))</f>
        <v>-1</v>
      </c>
      <c r="BZ156" s="39">
        <f>IF($W$93="x",-1,IF(AND($W$93=0,INDEX(KonZeile8,5)+INDEX(KonSpalte4,5)+INDEX(KonFeld6,5)=0),5,0))</f>
        <v>-1</v>
      </c>
      <c r="CA156" s="41">
        <f>IF($W$93="x",-1,IF(AND($W$93=0,INDEX(KonZeile8,6)+INDEX(KonSpalte4,6)+INDEX(KonFeld6,6)=0),6,0))</f>
        <v>-1</v>
      </c>
      <c r="CB156" s="40">
        <f>IF($X$93="x",-1,IF(AND($X$93=0,INDEX(KonZeile8,4)+INDEX(KonSpalte5,4)+INDEX(KonFeld6,4)=0),4,0))</f>
        <v>-1</v>
      </c>
      <c r="CC156" s="39">
        <f>IF($X$93="x",-1,IF(AND($X$93=0,INDEX(KonZeile8,5)+INDEX(KonSpalte5,5)+INDEX(KonFeld6,5)=0),5,0))</f>
        <v>-1</v>
      </c>
      <c r="CD156" s="41">
        <f>IF($X$93="x",-1,IF(AND($X$93=0,INDEX(KonZeile8,6)+INDEX(KonSpalte5,6)+INDEX(KonFeld6,6)=0),6,0))</f>
        <v>-1</v>
      </c>
      <c r="CE156" s="40">
        <f>IF($Y$93="x",-1,IF(AND($Y$93=0,INDEX(KonZeile8,4)+INDEX(KonSpalte6,4)+INDEX(KonFeld6,4)=0),4,0))</f>
        <v>-1</v>
      </c>
      <c r="CF156" s="39">
        <f>IF($Y$93="x",-1,IF(AND($Y$93=0,INDEX(KonZeile8,5)+INDEX(KonSpalte6,5)+INDEX(KonFeld6,5)=0),5,0))</f>
        <v>-1</v>
      </c>
      <c r="CG156" s="42">
        <f>IF($Y$93="x",-1,IF(AND($Y$93=0,INDEX(KonZeile8,6)+INDEX(KonSpalte6,6)+INDEX(KonFeld6,6)=0),6,0))</f>
        <v>-1</v>
      </c>
      <c r="CH156" s="43">
        <f>IF($Z$93="x",-1,IF(AND($Z$93=0,INDEX(KonZeile8,4)+INDEX(KonSpalte7,4)+INDEX(KonFeld6,4)=0),4,0))</f>
        <v>-1</v>
      </c>
      <c r="CI156" s="39">
        <f>IF($Z$93="x",-1,IF(AND($Z$93=0,INDEX(KonZeile8,5)+INDEX(KonSpalte7,5)+INDEX(KonFeld6,5)=0),5,0))</f>
        <v>-1</v>
      </c>
      <c r="CJ156" s="41">
        <f>IF($Z$93="x",-1,IF(AND($Z$93=0,INDEX(KonZeile8,6)+INDEX(KonSpalte7,6)+INDEX(KonFeld6,6)=0),6,0))</f>
        <v>-1</v>
      </c>
      <c r="CK156" s="40">
        <f>IF($AA$93="x",-1,IF(AND($AA$93=0,INDEX(KonZeile8,4)+INDEX(KonSpalte8,4)+INDEX(KonFeld6,4)=0),4,0))</f>
        <v>-1</v>
      </c>
      <c r="CL156" s="39">
        <f>IF($AA$93="x",-1,IF(AND($AA$93=0,INDEX(KonZeile8,5)+INDEX(KonSpalte8,5)+INDEX(KonFeld6,5)=0),5,0))</f>
        <v>-1</v>
      </c>
      <c r="CM156" s="41">
        <f>IF($AA$93="x",-1,IF(AND($AA$93=0,INDEX(KonZeile8,6)+INDEX(KonSpalte8,6)+INDEX(KonFeld6,6)=0),6,0))</f>
        <v>-1</v>
      </c>
      <c r="CN156" s="40">
        <f>IF($AB$93="x",-1,IF(AND($AB$93=0,INDEX(KonZeile8,4)+INDEX(KonSpalte9,4)+INDEX(KonFeld6,4)=0),4,0))</f>
        <v>-1</v>
      </c>
      <c r="CO156" s="39">
        <f>IF($AB$93="x",-1,IF(AND($AB$93=0,INDEX(KonZeile8,5)+INDEX(KonSpalte9,5)+INDEX(KonFeld6,5)=0),5,0))</f>
        <v>-1</v>
      </c>
      <c r="CP156" s="95">
        <f>IF($AB$93="x",-1,IF(AND($AB$93=0,INDEX(KonZeile8,6)+INDEX(KonSpalte9,6)+INDEX(KonFeld6,6)=0),6,0))</f>
        <v>-1</v>
      </c>
      <c r="CR156" s="40">
        <f>COUNTIF(N156:CP156,4)</f>
        <v>0</v>
      </c>
      <c r="CS156" s="39">
        <f>COUNTIF(N156:CP156,5)</f>
        <v>0</v>
      </c>
      <c r="CT156" s="41">
        <f>COUNTIF(N156:CP156,6)</f>
        <v>0</v>
      </c>
      <c r="CU156" s="39"/>
      <c r="CV156" s="39"/>
      <c r="CX156" s="72">
        <f t="shared" si="270"/>
        <v>0</v>
      </c>
      <c r="CY156" s="73">
        <f t="shared" si="270"/>
        <v>0</v>
      </c>
      <c r="CZ156" s="74">
        <f t="shared" si="270"/>
        <v>0</v>
      </c>
      <c r="DJ156" s="94">
        <f t="shared" si="186"/>
        <v>-1</v>
      </c>
      <c r="DK156" s="39">
        <f t="shared" si="187"/>
        <v>-1</v>
      </c>
      <c r="DL156" s="41">
        <f t="shared" si="188"/>
        <v>-1</v>
      </c>
      <c r="DM156" s="40">
        <f t="shared" si="189"/>
        <v>-1</v>
      </c>
      <c r="DN156" s="39">
        <f t="shared" si="190"/>
        <v>-1</v>
      </c>
      <c r="DO156" s="41">
        <f t="shared" si="191"/>
        <v>-1</v>
      </c>
      <c r="DP156" s="40">
        <f t="shared" si="192"/>
        <v>-1</v>
      </c>
      <c r="DQ156" s="39">
        <f t="shared" si="193"/>
        <v>-1</v>
      </c>
      <c r="DR156" s="42">
        <f t="shared" si="194"/>
        <v>-1</v>
      </c>
      <c r="DS156" s="43">
        <f t="shared" si="195"/>
        <v>-1</v>
      </c>
      <c r="DT156" s="39">
        <f t="shared" si="196"/>
        <v>-1</v>
      </c>
      <c r="DU156" s="41">
        <f t="shared" si="197"/>
        <v>-1</v>
      </c>
      <c r="DV156" s="40">
        <f t="shared" si="198"/>
        <v>-1</v>
      </c>
      <c r="DW156" s="39">
        <f t="shared" si="199"/>
        <v>-1</v>
      </c>
      <c r="DX156" s="41">
        <f t="shared" si="200"/>
        <v>-1</v>
      </c>
      <c r="DY156" s="40">
        <f t="shared" si="201"/>
        <v>-1</v>
      </c>
      <c r="DZ156" s="39">
        <f t="shared" si="202"/>
        <v>-1</v>
      </c>
      <c r="EA156" s="42">
        <f t="shared" si="203"/>
        <v>-1</v>
      </c>
      <c r="EB156" s="43">
        <f t="shared" si="204"/>
        <v>-1</v>
      </c>
      <c r="EC156" s="39">
        <f t="shared" si="205"/>
        <v>-1</v>
      </c>
      <c r="ED156" s="41">
        <f t="shared" si="206"/>
        <v>-1</v>
      </c>
      <c r="EE156" s="40">
        <f t="shared" si="207"/>
        <v>-1</v>
      </c>
      <c r="EF156" s="39">
        <f t="shared" si="208"/>
        <v>-1</v>
      </c>
      <c r="EG156" s="41">
        <f t="shared" si="209"/>
        <v>-1</v>
      </c>
      <c r="EH156" s="40">
        <f t="shared" si="210"/>
        <v>-1</v>
      </c>
      <c r="EI156" s="39">
        <f t="shared" si="211"/>
        <v>-1</v>
      </c>
      <c r="EJ156" s="95">
        <f t="shared" si="212"/>
        <v>-1</v>
      </c>
      <c r="EK156" s="94">
        <f t="shared" si="213"/>
        <v>-1</v>
      </c>
      <c r="EL156" s="39">
        <f t="shared" si="214"/>
        <v>-1</v>
      </c>
      <c r="EM156" s="41">
        <f t="shared" si="215"/>
        <v>-1</v>
      </c>
      <c r="EN156" s="40">
        <f t="shared" si="216"/>
        <v>-1</v>
      </c>
      <c r="EO156" s="39">
        <f t="shared" si="217"/>
        <v>-1</v>
      </c>
      <c r="EP156" s="41">
        <f t="shared" si="218"/>
        <v>-1</v>
      </c>
      <c r="EQ156" s="40">
        <f t="shared" si="219"/>
        <v>-1</v>
      </c>
      <c r="ER156" s="39">
        <f t="shared" si="220"/>
        <v>-1</v>
      </c>
      <c r="ES156" s="42">
        <f t="shared" si="221"/>
        <v>-1</v>
      </c>
      <c r="ET156" s="43">
        <f t="shared" si="222"/>
        <v>-1</v>
      </c>
      <c r="EU156" s="39">
        <f t="shared" si="223"/>
        <v>-1</v>
      </c>
      <c r="EV156" s="41">
        <f t="shared" si="224"/>
        <v>-1</v>
      </c>
      <c r="EW156" s="40">
        <f t="shared" si="225"/>
        <v>-1</v>
      </c>
      <c r="EX156" s="39">
        <f t="shared" si="226"/>
        <v>-1</v>
      </c>
      <c r="EY156" s="41">
        <f t="shared" si="227"/>
        <v>-1</v>
      </c>
      <c r="EZ156" s="40">
        <f t="shared" si="228"/>
        <v>-1</v>
      </c>
      <c r="FA156" s="39">
        <f t="shared" si="229"/>
        <v>-1</v>
      </c>
      <c r="FB156" s="42">
        <f t="shared" si="230"/>
        <v>-1</v>
      </c>
      <c r="FC156" s="43">
        <f t="shared" si="231"/>
        <v>-1</v>
      </c>
      <c r="FD156" s="39">
        <f t="shared" si="232"/>
        <v>-1</v>
      </c>
      <c r="FE156" s="41">
        <f t="shared" si="233"/>
        <v>-1</v>
      </c>
      <c r="FF156" s="40">
        <f t="shared" si="234"/>
        <v>-1</v>
      </c>
      <c r="FG156" s="39">
        <f t="shared" si="235"/>
        <v>-1</v>
      </c>
      <c r="FH156" s="41">
        <f t="shared" si="236"/>
        <v>-1</v>
      </c>
      <c r="FI156" s="40">
        <f t="shared" si="237"/>
        <v>-1</v>
      </c>
      <c r="FJ156" s="39">
        <f t="shared" si="238"/>
        <v>-1</v>
      </c>
      <c r="FK156" s="95">
        <f t="shared" si="239"/>
        <v>-1</v>
      </c>
      <c r="FL156" s="94">
        <f t="shared" si="240"/>
        <v>-1</v>
      </c>
      <c r="FM156" s="39">
        <f t="shared" si="241"/>
        <v>-1</v>
      </c>
      <c r="FN156" s="41">
        <f t="shared" si="242"/>
        <v>-1</v>
      </c>
      <c r="FO156" s="40">
        <f t="shared" si="243"/>
        <v>-1</v>
      </c>
      <c r="FP156" s="39">
        <f t="shared" si="244"/>
        <v>-1</v>
      </c>
      <c r="FQ156" s="41">
        <f t="shared" si="245"/>
        <v>-1</v>
      </c>
      <c r="FR156" s="40">
        <f t="shared" si="246"/>
        <v>-1</v>
      </c>
      <c r="FS156" s="39">
        <f t="shared" si="247"/>
        <v>-1</v>
      </c>
      <c r="FT156" s="42">
        <f t="shared" si="248"/>
        <v>-1</v>
      </c>
      <c r="FU156" s="43">
        <f t="shared" si="249"/>
        <v>-1</v>
      </c>
      <c r="FV156" s="39">
        <f t="shared" si="250"/>
        <v>-1</v>
      </c>
      <c r="FW156" s="41">
        <f t="shared" si="251"/>
        <v>-1</v>
      </c>
      <c r="FX156" s="40">
        <f t="shared" si="252"/>
        <v>-1</v>
      </c>
      <c r="FY156" s="39">
        <f t="shared" si="253"/>
        <v>-1</v>
      </c>
      <c r="FZ156" s="41">
        <f t="shared" si="254"/>
        <v>-1</v>
      </c>
      <c r="GA156" s="40">
        <f t="shared" si="255"/>
        <v>-1</v>
      </c>
      <c r="GB156" s="39">
        <f t="shared" si="256"/>
        <v>-1</v>
      </c>
      <c r="GC156" s="42">
        <f t="shared" si="257"/>
        <v>-1</v>
      </c>
      <c r="GD156" s="43">
        <f t="shared" si="258"/>
        <v>-1</v>
      </c>
      <c r="GE156" s="39">
        <f t="shared" si="259"/>
        <v>-1</v>
      </c>
      <c r="GF156" s="41">
        <f t="shared" si="260"/>
        <v>-1</v>
      </c>
      <c r="GG156" s="40">
        <f t="shared" si="261"/>
        <v>-1</v>
      </c>
      <c r="GH156" s="39">
        <f t="shared" si="262"/>
        <v>-1</v>
      </c>
      <c r="GI156" s="41">
        <f t="shared" si="263"/>
        <v>-1</v>
      </c>
      <c r="GJ156" s="40">
        <f t="shared" si="264"/>
        <v>0</v>
      </c>
      <c r="GK156" s="39">
        <f t="shared" si="265"/>
        <v>0</v>
      </c>
      <c r="GL156" s="95">
        <f t="shared" si="266"/>
        <v>0</v>
      </c>
      <c r="GN156" s="40">
        <f>COUNTIF(DJ156:GL156,4)</f>
        <v>0</v>
      </c>
      <c r="GO156" s="39">
        <f>COUNTIF(DJ156:GL156,5)</f>
        <v>0</v>
      </c>
      <c r="GP156" s="41">
        <f>COUNTIF(DJ156:GL156,6)</f>
        <v>0</v>
      </c>
      <c r="GQ156" s="39"/>
      <c r="GR156" s="39"/>
      <c r="GT156" s="96">
        <f t="shared" si="267"/>
        <v>1</v>
      </c>
      <c r="GU156" s="97">
        <f t="shared" si="268"/>
        <v>1</v>
      </c>
      <c r="GV156" s="98">
        <f t="shared" si="269"/>
        <v>2</v>
      </c>
    </row>
    <row r="157" spans="2:204" ht="15" customHeight="1" thickBot="1">
      <c r="B157" s="78" t="str">
        <f t="shared" si="174"/>
        <v>x</v>
      </c>
      <c r="C157" s="79" t="str">
        <f t="shared" si="175"/>
        <v>x</v>
      </c>
      <c r="D157" s="79" t="str">
        <f t="shared" si="176"/>
        <v>x</v>
      </c>
      <c r="E157" s="79" t="str">
        <f t="shared" si="177"/>
        <v>x</v>
      </c>
      <c r="F157" s="79">
        <f t="shared" si="178"/>
        <v>5</v>
      </c>
      <c r="G157" s="79">
        <f t="shared" si="179"/>
        <v>6</v>
      </c>
      <c r="H157" s="79">
        <f t="shared" si="180"/>
        <v>7</v>
      </c>
      <c r="I157" s="79">
        <f t="shared" si="181"/>
        <v>9</v>
      </c>
      <c r="J157" s="80">
        <f t="shared" si="182"/>
        <v>8</v>
      </c>
      <c r="N157" s="99">
        <f>IF($B$93="x",-1,IF(AND($B$93=0,INDEX(KonZeile8,7)+INDEX(KonSpalte1,7)+INDEX(KonFeld4,7)=0),7,0))</f>
        <v>-1</v>
      </c>
      <c r="O157" s="45">
        <f>IF($B$93="x",-1,IF(AND($B$93=0,INDEX(KonZeile8,8)+INDEX(KonSpalte1,8)+INDEX(KonFeld4,8)=0),8,0))</f>
        <v>-1</v>
      </c>
      <c r="P157" s="47">
        <f>IF($B$93="x",-1,IF(AND($B$93=0,INDEX(KonZeile8,9)+INDEX(KonSpalte1,9)+INDEX(KonFeld4,9)=0),9,0))</f>
        <v>-1</v>
      </c>
      <c r="Q157" s="46">
        <f>IF($C$93="x",-1,IF(AND($C$93=0,INDEX(KonZeile8,7)+INDEX(KonSpalte2,7)+INDEX(KonFeld4,7)=0),7,0))</f>
        <v>-1</v>
      </c>
      <c r="R157" s="45">
        <f>IF($C$93="x",-1,IF(AND($C$93=0,INDEX(KonZeile8,8)+INDEX(KonSpalte2,8)+INDEX(KonFeld4,8)=0),8,0))</f>
        <v>-1</v>
      </c>
      <c r="S157" s="47">
        <f>IF($C$93="x",-1,IF(AND($C$93=0,INDEX(KonZeile8,9)+INDEX(KonSpalte2,9)+INDEX(KonFeld4,9)=0),9,0))</f>
        <v>-1</v>
      </c>
      <c r="T157" s="46">
        <f>IF($D$93="x",-1,IF(AND($D$93=0,INDEX(KonZeile8,7)+INDEX(KonSpalte3,7)+INDEX(KonFeld4,7)=0),7,0))</f>
        <v>0</v>
      </c>
      <c r="U157" s="45">
        <f>IF($D$93="x",-1,IF(AND($D$93=0,INDEX(KonZeile8,8)+INDEX(KonSpalte3,8)+INDEX(KonFeld4,8)=0),8,0))</f>
        <v>0</v>
      </c>
      <c r="V157" s="48">
        <f>IF($D$93="x",-1,IF(AND($D$93=0,INDEX(KonZeile8,9)+INDEX(KonSpalte3,9)+INDEX(KonFeld4,9)=0),9,0))</f>
        <v>0</v>
      </c>
      <c r="W157" s="44">
        <f>IF($E$93="x",-1,IF(AND($E$93=0,INDEX(KonZeile8,7)+INDEX(KonSpalte4,7)+INDEX(KonFeld4,7)=0),7,0))</f>
        <v>-1</v>
      </c>
      <c r="X157" s="45">
        <f>IF($E$93="x",-1,IF(AND($E$93=0,INDEX(KonZeile8,8)+INDEX(KonSpalte4,8)+INDEX(KonFeld4,8)=0),8,0))</f>
        <v>-1</v>
      </c>
      <c r="Y157" s="47">
        <f>IF($E$93="x",-1,IF(AND($E$93=0,INDEX(KonZeile8,9)+INDEX(KonSpalte4,9)+INDEX(KonFeld4,9)=0),9,0))</f>
        <v>-1</v>
      </c>
      <c r="Z157" s="46">
        <f>IF($F$93="x",-1,IF(AND($F$93=0,INDEX(KonZeile8,7)+INDEX(KonSpalte5,7)+INDEX(KonFeld4,7)=0),7,0))</f>
        <v>-1</v>
      </c>
      <c r="AA157" s="45">
        <f>IF($F$93="x",-1,IF(AND($F$93=0,INDEX(KonZeile8,8)+INDEX(KonSpalte5,8)+INDEX(KonFeld4,8)=0),8,0))</f>
        <v>-1</v>
      </c>
      <c r="AB157" s="47">
        <f>IF($F$93="x",-1,IF(AND($F$93=0,INDEX(KonZeile8,9)+INDEX(KonSpalte5,9)+INDEX(KonFeld4,9)=0),9,0))</f>
        <v>-1</v>
      </c>
      <c r="AC157" s="46">
        <f>IF($G$93="x",-1,IF(AND($G$93=0,INDEX(KonZeile8,7)+INDEX(KonSpalte6,7)+INDEX(KonFeld4,7)=0),7,0))</f>
        <v>-1</v>
      </c>
      <c r="AD157" s="45">
        <f>IF($G$93="x",-1,IF(AND($G$93=0,INDEX(KonZeile8,8)+INDEX(KonSpalte6,8)+INDEX(KonFeld4,8)=0),8,0))</f>
        <v>-1</v>
      </c>
      <c r="AE157" s="48">
        <f>IF($G$93="x",-1,IF(AND($G$93=0,INDEX(KonZeile8,9)+INDEX(KonSpalte6,9)+INDEX(KonFeld4,9)=0),9,0))</f>
        <v>-1</v>
      </c>
      <c r="AF157" s="44">
        <f>IF($H$93="x",-1,IF(AND($H$93=0,INDEX(KonZeile8,7)+INDEX(KonSpalte7,7)+INDEX(KonFeld4,7)=0),7,0))</f>
        <v>-1</v>
      </c>
      <c r="AG157" s="45">
        <f>IF($H$93="x",-1,IF(AND($H$93=0,INDEX(KonZeile8,8)+INDEX(KonSpalte7,8)+INDEX(KonFeld4,8)=0),8,0))</f>
        <v>-1</v>
      </c>
      <c r="AH157" s="47">
        <f>IF($H$93="x",-1,IF(AND($H$93=0,INDEX(KonZeile8,9)+INDEX(KonSpalte7,9)+INDEX(KonFeld4,9)=0),9,0))</f>
        <v>-1</v>
      </c>
      <c r="AI157" s="46">
        <f>IF($I$93="x",-1,IF(AND($I$93=0,INDEX(KonZeile8,7)+INDEX(KonSpalte8,7)+INDEX(KonFeld4,7)=0),7,0))</f>
        <v>-1</v>
      </c>
      <c r="AJ157" s="45">
        <f>IF($I$93="x",-1,IF(AND($I$93=0,INDEX(KonZeile8,8)+INDEX(KonSpalte8,8)+INDEX(KonFeld4,8)=0),8,0))</f>
        <v>-1</v>
      </c>
      <c r="AK157" s="47">
        <f>IF($I$93="x",-1,IF(AND($I$93=0,INDEX(KonZeile8,9)+INDEX(KonSpalte8,9)+INDEX(KonFeld4,9)=0),9,0))</f>
        <v>-1</v>
      </c>
      <c r="AL157" s="46">
        <f>IF($J$93="x",-1,IF(AND($J$93=0,INDEX(KonZeile8,7)+INDEX(KonSpalte9,7)+INDEX(KonFeld4,7)=0),7,0))</f>
        <v>-1</v>
      </c>
      <c r="AM157" s="45">
        <f>IF($J$93="x",-1,IF(AND($J$93=0,INDEX(KonZeile8,8)+INDEX(KonSpalte9,8)+INDEX(KonFeld4,8)=0),8,0))</f>
        <v>-1</v>
      </c>
      <c r="AN157" s="100">
        <f>IF($J$93="x",-1,IF(AND($J$93=0,INDEX(KonZeile8,9)+INDEX(KonSpalte9,9)+INDEX(KonFeld4,9)=0),9,0))</f>
        <v>-1</v>
      </c>
      <c r="AO157" s="99">
        <f>IF($K$93="x",-1,IF(AND($K$93=0,INDEX(KonZeile8,7)+INDEX(KonSpalte1,7)+INDEX(KonFeld5,7)=0),7,0))</f>
        <v>-1</v>
      </c>
      <c r="AP157" s="45">
        <f>IF($K$93="x",-1,IF(AND($K$93=0,INDEX(KonZeile8,8)+INDEX(KonSpalte1,8)+INDEX(KonFeld5,8)=0),8,0))</f>
        <v>-1</v>
      </c>
      <c r="AQ157" s="47">
        <f>IF($K$93="x",-1,IF(AND($K$93=0,INDEX(KonZeile8,9)+INDEX(KonSpalte1,9)+INDEX(KonFeld5,9)=0),9,0))</f>
        <v>-1</v>
      </c>
      <c r="AR157" s="46">
        <f>IF($L$93="x",-1,IF(AND($L$93=0,INDEX(KonZeile8,7)+INDEX(KonSpalte2,7)+INDEX(KonFeld5,7)=0),7,0))</f>
        <v>-1</v>
      </c>
      <c r="AS157" s="45">
        <f>IF($L$93="x",-1,IF(AND($L$93=0,INDEX(KonZeile8,8)+INDEX(KonSpalte2,8)+INDEX(KonFeld5,8)=0),8,0))</f>
        <v>-1</v>
      </c>
      <c r="AT157" s="47">
        <f>IF($L$93="x",-1,IF(AND($L$93=0,INDEX(KonZeile8,9)+INDEX(KonSpalte2,9)+INDEX(KonFeld5,9)=0),9,0))</f>
        <v>-1</v>
      </c>
      <c r="AU157" s="46">
        <f>IF($M$93="x",-1,IF(AND($M$93=0,INDEX(KonZeile8,7)+INDEX(KonSpalte3,7)+INDEX(KonFeld5,7)=0),7,0))</f>
        <v>-1</v>
      </c>
      <c r="AV157" s="45">
        <f>IF($M$93="x",-1,IF(AND($M$93=0,INDEX(KonZeile8,8)+INDEX(KonSpalte3,8)+INDEX(KonFeld5,8)=0),8,0))</f>
        <v>-1</v>
      </c>
      <c r="AW157" s="48">
        <f>IF($M$93="x",-1,IF(AND($M$93=0,INDEX(KonZeile8,9)+INDEX(KonSpalte3,9)+INDEX(KonFeld5,9)=0),9,0))</f>
        <v>-1</v>
      </c>
      <c r="AX157" s="44">
        <f>IF($N$93="x",-1,IF(AND($N$93=0,INDEX(KonZeile8,7)+INDEX(KonSpalte4,7)+INDEX(KonFeld5,7)=0),7,0))</f>
        <v>-1</v>
      </c>
      <c r="AY157" s="45">
        <f>IF($N$93="x",-1,IF(AND($N$93=0,INDEX(KonZeile8,8)+INDEX(KonSpalte4,8)+INDEX(KonFeld5,8)=0),8,0))</f>
        <v>-1</v>
      </c>
      <c r="AZ157" s="47">
        <f>IF($N$93="x",-1,IF(AND($N$93=0,INDEX(KonZeile8,9)+INDEX(KonSpalte4,9)+INDEX(KonFeld5,9)=0),9,0))</f>
        <v>-1</v>
      </c>
      <c r="BA157" s="46">
        <f>IF($O$93="x",-1,IF(AND($O$93=0,INDEX(KonZeile8,7)+INDEX(KonSpalte5,7)+INDEX(KonFeld5,7)=0),7,0))</f>
        <v>-1</v>
      </c>
      <c r="BB157" s="45">
        <f>IF($O$93="x",-1,IF(AND($O$93=0,INDEX(KonZeile8,8)+INDEX(KonSpalte5,8)+INDEX(KonFeld5,8)=0),8,0))</f>
        <v>-1</v>
      </c>
      <c r="BC157" s="47">
        <f>IF($O$93="x",-1,IF(AND($O$93=0,INDEX(KonZeile8,9)+INDEX(KonSpalte5,9)+INDEX(KonFeld5,9)=0),9,0))</f>
        <v>-1</v>
      </c>
      <c r="BD157" s="46">
        <f>IF($P$93="x",-1,IF(AND($P$93=0,INDEX(KonZeile8,7)+INDEX(KonSpalte6,7)+INDEX(KonFeld5,7)=0),7,0))</f>
        <v>-1</v>
      </c>
      <c r="BE157" s="45">
        <f>IF($P$93="x",-1,IF(AND($P$93=0,INDEX(KonZeile8,8)+INDEX(KonSpalte6,8)+INDEX(KonFeld5,8)=0),8,0))</f>
        <v>-1</v>
      </c>
      <c r="BF157" s="48">
        <f>IF($P$93="x",-1,IF(AND($P$93=0,INDEX(KonZeile8,9)+INDEX(KonSpalte6,9)+INDEX(KonFeld5,9)=0),9,0))</f>
        <v>-1</v>
      </c>
      <c r="BG157" s="44">
        <f>IF($Q$93="x",-1,IF(AND($Q$93=0,INDEX(KonZeile8,7)+INDEX(KonSpalte7,7)+INDEX(KonFeld5,7)=0),7,0))</f>
        <v>-1</v>
      </c>
      <c r="BH157" s="45">
        <f>IF($Q$93="x",-1,IF(AND($Q$93=0,INDEX(KonZeile8,8)+INDEX(KonSpalte7,8)+INDEX(KonFeld5,8)=0),8,0))</f>
        <v>-1</v>
      </c>
      <c r="BI157" s="47">
        <f>IF($Q$93="x",-1,IF(AND($Q$93=0,INDEX(KonZeile8,9)+INDEX(KonSpalte7,9)+INDEX(KonFeld5,9)=0),9,0))</f>
        <v>-1</v>
      </c>
      <c r="BJ157" s="46">
        <f>IF($R$93="x",-1,IF(AND($R$93=0,INDEX(KonZeile8,7)+INDEX(KonSpalte8,7)+INDEX(KonFeld5,7)=0),7,0))</f>
        <v>-1</v>
      </c>
      <c r="BK157" s="45">
        <f>IF($R$93="x",-1,IF(AND($R$93=0,INDEX(KonZeile8,8)+INDEX(KonSpalte8,8)+INDEX(KonFeld5,8)=0),8,0))</f>
        <v>-1</v>
      </c>
      <c r="BL157" s="47">
        <f>IF($R$93="x",-1,IF(AND($R$93=0,INDEX(KonZeile8,9)+INDEX(KonSpalte8,9)+INDEX(KonFeld5,9)=0),9,0))</f>
        <v>-1</v>
      </c>
      <c r="BM157" s="46">
        <f>IF($S$93="x",-1,IF(AND($S$93=0,INDEX(KonZeile8,7)+INDEX(KonSpalte9,7)+INDEX(KonFeld5,7)=0),7,0))</f>
        <v>-1</v>
      </c>
      <c r="BN157" s="45">
        <f>IF($S$93="x",-1,IF(AND($S$93=0,INDEX(KonZeile8,8)+INDEX(KonSpalte9,8)+INDEX(KonFeld5,8)=0),8,0))</f>
        <v>-1</v>
      </c>
      <c r="BO157" s="100">
        <f>IF($S$93="x",-1,IF(AND($S$93=0,INDEX(KonZeile8,9)+INDEX(KonSpalte9,9)+INDEX(KonFeld5,9)=0),9,0))</f>
        <v>-1</v>
      </c>
      <c r="BP157" s="99">
        <f>IF($T$93="x",-1,IF(AND($T$93=0,INDEX(KonZeile8,7)+INDEX(KonSpalte1,7)+INDEX(KonFeld6,7)=0),7,0))</f>
        <v>-1</v>
      </c>
      <c r="BQ157" s="45">
        <f>IF($T$93="x",-1,IF(AND($T$93=0,INDEX(KonZeile8,8)+INDEX(KonSpalte1,8)+INDEX(KonFeld6,8)=0),8,0))</f>
        <v>-1</v>
      </c>
      <c r="BR157" s="47">
        <f>IF($T$93="x",-1,IF(AND($T$93=0,INDEX(KonZeile8,9)+INDEX(KonSpalte1,9)+INDEX(KonFeld6,9)=0),9,0))</f>
        <v>-1</v>
      </c>
      <c r="BS157" s="46">
        <f>IF($U$93="x",-1,IF(AND($U$93=0,INDEX(KonZeile8,7)+INDEX(KonSpalte2,7)+INDEX(KonFeld6,7)=0),7,0))</f>
        <v>-1</v>
      </c>
      <c r="BT157" s="45">
        <f>IF($U$93="x",-1,IF(AND($U$93=0,INDEX(KonZeile8,8)+INDEX(KonSpalte2,8)+INDEX(KonFeld6,8)=0),8,0))</f>
        <v>-1</v>
      </c>
      <c r="BU157" s="47">
        <f>IF($U$93="x",-1,IF(AND($U$93=0,INDEX(KonZeile8,9)+INDEX(KonSpalte2,9)+INDEX(KonFeld6,9)=0),9,0))</f>
        <v>-1</v>
      </c>
      <c r="BV157" s="46">
        <f>IF($V$93="x",-1,IF(AND($V$93=0,INDEX(KonZeile8,7)+INDEX(KonSpalte3,7)+INDEX(KonFeld6,7)=0),7,0))</f>
        <v>-1</v>
      </c>
      <c r="BW157" s="45">
        <f>IF($V$93="x",-1,IF(AND($V$93=0,INDEX(KonZeile8,8)+INDEX(KonSpalte3,8)+INDEX(KonFeld6,8)=0),8,0))</f>
        <v>-1</v>
      </c>
      <c r="BX157" s="48">
        <f>IF($V$93="x",-1,IF(AND($V$93=0,INDEX(KonZeile8,9)+INDEX(KonSpalte3,9)+INDEX(KonFeld6,9)=0),9,0))</f>
        <v>-1</v>
      </c>
      <c r="BY157" s="44">
        <f>IF($W$93="x",-1,IF(AND($W$93=0,INDEX(KonZeile8,7)+INDEX(KonSpalte4,7)+INDEX(KonFeld6,7)=0),7,0))</f>
        <v>-1</v>
      </c>
      <c r="BZ157" s="45">
        <f>IF($W$93="x",-1,IF(AND($W$93=0,INDEX(KonZeile8,8)+INDEX(KonSpalte4,8)+INDEX(KonFeld6,8)=0),8,0))</f>
        <v>-1</v>
      </c>
      <c r="CA157" s="47">
        <f>IF($W$93="x",-1,IF(AND($W$93=0,INDEX(KonZeile8,9)+INDEX(KonSpalte4,9)+INDEX(KonFeld6,9)=0),9,0))</f>
        <v>-1</v>
      </c>
      <c r="CB157" s="46">
        <f>IF($X$93="x",-1,IF(AND($X$93=0,INDEX(KonZeile8,7)+INDEX(KonSpalte5,7)+INDEX(KonFeld6,7)=0),7,0))</f>
        <v>-1</v>
      </c>
      <c r="CC157" s="45">
        <f>IF($X$93="x",-1,IF(AND($X$93=0,INDEX(KonZeile8,8)+INDEX(KonSpalte5,8)+INDEX(KonFeld6,8)=0),8,0))</f>
        <v>-1</v>
      </c>
      <c r="CD157" s="47">
        <f>IF($X$93="x",-1,IF(AND($X$93=0,INDEX(KonZeile8,9)+INDEX(KonSpalte5,9)+INDEX(KonFeld6,9)=0),9,0))</f>
        <v>-1</v>
      </c>
      <c r="CE157" s="46">
        <f>IF($Y$93="x",-1,IF(AND($Y$93=0,INDEX(KonZeile8,7)+INDEX(KonSpalte6,7)+INDEX(KonFeld6,7)=0),7,0))</f>
        <v>-1</v>
      </c>
      <c r="CF157" s="45">
        <f>IF($Y$93="x",-1,IF(AND($Y$93=0,INDEX(KonZeile8,8)+INDEX(KonSpalte6,8)+INDEX(KonFeld6,8)=0),8,0))</f>
        <v>-1</v>
      </c>
      <c r="CG157" s="48">
        <f>IF($Y$93="x",-1,IF(AND($Y$93=0,INDEX(KonZeile8,9)+INDEX(KonSpalte6,9)+INDEX(KonFeld6,9)=0),9,0))</f>
        <v>-1</v>
      </c>
      <c r="CH157" s="44">
        <f>IF($Z$93="x",-1,IF(AND($Z$93=0,INDEX(KonZeile8,7)+INDEX(KonSpalte7,7)+INDEX(KonFeld6,7)=0),7,0))</f>
        <v>-1</v>
      </c>
      <c r="CI157" s="45">
        <f>IF($Z$93="x",-1,IF(AND($Z$93=0,INDEX(KonZeile8,8)+INDEX(KonSpalte7,8)+INDEX(KonFeld6,8)=0),8,0))</f>
        <v>-1</v>
      </c>
      <c r="CJ157" s="47">
        <f>IF($Z$93="x",-1,IF(AND($Z$93=0,INDEX(KonZeile8,9)+INDEX(KonSpalte7,9)+INDEX(KonFeld6,9)=0),9,0))</f>
        <v>-1</v>
      </c>
      <c r="CK157" s="46">
        <f>IF($AA$93="x",-1,IF(AND($AA$93=0,INDEX(KonZeile8,7)+INDEX(KonSpalte8,7)+INDEX(KonFeld6,7)=0),7,0))</f>
        <v>-1</v>
      </c>
      <c r="CL157" s="45">
        <f>IF($AA$93="x",-1,IF(AND($AA$93=0,INDEX(KonZeile8,8)+INDEX(KonSpalte8,8)+INDEX(KonFeld6,8)=0),8,0))</f>
        <v>-1</v>
      </c>
      <c r="CM157" s="47">
        <f>IF($AA$93="x",-1,IF(AND($AA$93=0,INDEX(KonZeile8,9)+INDEX(KonSpalte8,9)+INDEX(KonFeld6,9)=0),9,0))</f>
        <v>-1</v>
      </c>
      <c r="CN157" s="46">
        <f>IF($AB$93="x",-1,IF(AND($AB$93=0,INDEX(KonZeile8,7)+INDEX(KonSpalte9,7)+INDEX(KonFeld6,7)=0),7,0))</f>
        <v>-1</v>
      </c>
      <c r="CO157" s="45">
        <f>IF($AB$93="x",-1,IF(AND($AB$93=0,INDEX(KonZeile8,8)+INDEX(KonSpalte9,8)+INDEX(KonFeld6,8)=0),8,0))</f>
        <v>-1</v>
      </c>
      <c r="CP157" s="100">
        <f>IF($AB$93="x",-1,IF(AND($AB$93=0,INDEX(KonZeile8,9)+INDEX(KonSpalte9,9)+INDEX(KonFeld6,9)=0),9,0))</f>
        <v>-1</v>
      </c>
      <c r="CR157" s="46">
        <f>COUNTIF(N157:CP157,7)</f>
        <v>0</v>
      </c>
      <c r="CS157" s="45">
        <f>COUNTIF(N157:CP157,8)</f>
        <v>0</v>
      </c>
      <c r="CT157" s="47">
        <f>COUNTIF(N157:CP157,9)</f>
        <v>0</v>
      </c>
      <c r="CU157" s="39"/>
      <c r="CV157" s="39"/>
      <c r="CX157" s="78">
        <f t="shared" si="270"/>
        <v>0</v>
      </c>
      <c r="CY157" s="79">
        <f t="shared" si="270"/>
        <v>0</v>
      </c>
      <c r="CZ157" s="80">
        <f t="shared" si="270"/>
        <v>0</v>
      </c>
      <c r="DJ157" s="106">
        <f t="shared" si="186"/>
        <v>-1</v>
      </c>
      <c r="DK157" s="55">
        <f t="shared" si="187"/>
        <v>-1</v>
      </c>
      <c r="DL157" s="56">
        <f t="shared" si="188"/>
        <v>-1</v>
      </c>
      <c r="DM157" s="57">
        <f t="shared" si="189"/>
        <v>-1</v>
      </c>
      <c r="DN157" s="55">
        <f t="shared" si="190"/>
        <v>-1</v>
      </c>
      <c r="DO157" s="56">
        <f t="shared" si="191"/>
        <v>-1</v>
      </c>
      <c r="DP157" s="57">
        <f t="shared" si="192"/>
        <v>-1</v>
      </c>
      <c r="DQ157" s="55">
        <f t="shared" si="193"/>
        <v>-1</v>
      </c>
      <c r="DR157" s="58">
        <f t="shared" si="194"/>
        <v>-1</v>
      </c>
      <c r="DS157" s="54">
        <f t="shared" si="195"/>
        <v>-1</v>
      </c>
      <c r="DT157" s="55">
        <f t="shared" si="196"/>
        <v>-1</v>
      </c>
      <c r="DU157" s="56">
        <f t="shared" si="197"/>
        <v>-1</v>
      </c>
      <c r="DV157" s="57">
        <f t="shared" si="198"/>
        <v>-1</v>
      </c>
      <c r="DW157" s="55">
        <f t="shared" si="199"/>
        <v>-1</v>
      </c>
      <c r="DX157" s="56">
        <f t="shared" si="200"/>
        <v>-1</v>
      </c>
      <c r="DY157" s="57">
        <f t="shared" si="201"/>
        <v>-1</v>
      </c>
      <c r="DZ157" s="55">
        <f t="shared" si="202"/>
        <v>-1</v>
      </c>
      <c r="EA157" s="58">
        <f t="shared" si="203"/>
        <v>-1</v>
      </c>
      <c r="EB157" s="54">
        <f t="shared" si="204"/>
        <v>-1</v>
      </c>
      <c r="EC157" s="55">
        <f t="shared" si="205"/>
        <v>-1</v>
      </c>
      <c r="ED157" s="56">
        <f t="shared" si="206"/>
        <v>-1</v>
      </c>
      <c r="EE157" s="57">
        <f t="shared" si="207"/>
        <v>-1</v>
      </c>
      <c r="EF157" s="55">
        <f t="shared" si="208"/>
        <v>-1</v>
      </c>
      <c r="EG157" s="56">
        <f t="shared" si="209"/>
        <v>-1</v>
      </c>
      <c r="EH157" s="57">
        <f t="shared" si="210"/>
        <v>-1</v>
      </c>
      <c r="EI157" s="55">
        <f t="shared" si="211"/>
        <v>-1</v>
      </c>
      <c r="EJ157" s="107">
        <f t="shared" si="212"/>
        <v>-1</v>
      </c>
      <c r="EK157" s="106">
        <f t="shared" si="213"/>
        <v>-1</v>
      </c>
      <c r="EL157" s="55">
        <f t="shared" si="214"/>
        <v>-1</v>
      </c>
      <c r="EM157" s="56">
        <f t="shared" si="215"/>
        <v>-1</v>
      </c>
      <c r="EN157" s="57">
        <f t="shared" si="216"/>
        <v>-1</v>
      </c>
      <c r="EO157" s="55">
        <f t="shared" si="217"/>
        <v>-1</v>
      </c>
      <c r="EP157" s="56">
        <f t="shared" si="218"/>
        <v>-1</v>
      </c>
      <c r="EQ157" s="57">
        <f t="shared" si="219"/>
        <v>-1</v>
      </c>
      <c r="ER157" s="55">
        <f t="shared" si="220"/>
        <v>-1</v>
      </c>
      <c r="ES157" s="58">
        <f t="shared" si="221"/>
        <v>-1</v>
      </c>
      <c r="ET157" s="54">
        <f t="shared" si="222"/>
        <v>-1</v>
      </c>
      <c r="EU157" s="55">
        <f t="shared" si="223"/>
        <v>-1</v>
      </c>
      <c r="EV157" s="56">
        <f t="shared" si="224"/>
        <v>-1</v>
      </c>
      <c r="EW157" s="57">
        <f t="shared" si="225"/>
        <v>-1</v>
      </c>
      <c r="EX157" s="55">
        <f t="shared" si="226"/>
        <v>-1</v>
      </c>
      <c r="EY157" s="56">
        <f t="shared" si="227"/>
        <v>-1</v>
      </c>
      <c r="EZ157" s="57">
        <f t="shared" si="228"/>
        <v>-1</v>
      </c>
      <c r="FA157" s="55">
        <f t="shared" si="229"/>
        <v>-1</v>
      </c>
      <c r="FB157" s="58">
        <f t="shared" si="230"/>
        <v>-1</v>
      </c>
      <c r="FC157" s="54">
        <f t="shared" si="231"/>
        <v>-1</v>
      </c>
      <c r="FD157" s="55">
        <f t="shared" si="232"/>
        <v>-1</v>
      </c>
      <c r="FE157" s="56">
        <f t="shared" si="233"/>
        <v>-1</v>
      </c>
      <c r="FF157" s="57">
        <f t="shared" si="234"/>
        <v>-1</v>
      </c>
      <c r="FG157" s="55">
        <f t="shared" si="235"/>
        <v>-1</v>
      </c>
      <c r="FH157" s="56">
        <f t="shared" si="236"/>
        <v>-1</v>
      </c>
      <c r="FI157" s="57">
        <f t="shared" si="237"/>
        <v>-1</v>
      </c>
      <c r="FJ157" s="55">
        <f t="shared" si="238"/>
        <v>-1</v>
      </c>
      <c r="FK157" s="107">
        <f t="shared" si="239"/>
        <v>-1</v>
      </c>
      <c r="FL157" s="106">
        <f t="shared" si="240"/>
        <v>-1</v>
      </c>
      <c r="FM157" s="55">
        <f t="shared" si="241"/>
        <v>-1</v>
      </c>
      <c r="FN157" s="56">
        <f t="shared" si="242"/>
        <v>-1</v>
      </c>
      <c r="FO157" s="57">
        <f t="shared" si="243"/>
        <v>-1</v>
      </c>
      <c r="FP157" s="55">
        <f t="shared" si="244"/>
        <v>-1</v>
      </c>
      <c r="FQ157" s="56">
        <f t="shared" si="245"/>
        <v>-1</v>
      </c>
      <c r="FR157" s="57">
        <f t="shared" si="246"/>
        <v>-1</v>
      </c>
      <c r="FS157" s="55">
        <f t="shared" si="247"/>
        <v>-1</v>
      </c>
      <c r="FT157" s="58">
        <f t="shared" si="248"/>
        <v>-1</v>
      </c>
      <c r="FU157" s="54">
        <f t="shared" si="249"/>
        <v>-1</v>
      </c>
      <c r="FV157" s="55">
        <f t="shared" si="250"/>
        <v>-1</v>
      </c>
      <c r="FW157" s="56">
        <f t="shared" si="251"/>
        <v>-1</v>
      </c>
      <c r="FX157" s="57">
        <f t="shared" si="252"/>
        <v>-1</v>
      </c>
      <c r="FY157" s="55">
        <f t="shared" si="253"/>
        <v>-1</v>
      </c>
      <c r="FZ157" s="56">
        <f t="shared" si="254"/>
        <v>-1</v>
      </c>
      <c r="GA157" s="57">
        <f t="shared" si="255"/>
        <v>-1</v>
      </c>
      <c r="GB157" s="55">
        <f t="shared" si="256"/>
        <v>-1</v>
      </c>
      <c r="GC157" s="58">
        <f t="shared" si="257"/>
        <v>-1</v>
      </c>
      <c r="GD157" s="54">
        <f t="shared" si="258"/>
        <v>-1</v>
      </c>
      <c r="GE157" s="55">
        <f t="shared" si="259"/>
        <v>-1</v>
      </c>
      <c r="GF157" s="56">
        <f t="shared" si="260"/>
        <v>-1</v>
      </c>
      <c r="GG157" s="57">
        <f t="shared" si="261"/>
        <v>-1</v>
      </c>
      <c r="GH157" s="55">
        <f t="shared" si="262"/>
        <v>-1</v>
      </c>
      <c r="GI157" s="56">
        <f t="shared" si="263"/>
        <v>-1</v>
      </c>
      <c r="GJ157" s="57">
        <f t="shared" si="264"/>
        <v>0</v>
      </c>
      <c r="GK157" s="55">
        <f t="shared" si="265"/>
        <v>0</v>
      </c>
      <c r="GL157" s="107">
        <f t="shared" si="266"/>
        <v>0</v>
      </c>
      <c r="GN157" s="46">
        <f>COUNTIF(DJ157:GL157,7)</f>
        <v>0</v>
      </c>
      <c r="GO157" s="45">
        <f>COUNTIF(DJ157:GL157,8)</f>
        <v>0</v>
      </c>
      <c r="GP157" s="47">
        <f>COUNTIF(DJ157:GL157,9)</f>
        <v>0</v>
      </c>
      <c r="GQ157" s="39"/>
      <c r="GR157" s="39"/>
      <c r="GT157" s="101">
        <f t="shared" si="267"/>
        <v>1</v>
      </c>
      <c r="GU157" s="102">
        <f t="shared" si="268"/>
        <v>2</v>
      </c>
      <c r="GV157" s="103">
        <f t="shared" si="269"/>
        <v>0</v>
      </c>
    </row>
    <row r="158" spans="2:204" ht="15" customHeight="1">
      <c r="N158" s="104">
        <f>IF($B$94="x",-1,IF(AND($B$94=0,INDEX(KonZeile9,1)+INDEX(KonSpalte1,1)+INDEX(KonFeld4,1)=0),1,0))</f>
        <v>-1</v>
      </c>
      <c r="O158" s="50">
        <f>IF($B$94="x",-1,IF(AND($B$94=0,INDEX(KonZeile9,2)+INDEX(KonSpalte1,2)+INDEX(KonFeld4,2)=0),2,0))</f>
        <v>-1</v>
      </c>
      <c r="P158" s="51">
        <f>IF($B$94="x",-1,IF(AND($B$94=0,INDEX(KonZeile9,3)+INDEX(KonSpalte1,3)+INDEX(KonFeld4,3)=0),3,0))</f>
        <v>-1</v>
      </c>
      <c r="Q158" s="52">
        <f>IF($C$94="x",-1,IF(AND($C$94=0,INDEX(KonZeile9,1)+INDEX(KonSpalte2,1)+INDEX(KonFeld4,1)=0),1,0))</f>
        <v>-1</v>
      </c>
      <c r="R158" s="50">
        <f>IF($C$94="x",-1,IF(AND($C$94=0,INDEX(KonZeile9,2)+INDEX(KonSpalte2,2)+INDEX(KonFeld4,2)=0),2,0))</f>
        <v>-1</v>
      </c>
      <c r="S158" s="51">
        <f>IF($C$94="x",-1,IF(AND($C$94=0,INDEX(KonZeile9,3)+INDEX(KonSpalte2,3)+INDEX(KonFeld4,3)=0),3,0))</f>
        <v>-1</v>
      </c>
      <c r="T158" s="52">
        <f>IF($D$94="x",-1,IF(AND($D$94=0,INDEX(KonZeile9,1)+INDEX(KonSpalte3,1)+INDEX(KonFeld4,1)=0),1,0))</f>
        <v>-1</v>
      </c>
      <c r="U158" s="50">
        <f>IF($D$94="x",-1,IF(AND($D$94=0,INDEX(KonZeile9,2)+INDEX(KonSpalte3,2)+INDEX(KonFeld4,2)=0),2,0))</f>
        <v>-1</v>
      </c>
      <c r="V158" s="53">
        <f>IF($D$94="x",-1,IF(AND($D$94=0,INDEX(KonZeile9,3)+INDEX(KonSpalte3,3)+INDEX(KonFeld4,3)=0),3,0))</f>
        <v>-1</v>
      </c>
      <c r="W158" s="49">
        <f>IF($E$94="x",-1,IF(AND($E$94=0,INDEX(KonZeile9,1)+INDEX(KonSpalte4,1)+INDEX(KonFeld4,1)=0),1,0))</f>
        <v>-1</v>
      </c>
      <c r="X158" s="50">
        <f>IF($E$94="x",-1,IF(AND($E$94=0,INDEX(KonZeile9,2)+INDEX(KonSpalte4,2)+INDEX(KonFeld4,2)=0),2,0))</f>
        <v>-1</v>
      </c>
      <c r="Y158" s="51">
        <f>IF($E$94="x",-1,IF(AND($E$94=0,INDEX(KonZeile9,3)+INDEX(KonSpalte4,3)+INDEX(KonFeld4,3)=0),3,0))</f>
        <v>-1</v>
      </c>
      <c r="Z158" s="52">
        <f>IF($F$94="x",-1,IF(AND($F$94=0,INDEX(KonZeile9,1)+INDEX(KonSpalte5,1)+INDEX(KonFeld4,1)=0),1,0))</f>
        <v>-1</v>
      </c>
      <c r="AA158" s="50">
        <f>IF($F$94="x",-1,IF(AND($F$94=0,INDEX(KonZeile9,2)+INDEX(KonSpalte5,2)+INDEX(KonFeld4,2)=0),2,0))</f>
        <v>-1</v>
      </c>
      <c r="AB158" s="51">
        <f>IF($F$94="x",-1,IF(AND($F$94=0,INDEX(KonZeile9,3)+INDEX(KonSpalte5,3)+INDEX(KonFeld4,3)=0),3,0))</f>
        <v>-1</v>
      </c>
      <c r="AC158" s="52">
        <f>IF($G$94="x",-1,IF(AND($G$94=0,INDEX(KonZeile9,1)+INDEX(KonSpalte6,1)+INDEX(KonFeld4,1)=0),1,0))</f>
        <v>-1</v>
      </c>
      <c r="AD158" s="50">
        <f>IF($G$94="x",-1,IF(AND($G$94=0,INDEX(KonZeile9,2)+INDEX(KonSpalte6,2)+INDEX(KonFeld4,2)=0),2,0))</f>
        <v>-1</v>
      </c>
      <c r="AE158" s="53">
        <f>IF($G$94="x",-1,IF(AND($G$94=0,INDEX(KonZeile9,3)+INDEX(KonSpalte6,3)+INDEX(KonFeld4,3)=0),3,0))</f>
        <v>-1</v>
      </c>
      <c r="AF158" s="49">
        <f>IF($H$94="x",-1,IF(AND($H$94=0,INDEX(KonZeile9,1)+INDEX(KonSpalte7,1)+INDEX(KonFeld4,1)=0),1,0))</f>
        <v>-1</v>
      </c>
      <c r="AG158" s="50">
        <f>IF($H$94="x",-1,IF(AND($H$94=0,INDEX(KonZeile9,2)+INDEX(KonSpalte7,2)+INDEX(KonFeld4,2)=0),2,0))</f>
        <v>-1</v>
      </c>
      <c r="AH158" s="51">
        <f>IF($H$94="x",-1,IF(AND($H$94=0,INDEX(KonZeile9,3)+INDEX(KonSpalte7,3)+INDEX(KonFeld4,3)=0),3,0))</f>
        <v>-1</v>
      </c>
      <c r="AI158" s="52">
        <f>IF($I$94="x",-1,IF(AND($I$94=0,INDEX(KonZeile9,1)+INDEX(KonSpalte8,1)+INDEX(KonFeld4,1)=0),1,0))</f>
        <v>-1</v>
      </c>
      <c r="AJ158" s="50">
        <f>IF($I$94="x",-1,IF(AND($I$94=0,INDEX(KonZeile9,2)+INDEX(KonSpalte8,2)+INDEX(KonFeld4,2)=0),2,0))</f>
        <v>-1</v>
      </c>
      <c r="AK158" s="51">
        <f>IF($I$94="x",-1,IF(AND($I$94=0,INDEX(KonZeile9,3)+INDEX(KonSpalte8,3)+INDEX(KonFeld4,3)=0),3,0))</f>
        <v>-1</v>
      </c>
      <c r="AL158" s="52">
        <f>IF($J$94="x",-1,IF(AND($J$94=0,INDEX(KonZeile9,1)+INDEX(KonSpalte9,1)+INDEX(KonFeld4,1)=0),1,0))</f>
        <v>-1</v>
      </c>
      <c r="AM158" s="50">
        <f>IF($J$94="x",-1,IF(AND($J$94=0,INDEX(KonZeile9,2)+INDEX(KonSpalte9,2)+INDEX(KonFeld4,2)=0),2,0))</f>
        <v>-1</v>
      </c>
      <c r="AN158" s="105">
        <f>IF($J$94="x",-1,IF(AND($J$94=0,INDEX(KonZeile9,3)+INDEX(KonSpalte9,3)+INDEX(KonFeld4,3)=0),3,0))</f>
        <v>-1</v>
      </c>
      <c r="AO158" s="104">
        <f>IF($K$94="x",-1,IF(AND($K$94=0,INDEX(KonZeile9,1)+INDEX(KonSpalte1,1)+INDEX(KonFeld5,1)=0),1,0))</f>
        <v>-1</v>
      </c>
      <c r="AP158" s="50">
        <f>IF($K$94="x",-1,IF(AND($K$94=0,INDEX(KonZeile9,2)+INDEX(KonSpalte1,2)+INDEX(KonFeld5,2)=0),2,0))</f>
        <v>-1</v>
      </c>
      <c r="AQ158" s="51">
        <f>IF($K$94="x",-1,IF(AND($K$94=0,INDEX(KonZeile9,3)+INDEX(KonSpalte1,3)+INDEX(KonFeld5,3)=0),3,0))</f>
        <v>-1</v>
      </c>
      <c r="AR158" s="52">
        <f>IF($L$94="x",-1,IF(AND($L$94=0,INDEX(KonZeile9,1)+INDEX(KonSpalte2,1)+INDEX(KonFeld5,1)=0),1,0))</f>
        <v>-1</v>
      </c>
      <c r="AS158" s="50">
        <f>IF($L$94="x",-1,IF(AND($L$94=0,INDEX(KonZeile9,2)+INDEX(KonSpalte2,2)+INDEX(KonFeld5,2)=0),2,0))</f>
        <v>-1</v>
      </c>
      <c r="AT158" s="51">
        <f>IF($L$94="x",-1,IF(AND($L$94=0,INDEX(KonZeile9,3)+INDEX(KonSpalte2,3)+INDEX(KonFeld5,3)=0),3,0))</f>
        <v>-1</v>
      </c>
      <c r="AU158" s="52">
        <f>IF($M$94="x",-1,IF(AND($M$94=0,INDEX(KonZeile9,1)+INDEX(KonSpalte3,1)+INDEX(KonFeld5,1)=0),1,0))</f>
        <v>-1</v>
      </c>
      <c r="AV158" s="50">
        <f>IF($M$94="x",-1,IF(AND($M$94=0,INDEX(KonZeile9,2)+INDEX(KonSpalte3,2)+INDEX(KonFeld5,2)=0),2,0))</f>
        <v>-1</v>
      </c>
      <c r="AW158" s="53">
        <f>IF($M$94="x",-1,IF(AND($M$94=0,INDEX(KonZeile9,3)+INDEX(KonSpalte3,3)+INDEX(KonFeld5,3)=0),3,0))</f>
        <v>-1</v>
      </c>
      <c r="AX158" s="49">
        <f>IF($N$94="x",-1,IF(AND($N$94=0,INDEX(KonZeile9,1)+INDEX(KonSpalte4,1)+INDEX(KonFeld5,1)=0),1,0))</f>
        <v>-1</v>
      </c>
      <c r="AY158" s="50">
        <f>IF($N$94="x",-1,IF(AND($N$94=0,INDEX(KonZeile9,2)+INDEX(KonSpalte4,2)+INDEX(KonFeld5,2)=0),2,0))</f>
        <v>-1</v>
      </c>
      <c r="AZ158" s="51">
        <f>IF($N$94="x",-1,IF(AND($N$94=0,INDEX(KonZeile9,3)+INDEX(KonSpalte4,3)+INDEX(KonFeld5,3)=0),3,0))</f>
        <v>-1</v>
      </c>
      <c r="BA158" s="52">
        <f>IF($O$94="x",-1,IF(AND($O$94=0,INDEX(KonZeile9,1)+INDEX(KonSpalte5,1)+INDEX(KonFeld5,1)=0),1,0))</f>
        <v>-1</v>
      </c>
      <c r="BB158" s="50">
        <f>IF($O$94="x",-1,IF(AND($O$94=0,INDEX(KonZeile9,2)+INDEX(KonSpalte5,2)+INDEX(KonFeld5,2)=0),2,0))</f>
        <v>-1</v>
      </c>
      <c r="BC158" s="51">
        <f>IF($O$94="x",-1,IF(AND($O$94=0,INDEX(KonZeile9,3)+INDEX(KonSpalte5,3)+INDEX(KonFeld5,3)=0),3,0))</f>
        <v>-1</v>
      </c>
      <c r="BD158" s="52">
        <f>IF($P$94="x",-1,IF(AND($P$94=0,INDEX(KonZeile9,1)+INDEX(KonSpalte6,1)+INDEX(KonFeld5,1)=0),1,0))</f>
        <v>-1</v>
      </c>
      <c r="BE158" s="50">
        <f>IF($P$94="x",-1,IF(AND($P$94=0,INDEX(KonZeile9,2)+INDEX(KonSpalte6,2)+INDEX(KonFeld5,2)=0),2,0))</f>
        <v>-1</v>
      </c>
      <c r="BF158" s="53">
        <f>IF($P$94="x",-1,IF(AND($P$94=0,INDEX(KonZeile9,3)+INDEX(KonSpalte6,3)+INDEX(KonFeld5,3)=0),3,0))</f>
        <v>-1</v>
      </c>
      <c r="BG158" s="49">
        <f>IF($Q$94="x",-1,IF(AND($Q$94=0,INDEX(KonZeile9,1)+INDEX(KonSpalte7,1)+INDEX(KonFeld5,1)=0),1,0))</f>
        <v>-1</v>
      </c>
      <c r="BH158" s="50">
        <f>IF($Q$94="x",-1,IF(AND($Q$94=0,INDEX(KonZeile9,2)+INDEX(KonSpalte7,2)+INDEX(KonFeld5,2)=0),2,0))</f>
        <v>-1</v>
      </c>
      <c r="BI158" s="51">
        <f>IF($Q$94="x",-1,IF(AND($Q$94=0,INDEX(KonZeile9,3)+INDEX(KonSpalte7,3)+INDEX(KonFeld5,3)=0),3,0))</f>
        <v>-1</v>
      </c>
      <c r="BJ158" s="52">
        <f>IF($R$94="x",-1,IF(AND($R$94=0,INDEX(KonZeile9,1)+INDEX(KonSpalte8,1)+INDEX(KonFeld5,1)=0),1,0))</f>
        <v>-1</v>
      </c>
      <c r="BK158" s="50">
        <f>IF($R$94="x",-1,IF(AND($R$94=0,INDEX(KonZeile9,2)+INDEX(KonSpalte8,2)+INDEX(KonFeld5,2)=0),2,0))</f>
        <v>-1</v>
      </c>
      <c r="BL158" s="51">
        <f>IF($R$94="x",-1,IF(AND($R$94=0,INDEX(KonZeile9,3)+INDEX(KonSpalte8,3)+INDEX(KonFeld5,3)=0),3,0))</f>
        <v>-1</v>
      </c>
      <c r="BM158" s="52">
        <f>IF($S$94="x",-1,IF(AND($S$94=0,INDEX(KonZeile9,1)+INDEX(KonSpalte9,1)+INDEX(KonFeld5,1)=0),1,0))</f>
        <v>-1</v>
      </c>
      <c r="BN158" s="50">
        <f>IF($S$94="x",-1,IF(AND($S$94=0,INDEX(KonZeile9,2)+INDEX(KonSpalte9,2)+INDEX(KonFeld5,2)=0),2,0))</f>
        <v>-1</v>
      </c>
      <c r="BO158" s="105">
        <f>IF($S$94="x",-1,IF(AND($S$94=0,INDEX(KonZeile9,3)+INDEX(KonSpalte9,3)+INDEX(KonFeld5,3)=0),3,0))</f>
        <v>-1</v>
      </c>
      <c r="BP158" s="104">
        <f>IF($T$94="x",-1,IF(AND($T$94=0,INDEX(KonZeile9,1)+INDEX(KonSpalte1,1)+INDEX(KonFeld6,1)=0),1,0))</f>
        <v>-1</v>
      </c>
      <c r="BQ158" s="50">
        <f>IF($T$94="x",-1,IF(AND($T$94=0,INDEX(KonZeile9,2)+INDEX(KonSpalte1,2)+INDEX(KonFeld6,2)=0),2,0))</f>
        <v>-1</v>
      </c>
      <c r="BR158" s="51">
        <f>IF($T$94="x",-1,IF(AND($T$94=0,INDEX(KonZeile9,3)+INDEX(KonSpalte1,3)+INDEX(KonFeld6,3)=0),3,0))</f>
        <v>-1</v>
      </c>
      <c r="BS158" s="52">
        <f>IF($U$94="x",-1,IF(AND($U$94=0,INDEX(KonZeile9,1)+INDEX(KonSpalte2,1)+INDEX(KonFeld6,1)=0),1,0))</f>
        <v>-1</v>
      </c>
      <c r="BT158" s="50">
        <f>IF($U$94="x",-1,IF(AND($U$94=0,INDEX(KonZeile9,2)+INDEX(KonSpalte2,2)+INDEX(KonFeld6,2)=0),2,0))</f>
        <v>-1</v>
      </c>
      <c r="BU158" s="51">
        <f>IF($U$94="x",-1,IF(AND($U$94=0,INDEX(KonZeile9,3)+INDEX(KonSpalte2,3)+INDEX(KonFeld6,3)=0),3,0))</f>
        <v>-1</v>
      </c>
      <c r="BV158" s="52">
        <f>IF($V$94="x",-1,IF(AND($V$94=0,INDEX(KonZeile9,1)+INDEX(KonSpalte3,1)+INDEX(KonFeld6,1)=0),1,0))</f>
        <v>-1</v>
      </c>
      <c r="BW158" s="50">
        <f>IF($V$94="x",-1,IF(AND($V$94=0,INDEX(KonZeile9,2)+INDEX(KonSpalte3,2)+INDEX(KonFeld6,2)=0),2,0))</f>
        <v>-1</v>
      </c>
      <c r="BX158" s="53">
        <f>IF($V$94="x",-1,IF(AND($V$94=0,INDEX(KonZeile9,3)+INDEX(KonSpalte3,3)+INDEX(KonFeld6,3)=0),3,0))</f>
        <v>-1</v>
      </c>
      <c r="BY158" s="49">
        <f>IF($W$94="x",-1,IF(AND($W$94=0,INDEX(KonZeile9,1)+INDEX(KonSpalte4,1)+INDEX(KonFeld6,1)=0),1,0))</f>
        <v>-1</v>
      </c>
      <c r="BZ158" s="50">
        <f>IF($W$94="x",-1,IF(AND($W$94=0,INDEX(KonZeile9,2)+INDEX(KonSpalte4,2)+INDEX(KonFeld6,2)=0),2,0))</f>
        <v>-1</v>
      </c>
      <c r="CA158" s="51">
        <f>IF($W$94="x",-1,IF(AND($W$94=0,INDEX(KonZeile9,3)+INDEX(KonSpalte4,3)+INDEX(KonFeld6,3)=0),3,0))</f>
        <v>-1</v>
      </c>
      <c r="CB158" s="52">
        <f>IF($X$94="x",-1,IF(AND($X$94=0,INDEX(KonZeile9,1)+INDEX(KonSpalte5,1)+INDEX(KonFeld6,1)=0),1,0))</f>
        <v>-1</v>
      </c>
      <c r="CC158" s="50">
        <f>IF($X$94="x",-1,IF(AND($X$94=0,INDEX(KonZeile9,2)+INDEX(KonSpalte5,2)+INDEX(KonFeld6,2)=0),2,0))</f>
        <v>-1</v>
      </c>
      <c r="CD158" s="51">
        <f>IF($X$94="x",-1,IF(AND($X$94=0,INDEX(KonZeile9,3)+INDEX(KonSpalte5,3)+INDEX(KonFeld6,3)=0),3,0))</f>
        <v>-1</v>
      </c>
      <c r="CE158" s="52">
        <f>IF($Y$94="x",-1,IF(AND($Y$94=0,INDEX(KonZeile9,1)+INDEX(KonSpalte6,1)+INDEX(KonFeld6,1)=0),1,0))</f>
        <v>-1</v>
      </c>
      <c r="CF158" s="50">
        <f>IF($Y$94="x",-1,IF(AND($Y$94=0,INDEX(KonZeile9,2)+INDEX(KonSpalte6,2)+INDEX(KonFeld6,2)=0),2,0))</f>
        <v>-1</v>
      </c>
      <c r="CG158" s="53">
        <f>IF($Y$94="x",-1,IF(AND($Y$94=0,INDEX(KonZeile9,3)+INDEX(KonSpalte6,3)+INDEX(KonFeld6,3)=0),3,0))</f>
        <v>-1</v>
      </c>
      <c r="CH158" s="49">
        <f>IF($Z$94="x",-1,IF(AND($Z$94=0,INDEX(KonZeile9,1)+INDEX(KonSpalte7,1)+INDEX(KonFeld6,1)=0),1,0))</f>
        <v>-1</v>
      </c>
      <c r="CI158" s="50">
        <f>IF($Z$94="x",-1,IF(AND($Z$94=0,INDEX(KonZeile9,2)+INDEX(KonSpalte7,2)+INDEX(KonFeld6,2)=0),2,0))</f>
        <v>-1</v>
      </c>
      <c r="CJ158" s="51">
        <f>IF($Z$94="x",-1,IF(AND($Z$94=0,INDEX(KonZeile9,3)+INDEX(KonSpalte7,3)+INDEX(KonFeld6,3)=0),3,0))</f>
        <v>-1</v>
      </c>
      <c r="CK158" s="52">
        <f>IF($AA$94="x",-1,IF(AND($AA$94=0,INDEX(KonZeile9,1)+INDEX(KonSpalte8,1)+INDEX(KonFeld6,1)=0),1,0))</f>
        <v>-1</v>
      </c>
      <c r="CL158" s="50">
        <f>IF($AA$94="x",-1,IF(AND($AA$94=0,INDEX(KonZeile9,2)+INDEX(KonSpalte8,2)+INDEX(KonFeld6,2)=0),2,0))</f>
        <v>-1</v>
      </c>
      <c r="CM158" s="51">
        <f>IF($AA$94="x",-1,IF(AND($AA$94=0,INDEX(KonZeile9,3)+INDEX(KonSpalte8,3)+INDEX(KonFeld6,3)=0),3,0))</f>
        <v>-1</v>
      </c>
      <c r="CN158" s="52">
        <f>IF($AB$94="x",-1,IF(AND($AB$94=0,INDEX(KonZeile9,1)+INDEX(KonSpalte9,1)+INDEX(KonFeld6,1)=0),1,0))</f>
        <v>-1</v>
      </c>
      <c r="CO158" s="50">
        <f>IF($AB$94="x",-1,IF(AND($AB$94=0,INDEX(KonZeile9,2)+INDEX(KonSpalte9,2)+INDEX(KonFeld6,2)=0),2,0))</f>
        <v>-1</v>
      </c>
      <c r="CP158" s="105">
        <f>IF($AB$94="x",-1,IF(AND($AB$94=0,INDEX(KonZeile9,3)+INDEX(KonSpalte9,3)+INDEX(KonFeld6,3)=0),3,0))</f>
        <v>-1</v>
      </c>
      <c r="CR158" s="52">
        <f>COUNTIF(N158:CP158,1)</f>
        <v>0</v>
      </c>
      <c r="CS158" s="50">
        <f>COUNTIF(N158:CP158,2)</f>
        <v>0</v>
      </c>
      <c r="CT158" s="51">
        <f>COUNTIF(N158:CP158,3)</f>
        <v>0</v>
      </c>
      <c r="CU158" s="39"/>
      <c r="CV158" s="39"/>
      <c r="CX158" s="65">
        <f t="shared" si="270"/>
        <v>0</v>
      </c>
      <c r="CY158" s="66">
        <f t="shared" si="270"/>
        <v>0</v>
      </c>
      <c r="CZ158" s="67">
        <f t="shared" si="270"/>
        <v>0</v>
      </c>
      <c r="DJ158" s="108">
        <f t="shared" si="186"/>
        <v>-1</v>
      </c>
      <c r="DK158" s="37">
        <f t="shared" si="187"/>
        <v>-1</v>
      </c>
      <c r="DL158" s="35">
        <f t="shared" si="188"/>
        <v>-1</v>
      </c>
      <c r="DM158" s="36">
        <f t="shared" si="189"/>
        <v>-1</v>
      </c>
      <c r="DN158" s="37">
        <f t="shared" si="190"/>
        <v>-1</v>
      </c>
      <c r="DO158" s="35">
        <f t="shared" si="191"/>
        <v>-1</v>
      </c>
      <c r="DP158" s="36">
        <f t="shared" si="192"/>
        <v>-1</v>
      </c>
      <c r="DQ158" s="37">
        <f t="shared" si="193"/>
        <v>-1</v>
      </c>
      <c r="DR158" s="38">
        <f t="shared" si="194"/>
        <v>-1</v>
      </c>
      <c r="DS158" s="416">
        <f t="shared" si="195"/>
        <v>-1</v>
      </c>
      <c r="DT158" s="37">
        <f t="shared" si="196"/>
        <v>-1</v>
      </c>
      <c r="DU158" s="35">
        <f t="shared" si="197"/>
        <v>-1</v>
      </c>
      <c r="DV158" s="36">
        <f t="shared" si="198"/>
        <v>-1</v>
      </c>
      <c r="DW158" s="37">
        <f t="shared" si="199"/>
        <v>-1</v>
      </c>
      <c r="DX158" s="35">
        <f t="shared" si="200"/>
        <v>-1</v>
      </c>
      <c r="DY158" s="36">
        <f t="shared" si="201"/>
        <v>-1</v>
      </c>
      <c r="DZ158" s="37">
        <f t="shared" si="202"/>
        <v>-1</v>
      </c>
      <c r="EA158" s="38">
        <f t="shared" si="203"/>
        <v>-1</v>
      </c>
      <c r="EB158" s="416">
        <f t="shared" si="204"/>
        <v>-1</v>
      </c>
      <c r="EC158" s="37">
        <f t="shared" si="205"/>
        <v>-1</v>
      </c>
      <c r="ED158" s="35">
        <f t="shared" si="206"/>
        <v>-1</v>
      </c>
      <c r="EE158" s="36">
        <f t="shared" si="207"/>
        <v>-1</v>
      </c>
      <c r="EF158" s="37">
        <f t="shared" si="208"/>
        <v>-1</v>
      </c>
      <c r="EG158" s="35">
        <f t="shared" si="209"/>
        <v>-1</v>
      </c>
      <c r="EH158" s="36">
        <f t="shared" si="210"/>
        <v>-1</v>
      </c>
      <c r="EI158" s="37">
        <f t="shared" si="211"/>
        <v>-1</v>
      </c>
      <c r="EJ158" s="109">
        <f t="shared" si="212"/>
        <v>-1</v>
      </c>
      <c r="EK158" s="108">
        <f t="shared" si="213"/>
        <v>-1</v>
      </c>
      <c r="EL158" s="37">
        <f t="shared" si="214"/>
        <v>-1</v>
      </c>
      <c r="EM158" s="35">
        <f t="shared" si="215"/>
        <v>-1</v>
      </c>
      <c r="EN158" s="36">
        <f t="shared" si="216"/>
        <v>-1</v>
      </c>
      <c r="EO158" s="37">
        <f t="shared" si="217"/>
        <v>-1</v>
      </c>
      <c r="EP158" s="35">
        <f t="shared" si="218"/>
        <v>-1</v>
      </c>
      <c r="EQ158" s="36">
        <f t="shared" si="219"/>
        <v>-1</v>
      </c>
      <c r="ER158" s="37">
        <f t="shared" si="220"/>
        <v>-1</v>
      </c>
      <c r="ES158" s="38">
        <f t="shared" si="221"/>
        <v>-1</v>
      </c>
      <c r="ET158" s="416">
        <f t="shared" si="222"/>
        <v>-1</v>
      </c>
      <c r="EU158" s="37">
        <f t="shared" si="223"/>
        <v>-1</v>
      </c>
      <c r="EV158" s="35">
        <f t="shared" si="224"/>
        <v>-1</v>
      </c>
      <c r="EW158" s="36">
        <f t="shared" si="225"/>
        <v>-1</v>
      </c>
      <c r="EX158" s="37">
        <f t="shared" si="226"/>
        <v>-1</v>
      </c>
      <c r="EY158" s="35">
        <f t="shared" si="227"/>
        <v>-1</v>
      </c>
      <c r="EZ158" s="36">
        <f t="shared" si="228"/>
        <v>-1</v>
      </c>
      <c r="FA158" s="37">
        <f t="shared" si="229"/>
        <v>-1</v>
      </c>
      <c r="FB158" s="38">
        <f t="shared" si="230"/>
        <v>-1</v>
      </c>
      <c r="FC158" s="416">
        <f t="shared" si="231"/>
        <v>-1</v>
      </c>
      <c r="FD158" s="37">
        <f t="shared" si="232"/>
        <v>-1</v>
      </c>
      <c r="FE158" s="35">
        <f t="shared" si="233"/>
        <v>-1</v>
      </c>
      <c r="FF158" s="36">
        <f t="shared" si="234"/>
        <v>-1</v>
      </c>
      <c r="FG158" s="37">
        <f t="shared" si="235"/>
        <v>-1</v>
      </c>
      <c r="FH158" s="35">
        <f t="shared" si="236"/>
        <v>-1</v>
      </c>
      <c r="FI158" s="36">
        <f t="shared" si="237"/>
        <v>-1</v>
      </c>
      <c r="FJ158" s="37">
        <f t="shared" si="238"/>
        <v>-1</v>
      </c>
      <c r="FK158" s="109">
        <f t="shared" si="239"/>
        <v>-1</v>
      </c>
      <c r="FL158" s="108">
        <f t="shared" si="240"/>
        <v>-1</v>
      </c>
      <c r="FM158" s="37">
        <f t="shared" si="241"/>
        <v>-1</v>
      </c>
      <c r="FN158" s="35">
        <f t="shared" si="242"/>
        <v>-1</v>
      </c>
      <c r="FO158" s="36">
        <f t="shared" si="243"/>
        <v>-1</v>
      </c>
      <c r="FP158" s="37">
        <f t="shared" si="244"/>
        <v>-1</v>
      </c>
      <c r="FQ158" s="35">
        <f t="shared" si="245"/>
        <v>-1</v>
      </c>
      <c r="FR158" s="36">
        <f t="shared" si="246"/>
        <v>-1</v>
      </c>
      <c r="FS158" s="37">
        <f t="shared" si="247"/>
        <v>-1</v>
      </c>
      <c r="FT158" s="38">
        <f t="shared" si="248"/>
        <v>-1</v>
      </c>
      <c r="FU158" s="416">
        <f t="shared" si="249"/>
        <v>-1</v>
      </c>
      <c r="FV158" s="37">
        <f t="shared" si="250"/>
        <v>-1</v>
      </c>
      <c r="FW158" s="35">
        <f t="shared" si="251"/>
        <v>-1</v>
      </c>
      <c r="FX158" s="36">
        <f t="shared" si="252"/>
        <v>-1</v>
      </c>
      <c r="FY158" s="37">
        <f t="shared" si="253"/>
        <v>-1</v>
      </c>
      <c r="FZ158" s="35">
        <f t="shared" si="254"/>
        <v>-1</v>
      </c>
      <c r="GA158" s="36">
        <f t="shared" si="255"/>
        <v>-1</v>
      </c>
      <c r="GB158" s="37">
        <f t="shared" si="256"/>
        <v>-1</v>
      </c>
      <c r="GC158" s="38">
        <f t="shared" si="257"/>
        <v>-1</v>
      </c>
      <c r="GD158" s="416">
        <f t="shared" si="258"/>
        <v>-1</v>
      </c>
      <c r="GE158" s="37">
        <f t="shared" si="259"/>
        <v>-1</v>
      </c>
      <c r="GF158" s="35">
        <f t="shared" si="260"/>
        <v>-1</v>
      </c>
      <c r="GG158" s="36">
        <f t="shared" si="261"/>
        <v>-1</v>
      </c>
      <c r="GH158" s="37">
        <f t="shared" si="262"/>
        <v>-1</v>
      </c>
      <c r="GI158" s="35">
        <f t="shared" si="263"/>
        <v>-1</v>
      </c>
      <c r="GJ158" s="36">
        <f t="shared" si="264"/>
        <v>0</v>
      </c>
      <c r="GK158" s="37">
        <f t="shared" si="265"/>
        <v>0</v>
      </c>
      <c r="GL158" s="109">
        <f t="shared" si="266"/>
        <v>0</v>
      </c>
      <c r="GN158" s="52">
        <f>COUNTIF(DJ158:GL158,1)</f>
        <v>0</v>
      </c>
      <c r="GO158" s="50">
        <f>COUNTIF(DJ158:GL158,2)</f>
        <v>0</v>
      </c>
      <c r="GP158" s="51">
        <f>COUNTIF(DJ158:GL158,3)</f>
        <v>0</v>
      </c>
      <c r="GQ158" s="39"/>
      <c r="GR158" s="39"/>
      <c r="GT158" s="91">
        <f t="shared" si="267"/>
        <v>3</v>
      </c>
      <c r="GU158" s="92">
        <f t="shared" si="268"/>
        <v>0</v>
      </c>
      <c r="GV158" s="93">
        <f t="shared" si="269"/>
        <v>1</v>
      </c>
    </row>
    <row r="159" spans="2:204" ht="15" customHeight="1">
      <c r="N159" s="94">
        <f>IF($B$94="x",-1,IF(AND($B$94=0,INDEX(KonZeile9,4)+INDEX(KonSpalte1,4)+INDEX(KonFeld4,4)=0),4,0))</f>
        <v>-1</v>
      </c>
      <c r="O159" s="39">
        <f>IF($B$94="x",-1,IF(AND($B$94=0,INDEX(KonZeile9,5)+INDEX(KonSpalte1,5)+INDEX(KonFeld4,5)=0),5,0))</f>
        <v>-1</v>
      </c>
      <c r="P159" s="41">
        <f>IF($B$94="x",-1,IF(AND($B$94=0,INDEX(KonZeile9,6)+INDEX(KonSpalte1,6)+INDEX(KonFeld4,6)=0),6,0))</f>
        <v>-1</v>
      </c>
      <c r="Q159" s="40">
        <f>IF($C$94="x",-1,IF(AND($C$94=0,INDEX(KonZeile9,4)+INDEX(KonSpalte2,4)+INDEX(KonFeld4,4)=0),4,0))</f>
        <v>-1</v>
      </c>
      <c r="R159" s="39">
        <f>IF($C$94="x",-1,IF(AND($C$94=0,INDEX(KonZeile9,5)+INDEX(KonSpalte2,5)+INDEX(KonFeld4,5)=0),5,0))</f>
        <v>-1</v>
      </c>
      <c r="S159" s="41">
        <f>IF($C$94="x",-1,IF(AND($C$94=0,INDEX(KonZeile9,6)+INDEX(KonSpalte2,6)+INDEX(KonFeld4,6)=0),6,0))</f>
        <v>-1</v>
      </c>
      <c r="T159" s="40">
        <f>IF($D$94="x",-1,IF(AND($D$94=0,INDEX(KonZeile9,4)+INDEX(KonSpalte3,4)+INDEX(KonFeld4,4)=0),4,0))</f>
        <v>-1</v>
      </c>
      <c r="U159" s="39">
        <f>IF($D$94="x",-1,IF(AND($D$94=0,INDEX(KonZeile9,5)+INDEX(KonSpalte3,5)+INDEX(KonFeld4,5)=0),5,0))</f>
        <v>-1</v>
      </c>
      <c r="V159" s="42">
        <f>IF($D$94="x",-1,IF(AND($D$94=0,INDEX(KonZeile9,6)+INDEX(KonSpalte3,6)+INDEX(KonFeld4,6)=0),6,0))</f>
        <v>-1</v>
      </c>
      <c r="W159" s="43">
        <f>IF($E$94="x",-1,IF(AND($E$94=0,INDEX(KonZeile9,4)+INDEX(KonSpalte4,4)+INDEX(KonFeld4,4)=0),4,0))</f>
        <v>-1</v>
      </c>
      <c r="X159" s="39">
        <f>IF($E$94="x",-1,IF(AND($E$94=0,INDEX(KonZeile9,5)+INDEX(KonSpalte4,5)+INDEX(KonFeld4,5)=0),5,0))</f>
        <v>-1</v>
      </c>
      <c r="Y159" s="41">
        <f>IF($E$94="x",-1,IF(AND($E$94=0,INDEX(KonZeile9,6)+INDEX(KonSpalte4,6)+INDEX(KonFeld4,6)=0),6,0))</f>
        <v>-1</v>
      </c>
      <c r="Z159" s="40">
        <f>IF($F$94="x",-1,IF(AND($F$94=0,INDEX(KonZeile9,4)+INDEX(KonSpalte5,4)+INDEX(KonFeld4,4)=0),4,0))</f>
        <v>-1</v>
      </c>
      <c r="AA159" s="39">
        <f>IF($F$94="x",-1,IF(AND($F$94=0,INDEX(KonZeile9,5)+INDEX(KonSpalte5,5)+INDEX(KonFeld4,5)=0),5,0))</f>
        <v>-1</v>
      </c>
      <c r="AB159" s="41">
        <f>IF($F$94="x",-1,IF(AND($F$94=0,INDEX(KonZeile9,6)+INDEX(KonSpalte5,6)+INDEX(KonFeld4,6)=0),6,0))</f>
        <v>-1</v>
      </c>
      <c r="AC159" s="40">
        <f>IF($G$94="x",-1,IF(AND($G$94=0,INDEX(KonZeile9,4)+INDEX(KonSpalte6,4)+INDEX(KonFeld4,4)=0),4,0))</f>
        <v>-1</v>
      </c>
      <c r="AD159" s="39">
        <f>IF($G$94="x",-1,IF(AND($G$94=0,INDEX(KonZeile9,5)+INDEX(KonSpalte6,5)+INDEX(KonFeld4,5)=0),5,0))</f>
        <v>-1</v>
      </c>
      <c r="AE159" s="42">
        <f>IF($G$94="x",-1,IF(AND($G$94=0,INDEX(KonZeile9,6)+INDEX(KonSpalte6,6)+INDEX(KonFeld4,6)=0),6,0))</f>
        <v>-1</v>
      </c>
      <c r="AF159" s="43">
        <f>IF($H$94="x",-1,IF(AND($H$94=0,INDEX(KonZeile9,4)+INDEX(KonSpalte7,4)+INDEX(KonFeld4,4)=0),4,0))</f>
        <v>-1</v>
      </c>
      <c r="AG159" s="39">
        <f>IF($H$94="x",-1,IF(AND($H$94=0,INDEX(KonZeile9,5)+INDEX(KonSpalte7,5)+INDEX(KonFeld4,5)=0),5,0))</f>
        <v>-1</v>
      </c>
      <c r="AH159" s="41">
        <f>IF($H$94="x",-1,IF(AND($H$94=0,INDEX(KonZeile9,6)+INDEX(KonSpalte7,6)+INDEX(KonFeld4,6)=0),6,0))</f>
        <v>-1</v>
      </c>
      <c r="AI159" s="40">
        <f>IF($I$94="x",-1,IF(AND($I$94=0,INDEX(KonZeile9,4)+INDEX(KonSpalte8,4)+INDEX(KonFeld4,4)=0),4,0))</f>
        <v>-1</v>
      </c>
      <c r="AJ159" s="39">
        <f>IF($I$94="x",-1,IF(AND($I$94=0,INDEX(KonZeile9,5)+INDEX(KonSpalte8,5)+INDEX(KonFeld4,5)=0),5,0))</f>
        <v>-1</v>
      </c>
      <c r="AK159" s="41">
        <f>IF($I$94="x",-1,IF(AND($I$94=0,INDEX(KonZeile9,6)+INDEX(KonSpalte8,6)+INDEX(KonFeld4,6)=0),6,0))</f>
        <v>-1</v>
      </c>
      <c r="AL159" s="40">
        <f>IF($J$94="x",-1,IF(AND($J$94=0,INDEX(KonZeile9,4)+INDEX(KonSpalte9,4)+INDEX(KonFeld4,4)=0),4,0))</f>
        <v>-1</v>
      </c>
      <c r="AM159" s="39">
        <f>IF($J$94="x",-1,IF(AND($J$94=0,INDEX(KonZeile9,5)+INDEX(KonSpalte9,5)+INDEX(KonFeld4,5)=0),5,0))</f>
        <v>-1</v>
      </c>
      <c r="AN159" s="95">
        <f>IF($J$94="x",-1,IF(AND($J$94=0,INDEX(KonZeile9,6)+INDEX(KonSpalte9,6)+INDEX(KonFeld4,6)=0),6,0))</f>
        <v>-1</v>
      </c>
      <c r="AO159" s="94">
        <f>IF($K$94="x",-1,IF(AND($K$94=0,INDEX(KonZeile9,4)+INDEX(KonSpalte1,4)+INDEX(KonFeld5,4)=0),4,0))</f>
        <v>-1</v>
      </c>
      <c r="AP159" s="39">
        <f>IF($K$94="x",-1,IF(AND($K$94=0,INDEX(KonZeile9,5)+INDEX(KonSpalte1,5)+INDEX(KonFeld5,5)=0),5,0))</f>
        <v>-1</v>
      </c>
      <c r="AQ159" s="41">
        <f>IF($K$94="x",-1,IF(AND($K$94=0,INDEX(KonZeile9,6)+INDEX(KonSpalte1,6)+INDEX(KonFeld5,6)=0),6,0))</f>
        <v>-1</v>
      </c>
      <c r="AR159" s="40">
        <f>IF($L$94="x",-1,IF(AND($L$94=0,INDEX(KonZeile9,4)+INDEX(KonSpalte2,4)+INDEX(KonFeld5,4)=0),4,0))</f>
        <v>-1</v>
      </c>
      <c r="AS159" s="39">
        <f>IF($L$94="x",-1,IF(AND($L$94=0,INDEX(KonZeile9,5)+INDEX(KonSpalte2,5)+INDEX(KonFeld5,5)=0),5,0))</f>
        <v>-1</v>
      </c>
      <c r="AT159" s="41">
        <f>IF($L$94="x",-1,IF(AND($L$94=0,INDEX(KonZeile9,6)+INDEX(KonSpalte2,6)+INDEX(KonFeld5,6)=0),6,0))</f>
        <v>-1</v>
      </c>
      <c r="AU159" s="40">
        <f>IF($M$94="x",-1,IF(AND($M$94=0,INDEX(KonZeile9,4)+INDEX(KonSpalte3,4)+INDEX(KonFeld5,4)=0),4,0))</f>
        <v>-1</v>
      </c>
      <c r="AV159" s="39">
        <f>IF($M$94="x",-1,IF(AND($M$94=0,INDEX(KonZeile9,5)+INDEX(KonSpalte3,5)+INDEX(KonFeld5,5)=0),5,0))</f>
        <v>-1</v>
      </c>
      <c r="AW159" s="42">
        <f>IF($M$94="x",-1,IF(AND($M$94=0,INDEX(KonZeile9,6)+INDEX(KonSpalte3,6)+INDEX(KonFeld5,6)=0),6,0))</f>
        <v>-1</v>
      </c>
      <c r="AX159" s="43">
        <f>IF($N$94="x",-1,IF(AND($N$94=0,INDEX(KonZeile9,4)+INDEX(KonSpalte4,4)+INDEX(KonFeld5,4)=0),4,0))</f>
        <v>-1</v>
      </c>
      <c r="AY159" s="39">
        <f>IF($N$94="x",-1,IF(AND($N$94=0,INDEX(KonZeile9,5)+INDEX(KonSpalte4,5)+INDEX(KonFeld5,5)=0),5,0))</f>
        <v>-1</v>
      </c>
      <c r="AZ159" s="41">
        <f>IF($N$94="x",-1,IF(AND($N$94=0,INDEX(KonZeile9,6)+INDEX(KonSpalte4,6)+INDEX(KonFeld5,6)=0),6,0))</f>
        <v>-1</v>
      </c>
      <c r="BA159" s="40">
        <f>IF($O$94="x",-1,IF(AND($O$94=0,INDEX(KonZeile9,4)+INDEX(KonSpalte5,4)+INDEX(KonFeld5,4)=0),4,0))</f>
        <v>-1</v>
      </c>
      <c r="BB159" s="39">
        <f>IF($O$94="x",-1,IF(AND($O$94=0,INDEX(KonZeile9,5)+INDEX(KonSpalte5,5)+INDEX(KonFeld5,5)=0),5,0))</f>
        <v>-1</v>
      </c>
      <c r="BC159" s="41">
        <f>IF($O$94="x",-1,IF(AND($O$94=0,INDEX(KonZeile9,6)+INDEX(KonSpalte5,6)+INDEX(KonFeld5,6)=0),6,0))</f>
        <v>-1</v>
      </c>
      <c r="BD159" s="40">
        <f>IF($P$94="x",-1,IF(AND($P$94=0,INDEX(KonZeile9,4)+INDEX(KonSpalte6,4)+INDEX(KonFeld5,4)=0),4,0))</f>
        <v>-1</v>
      </c>
      <c r="BE159" s="39">
        <f>IF($P$94="x",-1,IF(AND($P$94=0,INDEX(KonZeile9,5)+INDEX(KonSpalte6,5)+INDEX(KonFeld5,5)=0),5,0))</f>
        <v>-1</v>
      </c>
      <c r="BF159" s="42">
        <f>IF($P$94="x",-1,IF(AND($P$94=0,INDEX(KonZeile9,6)+INDEX(KonSpalte6,6)+INDEX(KonFeld5,6)=0),6,0))</f>
        <v>-1</v>
      </c>
      <c r="BG159" s="43">
        <f>IF($Q$94="x",-1,IF(AND($Q$94=0,INDEX(KonZeile9,4)+INDEX(KonSpalte7,4)+INDEX(KonFeld5,4)=0),4,0))</f>
        <v>-1</v>
      </c>
      <c r="BH159" s="39">
        <f>IF($Q$94="x",-1,IF(AND($Q$94=0,INDEX(KonZeile9,5)+INDEX(KonSpalte7,5)+INDEX(KonFeld5,5)=0),5,0))</f>
        <v>-1</v>
      </c>
      <c r="BI159" s="41">
        <f>IF($Q$94="x",-1,IF(AND($Q$94=0,INDEX(KonZeile9,6)+INDEX(KonSpalte7,6)+INDEX(KonFeld5,6)=0),6,0))</f>
        <v>-1</v>
      </c>
      <c r="BJ159" s="40">
        <f>IF($R$94="x",-1,IF(AND($R$94=0,INDEX(KonZeile9,4)+INDEX(KonSpalte8,4)+INDEX(KonFeld5,4)=0),4,0))</f>
        <v>-1</v>
      </c>
      <c r="BK159" s="39">
        <f>IF($R$94="x",-1,IF(AND($R$94=0,INDEX(KonZeile9,5)+INDEX(KonSpalte8,5)+INDEX(KonFeld5,5)=0),5,0))</f>
        <v>-1</v>
      </c>
      <c r="BL159" s="41">
        <f>IF($R$94="x",-1,IF(AND($R$94=0,INDEX(KonZeile9,6)+INDEX(KonSpalte8,6)+INDEX(KonFeld5,6)=0),6,0))</f>
        <v>-1</v>
      </c>
      <c r="BM159" s="40">
        <f>IF($S$94="x",-1,IF(AND($S$94=0,INDEX(KonZeile9,4)+INDEX(KonSpalte9,4)+INDEX(KonFeld5,4)=0),4,0))</f>
        <v>-1</v>
      </c>
      <c r="BN159" s="39">
        <f>IF($S$94="x",-1,IF(AND($S$94=0,INDEX(KonZeile9,5)+INDEX(KonSpalte9,5)+INDEX(KonFeld5,5)=0),5,0))</f>
        <v>-1</v>
      </c>
      <c r="BO159" s="95">
        <f>IF($S$94="x",-1,IF(AND($S$94=0,INDEX(KonZeile9,6)+INDEX(KonSpalte9,6)+INDEX(KonFeld5,6)=0),6,0))</f>
        <v>-1</v>
      </c>
      <c r="BP159" s="94">
        <f>IF($T$94="x",-1,IF(AND($T$94=0,INDEX(KonZeile9,4)+INDEX(KonSpalte1,4)+INDEX(KonFeld6,4)=0),4,0))</f>
        <v>-1</v>
      </c>
      <c r="BQ159" s="39">
        <f>IF($T$94="x",-1,IF(AND($T$94=0,INDEX(KonZeile9,5)+INDEX(KonSpalte1,5)+INDEX(KonFeld6,5)=0),5,0))</f>
        <v>-1</v>
      </c>
      <c r="BR159" s="41">
        <f>IF($T$94="x",-1,IF(AND($T$94=0,INDEX(KonZeile9,6)+INDEX(KonSpalte1,6)+INDEX(KonFeld6,6)=0),6,0))</f>
        <v>-1</v>
      </c>
      <c r="BS159" s="40">
        <f>IF($U$94="x",-1,IF(AND($U$94=0,INDEX(KonZeile9,4)+INDEX(KonSpalte2,4)+INDEX(KonFeld6,4)=0),4,0))</f>
        <v>-1</v>
      </c>
      <c r="BT159" s="39">
        <f>IF($U$94="x",-1,IF(AND($U$94=0,INDEX(KonZeile9,5)+INDEX(KonSpalte2,5)+INDEX(KonFeld6,5)=0),5,0))</f>
        <v>-1</v>
      </c>
      <c r="BU159" s="41">
        <f>IF($U$94="x",-1,IF(AND($U$94=0,INDEX(KonZeile9,6)+INDEX(KonSpalte2,6)+INDEX(KonFeld6,6)=0),6,0))</f>
        <v>-1</v>
      </c>
      <c r="BV159" s="40">
        <f>IF($V$94="x",-1,IF(AND($V$94=0,INDEX(KonZeile9,4)+INDEX(KonSpalte3,4)+INDEX(KonFeld6,4)=0),4,0))</f>
        <v>-1</v>
      </c>
      <c r="BW159" s="39">
        <f>IF($V$94="x",-1,IF(AND($V$94=0,INDEX(KonZeile9,5)+INDEX(KonSpalte3,5)+INDEX(KonFeld6,5)=0),5,0))</f>
        <v>-1</v>
      </c>
      <c r="BX159" s="42">
        <f>IF($V$94="x",-1,IF(AND($V$94=0,INDEX(KonZeile9,6)+INDEX(KonSpalte3,6)+INDEX(KonFeld6,6)=0),6,0))</f>
        <v>-1</v>
      </c>
      <c r="BY159" s="43">
        <f>IF($W$94="x",-1,IF(AND($W$94=0,INDEX(KonZeile9,4)+INDEX(KonSpalte4,4)+INDEX(KonFeld6,4)=0),4,0))</f>
        <v>-1</v>
      </c>
      <c r="BZ159" s="39">
        <f>IF($W$94="x",-1,IF(AND($W$94=0,INDEX(KonZeile9,5)+INDEX(KonSpalte4,5)+INDEX(KonFeld6,5)=0),5,0))</f>
        <v>-1</v>
      </c>
      <c r="CA159" s="41">
        <f>IF($W$94="x",-1,IF(AND($W$94=0,INDEX(KonZeile9,6)+INDEX(KonSpalte4,6)+INDEX(KonFeld6,6)=0),6,0))</f>
        <v>-1</v>
      </c>
      <c r="CB159" s="40">
        <f>IF($X$94="x",-1,IF(AND($X$94=0,INDEX(KonZeile9,4)+INDEX(KonSpalte5,4)+INDEX(KonFeld6,4)=0),4,0))</f>
        <v>-1</v>
      </c>
      <c r="CC159" s="39">
        <f>IF($X$94="x",-1,IF(AND($X$94=0,INDEX(KonZeile9,5)+INDEX(KonSpalte5,5)+INDEX(KonFeld6,5)=0),5,0))</f>
        <v>-1</v>
      </c>
      <c r="CD159" s="41">
        <f>IF($X$94="x",-1,IF(AND($X$94=0,INDEX(KonZeile9,6)+INDEX(KonSpalte5,6)+INDEX(KonFeld6,6)=0),6,0))</f>
        <v>-1</v>
      </c>
      <c r="CE159" s="40">
        <f>IF($Y$94="x",-1,IF(AND($Y$94=0,INDEX(KonZeile9,4)+INDEX(KonSpalte6,4)+INDEX(KonFeld6,4)=0),4,0))</f>
        <v>-1</v>
      </c>
      <c r="CF159" s="39">
        <f>IF($Y$94="x",-1,IF(AND($Y$94=0,INDEX(KonZeile9,5)+INDEX(KonSpalte6,5)+INDEX(KonFeld6,5)=0),5,0))</f>
        <v>-1</v>
      </c>
      <c r="CG159" s="42">
        <f>IF($Y$94="x",-1,IF(AND($Y$94=0,INDEX(KonZeile9,6)+INDEX(KonSpalte6,6)+INDEX(KonFeld6,6)=0),6,0))</f>
        <v>-1</v>
      </c>
      <c r="CH159" s="43">
        <f>IF($Z$94="x",-1,IF(AND($Z$94=0,INDEX(KonZeile9,4)+INDEX(KonSpalte7,4)+INDEX(KonFeld6,4)=0),4,0))</f>
        <v>-1</v>
      </c>
      <c r="CI159" s="39">
        <f>IF($Z$94="x",-1,IF(AND($Z$94=0,INDEX(KonZeile9,5)+INDEX(KonSpalte7,5)+INDEX(KonFeld6,5)=0),5,0))</f>
        <v>-1</v>
      </c>
      <c r="CJ159" s="41">
        <f>IF($Z$94="x",-1,IF(AND($Z$94=0,INDEX(KonZeile9,6)+INDEX(KonSpalte7,6)+INDEX(KonFeld6,6)=0),6,0))</f>
        <v>-1</v>
      </c>
      <c r="CK159" s="40">
        <f>IF($AA$94="x",-1,IF(AND($AA$94=0,INDEX(KonZeile9,4)+INDEX(KonSpalte8,4)+INDEX(KonFeld6,4)=0),4,0))</f>
        <v>-1</v>
      </c>
      <c r="CL159" s="39">
        <f>IF($AA$94="x",-1,IF(AND($AA$94=0,INDEX(KonZeile9,5)+INDEX(KonSpalte8,5)+INDEX(KonFeld6,5)=0),5,0))</f>
        <v>-1</v>
      </c>
      <c r="CM159" s="41">
        <f>IF($AA$94="x",-1,IF(AND($AA$94=0,INDEX(KonZeile9,6)+INDEX(KonSpalte8,6)+INDEX(KonFeld6,6)=0),6,0))</f>
        <v>-1</v>
      </c>
      <c r="CN159" s="40">
        <f>IF($AB$94="x",-1,IF(AND($AB$94=0,INDEX(KonZeile9,4)+INDEX(KonSpalte9,4)+INDEX(KonFeld6,4)=0),4,0))</f>
        <v>-1</v>
      </c>
      <c r="CO159" s="39">
        <f>IF($AB$94="x",-1,IF(AND($AB$94=0,INDEX(KonZeile9,5)+INDEX(KonSpalte9,5)+INDEX(KonFeld6,5)=0),5,0))</f>
        <v>-1</v>
      </c>
      <c r="CP159" s="95">
        <f>IF($AB$94="x",-1,IF(AND($AB$94=0,INDEX(KonZeile9,6)+INDEX(KonSpalte9,6)+INDEX(KonFeld6,6)=0),6,0))</f>
        <v>-1</v>
      </c>
      <c r="CR159" s="40">
        <f>COUNTIF(N159:CP159,4)</f>
        <v>0</v>
      </c>
      <c r="CS159" s="39">
        <f>COUNTIF(N159:CP159,5)</f>
        <v>0</v>
      </c>
      <c r="CT159" s="41">
        <f>COUNTIF(N159:CP159,6)</f>
        <v>0</v>
      </c>
      <c r="CU159" s="39"/>
      <c r="CV159" s="39"/>
      <c r="CX159" s="72">
        <f t="shared" si="270"/>
        <v>0</v>
      </c>
      <c r="CY159" s="73">
        <f t="shared" si="270"/>
        <v>0</v>
      </c>
      <c r="CZ159" s="74">
        <f t="shared" si="270"/>
        <v>0</v>
      </c>
      <c r="DJ159" s="94">
        <f t="shared" si="186"/>
        <v>-1</v>
      </c>
      <c r="DK159" s="39">
        <f t="shared" si="187"/>
        <v>-1</v>
      </c>
      <c r="DL159" s="41">
        <f t="shared" si="188"/>
        <v>-1</v>
      </c>
      <c r="DM159" s="40">
        <f t="shared" si="189"/>
        <v>-1</v>
      </c>
      <c r="DN159" s="39">
        <f t="shared" si="190"/>
        <v>-1</v>
      </c>
      <c r="DO159" s="41">
        <f t="shared" si="191"/>
        <v>-1</v>
      </c>
      <c r="DP159" s="40">
        <f t="shared" si="192"/>
        <v>-1</v>
      </c>
      <c r="DQ159" s="39">
        <f t="shared" si="193"/>
        <v>-1</v>
      </c>
      <c r="DR159" s="42">
        <f t="shared" si="194"/>
        <v>-1</v>
      </c>
      <c r="DS159" s="43">
        <f t="shared" si="195"/>
        <v>-1</v>
      </c>
      <c r="DT159" s="39">
        <f t="shared" si="196"/>
        <v>-1</v>
      </c>
      <c r="DU159" s="41">
        <f t="shared" si="197"/>
        <v>-1</v>
      </c>
      <c r="DV159" s="40">
        <f t="shared" si="198"/>
        <v>-1</v>
      </c>
      <c r="DW159" s="39">
        <f t="shared" si="199"/>
        <v>-1</v>
      </c>
      <c r="DX159" s="41">
        <f t="shared" si="200"/>
        <v>-1</v>
      </c>
      <c r="DY159" s="40">
        <f t="shared" si="201"/>
        <v>-1</v>
      </c>
      <c r="DZ159" s="39">
        <f t="shared" si="202"/>
        <v>-1</v>
      </c>
      <c r="EA159" s="42">
        <f t="shared" si="203"/>
        <v>-1</v>
      </c>
      <c r="EB159" s="43">
        <f t="shared" si="204"/>
        <v>-1</v>
      </c>
      <c r="EC159" s="39">
        <f t="shared" si="205"/>
        <v>-1</v>
      </c>
      <c r="ED159" s="41">
        <f t="shared" si="206"/>
        <v>-1</v>
      </c>
      <c r="EE159" s="40">
        <f t="shared" si="207"/>
        <v>-1</v>
      </c>
      <c r="EF159" s="39">
        <f t="shared" si="208"/>
        <v>-1</v>
      </c>
      <c r="EG159" s="41">
        <f t="shared" si="209"/>
        <v>-1</v>
      </c>
      <c r="EH159" s="40">
        <f t="shared" si="210"/>
        <v>-1</v>
      </c>
      <c r="EI159" s="39">
        <f t="shared" si="211"/>
        <v>-1</v>
      </c>
      <c r="EJ159" s="95">
        <f t="shared" si="212"/>
        <v>-1</v>
      </c>
      <c r="EK159" s="94">
        <f t="shared" si="213"/>
        <v>-1</v>
      </c>
      <c r="EL159" s="39">
        <f t="shared" si="214"/>
        <v>-1</v>
      </c>
      <c r="EM159" s="41">
        <f t="shared" si="215"/>
        <v>-1</v>
      </c>
      <c r="EN159" s="40">
        <f t="shared" si="216"/>
        <v>-1</v>
      </c>
      <c r="EO159" s="39">
        <f t="shared" si="217"/>
        <v>-1</v>
      </c>
      <c r="EP159" s="41">
        <f t="shared" si="218"/>
        <v>-1</v>
      </c>
      <c r="EQ159" s="40">
        <f t="shared" si="219"/>
        <v>-1</v>
      </c>
      <c r="ER159" s="39">
        <f t="shared" si="220"/>
        <v>-1</v>
      </c>
      <c r="ES159" s="42">
        <f t="shared" si="221"/>
        <v>-1</v>
      </c>
      <c r="ET159" s="43">
        <f t="shared" si="222"/>
        <v>-1</v>
      </c>
      <c r="EU159" s="39">
        <f t="shared" si="223"/>
        <v>-1</v>
      </c>
      <c r="EV159" s="41">
        <f t="shared" si="224"/>
        <v>-1</v>
      </c>
      <c r="EW159" s="40">
        <f t="shared" si="225"/>
        <v>-1</v>
      </c>
      <c r="EX159" s="39">
        <f t="shared" si="226"/>
        <v>-1</v>
      </c>
      <c r="EY159" s="41">
        <f t="shared" si="227"/>
        <v>-1</v>
      </c>
      <c r="EZ159" s="40">
        <f t="shared" si="228"/>
        <v>-1</v>
      </c>
      <c r="FA159" s="39">
        <f t="shared" si="229"/>
        <v>-1</v>
      </c>
      <c r="FB159" s="42">
        <f t="shared" si="230"/>
        <v>-1</v>
      </c>
      <c r="FC159" s="43">
        <f t="shared" si="231"/>
        <v>-1</v>
      </c>
      <c r="FD159" s="39">
        <f t="shared" si="232"/>
        <v>-1</v>
      </c>
      <c r="FE159" s="41">
        <f t="shared" si="233"/>
        <v>-1</v>
      </c>
      <c r="FF159" s="40">
        <f t="shared" si="234"/>
        <v>-1</v>
      </c>
      <c r="FG159" s="39">
        <f t="shared" si="235"/>
        <v>-1</v>
      </c>
      <c r="FH159" s="41">
        <f t="shared" si="236"/>
        <v>-1</v>
      </c>
      <c r="FI159" s="40">
        <f t="shared" si="237"/>
        <v>-1</v>
      </c>
      <c r="FJ159" s="39">
        <f t="shared" si="238"/>
        <v>-1</v>
      </c>
      <c r="FK159" s="95">
        <f t="shared" si="239"/>
        <v>-1</v>
      </c>
      <c r="FL159" s="94">
        <f t="shared" si="240"/>
        <v>-1</v>
      </c>
      <c r="FM159" s="39">
        <f t="shared" si="241"/>
        <v>-1</v>
      </c>
      <c r="FN159" s="41">
        <f t="shared" si="242"/>
        <v>-1</v>
      </c>
      <c r="FO159" s="40">
        <f t="shared" si="243"/>
        <v>-1</v>
      </c>
      <c r="FP159" s="39">
        <f t="shared" si="244"/>
        <v>-1</v>
      </c>
      <c r="FQ159" s="41">
        <f t="shared" si="245"/>
        <v>-1</v>
      </c>
      <c r="FR159" s="40">
        <f t="shared" si="246"/>
        <v>-1</v>
      </c>
      <c r="FS159" s="39">
        <f t="shared" si="247"/>
        <v>-1</v>
      </c>
      <c r="FT159" s="42">
        <f t="shared" si="248"/>
        <v>-1</v>
      </c>
      <c r="FU159" s="43">
        <f t="shared" si="249"/>
        <v>-1</v>
      </c>
      <c r="FV159" s="39">
        <f t="shared" si="250"/>
        <v>-1</v>
      </c>
      <c r="FW159" s="41">
        <f t="shared" si="251"/>
        <v>-1</v>
      </c>
      <c r="FX159" s="40">
        <f t="shared" si="252"/>
        <v>-1</v>
      </c>
      <c r="FY159" s="39">
        <f t="shared" si="253"/>
        <v>-1</v>
      </c>
      <c r="FZ159" s="41">
        <f t="shared" si="254"/>
        <v>-1</v>
      </c>
      <c r="GA159" s="40">
        <f t="shared" si="255"/>
        <v>-1</v>
      </c>
      <c r="GB159" s="39">
        <f t="shared" si="256"/>
        <v>-1</v>
      </c>
      <c r="GC159" s="42">
        <f t="shared" si="257"/>
        <v>-1</v>
      </c>
      <c r="GD159" s="43">
        <f t="shared" si="258"/>
        <v>-1</v>
      </c>
      <c r="GE159" s="39">
        <f t="shared" si="259"/>
        <v>-1</v>
      </c>
      <c r="GF159" s="41">
        <f t="shared" si="260"/>
        <v>-1</v>
      </c>
      <c r="GG159" s="40">
        <f t="shared" si="261"/>
        <v>-1</v>
      </c>
      <c r="GH159" s="39">
        <f t="shared" si="262"/>
        <v>-1</v>
      </c>
      <c r="GI159" s="41">
        <f t="shared" si="263"/>
        <v>-1</v>
      </c>
      <c r="GJ159" s="40">
        <f t="shared" si="264"/>
        <v>0</v>
      </c>
      <c r="GK159" s="39">
        <f t="shared" si="265"/>
        <v>0</v>
      </c>
      <c r="GL159" s="95">
        <f t="shared" si="266"/>
        <v>0</v>
      </c>
      <c r="GN159" s="40">
        <f>COUNTIF(DJ159:GL159,4)</f>
        <v>0</v>
      </c>
      <c r="GO159" s="39">
        <f>COUNTIF(DJ159:GL159,5)</f>
        <v>0</v>
      </c>
      <c r="GP159" s="41">
        <f>COUNTIF(DJ159:GL159,6)</f>
        <v>0</v>
      </c>
      <c r="GQ159" s="39"/>
      <c r="GR159" s="39"/>
      <c r="GT159" s="96">
        <f t="shared" si="267"/>
        <v>2</v>
      </c>
      <c r="GU159" s="97">
        <f t="shared" si="268"/>
        <v>0</v>
      </c>
      <c r="GV159" s="98">
        <f t="shared" si="269"/>
        <v>0</v>
      </c>
    </row>
    <row r="160" spans="2:204" ht="15" customHeight="1" thickBot="1">
      <c r="N160" s="110">
        <f>IF($B$94="x",-1,IF(AND($B$94=0,INDEX(KonZeile9,7)+INDEX(KonSpalte1,7)+INDEX(KonFeld4,7)=0),7,0))</f>
        <v>-1</v>
      </c>
      <c r="O160" s="83">
        <f>IF($B$94="x",-1,IF(AND($B$94=0,INDEX(KonZeile9,8)+INDEX(KonSpalte1,8)+INDEX(KonFeld4,8)=0),8,0))</f>
        <v>-1</v>
      </c>
      <c r="P160" s="111">
        <f>IF($B$94="x",-1,IF(AND($B$94=0,INDEX(KonZeile9,9)+INDEX(KonSpalte1,9)+INDEX(KonFeld4,9)=0),9,0))</f>
        <v>-1</v>
      </c>
      <c r="Q160" s="112">
        <f>IF($C$94="x",-1,IF(AND($C$94=0,INDEX(KonZeile9,7)+INDEX(KonSpalte2,7)+INDEX(KonFeld4,7)=0),7,0))</f>
        <v>-1</v>
      </c>
      <c r="R160" s="83">
        <f>IF($C$94="x",-1,IF(AND($C$94=0,INDEX(KonZeile9,8)+INDEX(KonSpalte2,8)+INDEX(KonFeld4,8)=0),8,0))</f>
        <v>-1</v>
      </c>
      <c r="S160" s="111">
        <f>IF($C$94="x",-1,IF(AND($C$94=0,INDEX(KonZeile9,9)+INDEX(KonSpalte2,9)+INDEX(KonFeld4,9)=0),9,0))</f>
        <v>-1</v>
      </c>
      <c r="T160" s="112">
        <f>IF($D$94="x",-1,IF(AND($D$94=0,INDEX(KonZeile9,7)+INDEX(KonSpalte3,7)+INDEX(KonFeld4,7)=0),7,0))</f>
        <v>-1</v>
      </c>
      <c r="U160" s="83">
        <f>IF($D$94="x",-1,IF(AND($D$94=0,INDEX(KonZeile9,8)+INDEX(KonSpalte3,8)+INDEX(KonFeld4,8)=0),8,0))</f>
        <v>-1</v>
      </c>
      <c r="V160" s="113">
        <f>IF($D$94="x",-1,IF(AND($D$94=0,INDEX(KonZeile9,9)+INDEX(KonSpalte3,9)+INDEX(KonFeld4,9)=0),9,0))</f>
        <v>-1</v>
      </c>
      <c r="W160" s="114">
        <f>IF($E$94="x",-1,IF(AND($E$94=0,INDEX(KonZeile9,7)+INDEX(KonSpalte4,7)+INDEX(KonFeld4,7)=0),7,0))</f>
        <v>-1</v>
      </c>
      <c r="X160" s="83">
        <f>IF($E$94="x",-1,IF(AND($E$94=0,INDEX(KonZeile9,8)+INDEX(KonSpalte4,8)+INDEX(KonFeld4,8)=0),8,0))</f>
        <v>-1</v>
      </c>
      <c r="Y160" s="111">
        <f>IF($E$94="x",-1,IF(AND($E$94=0,INDEX(KonZeile9,9)+INDEX(KonSpalte4,9)+INDEX(KonFeld4,9)=0),9,0))</f>
        <v>-1</v>
      </c>
      <c r="Z160" s="112">
        <f>IF($F$94="x",-1,IF(AND($F$94=0,INDEX(KonZeile9,7)+INDEX(KonSpalte5,7)+INDEX(KonFeld4,7)=0),7,0))</f>
        <v>-1</v>
      </c>
      <c r="AA160" s="83">
        <f>IF($F$94="x",-1,IF(AND($F$94=0,INDEX(KonZeile9,8)+INDEX(KonSpalte5,8)+INDEX(KonFeld4,8)=0),8,0))</f>
        <v>-1</v>
      </c>
      <c r="AB160" s="111">
        <f>IF($F$94="x",-1,IF(AND($F$94=0,INDEX(KonZeile9,9)+INDEX(KonSpalte5,9)+INDEX(KonFeld4,9)=0),9,0))</f>
        <v>-1</v>
      </c>
      <c r="AC160" s="112">
        <f>IF($G$94="x",-1,IF(AND($G$94=0,INDEX(KonZeile9,7)+INDEX(KonSpalte6,7)+INDEX(KonFeld4,7)=0),7,0))</f>
        <v>-1</v>
      </c>
      <c r="AD160" s="83">
        <f>IF($G$94="x",-1,IF(AND($G$94=0,INDEX(KonZeile9,8)+INDEX(KonSpalte6,8)+INDEX(KonFeld4,8)=0),8,0))</f>
        <v>-1</v>
      </c>
      <c r="AE160" s="113">
        <f>IF($G$94="x",-1,IF(AND($G$94=0,INDEX(KonZeile9,9)+INDEX(KonSpalte6,9)+INDEX(KonFeld4,9)=0),9,0))</f>
        <v>-1</v>
      </c>
      <c r="AF160" s="114">
        <f>IF($H$94="x",-1,IF(AND($H$94=0,INDEX(KonZeile9,7)+INDEX(KonSpalte7,7)+INDEX(KonFeld4,7)=0),7,0))</f>
        <v>-1</v>
      </c>
      <c r="AG160" s="83">
        <f>IF($H$94="x",-1,IF(AND($H$94=0,INDEX(KonZeile9,8)+INDEX(KonSpalte7,8)+INDEX(KonFeld4,8)=0),8,0))</f>
        <v>-1</v>
      </c>
      <c r="AH160" s="111">
        <f>IF($H$94="x",-1,IF(AND($H$94=0,INDEX(KonZeile9,9)+INDEX(KonSpalte7,9)+INDEX(KonFeld4,9)=0),9,0))</f>
        <v>-1</v>
      </c>
      <c r="AI160" s="112">
        <f>IF($I$94="x",-1,IF(AND($I$94=0,INDEX(KonZeile9,7)+INDEX(KonSpalte8,7)+INDEX(KonFeld4,7)=0),7,0))</f>
        <v>-1</v>
      </c>
      <c r="AJ160" s="83">
        <f>IF($I$94="x",-1,IF(AND($I$94=0,INDEX(KonZeile9,8)+INDEX(KonSpalte8,8)+INDEX(KonFeld4,8)=0),8,0))</f>
        <v>-1</v>
      </c>
      <c r="AK160" s="111">
        <f>IF($I$94="x",-1,IF(AND($I$94=0,INDEX(KonZeile9,9)+INDEX(KonSpalte8,9)+INDEX(KonFeld4,9)=0),9,0))</f>
        <v>-1</v>
      </c>
      <c r="AL160" s="112">
        <f>IF($J$94="x",-1,IF(AND($J$94=0,INDEX(KonZeile9,7)+INDEX(KonSpalte9,7)+INDEX(KonFeld4,7)=0),7,0))</f>
        <v>-1</v>
      </c>
      <c r="AM160" s="83">
        <f>IF($J$94="x",-1,IF(AND($J$94=0,INDEX(KonZeile9,8)+INDEX(KonSpalte9,8)+INDEX(KonFeld4,8)=0),8,0))</f>
        <v>-1</v>
      </c>
      <c r="AN160" s="115">
        <f>IF($J$94="x",-1,IF(AND($J$94=0,INDEX(KonZeile9,9)+INDEX(KonSpalte9,9)+INDEX(KonFeld4,9)=0),9,0))</f>
        <v>-1</v>
      </c>
      <c r="AO160" s="110">
        <f>IF($K$94="x",-1,IF(AND($K$94=0,INDEX(KonZeile9,7)+INDEX(KonSpalte1,7)+INDEX(KonFeld5,7)=0),7,0))</f>
        <v>-1</v>
      </c>
      <c r="AP160" s="83">
        <f>IF($K$94="x",-1,IF(AND($K$94=0,INDEX(KonZeile9,8)+INDEX(KonSpalte1,8)+INDEX(KonFeld5,8)=0),8,0))</f>
        <v>-1</v>
      </c>
      <c r="AQ160" s="111">
        <f>IF($K$94="x",-1,IF(AND($K$94=0,INDEX(KonZeile9,9)+INDEX(KonSpalte1,9)+INDEX(KonFeld5,9)=0),9,0))</f>
        <v>-1</v>
      </c>
      <c r="AR160" s="112">
        <f>IF($L$94="x",-1,IF(AND($L$94=0,INDEX(KonZeile9,7)+INDEX(KonSpalte2,7)+INDEX(KonFeld5,7)=0),7,0))</f>
        <v>-1</v>
      </c>
      <c r="AS160" s="83">
        <f>IF($L$94="x",-1,IF(AND($L$94=0,INDEX(KonZeile9,8)+INDEX(KonSpalte2,8)+INDEX(KonFeld5,8)=0),8,0))</f>
        <v>-1</v>
      </c>
      <c r="AT160" s="111">
        <f>IF($L$94="x",-1,IF(AND($L$94=0,INDEX(KonZeile9,9)+INDEX(KonSpalte2,9)+INDEX(KonFeld5,9)=0),9,0))</f>
        <v>-1</v>
      </c>
      <c r="AU160" s="112">
        <f>IF($M$94="x",-1,IF(AND($M$94=0,INDEX(KonZeile9,7)+INDEX(KonSpalte3,7)+INDEX(KonFeld5,7)=0),7,0))</f>
        <v>-1</v>
      </c>
      <c r="AV160" s="83">
        <f>IF($M$94="x",-1,IF(AND($M$94=0,INDEX(KonZeile9,8)+INDEX(KonSpalte3,8)+INDEX(KonFeld5,8)=0),8,0))</f>
        <v>-1</v>
      </c>
      <c r="AW160" s="113">
        <f>IF($M$94="x",-1,IF(AND($M$94=0,INDEX(KonZeile9,9)+INDEX(KonSpalte3,9)+INDEX(KonFeld5,9)=0),9,0))</f>
        <v>-1</v>
      </c>
      <c r="AX160" s="114">
        <f>IF($N$94="x",-1,IF(AND($N$94=0,INDEX(KonZeile9,7)+INDEX(KonSpalte4,7)+INDEX(KonFeld5,7)=0),7,0))</f>
        <v>-1</v>
      </c>
      <c r="AY160" s="83">
        <f>IF($N$94="x",-1,IF(AND($N$94=0,INDEX(KonZeile9,8)+INDEX(KonSpalte4,8)+INDEX(KonFeld5,8)=0),8,0))</f>
        <v>-1</v>
      </c>
      <c r="AZ160" s="111">
        <f>IF($N$94="x",-1,IF(AND($N$94=0,INDEX(KonZeile9,9)+INDEX(KonSpalte4,9)+INDEX(KonFeld5,9)=0),9,0))</f>
        <v>-1</v>
      </c>
      <c r="BA160" s="112">
        <f>IF($O$94="x",-1,IF(AND($O$94=0,INDEX(KonZeile9,7)+INDEX(KonSpalte5,7)+INDEX(KonFeld5,7)=0),7,0))</f>
        <v>-1</v>
      </c>
      <c r="BB160" s="83">
        <f>IF($O$94="x",-1,IF(AND($O$94=0,INDEX(KonZeile9,8)+INDEX(KonSpalte5,8)+INDEX(KonFeld5,8)=0),8,0))</f>
        <v>-1</v>
      </c>
      <c r="BC160" s="111">
        <f>IF($O$94="x",-1,IF(AND($O$94=0,INDEX(KonZeile9,9)+INDEX(KonSpalte5,9)+INDEX(KonFeld5,9)=0),9,0))</f>
        <v>-1</v>
      </c>
      <c r="BD160" s="112">
        <f>IF($P$94="x",-1,IF(AND($P$94=0,INDEX(KonZeile9,7)+INDEX(KonSpalte6,7)+INDEX(KonFeld5,7)=0),7,0))</f>
        <v>-1</v>
      </c>
      <c r="BE160" s="83">
        <f>IF($P$94="x",-1,IF(AND($P$94=0,INDEX(KonZeile9,8)+INDEX(KonSpalte6,8)+INDEX(KonFeld5,8)=0),8,0))</f>
        <v>-1</v>
      </c>
      <c r="BF160" s="113">
        <f>IF($P$94="x",-1,IF(AND($P$94=0,INDEX(KonZeile9,9)+INDEX(KonSpalte6,9)+INDEX(KonFeld5,9)=0),9,0))</f>
        <v>-1</v>
      </c>
      <c r="BG160" s="114">
        <f>IF($Q$94="x",-1,IF(AND($Q$94=0,INDEX(KonZeile9,7)+INDEX(KonSpalte7,7)+INDEX(KonFeld5,7)=0),7,0))</f>
        <v>-1</v>
      </c>
      <c r="BH160" s="83">
        <f>IF($Q$94="x",-1,IF(AND($Q$94=0,INDEX(KonZeile9,8)+INDEX(KonSpalte7,8)+INDEX(KonFeld5,8)=0),8,0))</f>
        <v>-1</v>
      </c>
      <c r="BI160" s="111">
        <f>IF($Q$94="x",-1,IF(AND($Q$94=0,INDEX(KonZeile9,9)+INDEX(KonSpalte7,9)+INDEX(KonFeld5,9)=0),9,0))</f>
        <v>-1</v>
      </c>
      <c r="BJ160" s="112">
        <f>IF($R$94="x",-1,IF(AND($R$94=0,INDEX(KonZeile9,7)+INDEX(KonSpalte8,7)+INDEX(KonFeld5,7)=0),7,0))</f>
        <v>-1</v>
      </c>
      <c r="BK160" s="83">
        <f>IF($R$94="x",-1,IF(AND($R$94=0,INDEX(KonZeile9,8)+INDEX(KonSpalte8,8)+INDEX(KonFeld5,8)=0),8,0))</f>
        <v>-1</v>
      </c>
      <c r="BL160" s="111">
        <f>IF($R$94="x",-1,IF(AND($R$94=0,INDEX(KonZeile9,9)+INDEX(KonSpalte8,9)+INDEX(KonFeld5,9)=0),9,0))</f>
        <v>-1</v>
      </c>
      <c r="BM160" s="112">
        <f>IF($S$94="x",-1,IF(AND($S$94=0,INDEX(KonZeile9,7)+INDEX(KonSpalte9,7)+INDEX(KonFeld5,7)=0),7,0))</f>
        <v>-1</v>
      </c>
      <c r="BN160" s="83">
        <f>IF($S$94="x",-1,IF(AND($S$94=0,INDEX(KonZeile9,8)+INDEX(KonSpalte9,8)+INDEX(KonFeld5,8)=0),8,0))</f>
        <v>-1</v>
      </c>
      <c r="BO160" s="115">
        <f>IF($S$94="x",-1,IF(AND($S$94=0,INDEX(KonZeile9,9)+INDEX(KonSpalte9,9)+INDEX(KonFeld5,9)=0),9,0))</f>
        <v>-1</v>
      </c>
      <c r="BP160" s="110">
        <f>IF($T$94="x",-1,IF(AND($T$94=0,INDEX(KonZeile9,7)+INDEX(KonSpalte1,7)+INDEX(KonFeld6,7)=0),7,0))</f>
        <v>-1</v>
      </c>
      <c r="BQ160" s="83">
        <f>IF($T$94="x",-1,IF(AND($T$94=0,INDEX(KonZeile9,8)+INDEX(KonSpalte1,8)+INDEX(KonFeld6,8)=0),8,0))</f>
        <v>-1</v>
      </c>
      <c r="BR160" s="111">
        <f>IF($T$94="x",-1,IF(AND($T$94=0,INDEX(KonZeile9,9)+INDEX(KonSpalte1,9)+INDEX(KonFeld6,9)=0),9,0))</f>
        <v>-1</v>
      </c>
      <c r="BS160" s="112">
        <f>IF($U$94="x",-1,IF(AND($U$94=0,INDEX(KonZeile9,7)+INDEX(KonSpalte2,7)+INDEX(KonFeld6,7)=0),7,0))</f>
        <v>-1</v>
      </c>
      <c r="BT160" s="83">
        <f>IF($U$94="x",-1,IF(AND($U$94=0,INDEX(KonZeile9,8)+INDEX(KonSpalte2,8)+INDEX(KonFeld6,8)=0),8,0))</f>
        <v>-1</v>
      </c>
      <c r="BU160" s="111">
        <f>IF($U$94="x",-1,IF(AND($U$94=0,INDEX(KonZeile9,9)+INDEX(KonSpalte2,9)+INDEX(KonFeld6,9)=0),9,0))</f>
        <v>-1</v>
      </c>
      <c r="BV160" s="112">
        <f>IF($V$94="x",-1,IF(AND($V$94=0,INDEX(KonZeile9,7)+INDEX(KonSpalte3,7)+INDEX(KonFeld6,7)=0),7,0))</f>
        <v>-1</v>
      </c>
      <c r="BW160" s="83">
        <f>IF($V$94="x",-1,IF(AND($V$94=0,INDEX(KonZeile9,8)+INDEX(KonSpalte3,8)+INDEX(KonFeld6,8)=0),8,0))</f>
        <v>-1</v>
      </c>
      <c r="BX160" s="113">
        <f>IF($V$94="x",-1,IF(AND($V$94=0,INDEX(KonZeile9,9)+INDEX(KonSpalte3,9)+INDEX(KonFeld6,9)=0),9,0))</f>
        <v>-1</v>
      </c>
      <c r="BY160" s="114">
        <f>IF($W$94="x",-1,IF(AND($W$94=0,INDEX(KonZeile9,7)+INDEX(KonSpalte4,7)+INDEX(KonFeld6,7)=0),7,0))</f>
        <v>-1</v>
      </c>
      <c r="BZ160" s="83">
        <f>IF($W$94="x",-1,IF(AND($W$94=0,INDEX(KonZeile9,8)+INDEX(KonSpalte4,8)+INDEX(KonFeld6,8)=0),8,0))</f>
        <v>-1</v>
      </c>
      <c r="CA160" s="111">
        <f>IF($W$94="x",-1,IF(AND($W$94=0,INDEX(KonZeile9,9)+INDEX(KonSpalte4,9)+INDEX(KonFeld6,9)=0),9,0))</f>
        <v>-1</v>
      </c>
      <c r="CB160" s="112">
        <f>IF($X$94="x",-1,IF(AND($X$94=0,INDEX(KonZeile9,7)+INDEX(KonSpalte5,7)+INDEX(KonFeld6,7)=0),7,0))</f>
        <v>-1</v>
      </c>
      <c r="CC160" s="83">
        <f>IF($X$94="x",-1,IF(AND($X$94=0,INDEX(KonZeile9,8)+INDEX(KonSpalte5,8)+INDEX(KonFeld6,8)=0),8,0))</f>
        <v>-1</v>
      </c>
      <c r="CD160" s="111">
        <f>IF($X$94="x",-1,IF(AND($X$94=0,INDEX(KonZeile9,9)+INDEX(KonSpalte5,9)+INDEX(KonFeld6,9)=0),9,0))</f>
        <v>-1</v>
      </c>
      <c r="CE160" s="112">
        <f>IF($Y$94="x",-1,IF(AND($Y$94=0,INDEX(KonZeile9,7)+INDEX(KonSpalte6,7)+INDEX(KonFeld6,7)=0),7,0))</f>
        <v>-1</v>
      </c>
      <c r="CF160" s="83">
        <f>IF($Y$94="x",-1,IF(AND($Y$94=0,INDEX(KonZeile9,8)+INDEX(KonSpalte6,8)+INDEX(KonFeld6,8)=0),8,0))</f>
        <v>-1</v>
      </c>
      <c r="CG160" s="113">
        <f>IF($Y$94="x",-1,IF(AND($Y$94=0,INDEX(KonZeile9,9)+INDEX(KonSpalte6,9)+INDEX(KonFeld6,9)=0),9,0))</f>
        <v>-1</v>
      </c>
      <c r="CH160" s="114">
        <f>IF($Z$94="x",-1,IF(AND($Z$94=0,INDEX(KonZeile9,7)+INDEX(KonSpalte7,7)+INDEX(KonFeld6,7)=0),7,0))</f>
        <v>-1</v>
      </c>
      <c r="CI160" s="83">
        <f>IF($Z$94="x",-1,IF(AND($Z$94=0,INDEX(KonZeile9,8)+INDEX(KonSpalte7,8)+INDEX(KonFeld6,8)=0),8,0))</f>
        <v>-1</v>
      </c>
      <c r="CJ160" s="111">
        <f>IF($Z$94="x",-1,IF(AND($Z$94=0,INDEX(KonZeile9,9)+INDEX(KonSpalte7,9)+INDEX(KonFeld6,9)=0),9,0))</f>
        <v>-1</v>
      </c>
      <c r="CK160" s="112">
        <f>IF($AA$94="x",-1,IF(AND($AA$94=0,INDEX(KonZeile9,7)+INDEX(KonSpalte8,7)+INDEX(KonFeld6,7)=0),7,0))</f>
        <v>-1</v>
      </c>
      <c r="CL160" s="83">
        <f>IF($AA$94="x",-1,IF(AND($AA$94=0,INDEX(KonZeile9,8)+INDEX(KonSpalte8,8)+INDEX(KonFeld6,8)=0),8,0))</f>
        <v>-1</v>
      </c>
      <c r="CM160" s="111">
        <f>IF($AA$94="x",-1,IF(AND($AA$94=0,INDEX(KonZeile9,9)+INDEX(KonSpalte8,9)+INDEX(KonFeld6,9)=0),9,0))</f>
        <v>-1</v>
      </c>
      <c r="CN160" s="112">
        <f>IF($AB$94="x",-1,IF(AND($AB$94=0,INDEX(KonZeile9,7)+INDEX(KonSpalte9,7)+INDEX(KonFeld6,7)=0),7,0))</f>
        <v>-1</v>
      </c>
      <c r="CO160" s="83">
        <f>IF($AB$94="x",-1,IF(AND($AB$94=0,INDEX(KonZeile9,8)+INDEX(KonSpalte9,8)+INDEX(KonFeld6,8)=0),8,0))</f>
        <v>-1</v>
      </c>
      <c r="CP160" s="115">
        <f>IF($AB$94="x",-1,IF(AND($AB$94=0,INDEX(KonZeile9,9)+INDEX(KonSpalte9,9)+INDEX(KonFeld6,9)=0),9,0))</f>
        <v>-1</v>
      </c>
      <c r="CR160" s="46">
        <f>COUNTIF(N160:CP160,7)</f>
        <v>0</v>
      </c>
      <c r="CS160" s="45">
        <f>COUNTIF(N160:CP160,8)</f>
        <v>0</v>
      </c>
      <c r="CT160" s="47">
        <f>COUNTIF(N160:CP160,9)</f>
        <v>0</v>
      </c>
      <c r="CU160" s="39"/>
      <c r="CV160" s="39"/>
      <c r="CX160" s="78">
        <f t="shared" si="270"/>
        <v>0</v>
      </c>
      <c r="CY160" s="79">
        <f t="shared" si="270"/>
        <v>0</v>
      </c>
      <c r="CZ160" s="80">
        <f t="shared" si="270"/>
        <v>0</v>
      </c>
      <c r="DJ160" s="99">
        <f t="shared" si="186"/>
        <v>-1</v>
      </c>
      <c r="DK160" s="45">
        <f t="shared" si="187"/>
        <v>-1</v>
      </c>
      <c r="DL160" s="47">
        <f t="shared" si="188"/>
        <v>-1</v>
      </c>
      <c r="DM160" s="46">
        <f t="shared" si="189"/>
        <v>-1</v>
      </c>
      <c r="DN160" s="45">
        <f t="shared" si="190"/>
        <v>-1</v>
      </c>
      <c r="DO160" s="47">
        <f t="shared" si="191"/>
        <v>-1</v>
      </c>
      <c r="DP160" s="46">
        <f t="shared" si="192"/>
        <v>-1</v>
      </c>
      <c r="DQ160" s="45">
        <f t="shared" si="193"/>
        <v>-1</v>
      </c>
      <c r="DR160" s="48">
        <f t="shared" si="194"/>
        <v>-1</v>
      </c>
      <c r="DS160" s="44">
        <f t="shared" si="195"/>
        <v>-1</v>
      </c>
      <c r="DT160" s="45">
        <f t="shared" si="196"/>
        <v>-1</v>
      </c>
      <c r="DU160" s="47">
        <f t="shared" si="197"/>
        <v>-1</v>
      </c>
      <c r="DV160" s="46">
        <f t="shared" si="198"/>
        <v>-1</v>
      </c>
      <c r="DW160" s="45">
        <f t="shared" si="199"/>
        <v>-1</v>
      </c>
      <c r="DX160" s="47">
        <f t="shared" si="200"/>
        <v>-1</v>
      </c>
      <c r="DY160" s="46">
        <f t="shared" si="201"/>
        <v>-1</v>
      </c>
      <c r="DZ160" s="45">
        <f t="shared" si="202"/>
        <v>-1</v>
      </c>
      <c r="EA160" s="48">
        <f t="shared" si="203"/>
        <v>-1</v>
      </c>
      <c r="EB160" s="44">
        <f t="shared" si="204"/>
        <v>-1</v>
      </c>
      <c r="EC160" s="45">
        <f t="shared" si="205"/>
        <v>-1</v>
      </c>
      <c r="ED160" s="47">
        <f t="shared" si="206"/>
        <v>-1</v>
      </c>
      <c r="EE160" s="46">
        <f t="shared" si="207"/>
        <v>-1</v>
      </c>
      <c r="EF160" s="45">
        <f t="shared" si="208"/>
        <v>-1</v>
      </c>
      <c r="EG160" s="47">
        <f t="shared" si="209"/>
        <v>-1</v>
      </c>
      <c r="EH160" s="46">
        <f t="shared" si="210"/>
        <v>-1</v>
      </c>
      <c r="EI160" s="45">
        <f t="shared" si="211"/>
        <v>-1</v>
      </c>
      <c r="EJ160" s="100">
        <f t="shared" si="212"/>
        <v>-1</v>
      </c>
      <c r="EK160" s="99">
        <f t="shared" si="213"/>
        <v>-1</v>
      </c>
      <c r="EL160" s="45">
        <f t="shared" si="214"/>
        <v>-1</v>
      </c>
      <c r="EM160" s="47">
        <f t="shared" si="215"/>
        <v>-1</v>
      </c>
      <c r="EN160" s="46">
        <f t="shared" si="216"/>
        <v>-1</v>
      </c>
      <c r="EO160" s="45">
        <f t="shared" si="217"/>
        <v>-1</v>
      </c>
      <c r="EP160" s="47">
        <f t="shared" si="218"/>
        <v>-1</v>
      </c>
      <c r="EQ160" s="46">
        <f t="shared" si="219"/>
        <v>-1</v>
      </c>
      <c r="ER160" s="45">
        <f t="shared" si="220"/>
        <v>-1</v>
      </c>
      <c r="ES160" s="48">
        <f t="shared" si="221"/>
        <v>-1</v>
      </c>
      <c r="ET160" s="44">
        <f t="shared" si="222"/>
        <v>-1</v>
      </c>
      <c r="EU160" s="45">
        <f t="shared" si="223"/>
        <v>-1</v>
      </c>
      <c r="EV160" s="47">
        <f t="shared" si="224"/>
        <v>-1</v>
      </c>
      <c r="EW160" s="46">
        <f t="shared" si="225"/>
        <v>-1</v>
      </c>
      <c r="EX160" s="45">
        <f t="shared" si="226"/>
        <v>-1</v>
      </c>
      <c r="EY160" s="47">
        <f t="shared" si="227"/>
        <v>-1</v>
      </c>
      <c r="EZ160" s="46">
        <f t="shared" si="228"/>
        <v>-1</v>
      </c>
      <c r="FA160" s="45">
        <f t="shared" si="229"/>
        <v>-1</v>
      </c>
      <c r="FB160" s="48">
        <f t="shared" si="230"/>
        <v>-1</v>
      </c>
      <c r="FC160" s="44">
        <f t="shared" si="231"/>
        <v>-1</v>
      </c>
      <c r="FD160" s="45">
        <f t="shared" si="232"/>
        <v>-1</v>
      </c>
      <c r="FE160" s="47">
        <f t="shared" si="233"/>
        <v>-1</v>
      </c>
      <c r="FF160" s="46">
        <f t="shared" si="234"/>
        <v>-1</v>
      </c>
      <c r="FG160" s="45">
        <f t="shared" si="235"/>
        <v>-1</v>
      </c>
      <c r="FH160" s="47">
        <f t="shared" si="236"/>
        <v>-1</v>
      </c>
      <c r="FI160" s="46">
        <f t="shared" si="237"/>
        <v>-1</v>
      </c>
      <c r="FJ160" s="45">
        <f t="shared" si="238"/>
        <v>-1</v>
      </c>
      <c r="FK160" s="100">
        <f t="shared" si="239"/>
        <v>-1</v>
      </c>
      <c r="FL160" s="99">
        <f t="shared" si="240"/>
        <v>-1</v>
      </c>
      <c r="FM160" s="45">
        <f t="shared" si="241"/>
        <v>-1</v>
      </c>
      <c r="FN160" s="47">
        <f t="shared" si="242"/>
        <v>-1</v>
      </c>
      <c r="FO160" s="46">
        <f t="shared" si="243"/>
        <v>-1</v>
      </c>
      <c r="FP160" s="45">
        <f t="shared" si="244"/>
        <v>-1</v>
      </c>
      <c r="FQ160" s="47">
        <f t="shared" si="245"/>
        <v>-1</v>
      </c>
      <c r="FR160" s="46">
        <f t="shared" si="246"/>
        <v>-1</v>
      </c>
      <c r="FS160" s="45">
        <f t="shared" si="247"/>
        <v>-1</v>
      </c>
      <c r="FT160" s="48">
        <f t="shared" si="248"/>
        <v>-1</v>
      </c>
      <c r="FU160" s="44">
        <f t="shared" si="249"/>
        <v>-1</v>
      </c>
      <c r="FV160" s="45">
        <f t="shared" si="250"/>
        <v>-1</v>
      </c>
      <c r="FW160" s="47">
        <f t="shared" si="251"/>
        <v>-1</v>
      </c>
      <c r="FX160" s="46">
        <f t="shared" si="252"/>
        <v>-1</v>
      </c>
      <c r="FY160" s="45">
        <f t="shared" si="253"/>
        <v>-1</v>
      </c>
      <c r="FZ160" s="47">
        <f t="shared" si="254"/>
        <v>-1</v>
      </c>
      <c r="GA160" s="46">
        <f t="shared" si="255"/>
        <v>-1</v>
      </c>
      <c r="GB160" s="45">
        <f t="shared" si="256"/>
        <v>-1</v>
      </c>
      <c r="GC160" s="48">
        <f t="shared" si="257"/>
        <v>-1</v>
      </c>
      <c r="GD160" s="44">
        <f t="shared" si="258"/>
        <v>-1</v>
      </c>
      <c r="GE160" s="45">
        <f t="shared" si="259"/>
        <v>-1</v>
      </c>
      <c r="GF160" s="47">
        <f t="shared" si="260"/>
        <v>-1</v>
      </c>
      <c r="GG160" s="46">
        <f t="shared" si="261"/>
        <v>-1</v>
      </c>
      <c r="GH160" s="45">
        <f t="shared" si="262"/>
        <v>-1</v>
      </c>
      <c r="GI160" s="47">
        <f t="shared" si="263"/>
        <v>-1</v>
      </c>
      <c r="GJ160" s="46">
        <f t="shared" si="264"/>
        <v>0</v>
      </c>
      <c r="GK160" s="45">
        <f t="shared" si="265"/>
        <v>0</v>
      </c>
      <c r="GL160" s="100">
        <f t="shared" si="266"/>
        <v>0</v>
      </c>
      <c r="GN160" s="46">
        <f>COUNTIF(DJ160:GL160,7)</f>
        <v>0</v>
      </c>
      <c r="GO160" s="45">
        <f>COUNTIF(DJ160:GL160,8)</f>
        <v>0</v>
      </c>
      <c r="GP160" s="47">
        <f>COUNTIF(DJ160:GL160,9)</f>
        <v>0</v>
      </c>
      <c r="GQ160" s="39"/>
      <c r="GR160" s="39"/>
      <c r="GT160" s="101">
        <f t="shared" si="267"/>
        <v>0</v>
      </c>
      <c r="GU160" s="102">
        <f t="shared" si="268"/>
        <v>1</v>
      </c>
      <c r="GV160" s="103">
        <f t="shared" si="269"/>
        <v>0</v>
      </c>
    </row>
    <row r="161" spans="14:204" ht="15" customHeight="1" thickTop="1">
      <c r="N161" s="84">
        <f>IF($B$95="x",-1,IF(AND($B$95=0,INDEX(KonZeile1,1)+INDEX(KonSpalte1,1)+INDEX(KonFeld7,1)=0),1,0))</f>
        <v>-1</v>
      </c>
      <c r="O161" s="85">
        <f>IF($B$95="x",-1,IF(AND($B$95=0,INDEX(KonZeile1,2)+INDEX(KonSpalte1,2)+INDEX(KonFeld7,2)=0),2,0))</f>
        <v>-1</v>
      </c>
      <c r="P161" s="87">
        <f>IF($B$95="x",-1,IF(AND($B$95=0,INDEX(KonZeile1,3)+INDEX(KonSpalte1,3)+INDEX(KonFeld7,3)=0),3,0))</f>
        <v>-1</v>
      </c>
      <c r="Q161" s="86">
        <f>IF($C$95="x",-1,IF(AND($C$95=0,INDEX(KonZeile1,1)+INDEX(KonSpalte2,1)+INDEX(KonFeld7,1)=0),1,0))</f>
        <v>-1</v>
      </c>
      <c r="R161" s="85">
        <f>IF($C$95="x",-1,IF(AND($C$95=0,INDEX(KonZeile1,2)+INDEX(KonSpalte2,2)+INDEX(KonFeld7,2)=0),2,0))</f>
        <v>-1</v>
      </c>
      <c r="S161" s="87">
        <f>IF($C$95="x",-1,IF(AND($C$95=0,INDEX(KonZeile1,3)+INDEX(KonSpalte2,3)+INDEX(KonFeld7,3)=0),3,0))</f>
        <v>-1</v>
      </c>
      <c r="T161" s="86">
        <f>IF($D$95="x",-1,IF(AND($D$95=0,INDEX(KonZeile1,1)+INDEX(KonSpalte3,1)+INDEX(KonFeld7,1)=0),1,0))</f>
        <v>-1</v>
      </c>
      <c r="U161" s="85">
        <f>IF($D$95="x",-1,IF(AND($D$95=0,INDEX(KonZeile1,2)+INDEX(KonSpalte3,2)+INDEX(KonFeld7,2)=0),2,0))</f>
        <v>-1</v>
      </c>
      <c r="V161" s="88">
        <f>IF($D$95="x",-1,IF(AND($D$95=0,INDEX(KonZeile1,3)+INDEX(KonSpalte3,3)+INDEX(KonFeld7,3)=0),3,0))</f>
        <v>-1</v>
      </c>
      <c r="W161" s="89">
        <f>IF($E$95="x",-1,IF(AND($E$95=0,INDEX(KonZeile1,1)+INDEX(KonSpalte4,1)+INDEX(KonFeld7,1)=0),1,0))</f>
        <v>-1</v>
      </c>
      <c r="X161" s="85">
        <f>IF($E$95="x",-1,IF(AND($E$95=0,INDEX(KonZeile1,2)+INDEX(KonSpalte4,2)+INDEX(KonFeld7,2)=0),2,0))</f>
        <v>-1</v>
      </c>
      <c r="Y161" s="87">
        <f>IF($E$95="x",-1,IF(AND($E$95=0,INDEX(KonZeile1,3)+INDEX(KonSpalte4,3)+INDEX(KonFeld7,3)=0),3,0))</f>
        <v>-1</v>
      </c>
      <c r="Z161" s="86">
        <f>IF($F$95="x",-1,IF(AND($F$95=0,INDEX(KonZeile1,1)+INDEX(KonSpalte5,1)+INDEX(KonFeld7,1)=0),1,0))</f>
        <v>-1</v>
      </c>
      <c r="AA161" s="85">
        <f>IF($F$95="x",-1,IF(AND($F$95=0,INDEX(KonZeile1,2)+INDEX(KonSpalte5,2)+INDEX(KonFeld7,2)=0),2,0))</f>
        <v>-1</v>
      </c>
      <c r="AB161" s="87">
        <f>IF($F$95="x",-1,IF(AND($F$95=0,INDEX(KonZeile1,3)+INDEX(KonSpalte5,3)+INDEX(KonFeld7,3)=0),3,0))</f>
        <v>-1</v>
      </c>
      <c r="AC161" s="86">
        <f>IF($G$95="x",-1,IF(AND($G$95=0,INDEX(KonZeile1,1)+INDEX(KonSpalte6,1)+INDEX(KonFeld7,1)=0),1,0))</f>
        <v>-1</v>
      </c>
      <c r="AD161" s="85">
        <f>IF($G$95="x",-1,IF(AND($G$95=0,INDEX(KonZeile1,2)+INDEX(KonSpalte6,2)+INDEX(KonFeld7,2)=0),2,0))</f>
        <v>-1</v>
      </c>
      <c r="AE161" s="88">
        <f>IF($G$95="x",-1,IF(AND($G$95=0,INDEX(KonZeile1,3)+INDEX(KonSpalte6,3)+INDEX(KonFeld7,3)=0),3,0))</f>
        <v>-1</v>
      </c>
      <c r="AF161" s="89">
        <f>IF($H$95="x",-1,IF(AND($H$95=0,INDEX(KonZeile1,1)+INDEX(KonSpalte7,1)+INDEX(KonFeld7,1)=0),1,0))</f>
        <v>-1</v>
      </c>
      <c r="AG161" s="85">
        <f>IF($H$95="x",-1,IF(AND($H$95=0,INDEX(KonZeile1,2)+INDEX(KonSpalte7,2)+INDEX(KonFeld7,2)=0),2,0))</f>
        <v>-1</v>
      </c>
      <c r="AH161" s="87">
        <f>IF($H$95="x",-1,IF(AND($H$95=0,INDEX(KonZeile1,3)+INDEX(KonSpalte7,3)+INDEX(KonFeld7,3)=0),3,0))</f>
        <v>-1</v>
      </c>
      <c r="AI161" s="86">
        <f>IF($I$95="x",-1,IF(AND($I$95=0,INDEX(KonZeile1,1)+INDEX(KonSpalte8,1)+INDEX(KonFeld7,1)=0),1,0))</f>
        <v>-1</v>
      </c>
      <c r="AJ161" s="85">
        <f>IF($I$95="x",-1,IF(AND($I$95=0,INDEX(KonZeile1,2)+INDEX(KonSpalte8,2)+INDEX(KonFeld7,2)=0),2,0))</f>
        <v>-1</v>
      </c>
      <c r="AK161" s="87">
        <f>IF($I$95="x",-1,IF(AND($I$95=0,INDEX(KonZeile1,3)+INDEX(KonSpalte8,3)+INDEX(KonFeld7,3)=0),3,0))</f>
        <v>-1</v>
      </c>
      <c r="AL161" s="86">
        <f>IF($J$95="x",-1,IF(AND($J$95=0,INDEX(KonZeile1,1)+INDEX(KonSpalte9,1)+INDEX(KonFeld7,1)=0),1,0))</f>
        <v>-1</v>
      </c>
      <c r="AM161" s="85">
        <f>IF($J$95="x",-1,IF(AND($J$95=0,INDEX(KonZeile1,2)+INDEX(KonSpalte9,2)+INDEX(KonFeld7,2)=0),2,0))</f>
        <v>-1</v>
      </c>
      <c r="AN161" s="90">
        <f>IF($J$95="x",-1,IF(AND($J$95=0,INDEX(KonZeile1,3)+INDEX(KonSpalte9,3)+INDEX(KonFeld7,3)=0),3,0))</f>
        <v>-1</v>
      </c>
      <c r="AO161" s="84">
        <f>IF($K$95="x",-1,IF(AND($K$95=0,INDEX(KonZeile1,1)+INDEX(KonSpalte1,1)+INDEX(KonFeld8,1)=0),1,0))</f>
        <v>-1</v>
      </c>
      <c r="AP161" s="85">
        <f>IF($K$95="x",-1,IF(AND($K$95=0,INDEX(KonZeile1,2)+INDEX(KonSpalte1,2)+INDEX(KonFeld8,2)=0),2,0))</f>
        <v>-1</v>
      </c>
      <c r="AQ161" s="87">
        <f>IF($K$95="x",-1,IF(AND($K$95=0,INDEX(KonZeile1,3)+INDEX(KonSpalte1,3)+INDEX(KonFeld8,3)=0),3,0))</f>
        <v>-1</v>
      </c>
      <c r="AR161" s="86">
        <f>IF($L$95="x",-1,IF(AND($L$95=0,INDEX(KonZeile1,1)+INDEX(KonSpalte2,1)+INDEX(KonFeld8,1)=0),1,0))</f>
        <v>-1</v>
      </c>
      <c r="AS161" s="85">
        <f>IF($L$95="x",-1,IF(AND($L$95=0,INDEX(KonZeile1,2)+INDEX(KonSpalte2,2)+INDEX(KonFeld8,2)=0),2,0))</f>
        <v>-1</v>
      </c>
      <c r="AT161" s="87">
        <f>IF($L$95="x",-1,IF(AND($L$95=0,INDEX(KonZeile1,3)+INDEX(KonSpalte2,3)+INDEX(KonFeld8,3)=0),3,0))</f>
        <v>-1</v>
      </c>
      <c r="AU161" s="86">
        <f>IF($M$95="x",-1,IF(AND($M$95=0,INDEX(KonZeile1,1)+INDEX(KonSpalte3,1)+INDEX(KonFeld8,1)=0),1,0))</f>
        <v>-1</v>
      </c>
      <c r="AV161" s="85">
        <f>IF($M$95="x",-1,IF(AND($M$95=0,INDEX(KonZeile1,2)+INDEX(KonSpalte3,2)+INDEX(KonFeld8,2)=0),2,0))</f>
        <v>-1</v>
      </c>
      <c r="AW161" s="88">
        <f>IF($M$95="x",-1,IF(AND($M$95=0,INDEX(KonZeile1,3)+INDEX(KonSpalte3,3)+INDEX(KonFeld8,3)=0),3,0))</f>
        <v>-1</v>
      </c>
      <c r="AX161" s="89">
        <f>IF($N$95="x",-1,IF(AND($N$95=0,INDEX(KonZeile1,1)+INDEX(KonSpalte4,1)+INDEX(KonFeld8,1)=0),1,0))</f>
        <v>-1</v>
      </c>
      <c r="AY161" s="85">
        <f>IF($N$95="x",-1,IF(AND($N$95=0,INDEX(KonZeile1,2)+INDEX(KonSpalte4,2)+INDEX(KonFeld8,2)=0),2,0))</f>
        <v>-1</v>
      </c>
      <c r="AZ161" s="87">
        <f>IF($N$95="x",-1,IF(AND($N$95=0,INDEX(KonZeile1,3)+INDEX(KonSpalte4,3)+INDEX(KonFeld8,3)=0),3,0))</f>
        <v>-1</v>
      </c>
      <c r="BA161" s="86">
        <f>IF($O$95="x",-1,IF(AND($O$95=0,INDEX(KonZeile1,1)+INDEX(KonSpalte5,1)+INDEX(KonFeld8,1)=0),1,0))</f>
        <v>-1</v>
      </c>
      <c r="BB161" s="85">
        <f>IF($O$95="x",-1,IF(AND($O$95=0,INDEX(KonZeile1,2)+INDEX(KonSpalte5,2)+INDEX(KonFeld8,2)=0),2,0))</f>
        <v>-1</v>
      </c>
      <c r="BC161" s="87">
        <f>IF($O$95="x",-1,IF(AND($O$95=0,INDEX(KonZeile1,3)+INDEX(KonSpalte5,3)+INDEX(KonFeld8,3)=0),3,0))</f>
        <v>-1</v>
      </c>
      <c r="BD161" s="86">
        <f>IF($P$95="x",-1,IF(AND($P$95=0,INDEX(KonZeile1,1)+INDEX(KonSpalte6,1)+INDEX(KonFeld8,1)=0),1,0))</f>
        <v>-1</v>
      </c>
      <c r="BE161" s="85">
        <f>IF($P$95="x",-1,IF(AND($P$95=0,INDEX(KonZeile1,2)+INDEX(KonSpalte6,2)+INDEX(KonFeld8,2)=0),2,0))</f>
        <v>-1</v>
      </c>
      <c r="BF161" s="88">
        <f>IF($P$95="x",-1,IF(AND($P$95=0,INDEX(KonZeile1,3)+INDEX(KonSpalte6,3)+INDEX(KonFeld8,3)=0),3,0))</f>
        <v>-1</v>
      </c>
      <c r="BG161" s="89">
        <f>IF($Q$95="x",-1,IF(AND($Q$95=0,INDEX(KonZeile1,1)+INDEX(KonSpalte7,1)+INDEX(KonFeld8,1)=0),1,0))</f>
        <v>-1</v>
      </c>
      <c r="BH161" s="85">
        <f>IF($Q$95="x",-1,IF(AND($Q$95=0,INDEX(KonZeile1,2)+INDEX(KonSpalte7,2)+INDEX(KonFeld8,2)=0),2,0))</f>
        <v>-1</v>
      </c>
      <c r="BI161" s="87">
        <f>IF($Q$95="x",-1,IF(AND($Q$95=0,INDEX(KonZeile1,3)+INDEX(KonSpalte7,3)+INDEX(KonFeld8,3)=0),3,0))</f>
        <v>-1</v>
      </c>
      <c r="BJ161" s="86">
        <f>IF($R$95="x",-1,IF(AND($R$95=0,INDEX(KonZeile1,1)+INDEX(KonSpalte8,1)+INDEX(KonFeld8,1)=0),1,0))</f>
        <v>-1</v>
      </c>
      <c r="BK161" s="85">
        <f>IF($R$95="x",-1,IF(AND($R$95=0,INDEX(KonZeile1,2)+INDEX(KonSpalte8,2)+INDEX(KonFeld8,2)=0),2,0))</f>
        <v>-1</v>
      </c>
      <c r="BL161" s="87">
        <f>IF($R$95="x",-1,IF(AND($R$95=0,INDEX(KonZeile1,3)+INDEX(KonSpalte8,3)+INDEX(KonFeld8,3)=0),3,0))</f>
        <v>-1</v>
      </c>
      <c r="BM161" s="86">
        <f>IF($S$95="x",-1,IF(AND($S$95=0,INDEX(KonZeile1,1)+INDEX(KonSpalte9,1)+INDEX(KonFeld8,1)=0),1,0))</f>
        <v>-1</v>
      </c>
      <c r="BN161" s="85">
        <f>IF($S$95="x",-1,IF(AND($S$95=0,INDEX(KonZeile1,2)+INDEX(KonSpalte9,2)+INDEX(KonFeld8,2)=0),2,0))</f>
        <v>-1</v>
      </c>
      <c r="BO161" s="90">
        <f>IF($S$95="x",-1,IF(AND($S$95=0,INDEX(KonZeile1,3)+INDEX(KonSpalte9,3)+INDEX(KonFeld8,3)=0),3,0))</f>
        <v>-1</v>
      </c>
      <c r="BP161" s="84">
        <f>IF($T$95="x",-1,IF(AND($T$95=0,INDEX(KonZeile1,1)+INDEX(KonSpalte1,1)+INDEX(KonFeld9,1)=0),1,0))</f>
        <v>-1</v>
      </c>
      <c r="BQ161" s="85">
        <f>IF($T$95="x",-1,IF(AND($T$95=0,INDEX(KonZeile1,2)+INDEX(KonSpalte1,2)+INDEX(KonFeld9,2)=0),2,0))</f>
        <v>-1</v>
      </c>
      <c r="BR161" s="87">
        <f>IF($T$95="x",-1,IF(AND($T$95=0,INDEX(KonZeile1,3)+INDEX(KonSpalte1,3)+INDEX(KonFeld9,3)=0),3,0))</f>
        <v>-1</v>
      </c>
      <c r="BS161" s="86">
        <f>IF($U$95="x",-1,IF(AND($U$95=0,INDEX(KonZeile1,1)+INDEX(KonSpalte2,1)+INDEX(KonFeld9,1)=0),1,0))</f>
        <v>-1</v>
      </c>
      <c r="BT161" s="85">
        <f>IF($U$95="x",-1,IF(AND($U$95=0,INDEX(KonZeile1,2)+INDEX(KonSpalte2,2)+INDEX(KonFeld9,2)=0),2,0))</f>
        <v>-1</v>
      </c>
      <c r="BU161" s="87">
        <f>IF($U$95="x",-1,IF(AND($U$95=0,INDEX(KonZeile1,3)+INDEX(KonSpalte2,3)+INDEX(KonFeld9,3)=0),3,0))</f>
        <v>-1</v>
      </c>
      <c r="BV161" s="86">
        <f>IF($V$95="x",-1,IF(AND($V$95=0,INDEX(KonZeile1,1)+INDEX(KonSpalte3,1)+INDEX(KonFeld9,1)=0),1,0))</f>
        <v>-1</v>
      </c>
      <c r="BW161" s="85">
        <f>IF($V$95="x",-1,IF(AND($V$95=0,INDEX(KonZeile1,2)+INDEX(KonSpalte3,2)+INDEX(KonFeld9,2)=0),2,0))</f>
        <v>-1</v>
      </c>
      <c r="BX161" s="88">
        <f>IF($V$95="x",-1,IF(AND($V$95=0,INDEX(KonZeile1,3)+INDEX(KonSpalte3,3)+INDEX(KonFeld9,3)=0),3,0))</f>
        <v>-1</v>
      </c>
      <c r="BY161" s="89">
        <f>IF($W$95="x",-1,IF(AND($W$95=0,INDEX(KonZeile1,1)+INDEX(KonSpalte4,1)+INDEX(KonFeld9,1)=0),1,0))</f>
        <v>-1</v>
      </c>
      <c r="BZ161" s="85">
        <f>IF($W$95="x",-1,IF(AND($W$95=0,INDEX(KonZeile1,2)+INDEX(KonSpalte4,2)+INDEX(KonFeld9,2)=0),2,0))</f>
        <v>-1</v>
      </c>
      <c r="CA161" s="87">
        <f>IF($W$95="x",-1,IF(AND($W$95=0,INDEX(KonZeile1,3)+INDEX(KonSpalte4,3)+INDEX(KonFeld9,3)=0),3,0))</f>
        <v>-1</v>
      </c>
      <c r="CB161" s="86">
        <f>IF($X$95="x",-1,IF(AND($X$95=0,INDEX(KonZeile1,1)+INDEX(KonSpalte5,1)+INDEX(KonFeld9,1)=0),1,0))</f>
        <v>-1</v>
      </c>
      <c r="CC161" s="85">
        <f>IF($X$95="x",-1,IF(AND($X$95=0,INDEX(KonZeile1,2)+INDEX(KonSpalte5,2)+INDEX(KonFeld9,2)=0),2,0))</f>
        <v>-1</v>
      </c>
      <c r="CD161" s="87">
        <f>IF($X$95="x",-1,IF(AND($X$95=0,INDEX(KonZeile1,3)+INDEX(KonSpalte5,3)+INDEX(KonFeld9,3)=0),3,0))</f>
        <v>-1</v>
      </c>
      <c r="CE161" s="86">
        <f>IF($Y$95="x",-1,IF(AND($Y$95=0,INDEX(KonZeile1,1)+INDEX(KonSpalte6,1)+INDEX(KonFeld9,1)=0),1,0))</f>
        <v>-1</v>
      </c>
      <c r="CF161" s="85">
        <f>IF($Y$95="x",-1,IF(AND($Y$95=0,INDEX(KonZeile1,2)+INDEX(KonSpalte6,2)+INDEX(KonFeld9,2)=0),2,0))</f>
        <v>-1</v>
      </c>
      <c r="CG161" s="88">
        <f>IF($Y$95="x",-1,IF(AND($Y$95=0,INDEX(KonZeile1,3)+INDEX(KonSpalte6,3)+INDEX(KonFeld9,3)=0),3,0))</f>
        <v>-1</v>
      </c>
      <c r="CH161" s="89">
        <f>IF($Z$95="x",-1,IF(AND($Z$95=0,INDEX(KonZeile1,1)+INDEX(KonSpalte7,1)+INDEX(KonFeld9,1)=0),1,0))</f>
        <v>-1</v>
      </c>
      <c r="CI161" s="85">
        <f>IF($Z$95="x",-1,IF(AND($Z$95=0,INDEX(KonZeile1,2)+INDEX(KonSpalte7,2)+INDEX(KonFeld9,2)=0),2,0))</f>
        <v>-1</v>
      </c>
      <c r="CJ161" s="87">
        <f>IF($Z$95="x",-1,IF(AND($Z$95=0,INDEX(KonZeile1,3)+INDEX(KonSpalte7,3)+INDEX(KonFeld9,3)=0),3,0))</f>
        <v>-1</v>
      </c>
      <c r="CK161" s="86">
        <f>IF($AA$95="x",-1,IF(AND($AA$95=0,INDEX(KonZeile1,1)+INDEX(KonSpalte8,1)+INDEX(KonFeld9,1)=0),1,0))</f>
        <v>-1</v>
      </c>
      <c r="CL161" s="85">
        <f>IF($AA$95="x",-1,IF(AND($AA$95=0,INDEX(KonZeile1,2)+INDEX(KonSpalte8,2)+INDEX(KonFeld9,2)=0),2,0))</f>
        <v>-1</v>
      </c>
      <c r="CM161" s="87">
        <f>IF($AA$95="x",-1,IF(AND($AA$95=0,INDEX(KonZeile1,3)+INDEX(KonSpalte8,3)+INDEX(KonFeld9,3)=0),3,0))</f>
        <v>-1</v>
      </c>
      <c r="CN161" s="86">
        <f>IF($AB$95="x",-1,IF(AND($AB$95=0,INDEX(KonZeile1,1)+INDEX(KonSpalte9,1)+INDEX(KonFeld9,1)=0),1,0))</f>
        <v>-1</v>
      </c>
      <c r="CO161" s="85">
        <f>IF($AB$95="x",-1,IF(AND($AB$95=0,INDEX(KonZeile1,2)+INDEX(KonSpalte9,2)+INDEX(KonFeld9,2)=0),2,0))</f>
        <v>-1</v>
      </c>
      <c r="CP161" s="90">
        <f>IF($AB$95="x",-1,IF(AND($AB$95=0,INDEX(KonZeile1,3)+INDEX(KonSpalte9,3)+INDEX(KonFeld9,3)=0),3,0))</f>
        <v>-1</v>
      </c>
      <c r="CR161" s="52">
        <f>COUNTIF(N161:CP161,1)</f>
        <v>0</v>
      </c>
      <c r="CS161" s="50">
        <f>COUNTIF(N161:CP161,2)</f>
        <v>0</v>
      </c>
      <c r="CT161" s="51">
        <f>COUNTIF(N161:CP161,3)</f>
        <v>0</v>
      </c>
      <c r="CU161" s="39"/>
      <c r="CV161" s="39"/>
      <c r="CX161" s="65">
        <f t="shared" si="270"/>
        <v>0</v>
      </c>
      <c r="CY161" s="66">
        <f t="shared" si="270"/>
        <v>0</v>
      </c>
      <c r="CZ161" s="67">
        <f t="shared" si="270"/>
        <v>0</v>
      </c>
      <c r="DJ161" s="104">
        <f t="shared" si="186"/>
        <v>-1</v>
      </c>
      <c r="DK161" s="50">
        <f t="shared" si="187"/>
        <v>-1</v>
      </c>
      <c r="DL161" s="51">
        <f t="shared" si="188"/>
        <v>-1</v>
      </c>
      <c r="DM161" s="52">
        <f t="shared" si="189"/>
        <v>-1</v>
      </c>
      <c r="DN161" s="50">
        <f t="shared" si="190"/>
        <v>-1</v>
      </c>
      <c r="DO161" s="51">
        <f t="shared" si="191"/>
        <v>-1</v>
      </c>
      <c r="DP161" s="52">
        <f t="shared" si="192"/>
        <v>-1</v>
      </c>
      <c r="DQ161" s="50">
        <f t="shared" si="193"/>
        <v>-1</v>
      </c>
      <c r="DR161" s="53">
        <f t="shared" si="194"/>
        <v>-1</v>
      </c>
      <c r="DS161" s="49">
        <f t="shared" si="195"/>
        <v>-1</v>
      </c>
      <c r="DT161" s="50">
        <f t="shared" si="196"/>
        <v>-1</v>
      </c>
      <c r="DU161" s="51">
        <f t="shared" si="197"/>
        <v>-1</v>
      </c>
      <c r="DV161" s="52">
        <f t="shared" si="198"/>
        <v>-1</v>
      </c>
      <c r="DW161" s="50">
        <f t="shared" si="199"/>
        <v>-1</v>
      </c>
      <c r="DX161" s="51">
        <f t="shared" si="200"/>
        <v>-1</v>
      </c>
      <c r="DY161" s="52">
        <f t="shared" si="201"/>
        <v>-1</v>
      </c>
      <c r="DZ161" s="50">
        <f t="shared" si="202"/>
        <v>-1</v>
      </c>
      <c r="EA161" s="53">
        <f t="shared" si="203"/>
        <v>-1</v>
      </c>
      <c r="EB161" s="49">
        <f t="shared" si="204"/>
        <v>-1</v>
      </c>
      <c r="EC161" s="50">
        <f t="shared" si="205"/>
        <v>-1</v>
      </c>
      <c r="ED161" s="51">
        <f t="shared" si="206"/>
        <v>-1</v>
      </c>
      <c r="EE161" s="52">
        <f t="shared" si="207"/>
        <v>-1</v>
      </c>
      <c r="EF161" s="50">
        <f t="shared" si="208"/>
        <v>-1</v>
      </c>
      <c r="EG161" s="51">
        <f t="shared" si="209"/>
        <v>-1</v>
      </c>
      <c r="EH161" s="52">
        <f t="shared" si="210"/>
        <v>-1</v>
      </c>
      <c r="EI161" s="50">
        <f t="shared" si="211"/>
        <v>-1</v>
      </c>
      <c r="EJ161" s="105">
        <f t="shared" si="212"/>
        <v>-1</v>
      </c>
      <c r="EK161" s="104">
        <f t="shared" si="213"/>
        <v>-1</v>
      </c>
      <c r="EL161" s="50">
        <f t="shared" si="214"/>
        <v>-1</v>
      </c>
      <c r="EM161" s="51">
        <f t="shared" si="215"/>
        <v>-1</v>
      </c>
      <c r="EN161" s="52">
        <f t="shared" si="216"/>
        <v>-1</v>
      </c>
      <c r="EO161" s="50">
        <f t="shared" si="217"/>
        <v>-1</v>
      </c>
      <c r="EP161" s="51">
        <f t="shared" si="218"/>
        <v>-1</v>
      </c>
      <c r="EQ161" s="52">
        <f t="shared" si="219"/>
        <v>-1</v>
      </c>
      <c r="ER161" s="50">
        <f t="shared" si="220"/>
        <v>-1</v>
      </c>
      <c r="ES161" s="53">
        <f t="shared" si="221"/>
        <v>-1</v>
      </c>
      <c r="ET161" s="49">
        <f t="shared" si="222"/>
        <v>-1</v>
      </c>
      <c r="EU161" s="50">
        <f t="shared" si="223"/>
        <v>-1</v>
      </c>
      <c r="EV161" s="51">
        <f t="shared" si="224"/>
        <v>-1</v>
      </c>
      <c r="EW161" s="52">
        <f t="shared" si="225"/>
        <v>-1</v>
      </c>
      <c r="EX161" s="50">
        <f t="shared" si="226"/>
        <v>-1</v>
      </c>
      <c r="EY161" s="51">
        <f t="shared" si="227"/>
        <v>-1</v>
      </c>
      <c r="EZ161" s="52">
        <f t="shared" si="228"/>
        <v>-1</v>
      </c>
      <c r="FA161" s="50">
        <f t="shared" si="229"/>
        <v>-1</v>
      </c>
      <c r="FB161" s="53">
        <f t="shared" si="230"/>
        <v>-1</v>
      </c>
      <c r="FC161" s="49">
        <f t="shared" si="231"/>
        <v>-1</v>
      </c>
      <c r="FD161" s="50">
        <f t="shared" si="232"/>
        <v>-1</v>
      </c>
      <c r="FE161" s="51">
        <f t="shared" si="233"/>
        <v>-1</v>
      </c>
      <c r="FF161" s="52">
        <f t="shared" si="234"/>
        <v>-1</v>
      </c>
      <c r="FG161" s="50">
        <f t="shared" si="235"/>
        <v>-1</v>
      </c>
      <c r="FH161" s="51">
        <f t="shared" si="236"/>
        <v>-1</v>
      </c>
      <c r="FI161" s="52">
        <f t="shared" si="237"/>
        <v>-1</v>
      </c>
      <c r="FJ161" s="50">
        <f t="shared" si="238"/>
        <v>-1</v>
      </c>
      <c r="FK161" s="105">
        <f t="shared" si="239"/>
        <v>-1</v>
      </c>
      <c r="FL161" s="104">
        <f t="shared" si="240"/>
        <v>-1</v>
      </c>
      <c r="FM161" s="50">
        <f t="shared" si="241"/>
        <v>-1</v>
      </c>
      <c r="FN161" s="51">
        <f t="shared" si="242"/>
        <v>-1</v>
      </c>
      <c r="FO161" s="52">
        <f t="shared" si="243"/>
        <v>-1</v>
      </c>
      <c r="FP161" s="50">
        <f t="shared" si="244"/>
        <v>-1</v>
      </c>
      <c r="FQ161" s="51">
        <f t="shared" si="245"/>
        <v>-1</v>
      </c>
      <c r="FR161" s="52">
        <f t="shared" si="246"/>
        <v>-1</v>
      </c>
      <c r="FS161" s="50">
        <f t="shared" si="247"/>
        <v>-1</v>
      </c>
      <c r="FT161" s="53">
        <f t="shared" si="248"/>
        <v>-1</v>
      </c>
      <c r="FU161" s="49">
        <f t="shared" si="249"/>
        <v>-1</v>
      </c>
      <c r="FV161" s="50">
        <f t="shared" si="250"/>
        <v>-1</v>
      </c>
      <c r="FW161" s="51">
        <f t="shared" si="251"/>
        <v>-1</v>
      </c>
      <c r="FX161" s="52">
        <f t="shared" si="252"/>
        <v>-1</v>
      </c>
      <c r="FY161" s="50">
        <f t="shared" si="253"/>
        <v>-1</v>
      </c>
      <c r="FZ161" s="51">
        <f t="shared" si="254"/>
        <v>-1</v>
      </c>
      <c r="GA161" s="52">
        <f t="shared" si="255"/>
        <v>-1</v>
      </c>
      <c r="GB161" s="50">
        <f t="shared" si="256"/>
        <v>-1</v>
      </c>
      <c r="GC161" s="53">
        <f t="shared" si="257"/>
        <v>-1</v>
      </c>
      <c r="GD161" s="49">
        <f t="shared" si="258"/>
        <v>-1</v>
      </c>
      <c r="GE161" s="50">
        <f t="shared" si="259"/>
        <v>-1</v>
      </c>
      <c r="GF161" s="51">
        <f t="shared" si="260"/>
        <v>-1</v>
      </c>
      <c r="GG161" s="52">
        <f t="shared" si="261"/>
        <v>-1</v>
      </c>
      <c r="GH161" s="50">
        <f t="shared" si="262"/>
        <v>-1</v>
      </c>
      <c r="GI161" s="51">
        <f t="shared" si="263"/>
        <v>-1</v>
      </c>
      <c r="GJ161" s="52">
        <f t="shared" si="264"/>
        <v>-1</v>
      </c>
      <c r="GK161" s="50">
        <f t="shared" si="265"/>
        <v>-1</v>
      </c>
      <c r="GL161" s="105">
        <f t="shared" si="266"/>
        <v>-1</v>
      </c>
      <c r="GN161" s="52">
        <f>COUNTIF(DJ161:GL161,1)</f>
        <v>0</v>
      </c>
      <c r="GO161" s="50">
        <f>COUNTIF(DJ161:GL161,2)</f>
        <v>0</v>
      </c>
      <c r="GP161" s="51">
        <f>COUNTIF(DJ161:GL161,3)</f>
        <v>0</v>
      </c>
      <c r="GQ161" s="39"/>
      <c r="GR161" s="39"/>
      <c r="GT161" s="91">
        <f t="shared" si="267"/>
        <v>6</v>
      </c>
      <c r="GU161" s="92">
        <f t="shared" si="268"/>
        <v>3</v>
      </c>
      <c r="GV161" s="93">
        <f t="shared" si="269"/>
        <v>5</v>
      </c>
    </row>
    <row r="162" spans="14:204" ht="15" customHeight="1">
      <c r="N162" s="94">
        <f>IF($B$95="x",-1,IF(AND($B$95=0,INDEX(KonZeile1,4)+INDEX(KonSpalte1,4)+INDEX(KonFeld7,4)=0),4,0))</f>
        <v>-1</v>
      </c>
      <c r="O162" s="39">
        <f>IF($B$95="x",-1,IF(AND($B$95=0,INDEX(KonZeile1,5)+INDEX(KonSpalte1,5)+INDEX(KonFeld7,5)=0),5,0))</f>
        <v>-1</v>
      </c>
      <c r="P162" s="41">
        <f>IF($B$95="x",-1,IF(AND($B$95=0,INDEX(KonZeile1,6)+INDEX(KonSpalte1,6)+INDEX(KonFeld7,6)=0),6,0))</f>
        <v>-1</v>
      </c>
      <c r="Q162" s="40">
        <f>IF($C$95="x",-1,IF(AND($C$95=0,INDEX(KonZeile1,4)+INDEX(KonSpalte2,4)+INDEX(KonFeld7,4)=0),4,0))</f>
        <v>-1</v>
      </c>
      <c r="R162" s="39">
        <f>IF($C$95="x",-1,IF(AND($C$95=0,INDEX(KonZeile1,5)+INDEX(KonSpalte2,5)+INDEX(KonFeld7,5)=0),5,0))</f>
        <v>-1</v>
      </c>
      <c r="S162" s="41">
        <f>IF($C$95="x",-1,IF(AND($C$95=0,INDEX(KonZeile1,6)+INDEX(KonSpalte2,6)+INDEX(KonFeld7,6)=0),6,0))</f>
        <v>-1</v>
      </c>
      <c r="T162" s="40">
        <f>IF($D$95="x",-1,IF(AND($D$95=0,INDEX(KonZeile1,4)+INDEX(KonSpalte3,4)+INDEX(KonFeld7,4)=0),4,0))</f>
        <v>-1</v>
      </c>
      <c r="U162" s="39">
        <f>IF($D$95="x",-1,IF(AND($D$95=0,INDEX(KonZeile1,5)+INDEX(KonSpalte3,5)+INDEX(KonFeld7,5)=0),5,0))</f>
        <v>-1</v>
      </c>
      <c r="V162" s="42">
        <f>IF($D$95="x",-1,IF(AND($D$95=0,INDEX(KonZeile1,6)+INDEX(KonSpalte3,6)+INDEX(KonFeld7,6)=0),6,0))</f>
        <v>-1</v>
      </c>
      <c r="W162" s="43">
        <f>IF($E$95="x",-1,IF(AND($E$95=0,INDEX(KonZeile1,4)+INDEX(KonSpalte4,4)+INDEX(KonFeld7,4)=0),4,0))</f>
        <v>-1</v>
      </c>
      <c r="X162" s="39">
        <f>IF($E$95="x",-1,IF(AND($E$95=0,INDEX(KonZeile1,5)+INDEX(KonSpalte4,5)+INDEX(KonFeld7,5)=0),5,0))</f>
        <v>-1</v>
      </c>
      <c r="Y162" s="41">
        <f>IF($E$95="x",-1,IF(AND($E$95=0,INDEX(KonZeile1,6)+INDEX(KonSpalte4,6)+INDEX(KonFeld7,6)=0),6,0))</f>
        <v>-1</v>
      </c>
      <c r="Z162" s="40">
        <f>IF($F$95="x",-1,IF(AND($F$95=0,INDEX(KonZeile1,4)+INDEX(KonSpalte5,4)+INDEX(KonFeld7,4)=0),4,0))</f>
        <v>-1</v>
      </c>
      <c r="AA162" s="39">
        <f>IF($F$95="x",-1,IF(AND($F$95=0,INDEX(KonZeile1,5)+INDEX(KonSpalte5,5)+INDEX(KonFeld7,5)=0),5,0))</f>
        <v>-1</v>
      </c>
      <c r="AB162" s="41">
        <f>IF($F$95="x",-1,IF(AND($F$95=0,INDEX(KonZeile1,6)+INDEX(KonSpalte5,6)+INDEX(KonFeld7,6)=0),6,0))</f>
        <v>-1</v>
      </c>
      <c r="AC162" s="40">
        <f>IF($G$95="x",-1,IF(AND($G$95=0,INDEX(KonZeile1,4)+INDEX(KonSpalte6,4)+INDEX(KonFeld7,4)=0),4,0))</f>
        <v>-1</v>
      </c>
      <c r="AD162" s="39">
        <f>IF($G$95="x",-1,IF(AND($G$95=0,INDEX(KonZeile1,5)+INDEX(KonSpalte6,5)+INDEX(KonFeld7,5)=0),5,0))</f>
        <v>-1</v>
      </c>
      <c r="AE162" s="42">
        <f>IF($G$95="x",-1,IF(AND($G$95=0,INDEX(KonZeile1,6)+INDEX(KonSpalte6,6)+INDEX(KonFeld7,6)=0),6,0))</f>
        <v>-1</v>
      </c>
      <c r="AF162" s="43">
        <f>IF($H$95="x",-1,IF(AND($H$95=0,INDEX(KonZeile1,4)+INDEX(KonSpalte7,4)+INDEX(KonFeld7,4)=0),4,0))</f>
        <v>-1</v>
      </c>
      <c r="AG162" s="39">
        <f>IF($H$95="x",-1,IF(AND($H$95=0,INDEX(KonZeile1,5)+INDEX(KonSpalte7,5)+INDEX(KonFeld7,5)=0),5,0))</f>
        <v>-1</v>
      </c>
      <c r="AH162" s="41">
        <f>IF($H$95="x",-1,IF(AND($H$95=0,INDEX(KonZeile1,6)+INDEX(KonSpalte7,6)+INDEX(KonFeld7,6)=0),6,0))</f>
        <v>-1</v>
      </c>
      <c r="AI162" s="40">
        <f>IF($I$95="x",-1,IF(AND($I$95=0,INDEX(KonZeile1,4)+INDEX(KonSpalte8,4)+INDEX(KonFeld7,4)=0),4,0))</f>
        <v>-1</v>
      </c>
      <c r="AJ162" s="39">
        <f>IF($I$95="x",-1,IF(AND($I$95=0,INDEX(KonZeile1,5)+INDEX(KonSpalte8,5)+INDEX(KonFeld7,5)=0),5,0))</f>
        <v>-1</v>
      </c>
      <c r="AK162" s="41">
        <f>IF($I$95="x",-1,IF(AND($I$95=0,INDEX(KonZeile1,6)+INDEX(KonSpalte8,6)+INDEX(KonFeld7,6)=0),6,0))</f>
        <v>-1</v>
      </c>
      <c r="AL162" s="40">
        <f>IF($J$95="x",-1,IF(AND($J$95=0,INDEX(KonZeile1,4)+INDEX(KonSpalte9,4)+INDEX(KonFeld7,4)=0),4,0))</f>
        <v>-1</v>
      </c>
      <c r="AM162" s="39">
        <f>IF($J$95="x",-1,IF(AND($J$95=0,INDEX(KonZeile1,5)+INDEX(KonSpalte9,5)+INDEX(KonFeld7,5)=0),5,0))</f>
        <v>-1</v>
      </c>
      <c r="AN162" s="95">
        <f>IF($J$95="x",-1,IF(AND($J$95=0,INDEX(KonZeile1,6)+INDEX(KonSpalte9,6)+INDEX(KonFeld7,6)=0),6,0))</f>
        <v>-1</v>
      </c>
      <c r="AO162" s="94">
        <f>IF($K$95="x",-1,IF(AND($K$95=0,INDEX(KonZeile1,4)+INDEX(KonSpalte1,4)+INDEX(KonFeld8,4)=0),4,0))</f>
        <v>-1</v>
      </c>
      <c r="AP162" s="39">
        <f>IF($K$95="x",-1,IF(AND($K$95=0,INDEX(KonZeile1,5)+INDEX(KonSpalte1,5)+INDEX(KonFeld8,5)=0),5,0))</f>
        <v>-1</v>
      </c>
      <c r="AQ162" s="41">
        <f>IF($K$95="x",-1,IF(AND($K$95=0,INDEX(KonZeile1,6)+INDEX(KonSpalte1,6)+INDEX(KonFeld8,6)=0),6,0))</f>
        <v>-1</v>
      </c>
      <c r="AR162" s="40">
        <f>IF($L$95="x",-1,IF(AND($L$95=0,INDEX(KonZeile1,4)+INDEX(KonSpalte2,4)+INDEX(KonFeld8,4)=0),4,0))</f>
        <v>-1</v>
      </c>
      <c r="AS162" s="39">
        <f>IF($L$95="x",-1,IF(AND($L$95=0,INDEX(KonZeile1,5)+INDEX(KonSpalte2,5)+INDEX(KonFeld8,5)=0),5,0))</f>
        <v>-1</v>
      </c>
      <c r="AT162" s="41">
        <f>IF($L$95="x",-1,IF(AND($L$95=0,INDEX(KonZeile1,6)+INDEX(KonSpalte2,6)+INDEX(KonFeld8,6)=0),6,0))</f>
        <v>-1</v>
      </c>
      <c r="AU162" s="40">
        <f>IF($M$95="x",-1,IF(AND($M$95=0,INDEX(KonZeile1,4)+INDEX(KonSpalte3,4)+INDEX(KonFeld8,4)=0),4,0))</f>
        <v>-1</v>
      </c>
      <c r="AV162" s="39">
        <f>IF($M$95="x",-1,IF(AND($M$95=0,INDEX(KonZeile1,5)+INDEX(KonSpalte3,5)+INDEX(KonFeld8,5)=0),5,0))</f>
        <v>-1</v>
      </c>
      <c r="AW162" s="42">
        <f>IF($M$95="x",-1,IF(AND($M$95=0,INDEX(KonZeile1,6)+INDEX(KonSpalte3,6)+INDEX(KonFeld8,6)=0),6,0))</f>
        <v>-1</v>
      </c>
      <c r="AX162" s="43">
        <f>IF($N$95="x",-1,IF(AND($N$95=0,INDEX(KonZeile1,4)+INDEX(KonSpalte4,4)+INDEX(KonFeld8,4)=0),4,0))</f>
        <v>-1</v>
      </c>
      <c r="AY162" s="39">
        <f>IF($N$95="x",-1,IF(AND($N$95=0,INDEX(KonZeile1,5)+INDEX(KonSpalte4,5)+INDEX(KonFeld8,5)=0),5,0))</f>
        <v>-1</v>
      </c>
      <c r="AZ162" s="41">
        <f>IF($N$95="x",-1,IF(AND($N$95=0,INDEX(KonZeile1,6)+INDEX(KonSpalte4,6)+INDEX(KonFeld8,6)=0),6,0))</f>
        <v>-1</v>
      </c>
      <c r="BA162" s="40">
        <f>IF($O$95="x",-1,IF(AND($O$95=0,INDEX(KonZeile1,4)+INDEX(KonSpalte5,4)+INDEX(KonFeld8,4)=0),4,0))</f>
        <v>-1</v>
      </c>
      <c r="BB162" s="39">
        <f>IF($O$95="x",-1,IF(AND($O$95=0,INDEX(KonZeile1,5)+INDEX(KonSpalte5,5)+INDEX(KonFeld8,5)=0),5,0))</f>
        <v>-1</v>
      </c>
      <c r="BC162" s="41">
        <f>IF($O$95="x",-1,IF(AND($O$95=0,INDEX(KonZeile1,6)+INDEX(KonSpalte5,6)+INDEX(KonFeld8,6)=0),6,0))</f>
        <v>-1</v>
      </c>
      <c r="BD162" s="40">
        <f>IF($P$95="x",-1,IF(AND($P$95=0,INDEX(KonZeile1,4)+INDEX(KonSpalte6,4)+INDEX(KonFeld8,4)=0),4,0))</f>
        <v>-1</v>
      </c>
      <c r="BE162" s="39">
        <f>IF($P$95="x",-1,IF(AND($P$95=0,INDEX(KonZeile1,5)+INDEX(KonSpalte6,5)+INDEX(KonFeld8,5)=0),5,0))</f>
        <v>-1</v>
      </c>
      <c r="BF162" s="42">
        <f>IF($P$95="x",-1,IF(AND($P$95=0,INDEX(KonZeile1,6)+INDEX(KonSpalte6,6)+INDEX(KonFeld8,6)=0),6,0))</f>
        <v>-1</v>
      </c>
      <c r="BG162" s="43">
        <f>IF($Q$95="x",-1,IF(AND($Q$95=0,INDEX(KonZeile1,4)+INDEX(KonSpalte7,4)+INDEX(KonFeld8,4)=0),4,0))</f>
        <v>-1</v>
      </c>
      <c r="BH162" s="39">
        <f>IF($Q$95="x",-1,IF(AND($Q$95=0,INDEX(KonZeile1,5)+INDEX(KonSpalte7,5)+INDEX(KonFeld8,5)=0),5,0))</f>
        <v>-1</v>
      </c>
      <c r="BI162" s="41">
        <f>IF($Q$95="x",-1,IF(AND($Q$95=0,INDEX(KonZeile1,6)+INDEX(KonSpalte7,6)+INDEX(KonFeld8,6)=0),6,0))</f>
        <v>-1</v>
      </c>
      <c r="BJ162" s="40">
        <f>IF($R$95="x",-1,IF(AND($R$95=0,INDEX(KonZeile1,4)+INDEX(KonSpalte8,4)+INDEX(KonFeld8,4)=0),4,0))</f>
        <v>-1</v>
      </c>
      <c r="BK162" s="39">
        <f>IF($R$95="x",-1,IF(AND($R$95=0,INDEX(KonZeile1,5)+INDEX(KonSpalte8,5)+INDEX(KonFeld8,5)=0),5,0))</f>
        <v>-1</v>
      </c>
      <c r="BL162" s="41">
        <f>IF($R$95="x",-1,IF(AND($R$95=0,INDEX(KonZeile1,6)+INDEX(KonSpalte8,6)+INDEX(KonFeld8,6)=0),6,0))</f>
        <v>-1</v>
      </c>
      <c r="BM162" s="40">
        <f>IF($S$95="x",-1,IF(AND($S$95=0,INDEX(KonZeile1,4)+INDEX(KonSpalte9,4)+INDEX(KonFeld8,4)=0),4,0))</f>
        <v>-1</v>
      </c>
      <c r="BN162" s="39">
        <f>IF($S$95="x",-1,IF(AND($S$95=0,INDEX(KonZeile1,5)+INDEX(KonSpalte9,5)+INDEX(KonFeld8,5)=0),5,0))</f>
        <v>-1</v>
      </c>
      <c r="BO162" s="95">
        <f>IF($S$95="x",-1,IF(AND($S$95=0,INDEX(KonZeile1,6)+INDEX(KonSpalte9,6)+INDEX(KonFeld8,6)=0),6,0))</f>
        <v>-1</v>
      </c>
      <c r="BP162" s="94">
        <f>IF($T$95="x",-1,IF(AND($T$95=0,INDEX(KonZeile1,4)+INDEX(KonSpalte1,4)+INDEX(KonFeld9,4)=0),4,0))</f>
        <v>-1</v>
      </c>
      <c r="BQ162" s="39">
        <f>IF($T$95="x",-1,IF(AND($T$95=0,INDEX(KonZeile1,5)+INDEX(KonSpalte1,5)+INDEX(KonFeld9,5)=0),5,0))</f>
        <v>-1</v>
      </c>
      <c r="BR162" s="41">
        <f>IF($T$95="x",-1,IF(AND($T$95=0,INDEX(KonZeile1,6)+INDEX(KonSpalte1,6)+INDEX(KonFeld9,6)=0),6,0))</f>
        <v>-1</v>
      </c>
      <c r="BS162" s="40">
        <f>IF($U$95="x",-1,IF(AND($U$95=0,INDEX(KonZeile1,4)+INDEX(KonSpalte2,4)+INDEX(KonFeld9,4)=0),4,0))</f>
        <v>-1</v>
      </c>
      <c r="BT162" s="39">
        <f>IF($U$95="x",-1,IF(AND($U$95=0,INDEX(KonZeile1,5)+INDEX(KonSpalte2,5)+INDEX(KonFeld9,5)=0),5,0))</f>
        <v>-1</v>
      </c>
      <c r="BU162" s="41">
        <f>IF($U$95="x",-1,IF(AND($U$95=0,INDEX(KonZeile1,6)+INDEX(KonSpalte2,6)+INDEX(KonFeld9,6)=0),6,0))</f>
        <v>-1</v>
      </c>
      <c r="BV162" s="40">
        <f>IF($V$95="x",-1,IF(AND($V$95=0,INDEX(KonZeile1,4)+INDEX(KonSpalte3,4)+INDEX(KonFeld9,4)=0),4,0))</f>
        <v>-1</v>
      </c>
      <c r="BW162" s="39">
        <f>IF($V$95="x",-1,IF(AND($V$95=0,INDEX(KonZeile1,5)+INDEX(KonSpalte3,5)+INDEX(KonFeld9,5)=0),5,0))</f>
        <v>-1</v>
      </c>
      <c r="BX162" s="42">
        <f>IF($V$95="x",-1,IF(AND($V$95=0,INDEX(KonZeile1,6)+INDEX(KonSpalte3,6)+INDEX(KonFeld9,6)=0),6,0))</f>
        <v>-1</v>
      </c>
      <c r="BY162" s="43">
        <f>IF($W$95="x",-1,IF(AND($W$95=0,INDEX(KonZeile1,4)+INDEX(KonSpalte4,4)+INDEX(KonFeld9,4)=0),4,0))</f>
        <v>-1</v>
      </c>
      <c r="BZ162" s="39">
        <f>IF($W$95="x",-1,IF(AND($W$95=0,INDEX(KonZeile1,5)+INDEX(KonSpalte4,5)+INDEX(KonFeld9,5)=0),5,0))</f>
        <v>-1</v>
      </c>
      <c r="CA162" s="41">
        <f>IF($W$95="x",-1,IF(AND($W$95=0,INDEX(KonZeile1,6)+INDEX(KonSpalte4,6)+INDEX(KonFeld9,6)=0),6,0))</f>
        <v>-1</v>
      </c>
      <c r="CB162" s="40">
        <f>IF($X$95="x",-1,IF(AND($X$95=0,INDEX(KonZeile1,4)+INDEX(KonSpalte5,4)+INDEX(KonFeld9,4)=0),4,0))</f>
        <v>-1</v>
      </c>
      <c r="CC162" s="39">
        <f>IF($X$95="x",-1,IF(AND($X$95=0,INDEX(KonZeile1,5)+INDEX(KonSpalte5,5)+INDEX(KonFeld9,5)=0),5,0))</f>
        <v>-1</v>
      </c>
      <c r="CD162" s="41">
        <f>IF($X$95="x",-1,IF(AND($X$95=0,INDEX(KonZeile1,6)+INDEX(KonSpalte5,6)+INDEX(KonFeld9,6)=0),6,0))</f>
        <v>-1</v>
      </c>
      <c r="CE162" s="40">
        <f>IF($Y$95="x",-1,IF(AND($Y$95=0,INDEX(KonZeile1,4)+INDEX(KonSpalte6,4)+INDEX(KonFeld9,4)=0),4,0))</f>
        <v>-1</v>
      </c>
      <c r="CF162" s="39">
        <f>IF($Y$95="x",-1,IF(AND($Y$95=0,INDEX(KonZeile1,5)+INDEX(KonSpalte6,5)+INDEX(KonFeld9,5)=0),5,0))</f>
        <v>-1</v>
      </c>
      <c r="CG162" s="42">
        <f>IF($Y$95="x",-1,IF(AND($Y$95=0,INDEX(KonZeile1,6)+INDEX(KonSpalte6,6)+INDEX(KonFeld9,6)=0),6,0))</f>
        <v>-1</v>
      </c>
      <c r="CH162" s="43">
        <f>IF($Z$95="x",-1,IF(AND($Z$95=0,INDEX(KonZeile1,4)+INDEX(KonSpalte7,4)+INDEX(KonFeld9,4)=0),4,0))</f>
        <v>-1</v>
      </c>
      <c r="CI162" s="39">
        <f>IF($Z$95="x",-1,IF(AND($Z$95=0,INDEX(KonZeile1,5)+INDEX(KonSpalte7,5)+INDEX(KonFeld9,5)=0),5,0))</f>
        <v>-1</v>
      </c>
      <c r="CJ162" s="41">
        <f>IF($Z$95="x",-1,IF(AND($Z$95=0,INDEX(KonZeile1,6)+INDEX(KonSpalte7,6)+INDEX(KonFeld9,6)=0),6,0))</f>
        <v>-1</v>
      </c>
      <c r="CK162" s="40">
        <f>IF($AA$95="x",-1,IF(AND($AA$95=0,INDEX(KonZeile1,4)+INDEX(KonSpalte8,4)+INDEX(KonFeld9,4)=0),4,0))</f>
        <v>-1</v>
      </c>
      <c r="CL162" s="39">
        <f>IF($AA$95="x",-1,IF(AND($AA$95=0,INDEX(KonZeile1,5)+INDEX(KonSpalte8,5)+INDEX(KonFeld9,5)=0),5,0))</f>
        <v>-1</v>
      </c>
      <c r="CM162" s="41">
        <f>IF($AA$95="x",-1,IF(AND($AA$95=0,INDEX(KonZeile1,6)+INDEX(KonSpalte8,6)+INDEX(KonFeld9,6)=0),6,0))</f>
        <v>-1</v>
      </c>
      <c r="CN162" s="40">
        <f>IF($AB$95="x",-1,IF(AND($AB$95=0,INDEX(KonZeile1,4)+INDEX(KonSpalte9,4)+INDEX(KonFeld9,4)=0),4,0))</f>
        <v>-1</v>
      </c>
      <c r="CO162" s="39">
        <f>IF($AB$95="x",-1,IF(AND($AB$95=0,INDEX(KonZeile1,5)+INDEX(KonSpalte9,5)+INDEX(KonFeld9,5)=0),5,0))</f>
        <v>-1</v>
      </c>
      <c r="CP162" s="95">
        <f>IF($AB$95="x",-1,IF(AND($AB$95=0,INDEX(KonZeile1,6)+INDEX(KonSpalte9,6)+INDEX(KonFeld9,6)=0),6,0))</f>
        <v>-1</v>
      </c>
      <c r="CR162" s="40">
        <f>COUNTIF(N162:CP162,4)</f>
        <v>0</v>
      </c>
      <c r="CS162" s="39">
        <f>COUNTIF(N162:CP162,5)</f>
        <v>0</v>
      </c>
      <c r="CT162" s="41">
        <f>COUNTIF(N162:CP162,6)</f>
        <v>0</v>
      </c>
      <c r="CU162" s="39"/>
      <c r="CV162" s="39"/>
      <c r="CX162" s="72">
        <f t="shared" si="270"/>
        <v>0</v>
      </c>
      <c r="CY162" s="73">
        <f t="shared" si="270"/>
        <v>0</v>
      </c>
      <c r="CZ162" s="74">
        <f t="shared" si="270"/>
        <v>0</v>
      </c>
      <c r="DJ162" s="94">
        <f t="shared" si="186"/>
        <v>-1</v>
      </c>
      <c r="DK162" s="39">
        <f t="shared" si="187"/>
        <v>-1</v>
      </c>
      <c r="DL162" s="41">
        <f t="shared" si="188"/>
        <v>-1</v>
      </c>
      <c r="DM162" s="40">
        <f t="shared" si="189"/>
        <v>-1</v>
      </c>
      <c r="DN162" s="39">
        <f t="shared" si="190"/>
        <v>-1</v>
      </c>
      <c r="DO162" s="41">
        <f t="shared" si="191"/>
        <v>-1</v>
      </c>
      <c r="DP162" s="40">
        <f t="shared" si="192"/>
        <v>-1</v>
      </c>
      <c r="DQ162" s="39">
        <f t="shared" si="193"/>
        <v>-1</v>
      </c>
      <c r="DR162" s="42">
        <f t="shared" si="194"/>
        <v>-1</v>
      </c>
      <c r="DS162" s="43">
        <f t="shared" si="195"/>
        <v>-1</v>
      </c>
      <c r="DT162" s="39">
        <f t="shared" si="196"/>
        <v>-1</v>
      </c>
      <c r="DU162" s="41">
        <f t="shared" si="197"/>
        <v>-1</v>
      </c>
      <c r="DV162" s="40">
        <f t="shared" si="198"/>
        <v>-1</v>
      </c>
      <c r="DW162" s="39">
        <f t="shared" si="199"/>
        <v>-1</v>
      </c>
      <c r="DX162" s="41">
        <f t="shared" si="200"/>
        <v>-1</v>
      </c>
      <c r="DY162" s="40">
        <f t="shared" si="201"/>
        <v>-1</v>
      </c>
      <c r="DZ162" s="39">
        <f t="shared" si="202"/>
        <v>-1</v>
      </c>
      <c r="EA162" s="42">
        <f t="shared" si="203"/>
        <v>-1</v>
      </c>
      <c r="EB162" s="43">
        <f t="shared" si="204"/>
        <v>-1</v>
      </c>
      <c r="EC162" s="39">
        <f t="shared" si="205"/>
        <v>-1</v>
      </c>
      <c r="ED162" s="41">
        <f t="shared" si="206"/>
        <v>-1</v>
      </c>
      <c r="EE162" s="40">
        <f t="shared" si="207"/>
        <v>-1</v>
      </c>
      <c r="EF162" s="39">
        <f t="shared" si="208"/>
        <v>-1</v>
      </c>
      <c r="EG162" s="41">
        <f t="shared" si="209"/>
        <v>-1</v>
      </c>
      <c r="EH162" s="40">
        <f t="shared" si="210"/>
        <v>-1</v>
      </c>
      <c r="EI162" s="39">
        <f t="shared" si="211"/>
        <v>-1</v>
      </c>
      <c r="EJ162" s="95">
        <f t="shared" si="212"/>
        <v>-1</v>
      </c>
      <c r="EK162" s="94">
        <f t="shared" si="213"/>
        <v>-1</v>
      </c>
      <c r="EL162" s="39">
        <f t="shared" si="214"/>
        <v>-1</v>
      </c>
      <c r="EM162" s="41">
        <f t="shared" si="215"/>
        <v>-1</v>
      </c>
      <c r="EN162" s="40">
        <f t="shared" si="216"/>
        <v>-1</v>
      </c>
      <c r="EO162" s="39">
        <f t="shared" si="217"/>
        <v>-1</v>
      </c>
      <c r="EP162" s="41">
        <f t="shared" si="218"/>
        <v>-1</v>
      </c>
      <c r="EQ162" s="40">
        <f t="shared" si="219"/>
        <v>-1</v>
      </c>
      <c r="ER162" s="39">
        <f t="shared" si="220"/>
        <v>-1</v>
      </c>
      <c r="ES162" s="42">
        <f t="shared" si="221"/>
        <v>-1</v>
      </c>
      <c r="ET162" s="43">
        <f t="shared" si="222"/>
        <v>-1</v>
      </c>
      <c r="EU162" s="39">
        <f t="shared" si="223"/>
        <v>-1</v>
      </c>
      <c r="EV162" s="41">
        <f t="shared" si="224"/>
        <v>-1</v>
      </c>
      <c r="EW162" s="40">
        <f t="shared" si="225"/>
        <v>-1</v>
      </c>
      <c r="EX162" s="39">
        <f t="shared" si="226"/>
        <v>-1</v>
      </c>
      <c r="EY162" s="41">
        <f t="shared" si="227"/>
        <v>-1</v>
      </c>
      <c r="EZ162" s="40">
        <f t="shared" si="228"/>
        <v>-1</v>
      </c>
      <c r="FA162" s="39">
        <f t="shared" si="229"/>
        <v>-1</v>
      </c>
      <c r="FB162" s="42">
        <f t="shared" si="230"/>
        <v>-1</v>
      </c>
      <c r="FC162" s="43">
        <f t="shared" si="231"/>
        <v>-1</v>
      </c>
      <c r="FD162" s="39">
        <f t="shared" si="232"/>
        <v>-1</v>
      </c>
      <c r="FE162" s="41">
        <f t="shared" si="233"/>
        <v>-1</v>
      </c>
      <c r="FF162" s="40">
        <f t="shared" si="234"/>
        <v>-1</v>
      </c>
      <c r="FG162" s="39">
        <f t="shared" si="235"/>
        <v>-1</v>
      </c>
      <c r="FH162" s="41">
        <f t="shared" si="236"/>
        <v>-1</v>
      </c>
      <c r="FI162" s="40">
        <f t="shared" si="237"/>
        <v>-1</v>
      </c>
      <c r="FJ162" s="39">
        <f t="shared" si="238"/>
        <v>-1</v>
      </c>
      <c r="FK162" s="95">
        <f t="shared" si="239"/>
        <v>-1</v>
      </c>
      <c r="FL162" s="94">
        <f t="shared" si="240"/>
        <v>-1</v>
      </c>
      <c r="FM162" s="39">
        <f t="shared" si="241"/>
        <v>-1</v>
      </c>
      <c r="FN162" s="41">
        <f t="shared" si="242"/>
        <v>-1</v>
      </c>
      <c r="FO162" s="40">
        <f t="shared" si="243"/>
        <v>-1</v>
      </c>
      <c r="FP162" s="39">
        <f t="shared" si="244"/>
        <v>-1</v>
      </c>
      <c r="FQ162" s="41">
        <f t="shared" si="245"/>
        <v>-1</v>
      </c>
      <c r="FR162" s="40">
        <f t="shared" si="246"/>
        <v>-1</v>
      </c>
      <c r="FS162" s="39">
        <f t="shared" si="247"/>
        <v>-1</v>
      </c>
      <c r="FT162" s="42">
        <f t="shared" si="248"/>
        <v>-1</v>
      </c>
      <c r="FU162" s="43">
        <f t="shared" si="249"/>
        <v>-1</v>
      </c>
      <c r="FV162" s="39">
        <f t="shared" si="250"/>
        <v>-1</v>
      </c>
      <c r="FW162" s="41">
        <f t="shared" si="251"/>
        <v>-1</v>
      </c>
      <c r="FX162" s="40">
        <f t="shared" si="252"/>
        <v>-1</v>
      </c>
      <c r="FY162" s="39">
        <f t="shared" si="253"/>
        <v>-1</v>
      </c>
      <c r="FZ162" s="41">
        <f t="shared" si="254"/>
        <v>-1</v>
      </c>
      <c r="GA162" s="40">
        <f t="shared" si="255"/>
        <v>-1</v>
      </c>
      <c r="GB162" s="39">
        <f t="shared" si="256"/>
        <v>-1</v>
      </c>
      <c r="GC162" s="42">
        <f t="shared" si="257"/>
        <v>-1</v>
      </c>
      <c r="GD162" s="43">
        <f t="shared" si="258"/>
        <v>-1</v>
      </c>
      <c r="GE162" s="39">
        <f t="shared" si="259"/>
        <v>-1</v>
      </c>
      <c r="GF162" s="41">
        <f t="shared" si="260"/>
        <v>-1</v>
      </c>
      <c r="GG162" s="40">
        <f t="shared" si="261"/>
        <v>-1</v>
      </c>
      <c r="GH162" s="39">
        <f t="shared" si="262"/>
        <v>-1</v>
      </c>
      <c r="GI162" s="41">
        <f t="shared" si="263"/>
        <v>-1</v>
      </c>
      <c r="GJ162" s="40">
        <f t="shared" si="264"/>
        <v>-1</v>
      </c>
      <c r="GK162" s="39">
        <f t="shared" si="265"/>
        <v>-1</v>
      </c>
      <c r="GL162" s="95">
        <f t="shared" si="266"/>
        <v>-1</v>
      </c>
      <c r="GN162" s="40">
        <f>COUNTIF(DJ162:GL162,4)</f>
        <v>0</v>
      </c>
      <c r="GO162" s="39">
        <f>COUNTIF(DJ162:GL162,5)</f>
        <v>0</v>
      </c>
      <c r="GP162" s="41">
        <f>COUNTIF(DJ162:GL162,6)</f>
        <v>0</v>
      </c>
      <c r="GQ162" s="39"/>
      <c r="GR162" s="39"/>
      <c r="GT162" s="96">
        <f t="shared" si="267"/>
        <v>4</v>
      </c>
      <c r="GU162" s="97">
        <f t="shared" si="268"/>
        <v>1</v>
      </c>
      <c r="GV162" s="98">
        <f t="shared" si="269"/>
        <v>3</v>
      </c>
    </row>
    <row r="163" spans="14:204" ht="15" customHeight="1" thickBot="1">
      <c r="N163" s="99">
        <f>IF($B$95="x",-1,IF(AND($B$95=0,INDEX(KonZeile1,7)+INDEX(KonSpalte1,7)+INDEX(KonFeld7,7)=0),7,0))</f>
        <v>-1</v>
      </c>
      <c r="O163" s="45">
        <f>IF($B$95="x",-1,IF(AND($B$95=0,INDEX(KonZeile1,8)+INDEX(KonSpalte1,8)+INDEX(KonFeld7,8)=0),8,0))</f>
        <v>-1</v>
      </c>
      <c r="P163" s="47">
        <f>IF($B$95="x",-1,IF(AND($B$95=0,INDEX(KonZeile1,9)+INDEX(KonSpalte1,9)+INDEX(KonFeld7,9)=0),9,0))</f>
        <v>-1</v>
      </c>
      <c r="Q163" s="46">
        <f>IF($C$95="x",-1,IF(AND($C$95=0,INDEX(KonZeile1,7)+INDEX(KonSpalte2,7)+INDEX(KonFeld7,7)=0),7,0))</f>
        <v>-1</v>
      </c>
      <c r="R163" s="45">
        <f>IF($C$95="x",-1,IF(AND($C$95=0,INDEX(KonZeile1,8)+INDEX(KonSpalte2,8)+INDEX(KonFeld7,8)=0),8,0))</f>
        <v>-1</v>
      </c>
      <c r="S163" s="47">
        <f>IF($C$95="x",-1,IF(AND($C$95=0,INDEX(KonZeile1,9)+INDEX(KonSpalte2,9)+INDEX(KonFeld7,9)=0),9,0))</f>
        <v>-1</v>
      </c>
      <c r="T163" s="46">
        <f>IF($D$95="x",-1,IF(AND($D$95=0,INDEX(KonZeile1,7)+INDEX(KonSpalte3,7)+INDEX(KonFeld7,7)=0),7,0))</f>
        <v>-1</v>
      </c>
      <c r="U163" s="45">
        <f>IF($D$95="x",-1,IF(AND($D$95=0,INDEX(KonZeile1,8)+INDEX(KonSpalte3,8)+INDEX(KonFeld7,8)=0),8,0))</f>
        <v>-1</v>
      </c>
      <c r="V163" s="48">
        <f>IF($D$95="x",-1,IF(AND($D$95=0,INDEX(KonZeile1,9)+INDEX(KonSpalte3,9)+INDEX(KonFeld7,9)=0),9,0))</f>
        <v>-1</v>
      </c>
      <c r="W163" s="44">
        <f>IF($E$95="x",-1,IF(AND($E$95=0,INDEX(KonZeile1,7)+INDEX(KonSpalte4,7)+INDEX(KonFeld7,7)=0),7,0))</f>
        <v>-1</v>
      </c>
      <c r="X163" s="45">
        <f>IF($E$95="x",-1,IF(AND($E$95=0,INDEX(KonZeile1,8)+INDEX(KonSpalte4,8)+INDEX(KonFeld7,8)=0),8,0))</f>
        <v>-1</v>
      </c>
      <c r="Y163" s="47">
        <f>IF($E$95="x",-1,IF(AND($E$95=0,INDEX(KonZeile1,9)+INDEX(KonSpalte4,9)+INDEX(KonFeld7,9)=0),9,0))</f>
        <v>-1</v>
      </c>
      <c r="Z163" s="46">
        <f>IF($F$95="x",-1,IF(AND($F$95=0,INDEX(KonZeile1,7)+INDEX(KonSpalte5,7)+INDEX(KonFeld7,7)=0),7,0))</f>
        <v>-1</v>
      </c>
      <c r="AA163" s="45">
        <f>IF($F$95="x",-1,IF(AND($F$95=0,INDEX(KonZeile1,8)+INDEX(KonSpalte5,8)+INDEX(KonFeld7,8)=0),8,0))</f>
        <v>-1</v>
      </c>
      <c r="AB163" s="47">
        <f>IF($F$95="x",-1,IF(AND($F$95=0,INDEX(KonZeile1,9)+INDEX(KonSpalte5,9)+INDEX(KonFeld7,9)=0),9,0))</f>
        <v>-1</v>
      </c>
      <c r="AC163" s="46">
        <f>IF($G$95="x",-1,IF(AND($G$95=0,INDEX(KonZeile1,7)+INDEX(KonSpalte6,7)+INDEX(KonFeld7,7)=0),7,0))</f>
        <v>-1</v>
      </c>
      <c r="AD163" s="45">
        <f>IF($G$95="x",-1,IF(AND($G$95=0,INDEX(KonZeile1,8)+INDEX(KonSpalte6,8)+INDEX(KonFeld7,8)=0),8,0))</f>
        <v>-1</v>
      </c>
      <c r="AE163" s="48">
        <f>IF($G$95="x",-1,IF(AND($G$95=0,INDEX(KonZeile1,9)+INDEX(KonSpalte6,9)+INDEX(KonFeld7,9)=0),9,0))</f>
        <v>-1</v>
      </c>
      <c r="AF163" s="44">
        <f>IF($H$95="x",-1,IF(AND($H$95=0,INDEX(KonZeile1,7)+INDEX(KonSpalte7,7)+INDEX(KonFeld7,7)=0),7,0))</f>
        <v>-1</v>
      </c>
      <c r="AG163" s="45">
        <f>IF($H$95="x",-1,IF(AND($H$95=0,INDEX(KonZeile1,8)+INDEX(KonSpalte7,8)+INDEX(KonFeld7,8)=0),8,0))</f>
        <v>-1</v>
      </c>
      <c r="AH163" s="47">
        <f>IF($H$95="x",-1,IF(AND($H$95=0,INDEX(KonZeile1,9)+INDEX(KonSpalte7,9)+INDEX(KonFeld7,9)=0),9,0))</f>
        <v>-1</v>
      </c>
      <c r="AI163" s="46">
        <f>IF($I$95="x",-1,IF(AND($I$95=0,INDEX(KonZeile1,7)+INDEX(KonSpalte8,7)+INDEX(KonFeld7,7)=0),7,0))</f>
        <v>-1</v>
      </c>
      <c r="AJ163" s="45">
        <f>IF($I$95="x",-1,IF(AND($I$95=0,INDEX(KonZeile1,8)+INDEX(KonSpalte8,8)+INDEX(KonFeld7,8)=0),8,0))</f>
        <v>-1</v>
      </c>
      <c r="AK163" s="47">
        <f>IF($I$95="x",-1,IF(AND($I$95=0,INDEX(KonZeile1,9)+INDEX(KonSpalte8,9)+INDEX(KonFeld7,9)=0),9,0))</f>
        <v>-1</v>
      </c>
      <c r="AL163" s="46">
        <f>IF($J$95="x",-1,IF(AND($J$95=0,INDEX(KonZeile1,7)+INDEX(KonSpalte9,7)+INDEX(KonFeld7,7)=0),7,0))</f>
        <v>-1</v>
      </c>
      <c r="AM163" s="45">
        <f>IF($J$95="x",-1,IF(AND($J$95=0,INDEX(KonZeile1,8)+INDEX(KonSpalte9,8)+INDEX(KonFeld7,8)=0),8,0))</f>
        <v>-1</v>
      </c>
      <c r="AN163" s="100">
        <f>IF($J$95="x",-1,IF(AND($J$95=0,INDEX(KonZeile1,9)+INDEX(KonSpalte9,9)+INDEX(KonFeld7,9)=0),9,0))</f>
        <v>-1</v>
      </c>
      <c r="AO163" s="99">
        <f>IF($K$95="x",-1,IF(AND($K$95=0,INDEX(KonZeile1,7)+INDEX(KonSpalte1,7)+INDEX(KonFeld8,7)=0),7,0))</f>
        <v>-1</v>
      </c>
      <c r="AP163" s="45">
        <f>IF($K$95="x",-1,IF(AND($K$95=0,INDEX(KonZeile1,8)+INDEX(KonSpalte1,8)+INDEX(KonFeld8,8)=0),8,0))</f>
        <v>-1</v>
      </c>
      <c r="AQ163" s="47">
        <f>IF($K$95="x",-1,IF(AND($K$95=0,INDEX(KonZeile1,9)+INDEX(KonSpalte1,9)+INDEX(KonFeld8,9)=0),9,0))</f>
        <v>-1</v>
      </c>
      <c r="AR163" s="46">
        <f>IF($L$95="x",-1,IF(AND($L$95=0,INDEX(KonZeile1,7)+INDEX(KonSpalte2,7)+INDEX(KonFeld8,7)=0),7,0))</f>
        <v>-1</v>
      </c>
      <c r="AS163" s="45">
        <f>IF($L$95="x",-1,IF(AND($L$95=0,INDEX(KonZeile1,8)+INDEX(KonSpalte2,8)+INDEX(KonFeld8,8)=0),8,0))</f>
        <v>-1</v>
      </c>
      <c r="AT163" s="47">
        <f>IF($L$95="x",-1,IF(AND($L$95=0,INDEX(KonZeile1,9)+INDEX(KonSpalte2,9)+INDEX(KonFeld8,9)=0),9,0))</f>
        <v>-1</v>
      </c>
      <c r="AU163" s="46">
        <f>IF($M$95="x",-1,IF(AND($M$95=0,INDEX(KonZeile1,7)+INDEX(KonSpalte3,7)+INDEX(KonFeld8,7)=0),7,0))</f>
        <v>-1</v>
      </c>
      <c r="AV163" s="45">
        <f>IF($M$95="x",-1,IF(AND($M$95=0,INDEX(KonZeile1,8)+INDEX(KonSpalte3,8)+INDEX(KonFeld8,8)=0),8,0))</f>
        <v>-1</v>
      </c>
      <c r="AW163" s="48">
        <f>IF($M$95="x",-1,IF(AND($M$95=0,INDEX(KonZeile1,9)+INDEX(KonSpalte3,9)+INDEX(KonFeld8,9)=0),9,0))</f>
        <v>-1</v>
      </c>
      <c r="AX163" s="44">
        <f>IF($N$95="x",-1,IF(AND($N$95=0,INDEX(KonZeile1,7)+INDEX(KonSpalte4,7)+INDEX(KonFeld8,7)=0),7,0))</f>
        <v>-1</v>
      </c>
      <c r="AY163" s="45">
        <f>IF($N$95="x",-1,IF(AND($N$95=0,INDEX(KonZeile1,8)+INDEX(KonSpalte4,8)+INDEX(KonFeld8,8)=0),8,0))</f>
        <v>-1</v>
      </c>
      <c r="AZ163" s="47">
        <f>IF($N$95="x",-1,IF(AND($N$95=0,INDEX(KonZeile1,9)+INDEX(KonSpalte4,9)+INDEX(KonFeld8,9)=0),9,0))</f>
        <v>-1</v>
      </c>
      <c r="BA163" s="46">
        <f>IF($O$95="x",-1,IF(AND($O$95=0,INDEX(KonZeile1,7)+INDEX(KonSpalte5,7)+INDEX(KonFeld8,7)=0),7,0))</f>
        <v>-1</v>
      </c>
      <c r="BB163" s="45">
        <f>IF($O$95="x",-1,IF(AND($O$95=0,INDEX(KonZeile1,8)+INDEX(KonSpalte5,8)+INDEX(KonFeld8,8)=0),8,0))</f>
        <v>-1</v>
      </c>
      <c r="BC163" s="47">
        <f>IF($O$95="x",-1,IF(AND($O$95=0,INDEX(KonZeile1,9)+INDEX(KonSpalte5,9)+INDEX(KonFeld8,9)=0),9,0))</f>
        <v>-1</v>
      </c>
      <c r="BD163" s="46">
        <f>IF($P$95="x",-1,IF(AND($P$95=0,INDEX(KonZeile1,7)+INDEX(KonSpalte6,7)+INDEX(KonFeld8,7)=0),7,0))</f>
        <v>-1</v>
      </c>
      <c r="BE163" s="45">
        <f>IF($P$95="x",-1,IF(AND($P$95=0,INDEX(KonZeile1,8)+INDEX(KonSpalte6,8)+INDEX(KonFeld8,8)=0),8,0))</f>
        <v>-1</v>
      </c>
      <c r="BF163" s="48">
        <f>IF($P$95="x",-1,IF(AND($P$95=0,INDEX(KonZeile1,9)+INDEX(KonSpalte6,9)+INDEX(KonFeld8,9)=0),9,0))</f>
        <v>-1</v>
      </c>
      <c r="BG163" s="44">
        <f>IF($Q$95="x",-1,IF(AND($Q$95=0,INDEX(KonZeile1,7)+INDEX(KonSpalte7,7)+INDEX(KonFeld8,7)=0),7,0))</f>
        <v>-1</v>
      </c>
      <c r="BH163" s="45">
        <f>IF($Q$95="x",-1,IF(AND($Q$95=0,INDEX(KonZeile1,8)+INDEX(KonSpalte7,8)+INDEX(KonFeld8,8)=0),8,0))</f>
        <v>-1</v>
      </c>
      <c r="BI163" s="47">
        <f>IF($Q$95="x",-1,IF(AND($Q$95=0,INDEX(KonZeile1,9)+INDEX(KonSpalte7,9)+INDEX(KonFeld8,9)=0),9,0))</f>
        <v>-1</v>
      </c>
      <c r="BJ163" s="46">
        <f>IF($R$95="x",-1,IF(AND($R$95=0,INDEX(KonZeile1,7)+INDEX(KonSpalte8,7)+INDEX(KonFeld8,7)=0),7,0))</f>
        <v>-1</v>
      </c>
      <c r="BK163" s="45">
        <f>IF($R$95="x",-1,IF(AND($R$95=0,INDEX(KonZeile1,8)+INDEX(KonSpalte8,8)+INDEX(KonFeld8,8)=0),8,0))</f>
        <v>-1</v>
      </c>
      <c r="BL163" s="47">
        <f>IF($R$95="x",-1,IF(AND($R$95=0,INDEX(KonZeile1,9)+INDEX(KonSpalte8,9)+INDEX(KonFeld8,9)=0),9,0))</f>
        <v>-1</v>
      </c>
      <c r="BM163" s="46">
        <f>IF($S$95="x",-1,IF(AND($S$95=0,INDEX(KonZeile1,7)+INDEX(KonSpalte9,7)+INDEX(KonFeld8,7)=0),7,0))</f>
        <v>-1</v>
      </c>
      <c r="BN163" s="45">
        <f>IF($S$95="x",-1,IF(AND($S$95=0,INDEX(KonZeile1,8)+INDEX(KonSpalte9,8)+INDEX(KonFeld8,8)=0),8,0))</f>
        <v>-1</v>
      </c>
      <c r="BO163" s="100">
        <f>IF($S$95="x",-1,IF(AND($S$95=0,INDEX(KonZeile1,9)+INDEX(KonSpalte9,9)+INDEX(KonFeld8,9)=0),9,0))</f>
        <v>-1</v>
      </c>
      <c r="BP163" s="99">
        <f>IF($T$95="x",-1,IF(AND($T$95=0,INDEX(KonZeile1,7)+INDEX(KonSpalte1,7)+INDEX(KonFeld9,7)=0),7,0))</f>
        <v>-1</v>
      </c>
      <c r="BQ163" s="45">
        <f>IF($T$95="x",-1,IF(AND($T$95=0,INDEX(KonZeile1,8)+INDEX(KonSpalte1,8)+INDEX(KonFeld9,8)=0),8,0))</f>
        <v>-1</v>
      </c>
      <c r="BR163" s="47">
        <f>IF($T$95="x",-1,IF(AND($T$95=0,INDEX(KonZeile1,9)+INDEX(KonSpalte1,9)+INDEX(KonFeld9,9)=0),9,0))</f>
        <v>-1</v>
      </c>
      <c r="BS163" s="46">
        <f>IF($U$95="x",-1,IF(AND($U$95=0,INDEX(KonZeile1,7)+INDEX(KonSpalte2,7)+INDEX(KonFeld9,7)=0),7,0))</f>
        <v>-1</v>
      </c>
      <c r="BT163" s="45">
        <f>IF($U$95="x",-1,IF(AND($U$95=0,INDEX(KonZeile1,8)+INDEX(KonSpalte2,8)+INDEX(KonFeld9,8)=0),8,0))</f>
        <v>-1</v>
      </c>
      <c r="BU163" s="47">
        <f>IF($U$95="x",-1,IF(AND($U$95=0,INDEX(KonZeile1,9)+INDEX(KonSpalte2,9)+INDEX(KonFeld9,9)=0),9,0))</f>
        <v>-1</v>
      </c>
      <c r="BV163" s="46">
        <f>IF($V$95="x",-1,IF(AND($V$95=0,INDEX(KonZeile1,7)+INDEX(KonSpalte3,7)+INDEX(KonFeld9,7)=0),7,0))</f>
        <v>-1</v>
      </c>
      <c r="BW163" s="45">
        <f>IF($V$95="x",-1,IF(AND($V$95=0,INDEX(KonZeile1,8)+INDEX(KonSpalte3,8)+INDEX(KonFeld9,8)=0),8,0))</f>
        <v>-1</v>
      </c>
      <c r="BX163" s="48">
        <f>IF($V$95="x",-1,IF(AND($V$95=0,INDEX(KonZeile1,9)+INDEX(KonSpalte3,9)+INDEX(KonFeld9,9)=0),9,0))</f>
        <v>-1</v>
      </c>
      <c r="BY163" s="44">
        <f>IF($W$95="x",-1,IF(AND($W$95=0,INDEX(KonZeile1,7)+INDEX(KonSpalte4,7)+INDEX(KonFeld9,7)=0),7,0))</f>
        <v>-1</v>
      </c>
      <c r="BZ163" s="45">
        <f>IF($W$95="x",-1,IF(AND($W$95=0,INDEX(KonZeile1,8)+INDEX(KonSpalte4,8)+INDEX(KonFeld9,8)=0),8,0))</f>
        <v>-1</v>
      </c>
      <c r="CA163" s="47">
        <f>IF($W$95="x",-1,IF(AND($W$95=0,INDEX(KonZeile1,9)+INDEX(KonSpalte4,9)+INDEX(KonFeld9,9)=0),9,0))</f>
        <v>-1</v>
      </c>
      <c r="CB163" s="46">
        <f>IF($X$95="x",-1,IF(AND($X$95=0,INDEX(KonZeile1,7)+INDEX(KonSpalte5,7)+INDEX(KonFeld9,7)=0),7,0))</f>
        <v>-1</v>
      </c>
      <c r="CC163" s="45">
        <f>IF($X$95="x",-1,IF(AND($X$95=0,INDEX(KonZeile1,8)+INDEX(KonSpalte5,8)+INDEX(KonFeld9,8)=0),8,0))</f>
        <v>-1</v>
      </c>
      <c r="CD163" s="47">
        <f>IF($X$95="x",-1,IF(AND($X$95=0,INDEX(KonZeile1,9)+INDEX(KonSpalte5,9)+INDEX(KonFeld9,9)=0),9,0))</f>
        <v>-1</v>
      </c>
      <c r="CE163" s="46">
        <f>IF($Y$95="x",-1,IF(AND($Y$95=0,INDEX(KonZeile1,7)+INDEX(KonSpalte6,7)+INDEX(KonFeld9,7)=0),7,0))</f>
        <v>-1</v>
      </c>
      <c r="CF163" s="45">
        <f>IF($Y$95="x",-1,IF(AND($Y$95=0,INDEX(KonZeile1,8)+INDEX(KonSpalte6,8)+INDEX(KonFeld9,8)=0),8,0))</f>
        <v>-1</v>
      </c>
      <c r="CG163" s="48">
        <f>IF($Y$95="x",-1,IF(AND($Y$95=0,INDEX(KonZeile1,9)+INDEX(KonSpalte6,9)+INDEX(KonFeld9,9)=0),9,0))</f>
        <v>-1</v>
      </c>
      <c r="CH163" s="44">
        <f>IF($Z$95="x",-1,IF(AND($Z$95=0,INDEX(KonZeile1,7)+INDEX(KonSpalte7,7)+INDEX(KonFeld9,7)=0),7,0))</f>
        <v>-1</v>
      </c>
      <c r="CI163" s="45">
        <f>IF($Z$95="x",-1,IF(AND($Z$95=0,INDEX(KonZeile1,8)+INDEX(KonSpalte7,8)+INDEX(KonFeld9,8)=0),8,0))</f>
        <v>-1</v>
      </c>
      <c r="CJ163" s="47">
        <f>IF($Z$95="x",-1,IF(AND($Z$95=0,INDEX(KonZeile1,9)+INDEX(KonSpalte7,9)+INDEX(KonFeld9,9)=0),9,0))</f>
        <v>-1</v>
      </c>
      <c r="CK163" s="46">
        <f>IF($AA$95="x",-1,IF(AND($AA$95=0,INDEX(KonZeile1,7)+INDEX(KonSpalte8,7)+INDEX(KonFeld9,7)=0),7,0))</f>
        <v>-1</v>
      </c>
      <c r="CL163" s="45">
        <f>IF($AA$95="x",-1,IF(AND($AA$95=0,INDEX(KonZeile1,8)+INDEX(KonSpalte8,8)+INDEX(KonFeld9,8)=0),8,0))</f>
        <v>-1</v>
      </c>
      <c r="CM163" s="47">
        <f>IF($AA$95="x",-1,IF(AND($AA$95=0,INDEX(KonZeile1,9)+INDEX(KonSpalte8,9)+INDEX(KonFeld9,9)=0),9,0))</f>
        <v>-1</v>
      </c>
      <c r="CN163" s="46">
        <f>IF($AB$95="x",-1,IF(AND($AB$95=0,INDEX(KonZeile1,7)+INDEX(KonSpalte9,7)+INDEX(KonFeld9,7)=0),7,0))</f>
        <v>-1</v>
      </c>
      <c r="CO163" s="45">
        <f>IF($AB$95="x",-1,IF(AND($AB$95=0,INDEX(KonZeile1,8)+INDEX(KonSpalte9,8)+INDEX(KonFeld9,8)=0),8,0))</f>
        <v>-1</v>
      </c>
      <c r="CP163" s="100">
        <f>IF($AB$95="x",-1,IF(AND($AB$95=0,INDEX(KonZeile1,9)+INDEX(KonSpalte9,9)+INDEX(KonFeld9,9)=0),9,0))</f>
        <v>-1</v>
      </c>
      <c r="CR163" s="46">
        <f>COUNTIF(N163:CP163,7)</f>
        <v>0</v>
      </c>
      <c r="CS163" s="45">
        <f>COUNTIF(N163:CP163,8)</f>
        <v>0</v>
      </c>
      <c r="CT163" s="47">
        <f>COUNTIF(N163:CP163,9)</f>
        <v>0</v>
      </c>
      <c r="CU163" s="39"/>
      <c r="CV163" s="39"/>
      <c r="CX163" s="78">
        <f t="shared" si="270"/>
        <v>0</v>
      </c>
      <c r="CY163" s="79">
        <f t="shared" si="270"/>
        <v>0</v>
      </c>
      <c r="CZ163" s="80">
        <f t="shared" si="270"/>
        <v>0</v>
      </c>
      <c r="DJ163" s="99">
        <f t="shared" si="186"/>
        <v>-1</v>
      </c>
      <c r="DK163" s="45">
        <f t="shared" si="187"/>
        <v>-1</v>
      </c>
      <c r="DL163" s="47">
        <f t="shared" si="188"/>
        <v>-1</v>
      </c>
      <c r="DM163" s="46">
        <f t="shared" si="189"/>
        <v>-1</v>
      </c>
      <c r="DN163" s="45">
        <f t="shared" si="190"/>
        <v>-1</v>
      </c>
      <c r="DO163" s="47">
        <f t="shared" si="191"/>
        <v>-1</v>
      </c>
      <c r="DP163" s="46">
        <f t="shared" si="192"/>
        <v>-1</v>
      </c>
      <c r="DQ163" s="45">
        <f t="shared" si="193"/>
        <v>-1</v>
      </c>
      <c r="DR163" s="48">
        <f t="shared" si="194"/>
        <v>-1</v>
      </c>
      <c r="DS163" s="44">
        <f t="shared" si="195"/>
        <v>-1</v>
      </c>
      <c r="DT163" s="45">
        <f t="shared" si="196"/>
        <v>-1</v>
      </c>
      <c r="DU163" s="47">
        <f t="shared" si="197"/>
        <v>-1</v>
      </c>
      <c r="DV163" s="46">
        <f t="shared" si="198"/>
        <v>-1</v>
      </c>
      <c r="DW163" s="45">
        <f t="shared" si="199"/>
        <v>-1</v>
      </c>
      <c r="DX163" s="47">
        <f t="shared" si="200"/>
        <v>-1</v>
      </c>
      <c r="DY163" s="46">
        <f t="shared" si="201"/>
        <v>-1</v>
      </c>
      <c r="DZ163" s="45">
        <f t="shared" si="202"/>
        <v>-1</v>
      </c>
      <c r="EA163" s="48">
        <f t="shared" si="203"/>
        <v>-1</v>
      </c>
      <c r="EB163" s="44">
        <f t="shared" si="204"/>
        <v>-1</v>
      </c>
      <c r="EC163" s="45">
        <f t="shared" si="205"/>
        <v>-1</v>
      </c>
      <c r="ED163" s="47">
        <f t="shared" si="206"/>
        <v>-1</v>
      </c>
      <c r="EE163" s="46">
        <f t="shared" si="207"/>
        <v>-1</v>
      </c>
      <c r="EF163" s="45">
        <f t="shared" si="208"/>
        <v>-1</v>
      </c>
      <c r="EG163" s="47">
        <f t="shared" si="209"/>
        <v>-1</v>
      </c>
      <c r="EH163" s="46">
        <f t="shared" si="210"/>
        <v>-1</v>
      </c>
      <c r="EI163" s="45">
        <f t="shared" si="211"/>
        <v>-1</v>
      </c>
      <c r="EJ163" s="100">
        <f t="shared" si="212"/>
        <v>-1</v>
      </c>
      <c r="EK163" s="99">
        <f t="shared" si="213"/>
        <v>-1</v>
      </c>
      <c r="EL163" s="45">
        <f t="shared" si="214"/>
        <v>-1</v>
      </c>
      <c r="EM163" s="47">
        <f t="shared" si="215"/>
        <v>-1</v>
      </c>
      <c r="EN163" s="46">
        <f t="shared" si="216"/>
        <v>-1</v>
      </c>
      <c r="EO163" s="45">
        <f t="shared" si="217"/>
        <v>-1</v>
      </c>
      <c r="EP163" s="47">
        <f t="shared" si="218"/>
        <v>-1</v>
      </c>
      <c r="EQ163" s="46">
        <f t="shared" si="219"/>
        <v>-1</v>
      </c>
      <c r="ER163" s="45">
        <f t="shared" si="220"/>
        <v>-1</v>
      </c>
      <c r="ES163" s="48">
        <f t="shared" si="221"/>
        <v>-1</v>
      </c>
      <c r="ET163" s="44">
        <f t="shared" si="222"/>
        <v>-1</v>
      </c>
      <c r="EU163" s="45">
        <f t="shared" si="223"/>
        <v>-1</v>
      </c>
      <c r="EV163" s="47">
        <f t="shared" si="224"/>
        <v>-1</v>
      </c>
      <c r="EW163" s="46">
        <f t="shared" si="225"/>
        <v>-1</v>
      </c>
      <c r="EX163" s="45">
        <f t="shared" si="226"/>
        <v>-1</v>
      </c>
      <c r="EY163" s="47">
        <f t="shared" si="227"/>
        <v>-1</v>
      </c>
      <c r="EZ163" s="46">
        <f t="shared" si="228"/>
        <v>-1</v>
      </c>
      <c r="FA163" s="45">
        <f t="shared" si="229"/>
        <v>-1</v>
      </c>
      <c r="FB163" s="48">
        <f t="shared" si="230"/>
        <v>-1</v>
      </c>
      <c r="FC163" s="44">
        <f t="shared" si="231"/>
        <v>-1</v>
      </c>
      <c r="FD163" s="45">
        <f t="shared" si="232"/>
        <v>-1</v>
      </c>
      <c r="FE163" s="47">
        <f t="shared" si="233"/>
        <v>-1</v>
      </c>
      <c r="FF163" s="46">
        <f t="shared" si="234"/>
        <v>-1</v>
      </c>
      <c r="FG163" s="45">
        <f t="shared" si="235"/>
        <v>-1</v>
      </c>
      <c r="FH163" s="47">
        <f t="shared" si="236"/>
        <v>-1</v>
      </c>
      <c r="FI163" s="46">
        <f t="shared" si="237"/>
        <v>-1</v>
      </c>
      <c r="FJ163" s="45">
        <f t="shared" si="238"/>
        <v>-1</v>
      </c>
      <c r="FK163" s="100">
        <f t="shared" si="239"/>
        <v>-1</v>
      </c>
      <c r="FL163" s="99">
        <f t="shared" si="240"/>
        <v>-1</v>
      </c>
      <c r="FM163" s="45">
        <f t="shared" si="241"/>
        <v>-1</v>
      </c>
      <c r="FN163" s="47">
        <f t="shared" si="242"/>
        <v>-1</v>
      </c>
      <c r="FO163" s="46">
        <f t="shared" si="243"/>
        <v>-1</v>
      </c>
      <c r="FP163" s="45">
        <f t="shared" si="244"/>
        <v>-1</v>
      </c>
      <c r="FQ163" s="47">
        <f t="shared" si="245"/>
        <v>-1</v>
      </c>
      <c r="FR163" s="46">
        <f t="shared" si="246"/>
        <v>-1</v>
      </c>
      <c r="FS163" s="45">
        <f t="shared" si="247"/>
        <v>-1</v>
      </c>
      <c r="FT163" s="48">
        <f t="shared" si="248"/>
        <v>-1</v>
      </c>
      <c r="FU163" s="44">
        <f t="shared" si="249"/>
        <v>-1</v>
      </c>
      <c r="FV163" s="45">
        <f t="shared" si="250"/>
        <v>-1</v>
      </c>
      <c r="FW163" s="47">
        <f t="shared" si="251"/>
        <v>-1</v>
      </c>
      <c r="FX163" s="46">
        <f t="shared" si="252"/>
        <v>-1</v>
      </c>
      <c r="FY163" s="45">
        <f t="shared" si="253"/>
        <v>-1</v>
      </c>
      <c r="FZ163" s="47">
        <f t="shared" si="254"/>
        <v>-1</v>
      </c>
      <c r="GA163" s="46">
        <f t="shared" si="255"/>
        <v>-1</v>
      </c>
      <c r="GB163" s="45">
        <f t="shared" si="256"/>
        <v>-1</v>
      </c>
      <c r="GC163" s="48">
        <f t="shared" si="257"/>
        <v>-1</v>
      </c>
      <c r="GD163" s="44">
        <f t="shared" si="258"/>
        <v>-1</v>
      </c>
      <c r="GE163" s="45">
        <f t="shared" si="259"/>
        <v>-1</v>
      </c>
      <c r="GF163" s="47">
        <f t="shared" si="260"/>
        <v>-1</v>
      </c>
      <c r="GG163" s="46">
        <f t="shared" si="261"/>
        <v>-1</v>
      </c>
      <c r="GH163" s="45">
        <f t="shared" si="262"/>
        <v>-1</v>
      </c>
      <c r="GI163" s="47">
        <f t="shared" si="263"/>
        <v>-1</v>
      </c>
      <c r="GJ163" s="46">
        <f t="shared" si="264"/>
        <v>-1</v>
      </c>
      <c r="GK163" s="45">
        <f t="shared" si="265"/>
        <v>-1</v>
      </c>
      <c r="GL163" s="100">
        <f t="shared" si="266"/>
        <v>-1</v>
      </c>
      <c r="GN163" s="46">
        <f>COUNTIF(DJ163:GL163,7)</f>
        <v>0</v>
      </c>
      <c r="GO163" s="45">
        <f>COUNTIF(DJ163:GL163,8)</f>
        <v>0</v>
      </c>
      <c r="GP163" s="47">
        <f>COUNTIF(DJ163:GL163,9)</f>
        <v>0</v>
      </c>
      <c r="GQ163" s="39"/>
      <c r="GR163" s="39"/>
      <c r="GT163" s="101">
        <f t="shared" si="267"/>
        <v>0</v>
      </c>
      <c r="GU163" s="102">
        <f t="shared" si="268"/>
        <v>5</v>
      </c>
      <c r="GV163" s="103">
        <f t="shared" si="269"/>
        <v>0</v>
      </c>
    </row>
    <row r="164" spans="14:204" ht="15" customHeight="1">
      <c r="N164" s="104">
        <f>IF($B$96="x",-1,IF(AND($B$96=0,INDEX(KonZeile2,1)+INDEX(KonSpalte1,1)+INDEX(KonFeld7,1)=0),1,0))</f>
        <v>-1</v>
      </c>
      <c r="O164" s="50">
        <f>IF($B$96="x",-1,IF(AND($B$96=0,INDEX(KonZeile2,2)+INDEX(KonSpalte1,2)+INDEX(KonFeld7,2)=0),2,0))</f>
        <v>-1</v>
      </c>
      <c r="P164" s="51">
        <f>IF($B$96="x",-1,IF(AND($B$96=0,INDEX(KonZeile2,3)+INDEX(KonSpalte1,3)+INDEX(KonFeld7,3)=0),3,0))</f>
        <v>-1</v>
      </c>
      <c r="Q164" s="52">
        <f>IF($C$96="x",-1,IF(AND($C$96=0,INDEX(KonZeile2,1)+INDEX(KonSpalte2,1)+INDEX(KonFeld7,1)=0),1,0))</f>
        <v>-1</v>
      </c>
      <c r="R164" s="50">
        <f>IF($C$96="x",-1,IF(AND($C$96=0,INDEX(KonZeile2,2)+INDEX(KonSpalte2,2)+INDEX(KonFeld7,2)=0),2,0))</f>
        <v>-1</v>
      </c>
      <c r="S164" s="51">
        <f>IF($C$96="x",-1,IF(AND($C$96=0,INDEX(KonZeile2,3)+INDEX(KonSpalte2,3)+INDEX(KonFeld7,3)=0),3,0))</f>
        <v>-1</v>
      </c>
      <c r="T164" s="52">
        <f>IF($D$96="x",-1,IF(AND($D$96=0,INDEX(KonZeile2,1)+INDEX(KonSpalte3,1)+INDEX(KonFeld7,1)=0),1,0))</f>
        <v>-1</v>
      </c>
      <c r="U164" s="50">
        <f>IF($D$96="x",-1,IF(AND($D$96=0,INDEX(KonZeile2,2)+INDEX(KonSpalte3,2)+INDEX(KonFeld7,2)=0),2,0))</f>
        <v>-1</v>
      </c>
      <c r="V164" s="53">
        <f>IF($D$96="x",-1,IF(AND($D$96=0,INDEX(KonZeile2,3)+INDEX(KonSpalte3,3)+INDEX(KonFeld7,3)=0),3,0))</f>
        <v>-1</v>
      </c>
      <c r="W164" s="49">
        <f>IF($E$96="x",-1,IF(AND($E$96=0,INDEX(KonZeile2,1)+INDEX(KonSpalte4,1)+INDEX(KonFeld7,1)=0),1,0))</f>
        <v>-1</v>
      </c>
      <c r="X164" s="50">
        <f>IF($E$96="x",-1,IF(AND($E$96=0,INDEX(KonZeile2,2)+INDEX(KonSpalte4,2)+INDEX(KonFeld7,2)=0),2,0))</f>
        <v>-1</v>
      </c>
      <c r="Y164" s="51">
        <f>IF($E$96="x",-1,IF(AND($E$96=0,INDEX(KonZeile2,3)+INDEX(KonSpalte4,3)+INDEX(KonFeld7,3)=0),3,0))</f>
        <v>-1</v>
      </c>
      <c r="Z164" s="52">
        <f>IF($F$96="x",-1,IF(AND($F$96=0,INDEX(KonZeile2,1)+INDEX(KonSpalte5,1)+INDEX(KonFeld7,1)=0),1,0))</f>
        <v>-1</v>
      </c>
      <c r="AA164" s="50">
        <f>IF($F$96="x",-1,IF(AND($F$96=0,INDEX(KonZeile2,2)+INDEX(KonSpalte5,2)+INDEX(KonFeld7,2)=0),2,0))</f>
        <v>-1</v>
      </c>
      <c r="AB164" s="51">
        <f>IF($F$96="x",-1,IF(AND($F$96=0,INDEX(KonZeile2,3)+INDEX(KonSpalte5,3)+INDEX(KonFeld7,3)=0),3,0))</f>
        <v>-1</v>
      </c>
      <c r="AC164" s="52">
        <f>IF($G$96="x",-1,IF(AND($G$96=0,INDEX(KonZeile2,1)+INDEX(KonSpalte6,1)+INDEX(KonFeld7,1)=0),1,0))</f>
        <v>-1</v>
      </c>
      <c r="AD164" s="50">
        <f>IF($G$96="x",-1,IF(AND($G$96=0,INDEX(KonZeile2,2)+INDEX(KonSpalte6,2)+INDEX(KonFeld7,2)=0),2,0))</f>
        <v>-1</v>
      </c>
      <c r="AE164" s="53">
        <f>IF($G$96="x",-1,IF(AND($G$96=0,INDEX(KonZeile2,3)+INDEX(KonSpalte6,3)+INDEX(KonFeld7,3)=0),3,0))</f>
        <v>-1</v>
      </c>
      <c r="AF164" s="49">
        <f>IF($H$96="x",-1,IF(AND($H$96=0,INDEX(KonZeile2,1)+INDEX(KonSpalte7,1)+INDEX(KonFeld7,1)=0),1,0))</f>
        <v>-1</v>
      </c>
      <c r="AG164" s="50">
        <f>IF($H$96="x",-1,IF(AND($H$96=0,INDEX(KonZeile2,2)+INDEX(KonSpalte7,2)+INDEX(KonFeld7,2)=0),2,0))</f>
        <v>-1</v>
      </c>
      <c r="AH164" s="51">
        <f>IF($H$96="x",-1,IF(AND($H$96=0,INDEX(KonZeile2,3)+INDEX(KonSpalte7,3)+INDEX(KonFeld7,3)=0),3,0))</f>
        <v>-1</v>
      </c>
      <c r="AI164" s="52">
        <f>IF($I$96="x",-1,IF(AND($I$96=0,INDEX(KonZeile2,1)+INDEX(KonSpalte8,1)+INDEX(KonFeld7,1)=0),1,0))</f>
        <v>-1</v>
      </c>
      <c r="AJ164" s="50">
        <f>IF($I$96="x",-1,IF(AND($I$96=0,INDEX(KonZeile2,2)+INDEX(KonSpalte8,2)+INDEX(KonFeld7,2)=0),2,0))</f>
        <v>-1</v>
      </c>
      <c r="AK164" s="51">
        <f>IF($I$96="x",-1,IF(AND($I$96=0,INDEX(KonZeile2,3)+INDEX(KonSpalte8,3)+INDEX(KonFeld7,3)=0),3,0))</f>
        <v>-1</v>
      </c>
      <c r="AL164" s="52">
        <f>IF($J$96="x",-1,IF(AND($J$96=0,INDEX(KonZeile2,1)+INDEX(KonSpalte9,1)+INDEX(KonFeld7,1)=0),1,0))</f>
        <v>-1</v>
      </c>
      <c r="AM164" s="50">
        <f>IF($J$96="x",-1,IF(AND($J$96=0,INDEX(KonZeile2,2)+INDEX(KonSpalte9,2)+INDEX(KonFeld7,2)=0),2,0))</f>
        <v>-1</v>
      </c>
      <c r="AN164" s="105">
        <f>IF($J$96="x",-1,IF(AND($J$96=0,INDEX(KonZeile2,3)+INDEX(KonSpalte9,3)+INDEX(KonFeld7,3)=0),3,0))</f>
        <v>-1</v>
      </c>
      <c r="AO164" s="104">
        <f>IF($K$96="x",-1,IF(AND($K$96=0,INDEX(KonZeile2,1)+INDEX(KonSpalte1,1)+INDEX(KonFeld8,1)=0),1,0))</f>
        <v>-1</v>
      </c>
      <c r="AP164" s="50">
        <f>IF($K$96="x",-1,IF(AND($K$96=0,INDEX(KonZeile2,2)+INDEX(KonSpalte1,2)+INDEX(KonFeld8,2)=0),2,0))</f>
        <v>-1</v>
      </c>
      <c r="AQ164" s="51">
        <f>IF($K$96="x",-1,IF(AND($K$96=0,INDEX(KonZeile2,3)+INDEX(KonSpalte1,3)+INDEX(KonFeld8,3)=0),3,0))</f>
        <v>-1</v>
      </c>
      <c r="AR164" s="52">
        <f>IF($L$96="x",-1,IF(AND($L$96=0,INDEX(KonZeile2,1)+INDEX(KonSpalte2,1)+INDEX(KonFeld8,1)=0),1,0))</f>
        <v>-1</v>
      </c>
      <c r="AS164" s="50">
        <f>IF($L$96="x",-1,IF(AND($L$96=0,INDEX(KonZeile2,2)+INDEX(KonSpalte2,2)+INDEX(KonFeld8,2)=0),2,0))</f>
        <v>-1</v>
      </c>
      <c r="AT164" s="51">
        <f>IF($L$96="x",-1,IF(AND($L$96=0,INDEX(KonZeile2,3)+INDEX(KonSpalte2,3)+INDEX(KonFeld8,3)=0),3,0))</f>
        <v>-1</v>
      </c>
      <c r="AU164" s="52">
        <f>IF($M$96="x",-1,IF(AND($M$96=0,INDEX(KonZeile2,1)+INDEX(KonSpalte3,1)+INDEX(KonFeld8,1)=0),1,0))</f>
        <v>-1</v>
      </c>
      <c r="AV164" s="50">
        <f>IF($M$96="x",-1,IF(AND($M$96=0,INDEX(KonZeile2,2)+INDEX(KonSpalte3,2)+INDEX(KonFeld8,2)=0),2,0))</f>
        <v>-1</v>
      </c>
      <c r="AW164" s="53">
        <f>IF($M$96="x",-1,IF(AND($M$96=0,INDEX(KonZeile2,3)+INDEX(KonSpalte3,3)+INDEX(KonFeld8,3)=0),3,0))</f>
        <v>-1</v>
      </c>
      <c r="AX164" s="49">
        <f>IF($N$96="x",-1,IF(AND($N$96=0,INDEX(KonZeile2,1)+INDEX(KonSpalte4,1)+INDEX(KonFeld8,1)=0),1,0))</f>
        <v>-1</v>
      </c>
      <c r="AY164" s="50">
        <f>IF($N$96="x",-1,IF(AND($N$96=0,INDEX(KonZeile2,2)+INDEX(KonSpalte4,2)+INDEX(KonFeld8,2)=0),2,0))</f>
        <v>-1</v>
      </c>
      <c r="AZ164" s="51">
        <f>IF($N$96="x",-1,IF(AND($N$96=0,INDEX(KonZeile2,3)+INDEX(KonSpalte4,3)+INDEX(KonFeld8,3)=0),3,0))</f>
        <v>-1</v>
      </c>
      <c r="BA164" s="52">
        <f>IF($O$96="x",-1,IF(AND($O$96=0,INDEX(KonZeile2,1)+INDEX(KonSpalte5,1)+INDEX(KonFeld8,1)=0),1,0))</f>
        <v>-1</v>
      </c>
      <c r="BB164" s="50">
        <f>IF($O$96="x",-1,IF(AND($O$96=0,INDEX(KonZeile2,2)+INDEX(KonSpalte5,2)+INDEX(KonFeld8,2)=0),2,0))</f>
        <v>-1</v>
      </c>
      <c r="BC164" s="51">
        <f>IF($O$96="x",-1,IF(AND($O$96=0,INDEX(KonZeile2,3)+INDEX(KonSpalte5,3)+INDEX(KonFeld8,3)=0),3,0))</f>
        <v>-1</v>
      </c>
      <c r="BD164" s="52">
        <f>IF($P$96="x",-1,IF(AND($P$96=0,INDEX(KonZeile2,1)+INDEX(KonSpalte6,1)+INDEX(KonFeld8,1)=0),1,0))</f>
        <v>-1</v>
      </c>
      <c r="BE164" s="50">
        <f>IF($P$96="x",-1,IF(AND($P$96=0,INDEX(KonZeile2,2)+INDEX(KonSpalte6,2)+INDEX(KonFeld8,2)=0),2,0))</f>
        <v>-1</v>
      </c>
      <c r="BF164" s="53">
        <f>IF($P$96="x",-1,IF(AND($P$96=0,INDEX(KonZeile2,3)+INDEX(KonSpalte6,3)+INDEX(KonFeld8,3)=0),3,0))</f>
        <v>-1</v>
      </c>
      <c r="BG164" s="49">
        <f>IF($Q$96="x",-1,IF(AND($Q$96=0,INDEX(KonZeile2,1)+INDEX(KonSpalte7,1)+INDEX(KonFeld8,1)=0),1,0))</f>
        <v>-1</v>
      </c>
      <c r="BH164" s="50">
        <f>IF($Q$96="x",-1,IF(AND($Q$96=0,INDEX(KonZeile2,2)+INDEX(KonSpalte7,2)+INDEX(KonFeld8,2)=0),2,0))</f>
        <v>-1</v>
      </c>
      <c r="BI164" s="51">
        <f>IF($Q$96="x",-1,IF(AND($Q$96=0,INDEX(KonZeile2,3)+INDEX(KonSpalte7,3)+INDEX(KonFeld8,3)=0),3,0))</f>
        <v>-1</v>
      </c>
      <c r="BJ164" s="52">
        <f>IF($R$96="x",-1,IF(AND($R$96=0,INDEX(KonZeile2,1)+INDEX(KonSpalte8,1)+INDEX(KonFeld8,1)=0),1,0))</f>
        <v>-1</v>
      </c>
      <c r="BK164" s="50">
        <f>IF($R$96="x",-1,IF(AND($R$96=0,INDEX(KonZeile2,2)+INDEX(KonSpalte8,2)+INDEX(KonFeld8,2)=0),2,0))</f>
        <v>-1</v>
      </c>
      <c r="BL164" s="51">
        <f>IF($R$96="x",-1,IF(AND($R$96=0,INDEX(KonZeile2,3)+INDEX(KonSpalte8,3)+INDEX(KonFeld8,3)=0),3,0))</f>
        <v>-1</v>
      </c>
      <c r="BM164" s="52">
        <f>IF($S$96="x",-1,IF(AND($S$96=0,INDEX(KonZeile2,1)+INDEX(KonSpalte9,1)+INDEX(KonFeld8,1)=0),1,0))</f>
        <v>-1</v>
      </c>
      <c r="BN164" s="50">
        <f>IF($S$96="x",-1,IF(AND($S$96=0,INDEX(KonZeile2,2)+INDEX(KonSpalte9,2)+INDEX(KonFeld8,2)=0),2,0))</f>
        <v>-1</v>
      </c>
      <c r="BO164" s="105">
        <f>IF($S$96="x",-1,IF(AND($S$96=0,INDEX(KonZeile2,3)+INDEX(KonSpalte9,3)+INDEX(KonFeld8,3)=0),3,0))</f>
        <v>-1</v>
      </c>
      <c r="BP164" s="104">
        <f>IF($T$96="x",-1,IF(AND($T$96=0,INDEX(KonZeile2,1)+INDEX(KonSpalte1,1)+INDEX(KonFeld9,1)=0),1,0))</f>
        <v>-1</v>
      </c>
      <c r="BQ164" s="50">
        <f>IF($T$96="x",-1,IF(AND($T$96=0,INDEX(KonZeile2,2)+INDEX(KonSpalte1,2)+INDEX(KonFeld9,2)=0),2,0))</f>
        <v>-1</v>
      </c>
      <c r="BR164" s="51">
        <f>IF($T$96="x",-1,IF(AND($T$96=0,INDEX(KonZeile2,3)+INDEX(KonSpalte1,3)+INDEX(KonFeld9,3)=0),3,0))</f>
        <v>-1</v>
      </c>
      <c r="BS164" s="52">
        <f>IF($U$96="x",-1,IF(AND($U$96=0,INDEX(KonZeile2,1)+INDEX(KonSpalte2,1)+INDEX(KonFeld9,1)=0),1,0))</f>
        <v>-1</v>
      </c>
      <c r="BT164" s="50">
        <f>IF($U$96="x",-1,IF(AND($U$96=0,INDEX(KonZeile2,2)+INDEX(KonSpalte2,2)+INDEX(KonFeld9,2)=0),2,0))</f>
        <v>-1</v>
      </c>
      <c r="BU164" s="51">
        <f>IF($U$96="x",-1,IF(AND($U$96=0,INDEX(KonZeile2,3)+INDEX(KonSpalte2,3)+INDEX(KonFeld9,3)=0),3,0))</f>
        <v>-1</v>
      </c>
      <c r="BV164" s="52">
        <f>IF($V$96="x",-1,IF(AND($V$96=0,INDEX(KonZeile2,1)+INDEX(KonSpalte3,1)+INDEX(KonFeld9,1)=0),1,0))</f>
        <v>-1</v>
      </c>
      <c r="BW164" s="50">
        <f>IF($V$96="x",-1,IF(AND($V$96=0,INDEX(KonZeile2,2)+INDEX(KonSpalte3,2)+INDEX(KonFeld9,2)=0),2,0))</f>
        <v>-1</v>
      </c>
      <c r="BX164" s="53">
        <f>IF($V$96="x",-1,IF(AND($V$96=0,INDEX(KonZeile2,3)+INDEX(KonSpalte3,3)+INDEX(KonFeld9,3)=0),3,0))</f>
        <v>-1</v>
      </c>
      <c r="BY164" s="49">
        <f>IF($W$96="x",-1,IF(AND($W$96=0,INDEX(KonZeile2,1)+INDEX(KonSpalte4,1)+INDEX(KonFeld9,1)=0),1,0))</f>
        <v>-1</v>
      </c>
      <c r="BZ164" s="50">
        <f>IF($W$96="x",-1,IF(AND($W$96=0,INDEX(KonZeile2,2)+INDEX(KonSpalte4,2)+INDEX(KonFeld9,2)=0),2,0))</f>
        <v>-1</v>
      </c>
      <c r="CA164" s="51">
        <f>IF($W$96="x",-1,IF(AND($W$96=0,INDEX(KonZeile2,3)+INDEX(KonSpalte4,3)+INDEX(KonFeld9,3)=0),3,0))</f>
        <v>-1</v>
      </c>
      <c r="CB164" s="52">
        <f>IF($X$96="x",-1,IF(AND($X$96=0,INDEX(KonZeile2,1)+INDEX(KonSpalte5,1)+INDEX(KonFeld9,1)=0),1,0))</f>
        <v>-1</v>
      </c>
      <c r="CC164" s="50">
        <f>IF($X$96="x",-1,IF(AND($X$96=0,INDEX(KonZeile2,2)+INDEX(KonSpalte5,2)+INDEX(KonFeld9,2)=0),2,0))</f>
        <v>-1</v>
      </c>
      <c r="CD164" s="51">
        <f>IF($X$96="x",-1,IF(AND($X$96=0,INDEX(KonZeile2,3)+INDEX(KonSpalte5,3)+INDEX(KonFeld9,3)=0),3,0))</f>
        <v>-1</v>
      </c>
      <c r="CE164" s="52">
        <f>IF($Y$96="x",-1,IF(AND($Y$96=0,INDEX(KonZeile2,1)+INDEX(KonSpalte6,1)+INDEX(KonFeld9,1)=0),1,0))</f>
        <v>-1</v>
      </c>
      <c r="CF164" s="50">
        <f>IF($Y$96="x",-1,IF(AND($Y$96=0,INDEX(KonZeile2,2)+INDEX(KonSpalte6,2)+INDEX(KonFeld9,2)=0),2,0))</f>
        <v>-1</v>
      </c>
      <c r="CG164" s="53">
        <f>IF($Y$96="x",-1,IF(AND($Y$96=0,INDEX(KonZeile2,3)+INDEX(KonSpalte6,3)+INDEX(KonFeld9,3)=0),3,0))</f>
        <v>-1</v>
      </c>
      <c r="CH164" s="49">
        <f>IF($Z$96="x",-1,IF(AND($Z$96=0,INDEX(KonZeile2,1)+INDEX(KonSpalte7,1)+INDEX(KonFeld9,1)=0),1,0))</f>
        <v>-1</v>
      </c>
      <c r="CI164" s="50">
        <f>IF($Z$96="x",-1,IF(AND($Z$96=0,INDEX(KonZeile2,2)+INDEX(KonSpalte7,2)+INDEX(KonFeld9,2)=0),2,0))</f>
        <v>-1</v>
      </c>
      <c r="CJ164" s="51">
        <f>IF($Z$96="x",-1,IF(AND($Z$96=0,INDEX(KonZeile2,3)+INDEX(KonSpalte7,3)+INDEX(KonFeld9,3)=0),3,0))</f>
        <v>-1</v>
      </c>
      <c r="CK164" s="52">
        <f>IF($AA$96="x",-1,IF(AND($AA$96=0,INDEX(KonZeile2,1)+INDEX(KonSpalte8,1)+INDEX(KonFeld9,1)=0),1,0))</f>
        <v>-1</v>
      </c>
      <c r="CL164" s="50">
        <f>IF($AA$96="x",-1,IF(AND($AA$96=0,INDEX(KonZeile2,2)+INDEX(KonSpalte8,2)+INDEX(KonFeld9,2)=0),2,0))</f>
        <v>-1</v>
      </c>
      <c r="CM164" s="51">
        <f>IF($AA$96="x",-1,IF(AND($AA$96=0,INDEX(KonZeile2,3)+INDEX(KonSpalte8,3)+INDEX(KonFeld9,3)=0),3,0))</f>
        <v>-1</v>
      </c>
      <c r="CN164" s="52">
        <f>IF($AB$96="x",-1,IF(AND($AB$96=0,INDEX(KonZeile2,1)+INDEX(KonSpalte9,1)+INDEX(KonFeld9,1)=0),1,0))</f>
        <v>-1</v>
      </c>
      <c r="CO164" s="50">
        <f>IF($AB$96="x",-1,IF(AND($AB$96=0,INDEX(KonZeile2,2)+INDEX(KonSpalte9,2)+INDEX(KonFeld9,2)=0),2,0))</f>
        <v>-1</v>
      </c>
      <c r="CP164" s="105">
        <f>IF($AB$96="x",-1,IF(AND($AB$96=0,INDEX(KonZeile2,3)+INDEX(KonSpalte9,3)+INDEX(KonFeld9,3)=0),3,0))</f>
        <v>-1</v>
      </c>
      <c r="CR164" s="52">
        <f>COUNTIF(N164:CP164,1)</f>
        <v>0</v>
      </c>
      <c r="CS164" s="50">
        <f>COUNTIF(N164:CP164,2)</f>
        <v>0</v>
      </c>
      <c r="CT164" s="51">
        <f>COUNTIF(N164:CP164,3)</f>
        <v>0</v>
      </c>
      <c r="CU164" s="39"/>
      <c r="CV164" s="39"/>
      <c r="CX164" s="65">
        <f t="shared" si="270"/>
        <v>0</v>
      </c>
      <c r="CY164" s="66">
        <f t="shared" si="270"/>
        <v>0</v>
      </c>
      <c r="CZ164" s="67">
        <f t="shared" si="270"/>
        <v>0</v>
      </c>
      <c r="DJ164" s="104">
        <f t="shared" si="186"/>
        <v>-1</v>
      </c>
      <c r="DK164" s="50">
        <f t="shared" si="187"/>
        <v>-1</v>
      </c>
      <c r="DL164" s="51">
        <f t="shared" si="188"/>
        <v>-1</v>
      </c>
      <c r="DM164" s="52">
        <f t="shared" si="189"/>
        <v>-1</v>
      </c>
      <c r="DN164" s="50">
        <f t="shared" si="190"/>
        <v>-1</v>
      </c>
      <c r="DO164" s="51">
        <f t="shared" si="191"/>
        <v>-1</v>
      </c>
      <c r="DP164" s="52">
        <f t="shared" si="192"/>
        <v>-1</v>
      </c>
      <c r="DQ164" s="50">
        <f t="shared" si="193"/>
        <v>-1</v>
      </c>
      <c r="DR164" s="53">
        <f t="shared" si="194"/>
        <v>-1</v>
      </c>
      <c r="DS164" s="49">
        <f t="shared" si="195"/>
        <v>-1</v>
      </c>
      <c r="DT164" s="50">
        <f t="shared" si="196"/>
        <v>-1</v>
      </c>
      <c r="DU164" s="51">
        <f t="shared" si="197"/>
        <v>-1</v>
      </c>
      <c r="DV164" s="52">
        <f t="shared" si="198"/>
        <v>-1</v>
      </c>
      <c r="DW164" s="50">
        <f t="shared" si="199"/>
        <v>-1</v>
      </c>
      <c r="DX164" s="51">
        <f t="shared" si="200"/>
        <v>-1</v>
      </c>
      <c r="DY164" s="52">
        <f t="shared" si="201"/>
        <v>-1</v>
      </c>
      <c r="DZ164" s="50">
        <f t="shared" si="202"/>
        <v>-1</v>
      </c>
      <c r="EA164" s="53">
        <f t="shared" si="203"/>
        <v>-1</v>
      </c>
      <c r="EB164" s="49">
        <f t="shared" si="204"/>
        <v>-1</v>
      </c>
      <c r="EC164" s="50">
        <f t="shared" si="205"/>
        <v>-1</v>
      </c>
      <c r="ED164" s="51">
        <f t="shared" si="206"/>
        <v>-1</v>
      </c>
      <c r="EE164" s="52">
        <f t="shared" si="207"/>
        <v>-1</v>
      </c>
      <c r="EF164" s="50">
        <f t="shared" si="208"/>
        <v>-1</v>
      </c>
      <c r="EG164" s="51">
        <f t="shared" si="209"/>
        <v>-1</v>
      </c>
      <c r="EH164" s="52">
        <f t="shared" si="210"/>
        <v>-1</v>
      </c>
      <c r="EI164" s="50">
        <f t="shared" si="211"/>
        <v>-1</v>
      </c>
      <c r="EJ164" s="105">
        <f t="shared" si="212"/>
        <v>-1</v>
      </c>
      <c r="EK164" s="104">
        <f t="shared" si="213"/>
        <v>-1</v>
      </c>
      <c r="EL164" s="50">
        <f t="shared" si="214"/>
        <v>-1</v>
      </c>
      <c r="EM164" s="51">
        <f t="shared" si="215"/>
        <v>-1</v>
      </c>
      <c r="EN164" s="52">
        <f t="shared" si="216"/>
        <v>-1</v>
      </c>
      <c r="EO164" s="50">
        <f t="shared" si="217"/>
        <v>-1</v>
      </c>
      <c r="EP164" s="51">
        <f t="shared" si="218"/>
        <v>-1</v>
      </c>
      <c r="EQ164" s="52">
        <f t="shared" si="219"/>
        <v>-1</v>
      </c>
      <c r="ER164" s="50">
        <f t="shared" si="220"/>
        <v>-1</v>
      </c>
      <c r="ES164" s="53">
        <f t="shared" si="221"/>
        <v>-1</v>
      </c>
      <c r="ET164" s="49">
        <f t="shared" si="222"/>
        <v>-1</v>
      </c>
      <c r="EU164" s="50">
        <f t="shared" si="223"/>
        <v>-1</v>
      </c>
      <c r="EV164" s="51">
        <f t="shared" si="224"/>
        <v>-1</v>
      </c>
      <c r="EW164" s="52">
        <f t="shared" si="225"/>
        <v>-1</v>
      </c>
      <c r="EX164" s="50">
        <f t="shared" si="226"/>
        <v>-1</v>
      </c>
      <c r="EY164" s="51">
        <f t="shared" si="227"/>
        <v>-1</v>
      </c>
      <c r="EZ164" s="52">
        <f t="shared" si="228"/>
        <v>-1</v>
      </c>
      <c r="FA164" s="50">
        <f t="shared" si="229"/>
        <v>-1</v>
      </c>
      <c r="FB164" s="53">
        <f t="shared" si="230"/>
        <v>-1</v>
      </c>
      <c r="FC164" s="49">
        <f t="shared" si="231"/>
        <v>-1</v>
      </c>
      <c r="FD164" s="50">
        <f t="shared" si="232"/>
        <v>-1</v>
      </c>
      <c r="FE164" s="51">
        <f t="shared" si="233"/>
        <v>-1</v>
      </c>
      <c r="FF164" s="52">
        <f t="shared" si="234"/>
        <v>-1</v>
      </c>
      <c r="FG164" s="50">
        <f t="shared" si="235"/>
        <v>-1</v>
      </c>
      <c r="FH164" s="51">
        <f t="shared" si="236"/>
        <v>-1</v>
      </c>
      <c r="FI164" s="52">
        <f t="shared" si="237"/>
        <v>-1</v>
      </c>
      <c r="FJ164" s="50">
        <f t="shared" si="238"/>
        <v>-1</v>
      </c>
      <c r="FK164" s="105">
        <f t="shared" si="239"/>
        <v>-1</v>
      </c>
      <c r="FL164" s="104">
        <f t="shared" si="240"/>
        <v>-1</v>
      </c>
      <c r="FM164" s="50">
        <f t="shared" si="241"/>
        <v>-1</v>
      </c>
      <c r="FN164" s="51">
        <f t="shared" si="242"/>
        <v>-1</v>
      </c>
      <c r="FO164" s="52">
        <f t="shared" si="243"/>
        <v>-1</v>
      </c>
      <c r="FP164" s="50">
        <f t="shared" si="244"/>
        <v>-1</v>
      </c>
      <c r="FQ164" s="51">
        <f t="shared" si="245"/>
        <v>-1</v>
      </c>
      <c r="FR164" s="52">
        <f t="shared" si="246"/>
        <v>-1</v>
      </c>
      <c r="FS164" s="50">
        <f t="shared" si="247"/>
        <v>-1</v>
      </c>
      <c r="FT164" s="53">
        <f t="shared" si="248"/>
        <v>-1</v>
      </c>
      <c r="FU164" s="49">
        <f t="shared" si="249"/>
        <v>-1</v>
      </c>
      <c r="FV164" s="50">
        <f t="shared" si="250"/>
        <v>-1</v>
      </c>
      <c r="FW164" s="51">
        <f t="shared" si="251"/>
        <v>-1</v>
      </c>
      <c r="FX164" s="52">
        <f t="shared" si="252"/>
        <v>-1</v>
      </c>
      <c r="FY164" s="50">
        <f t="shared" si="253"/>
        <v>-1</v>
      </c>
      <c r="FZ164" s="51">
        <f t="shared" si="254"/>
        <v>-1</v>
      </c>
      <c r="GA164" s="52">
        <f t="shared" si="255"/>
        <v>-1</v>
      </c>
      <c r="GB164" s="50">
        <f t="shared" si="256"/>
        <v>-1</v>
      </c>
      <c r="GC164" s="53">
        <f t="shared" si="257"/>
        <v>-1</v>
      </c>
      <c r="GD164" s="49">
        <f t="shared" si="258"/>
        <v>-1</v>
      </c>
      <c r="GE164" s="50">
        <f t="shared" si="259"/>
        <v>-1</v>
      </c>
      <c r="GF164" s="51">
        <f t="shared" si="260"/>
        <v>-1</v>
      </c>
      <c r="GG164" s="52">
        <f t="shared" si="261"/>
        <v>-1</v>
      </c>
      <c r="GH164" s="50">
        <f t="shared" si="262"/>
        <v>-1</v>
      </c>
      <c r="GI164" s="51">
        <f t="shared" si="263"/>
        <v>-1</v>
      </c>
      <c r="GJ164" s="52">
        <f t="shared" si="264"/>
        <v>-1</v>
      </c>
      <c r="GK164" s="50">
        <f t="shared" si="265"/>
        <v>-1</v>
      </c>
      <c r="GL164" s="105">
        <f t="shared" si="266"/>
        <v>-1</v>
      </c>
      <c r="GN164" s="52">
        <f>COUNTIF(DJ164:GL164,1)</f>
        <v>0</v>
      </c>
      <c r="GO164" s="50">
        <f>COUNTIF(DJ164:GL164,2)</f>
        <v>0</v>
      </c>
      <c r="GP164" s="51">
        <f>COUNTIF(DJ164:GL164,3)</f>
        <v>0</v>
      </c>
      <c r="GQ164" s="39"/>
      <c r="GR164" s="39"/>
      <c r="GT164" s="91">
        <f t="shared" si="267"/>
        <v>5</v>
      </c>
      <c r="GU164" s="92">
        <f t="shared" si="268"/>
        <v>0</v>
      </c>
      <c r="GV164" s="93">
        <f t="shared" si="269"/>
        <v>4</v>
      </c>
    </row>
    <row r="165" spans="14:204" ht="15" customHeight="1">
      <c r="N165" s="94">
        <f>IF($B$96="x",-1,IF(AND($B$96=0,INDEX(KonZeile2,4)+INDEX(KonSpalte1,4)+INDEX(KonFeld7,4)=0),4,0))</f>
        <v>-1</v>
      </c>
      <c r="O165" s="39">
        <f>IF($B$96="x",-1,IF(AND($B$96=0,INDEX(KonZeile2,5)+INDEX(KonSpalte1,5)+INDEX(KonFeld7,5)=0),5,0))</f>
        <v>-1</v>
      </c>
      <c r="P165" s="41">
        <f>IF($B$96="x",-1,IF(AND($B$96=0,INDEX(KonZeile2,6)+INDEX(KonSpalte1,6)+INDEX(KonFeld7,6)=0),6,0))</f>
        <v>-1</v>
      </c>
      <c r="Q165" s="40">
        <f>IF($C$96="x",-1,IF(AND($C$96=0,INDEX(KonZeile2,4)+INDEX(KonSpalte2,4)+INDEX(KonFeld7,4)=0),4,0))</f>
        <v>-1</v>
      </c>
      <c r="R165" s="39">
        <f>IF($C$96="x",-1,IF(AND($C$96=0,INDEX(KonZeile2,5)+INDEX(KonSpalte2,5)+INDEX(KonFeld7,5)=0),5,0))</f>
        <v>-1</v>
      </c>
      <c r="S165" s="41">
        <f>IF($C$96="x",-1,IF(AND($C$96=0,INDEX(KonZeile2,6)+INDEX(KonSpalte2,6)+INDEX(KonFeld7,6)=0),6,0))</f>
        <v>-1</v>
      </c>
      <c r="T165" s="40">
        <f>IF($D$96="x",-1,IF(AND($D$96=0,INDEX(KonZeile2,4)+INDEX(KonSpalte3,4)+INDEX(KonFeld7,4)=0),4,0))</f>
        <v>-1</v>
      </c>
      <c r="U165" s="39">
        <f>IF($D$96="x",-1,IF(AND($D$96=0,INDEX(KonZeile2,5)+INDEX(KonSpalte3,5)+INDEX(KonFeld7,5)=0),5,0))</f>
        <v>-1</v>
      </c>
      <c r="V165" s="42">
        <f>IF($D$96="x",-1,IF(AND($D$96=0,INDEX(KonZeile2,6)+INDEX(KonSpalte3,6)+INDEX(KonFeld7,6)=0),6,0))</f>
        <v>-1</v>
      </c>
      <c r="W165" s="43">
        <f>IF($E$96="x",-1,IF(AND($E$96=0,INDEX(KonZeile2,4)+INDEX(KonSpalte4,4)+INDEX(KonFeld7,4)=0),4,0))</f>
        <v>-1</v>
      </c>
      <c r="X165" s="39">
        <f>IF($E$96="x",-1,IF(AND($E$96=0,INDEX(KonZeile2,5)+INDEX(KonSpalte4,5)+INDEX(KonFeld7,5)=0),5,0))</f>
        <v>-1</v>
      </c>
      <c r="Y165" s="41">
        <f>IF($E$96="x",-1,IF(AND($E$96=0,INDEX(KonZeile2,6)+INDEX(KonSpalte4,6)+INDEX(KonFeld7,6)=0),6,0))</f>
        <v>-1</v>
      </c>
      <c r="Z165" s="40">
        <f>IF($F$96="x",-1,IF(AND($F$96=0,INDEX(KonZeile2,4)+INDEX(KonSpalte5,4)+INDEX(KonFeld7,4)=0),4,0))</f>
        <v>-1</v>
      </c>
      <c r="AA165" s="39">
        <f>IF($F$96="x",-1,IF(AND($F$96=0,INDEX(KonZeile2,5)+INDEX(KonSpalte5,5)+INDEX(KonFeld7,5)=0),5,0))</f>
        <v>-1</v>
      </c>
      <c r="AB165" s="41">
        <f>IF($F$96="x",-1,IF(AND($F$96=0,INDEX(KonZeile2,6)+INDEX(KonSpalte5,6)+INDEX(KonFeld7,6)=0),6,0))</f>
        <v>-1</v>
      </c>
      <c r="AC165" s="40">
        <f>IF($G$96="x",-1,IF(AND($G$96=0,INDEX(KonZeile2,4)+INDEX(KonSpalte6,4)+INDEX(KonFeld7,4)=0),4,0))</f>
        <v>-1</v>
      </c>
      <c r="AD165" s="39">
        <f>IF($G$96="x",-1,IF(AND($G$96=0,INDEX(KonZeile2,5)+INDEX(KonSpalte6,5)+INDEX(KonFeld7,5)=0),5,0))</f>
        <v>-1</v>
      </c>
      <c r="AE165" s="42">
        <f>IF($G$96="x",-1,IF(AND($G$96=0,INDEX(KonZeile2,6)+INDEX(KonSpalte6,6)+INDEX(KonFeld7,6)=0),6,0))</f>
        <v>-1</v>
      </c>
      <c r="AF165" s="43">
        <f>IF($H$96="x",-1,IF(AND($H$96=0,INDEX(KonZeile2,4)+INDEX(KonSpalte7,4)+INDEX(KonFeld7,4)=0),4,0))</f>
        <v>-1</v>
      </c>
      <c r="AG165" s="39">
        <f>IF($H$96="x",-1,IF(AND($H$96=0,INDEX(KonZeile2,5)+INDEX(KonSpalte7,5)+INDEX(KonFeld7,5)=0),5,0))</f>
        <v>-1</v>
      </c>
      <c r="AH165" s="41">
        <f>IF($H$96="x",-1,IF(AND($H$96=0,INDEX(KonZeile2,6)+INDEX(KonSpalte7,6)+INDEX(KonFeld7,6)=0),6,0))</f>
        <v>-1</v>
      </c>
      <c r="AI165" s="40">
        <f>IF($I$96="x",-1,IF(AND($I$96=0,INDEX(KonZeile2,4)+INDEX(KonSpalte8,4)+INDEX(KonFeld7,4)=0),4,0))</f>
        <v>-1</v>
      </c>
      <c r="AJ165" s="39">
        <f>IF($I$96="x",-1,IF(AND($I$96=0,INDEX(KonZeile2,5)+INDEX(KonSpalte8,5)+INDEX(KonFeld7,5)=0),5,0))</f>
        <v>-1</v>
      </c>
      <c r="AK165" s="41">
        <f>IF($I$96="x",-1,IF(AND($I$96=0,INDEX(KonZeile2,6)+INDEX(KonSpalte8,6)+INDEX(KonFeld7,6)=0),6,0))</f>
        <v>-1</v>
      </c>
      <c r="AL165" s="40">
        <f>IF($J$96="x",-1,IF(AND($J$96=0,INDEX(KonZeile2,4)+INDEX(KonSpalte9,4)+INDEX(KonFeld7,4)=0),4,0))</f>
        <v>-1</v>
      </c>
      <c r="AM165" s="39">
        <f>IF($J$96="x",-1,IF(AND($J$96=0,INDEX(KonZeile2,5)+INDEX(KonSpalte9,5)+INDEX(KonFeld7,5)=0),5,0))</f>
        <v>-1</v>
      </c>
      <c r="AN165" s="95">
        <f>IF($J$96="x",-1,IF(AND($J$96=0,INDEX(KonZeile2,6)+INDEX(KonSpalte9,6)+INDEX(KonFeld7,6)=0),6,0))</f>
        <v>-1</v>
      </c>
      <c r="AO165" s="94">
        <f>IF($K$96="x",-1,IF(AND($K$96=0,INDEX(KonZeile2,4)+INDEX(KonSpalte1,4)+INDEX(KonFeld8,4)=0),4,0))</f>
        <v>-1</v>
      </c>
      <c r="AP165" s="39">
        <f>IF($K$96="x",-1,IF(AND($K$96=0,INDEX(KonZeile2,5)+INDEX(KonSpalte1,5)+INDEX(KonFeld8,5)=0),5,0))</f>
        <v>-1</v>
      </c>
      <c r="AQ165" s="41">
        <f>IF($K$96="x",-1,IF(AND($K$96=0,INDEX(KonZeile2,6)+INDEX(KonSpalte1,6)+INDEX(KonFeld8,6)=0),6,0))</f>
        <v>-1</v>
      </c>
      <c r="AR165" s="40">
        <f>IF($L$96="x",-1,IF(AND($L$96=0,INDEX(KonZeile2,4)+INDEX(KonSpalte2,4)+INDEX(KonFeld8,4)=0),4,0))</f>
        <v>-1</v>
      </c>
      <c r="AS165" s="39">
        <f>IF($L$96="x",-1,IF(AND($L$96=0,INDEX(KonZeile2,5)+INDEX(KonSpalte2,5)+INDEX(KonFeld8,5)=0),5,0))</f>
        <v>-1</v>
      </c>
      <c r="AT165" s="41">
        <f>IF($L$96="x",-1,IF(AND($L$96=0,INDEX(KonZeile2,6)+INDEX(KonSpalte2,6)+INDEX(KonFeld8,6)=0),6,0))</f>
        <v>-1</v>
      </c>
      <c r="AU165" s="40">
        <f>IF($M$96="x",-1,IF(AND($M$96=0,INDEX(KonZeile2,4)+INDEX(KonSpalte3,4)+INDEX(KonFeld8,4)=0),4,0))</f>
        <v>-1</v>
      </c>
      <c r="AV165" s="39">
        <f>IF($M$96="x",-1,IF(AND($M$96=0,INDEX(KonZeile2,5)+INDEX(KonSpalte3,5)+INDEX(KonFeld8,5)=0),5,0))</f>
        <v>-1</v>
      </c>
      <c r="AW165" s="42">
        <f>IF($M$96="x",-1,IF(AND($M$96=0,INDEX(KonZeile2,6)+INDEX(KonSpalte3,6)+INDEX(KonFeld8,6)=0),6,0))</f>
        <v>-1</v>
      </c>
      <c r="AX165" s="43">
        <f>IF($N$96="x",-1,IF(AND($N$96=0,INDEX(KonZeile2,4)+INDEX(KonSpalte4,4)+INDEX(KonFeld8,4)=0),4,0))</f>
        <v>-1</v>
      </c>
      <c r="AY165" s="39">
        <f>IF($N$96="x",-1,IF(AND($N$96=0,INDEX(KonZeile2,5)+INDEX(KonSpalte4,5)+INDEX(KonFeld8,5)=0),5,0))</f>
        <v>-1</v>
      </c>
      <c r="AZ165" s="41">
        <f>IF($N$96="x",-1,IF(AND($N$96=0,INDEX(KonZeile2,6)+INDEX(KonSpalte4,6)+INDEX(KonFeld8,6)=0),6,0))</f>
        <v>-1</v>
      </c>
      <c r="BA165" s="40">
        <f>IF($O$96="x",-1,IF(AND($O$96=0,INDEX(KonZeile2,4)+INDEX(KonSpalte5,4)+INDEX(KonFeld8,4)=0),4,0))</f>
        <v>-1</v>
      </c>
      <c r="BB165" s="39">
        <f>IF($O$96="x",-1,IF(AND($O$96=0,INDEX(KonZeile2,5)+INDEX(KonSpalte5,5)+INDEX(KonFeld8,5)=0),5,0))</f>
        <v>-1</v>
      </c>
      <c r="BC165" s="41">
        <f>IF($O$96="x",-1,IF(AND($O$96=0,INDEX(KonZeile2,6)+INDEX(KonSpalte5,6)+INDEX(KonFeld8,6)=0),6,0))</f>
        <v>-1</v>
      </c>
      <c r="BD165" s="40">
        <f>IF($P$96="x",-1,IF(AND($P$96=0,INDEX(KonZeile2,4)+INDEX(KonSpalte6,4)+INDEX(KonFeld8,4)=0),4,0))</f>
        <v>-1</v>
      </c>
      <c r="BE165" s="39">
        <f>IF($P$96="x",-1,IF(AND($P$96=0,INDEX(KonZeile2,5)+INDEX(KonSpalte6,5)+INDEX(KonFeld8,5)=0),5,0))</f>
        <v>-1</v>
      </c>
      <c r="BF165" s="42">
        <f>IF($P$96="x",-1,IF(AND($P$96=0,INDEX(KonZeile2,6)+INDEX(KonSpalte6,6)+INDEX(KonFeld8,6)=0),6,0))</f>
        <v>-1</v>
      </c>
      <c r="BG165" s="43">
        <f>IF($Q$96="x",-1,IF(AND($Q$96=0,INDEX(KonZeile2,4)+INDEX(KonSpalte7,4)+INDEX(KonFeld8,4)=0),4,0))</f>
        <v>-1</v>
      </c>
      <c r="BH165" s="39">
        <f>IF($Q$96="x",-1,IF(AND($Q$96=0,INDEX(KonZeile2,5)+INDEX(KonSpalte7,5)+INDEX(KonFeld8,5)=0),5,0))</f>
        <v>-1</v>
      </c>
      <c r="BI165" s="41">
        <f>IF($Q$96="x",-1,IF(AND($Q$96=0,INDEX(KonZeile2,6)+INDEX(KonSpalte7,6)+INDEX(KonFeld8,6)=0),6,0))</f>
        <v>-1</v>
      </c>
      <c r="BJ165" s="40">
        <f>IF($R$96="x",-1,IF(AND($R$96=0,INDEX(KonZeile2,4)+INDEX(KonSpalte8,4)+INDEX(KonFeld8,4)=0),4,0))</f>
        <v>-1</v>
      </c>
      <c r="BK165" s="39">
        <f>IF($R$96="x",-1,IF(AND($R$96=0,INDEX(KonZeile2,5)+INDEX(KonSpalte8,5)+INDEX(KonFeld8,5)=0),5,0))</f>
        <v>-1</v>
      </c>
      <c r="BL165" s="41">
        <f>IF($R$96="x",-1,IF(AND($R$96=0,INDEX(KonZeile2,6)+INDEX(KonSpalte8,6)+INDEX(KonFeld8,6)=0),6,0))</f>
        <v>-1</v>
      </c>
      <c r="BM165" s="40">
        <f>IF($S$96="x",-1,IF(AND($S$96=0,INDEX(KonZeile2,4)+INDEX(KonSpalte9,4)+INDEX(KonFeld8,4)=0),4,0))</f>
        <v>-1</v>
      </c>
      <c r="BN165" s="39">
        <f>IF($S$96="x",-1,IF(AND($S$96=0,INDEX(KonZeile2,5)+INDEX(KonSpalte9,5)+INDEX(KonFeld8,5)=0),5,0))</f>
        <v>-1</v>
      </c>
      <c r="BO165" s="95">
        <f>IF($S$96="x",-1,IF(AND($S$96=0,INDEX(KonZeile2,6)+INDEX(KonSpalte9,6)+INDEX(KonFeld8,6)=0),6,0))</f>
        <v>-1</v>
      </c>
      <c r="BP165" s="94">
        <f>IF($T$96="x",-1,IF(AND($T$96=0,INDEX(KonZeile2,4)+INDEX(KonSpalte1,4)+INDEX(KonFeld9,4)=0),4,0))</f>
        <v>-1</v>
      </c>
      <c r="BQ165" s="39">
        <f>IF($T$96="x",-1,IF(AND($T$96=0,INDEX(KonZeile2,5)+INDEX(KonSpalte1,5)+INDEX(KonFeld9,5)=0),5,0))</f>
        <v>-1</v>
      </c>
      <c r="BR165" s="41">
        <f>IF($T$96="x",-1,IF(AND($T$96=0,INDEX(KonZeile2,6)+INDEX(KonSpalte1,6)+INDEX(KonFeld9,6)=0),6,0))</f>
        <v>-1</v>
      </c>
      <c r="BS165" s="40">
        <f>IF($U$96="x",-1,IF(AND($U$96=0,INDEX(KonZeile2,4)+INDEX(KonSpalte2,4)+INDEX(KonFeld9,4)=0),4,0))</f>
        <v>-1</v>
      </c>
      <c r="BT165" s="39">
        <f>IF($U$96="x",-1,IF(AND($U$96=0,INDEX(KonZeile2,5)+INDEX(KonSpalte2,5)+INDEX(KonFeld9,5)=0),5,0))</f>
        <v>-1</v>
      </c>
      <c r="BU165" s="41">
        <f>IF($U$96="x",-1,IF(AND($U$96=0,INDEX(KonZeile2,6)+INDEX(KonSpalte2,6)+INDEX(KonFeld9,6)=0),6,0))</f>
        <v>-1</v>
      </c>
      <c r="BV165" s="40">
        <f>IF($V$96="x",-1,IF(AND($V$96=0,INDEX(KonZeile2,4)+INDEX(KonSpalte3,4)+INDEX(KonFeld9,4)=0),4,0))</f>
        <v>-1</v>
      </c>
      <c r="BW165" s="39">
        <f>IF($V$96="x",-1,IF(AND($V$96=0,INDEX(KonZeile2,5)+INDEX(KonSpalte3,5)+INDEX(KonFeld9,5)=0),5,0))</f>
        <v>-1</v>
      </c>
      <c r="BX165" s="42">
        <f>IF($V$96="x",-1,IF(AND($V$96=0,INDEX(KonZeile2,6)+INDEX(KonSpalte3,6)+INDEX(KonFeld9,6)=0),6,0))</f>
        <v>-1</v>
      </c>
      <c r="BY165" s="43">
        <f>IF($W$96="x",-1,IF(AND($W$96=0,INDEX(KonZeile2,4)+INDEX(KonSpalte4,4)+INDEX(KonFeld9,4)=0),4,0))</f>
        <v>-1</v>
      </c>
      <c r="BZ165" s="39">
        <f>IF($W$96="x",-1,IF(AND($W$96=0,INDEX(KonZeile2,5)+INDEX(KonSpalte4,5)+INDEX(KonFeld9,5)=0),5,0))</f>
        <v>-1</v>
      </c>
      <c r="CA165" s="41">
        <f>IF($W$96="x",-1,IF(AND($W$96=0,INDEX(KonZeile2,6)+INDEX(KonSpalte4,6)+INDEX(KonFeld9,6)=0),6,0))</f>
        <v>-1</v>
      </c>
      <c r="CB165" s="40">
        <f>IF($X$96="x",-1,IF(AND($X$96=0,INDEX(KonZeile2,4)+INDEX(KonSpalte5,4)+INDEX(KonFeld9,4)=0),4,0))</f>
        <v>-1</v>
      </c>
      <c r="CC165" s="39">
        <f>IF($X$96="x",-1,IF(AND($X$96=0,INDEX(KonZeile2,5)+INDEX(KonSpalte5,5)+INDEX(KonFeld9,5)=0),5,0))</f>
        <v>-1</v>
      </c>
      <c r="CD165" s="41">
        <f>IF($X$96="x",-1,IF(AND($X$96=0,INDEX(KonZeile2,6)+INDEX(KonSpalte5,6)+INDEX(KonFeld9,6)=0),6,0))</f>
        <v>-1</v>
      </c>
      <c r="CE165" s="40">
        <f>IF($Y$96="x",-1,IF(AND($Y$96=0,INDEX(KonZeile2,4)+INDEX(KonSpalte6,4)+INDEX(KonFeld9,4)=0),4,0))</f>
        <v>-1</v>
      </c>
      <c r="CF165" s="39">
        <f>IF($Y$96="x",-1,IF(AND($Y$96=0,INDEX(KonZeile2,5)+INDEX(KonSpalte6,5)+INDEX(KonFeld9,5)=0),5,0))</f>
        <v>-1</v>
      </c>
      <c r="CG165" s="42">
        <f>IF($Y$96="x",-1,IF(AND($Y$96=0,INDEX(KonZeile2,6)+INDEX(KonSpalte6,6)+INDEX(KonFeld9,6)=0),6,0))</f>
        <v>-1</v>
      </c>
      <c r="CH165" s="43">
        <f>IF($Z$96="x",-1,IF(AND($Z$96=0,INDEX(KonZeile2,4)+INDEX(KonSpalte7,4)+INDEX(KonFeld9,4)=0),4,0))</f>
        <v>-1</v>
      </c>
      <c r="CI165" s="39">
        <f>IF($Z$96="x",-1,IF(AND($Z$96=0,INDEX(KonZeile2,5)+INDEX(KonSpalte7,5)+INDEX(KonFeld9,5)=0),5,0))</f>
        <v>-1</v>
      </c>
      <c r="CJ165" s="41">
        <f>IF($Z$96="x",-1,IF(AND($Z$96=0,INDEX(KonZeile2,6)+INDEX(KonSpalte7,6)+INDEX(KonFeld9,6)=0),6,0))</f>
        <v>-1</v>
      </c>
      <c r="CK165" s="40">
        <f>IF($AA$96="x",-1,IF(AND($AA$96=0,INDEX(KonZeile2,4)+INDEX(KonSpalte8,4)+INDEX(KonFeld9,4)=0),4,0))</f>
        <v>-1</v>
      </c>
      <c r="CL165" s="39">
        <f>IF($AA$96="x",-1,IF(AND($AA$96=0,INDEX(KonZeile2,5)+INDEX(KonSpalte8,5)+INDEX(KonFeld9,5)=0),5,0))</f>
        <v>-1</v>
      </c>
      <c r="CM165" s="41">
        <f>IF($AA$96="x",-1,IF(AND($AA$96=0,INDEX(KonZeile2,6)+INDEX(KonSpalte8,6)+INDEX(KonFeld9,6)=0),6,0))</f>
        <v>-1</v>
      </c>
      <c r="CN165" s="40">
        <f>IF($AB$96="x",-1,IF(AND($AB$96=0,INDEX(KonZeile2,4)+INDEX(KonSpalte9,4)+INDEX(KonFeld9,4)=0),4,0))</f>
        <v>-1</v>
      </c>
      <c r="CO165" s="39">
        <f>IF($AB$96="x",-1,IF(AND($AB$96=0,INDEX(KonZeile2,5)+INDEX(KonSpalte9,5)+INDEX(KonFeld9,5)=0),5,0))</f>
        <v>-1</v>
      </c>
      <c r="CP165" s="95">
        <f>IF($AB$96="x",-1,IF(AND($AB$96=0,INDEX(KonZeile2,6)+INDEX(KonSpalte9,6)+INDEX(KonFeld9,6)=0),6,0))</f>
        <v>-1</v>
      </c>
      <c r="CR165" s="40">
        <f>COUNTIF(N165:CP165,4)</f>
        <v>0</v>
      </c>
      <c r="CS165" s="39">
        <f>COUNTIF(N165:CP165,5)</f>
        <v>0</v>
      </c>
      <c r="CT165" s="41">
        <f>COUNTIF(N165:CP165,6)</f>
        <v>0</v>
      </c>
      <c r="CU165" s="39"/>
      <c r="CV165" s="39"/>
      <c r="CX165" s="72">
        <f t="shared" si="270"/>
        <v>0</v>
      </c>
      <c r="CY165" s="73">
        <f t="shared" si="270"/>
        <v>0</v>
      </c>
      <c r="CZ165" s="74">
        <f t="shared" si="270"/>
        <v>0</v>
      </c>
      <c r="DJ165" s="94">
        <f t="shared" si="186"/>
        <v>-1</v>
      </c>
      <c r="DK165" s="39">
        <f t="shared" si="187"/>
        <v>-1</v>
      </c>
      <c r="DL165" s="41">
        <f t="shared" si="188"/>
        <v>-1</v>
      </c>
      <c r="DM165" s="40">
        <f t="shared" si="189"/>
        <v>-1</v>
      </c>
      <c r="DN165" s="39">
        <f t="shared" si="190"/>
        <v>-1</v>
      </c>
      <c r="DO165" s="41">
        <f t="shared" si="191"/>
        <v>-1</v>
      </c>
      <c r="DP165" s="40">
        <f t="shared" si="192"/>
        <v>-1</v>
      </c>
      <c r="DQ165" s="39">
        <f t="shared" si="193"/>
        <v>-1</v>
      </c>
      <c r="DR165" s="42">
        <f t="shared" si="194"/>
        <v>-1</v>
      </c>
      <c r="DS165" s="43">
        <f t="shared" si="195"/>
        <v>-1</v>
      </c>
      <c r="DT165" s="39">
        <f t="shared" si="196"/>
        <v>-1</v>
      </c>
      <c r="DU165" s="41">
        <f t="shared" si="197"/>
        <v>-1</v>
      </c>
      <c r="DV165" s="40">
        <f t="shared" si="198"/>
        <v>-1</v>
      </c>
      <c r="DW165" s="39">
        <f t="shared" si="199"/>
        <v>-1</v>
      </c>
      <c r="DX165" s="41">
        <f t="shared" si="200"/>
        <v>-1</v>
      </c>
      <c r="DY165" s="40">
        <f t="shared" si="201"/>
        <v>-1</v>
      </c>
      <c r="DZ165" s="39">
        <f t="shared" si="202"/>
        <v>-1</v>
      </c>
      <c r="EA165" s="42">
        <f t="shared" si="203"/>
        <v>-1</v>
      </c>
      <c r="EB165" s="43">
        <f t="shared" si="204"/>
        <v>-1</v>
      </c>
      <c r="EC165" s="39">
        <f t="shared" si="205"/>
        <v>-1</v>
      </c>
      <c r="ED165" s="41">
        <f t="shared" si="206"/>
        <v>-1</v>
      </c>
      <c r="EE165" s="40">
        <f t="shared" si="207"/>
        <v>-1</v>
      </c>
      <c r="EF165" s="39">
        <f t="shared" si="208"/>
        <v>-1</v>
      </c>
      <c r="EG165" s="41">
        <f t="shared" si="209"/>
        <v>-1</v>
      </c>
      <c r="EH165" s="40">
        <f t="shared" si="210"/>
        <v>-1</v>
      </c>
      <c r="EI165" s="39">
        <f t="shared" si="211"/>
        <v>-1</v>
      </c>
      <c r="EJ165" s="95">
        <f t="shared" si="212"/>
        <v>-1</v>
      </c>
      <c r="EK165" s="94">
        <f t="shared" si="213"/>
        <v>-1</v>
      </c>
      <c r="EL165" s="39">
        <f t="shared" si="214"/>
        <v>-1</v>
      </c>
      <c r="EM165" s="41">
        <f t="shared" si="215"/>
        <v>-1</v>
      </c>
      <c r="EN165" s="40">
        <f t="shared" si="216"/>
        <v>-1</v>
      </c>
      <c r="EO165" s="39">
        <f t="shared" si="217"/>
        <v>-1</v>
      </c>
      <c r="EP165" s="41">
        <f t="shared" si="218"/>
        <v>-1</v>
      </c>
      <c r="EQ165" s="40">
        <f t="shared" si="219"/>
        <v>-1</v>
      </c>
      <c r="ER165" s="39">
        <f t="shared" si="220"/>
        <v>-1</v>
      </c>
      <c r="ES165" s="42">
        <f t="shared" si="221"/>
        <v>-1</v>
      </c>
      <c r="ET165" s="43">
        <f t="shared" si="222"/>
        <v>-1</v>
      </c>
      <c r="EU165" s="39">
        <f t="shared" si="223"/>
        <v>-1</v>
      </c>
      <c r="EV165" s="41">
        <f t="shared" si="224"/>
        <v>-1</v>
      </c>
      <c r="EW165" s="40">
        <f t="shared" si="225"/>
        <v>-1</v>
      </c>
      <c r="EX165" s="39">
        <f t="shared" si="226"/>
        <v>-1</v>
      </c>
      <c r="EY165" s="41">
        <f t="shared" si="227"/>
        <v>-1</v>
      </c>
      <c r="EZ165" s="40">
        <f t="shared" si="228"/>
        <v>-1</v>
      </c>
      <c r="FA165" s="39">
        <f t="shared" si="229"/>
        <v>-1</v>
      </c>
      <c r="FB165" s="42">
        <f t="shared" si="230"/>
        <v>-1</v>
      </c>
      <c r="FC165" s="43">
        <f t="shared" si="231"/>
        <v>-1</v>
      </c>
      <c r="FD165" s="39">
        <f t="shared" si="232"/>
        <v>-1</v>
      </c>
      <c r="FE165" s="41">
        <f t="shared" si="233"/>
        <v>-1</v>
      </c>
      <c r="FF165" s="40">
        <f t="shared" si="234"/>
        <v>-1</v>
      </c>
      <c r="FG165" s="39">
        <f t="shared" si="235"/>
        <v>-1</v>
      </c>
      <c r="FH165" s="41">
        <f t="shared" si="236"/>
        <v>-1</v>
      </c>
      <c r="FI165" s="40">
        <f t="shared" si="237"/>
        <v>-1</v>
      </c>
      <c r="FJ165" s="39">
        <f t="shared" si="238"/>
        <v>-1</v>
      </c>
      <c r="FK165" s="95">
        <f t="shared" si="239"/>
        <v>-1</v>
      </c>
      <c r="FL165" s="94">
        <f t="shared" si="240"/>
        <v>-1</v>
      </c>
      <c r="FM165" s="39">
        <f t="shared" si="241"/>
        <v>-1</v>
      </c>
      <c r="FN165" s="41">
        <f t="shared" si="242"/>
        <v>-1</v>
      </c>
      <c r="FO165" s="40">
        <f t="shared" si="243"/>
        <v>-1</v>
      </c>
      <c r="FP165" s="39">
        <f t="shared" si="244"/>
        <v>-1</v>
      </c>
      <c r="FQ165" s="41">
        <f t="shared" si="245"/>
        <v>-1</v>
      </c>
      <c r="FR165" s="40">
        <f t="shared" si="246"/>
        <v>-1</v>
      </c>
      <c r="FS165" s="39">
        <f t="shared" si="247"/>
        <v>-1</v>
      </c>
      <c r="FT165" s="42">
        <f t="shared" si="248"/>
        <v>-1</v>
      </c>
      <c r="FU165" s="43">
        <f t="shared" si="249"/>
        <v>-1</v>
      </c>
      <c r="FV165" s="39">
        <f t="shared" si="250"/>
        <v>-1</v>
      </c>
      <c r="FW165" s="41">
        <f t="shared" si="251"/>
        <v>-1</v>
      </c>
      <c r="FX165" s="40">
        <f t="shared" si="252"/>
        <v>-1</v>
      </c>
      <c r="FY165" s="39">
        <f t="shared" si="253"/>
        <v>-1</v>
      </c>
      <c r="FZ165" s="41">
        <f t="shared" si="254"/>
        <v>-1</v>
      </c>
      <c r="GA165" s="40">
        <f t="shared" si="255"/>
        <v>-1</v>
      </c>
      <c r="GB165" s="39">
        <f t="shared" si="256"/>
        <v>-1</v>
      </c>
      <c r="GC165" s="42">
        <f t="shared" si="257"/>
        <v>-1</v>
      </c>
      <c r="GD165" s="43">
        <f t="shared" si="258"/>
        <v>-1</v>
      </c>
      <c r="GE165" s="39">
        <f t="shared" si="259"/>
        <v>-1</v>
      </c>
      <c r="GF165" s="41">
        <f t="shared" si="260"/>
        <v>-1</v>
      </c>
      <c r="GG165" s="40">
        <f t="shared" si="261"/>
        <v>-1</v>
      </c>
      <c r="GH165" s="39">
        <f t="shared" si="262"/>
        <v>-1</v>
      </c>
      <c r="GI165" s="41">
        <f t="shared" si="263"/>
        <v>-1</v>
      </c>
      <c r="GJ165" s="40">
        <f t="shared" si="264"/>
        <v>-1</v>
      </c>
      <c r="GK165" s="39">
        <f t="shared" si="265"/>
        <v>-1</v>
      </c>
      <c r="GL165" s="95">
        <f t="shared" si="266"/>
        <v>-1</v>
      </c>
      <c r="GN165" s="40">
        <f>COUNTIF(DJ165:GL165,4)</f>
        <v>0</v>
      </c>
      <c r="GO165" s="39">
        <f>COUNTIF(DJ165:GL165,5)</f>
        <v>0</v>
      </c>
      <c r="GP165" s="41">
        <f>COUNTIF(DJ165:GL165,6)</f>
        <v>0</v>
      </c>
      <c r="GQ165" s="39"/>
      <c r="GR165" s="39"/>
      <c r="GT165" s="96">
        <f t="shared" si="267"/>
        <v>4</v>
      </c>
      <c r="GU165" s="97">
        <f t="shared" si="268"/>
        <v>0</v>
      </c>
      <c r="GV165" s="98">
        <f t="shared" si="269"/>
        <v>3</v>
      </c>
    </row>
    <row r="166" spans="14:204" ht="15" customHeight="1" thickBot="1">
      <c r="N166" s="99">
        <f>IF($B$96="x",-1,IF(AND($B$96=0,INDEX(KonZeile2,7)+INDEX(KonSpalte1,7)+INDEX(KonFeld7,7)=0),7,0))</f>
        <v>-1</v>
      </c>
      <c r="O166" s="45">
        <f>IF($B$96="x",-1,IF(AND($B$96=0,INDEX(KonZeile2,8)+INDEX(KonSpalte1,8)+INDEX(KonFeld7,8)=0),8,0))</f>
        <v>-1</v>
      </c>
      <c r="P166" s="47">
        <f>IF($B$96="x",-1,IF(AND($B$96=0,INDEX(KonZeile2,9)+INDEX(KonSpalte1,9)+INDEX(KonFeld7,9)=0),9,0))</f>
        <v>-1</v>
      </c>
      <c r="Q166" s="46">
        <f>IF($C$96="x",-1,IF(AND($C$96=0,INDEX(KonZeile2,7)+INDEX(KonSpalte2,7)+INDEX(KonFeld7,7)=0),7,0))</f>
        <v>-1</v>
      </c>
      <c r="R166" s="45">
        <f>IF($C$96="x",-1,IF(AND($C$96=0,INDEX(KonZeile2,8)+INDEX(KonSpalte2,8)+INDEX(KonFeld7,8)=0),8,0))</f>
        <v>-1</v>
      </c>
      <c r="S166" s="47">
        <f>IF($C$96="x",-1,IF(AND($C$96=0,INDEX(KonZeile2,9)+INDEX(KonSpalte2,9)+INDEX(KonFeld7,9)=0),9,0))</f>
        <v>-1</v>
      </c>
      <c r="T166" s="46">
        <f>IF($D$96="x",-1,IF(AND($D$96=0,INDEX(KonZeile2,7)+INDEX(KonSpalte3,7)+INDEX(KonFeld7,7)=0),7,0))</f>
        <v>-1</v>
      </c>
      <c r="U166" s="45">
        <f>IF($D$96="x",-1,IF(AND($D$96=0,INDEX(KonZeile2,8)+INDEX(KonSpalte3,8)+INDEX(KonFeld7,8)=0),8,0))</f>
        <v>-1</v>
      </c>
      <c r="V166" s="48">
        <f>IF($D$96="x",-1,IF(AND($D$96=0,INDEX(KonZeile2,9)+INDEX(KonSpalte3,9)+INDEX(KonFeld7,9)=0),9,0))</f>
        <v>-1</v>
      </c>
      <c r="W166" s="44">
        <f>IF($E$96="x",-1,IF(AND($E$96=0,INDEX(KonZeile2,7)+INDEX(KonSpalte4,7)+INDEX(KonFeld7,7)=0),7,0))</f>
        <v>-1</v>
      </c>
      <c r="X166" s="45">
        <f>IF($E$96="x",-1,IF(AND($E$96=0,INDEX(KonZeile2,8)+INDEX(KonSpalte4,8)+INDEX(KonFeld7,8)=0),8,0))</f>
        <v>-1</v>
      </c>
      <c r="Y166" s="47">
        <f>IF($E$96="x",-1,IF(AND($E$96=0,INDEX(KonZeile2,9)+INDEX(KonSpalte4,9)+INDEX(KonFeld7,9)=0),9,0))</f>
        <v>-1</v>
      </c>
      <c r="Z166" s="46">
        <f>IF($F$96="x",-1,IF(AND($F$96=0,INDEX(KonZeile2,7)+INDEX(KonSpalte5,7)+INDEX(KonFeld7,7)=0),7,0))</f>
        <v>-1</v>
      </c>
      <c r="AA166" s="45">
        <f>IF($F$96="x",-1,IF(AND($F$96=0,INDEX(KonZeile2,8)+INDEX(KonSpalte5,8)+INDEX(KonFeld7,8)=0),8,0))</f>
        <v>-1</v>
      </c>
      <c r="AB166" s="47">
        <f>IF($F$96="x",-1,IF(AND($F$96=0,INDEX(KonZeile2,9)+INDEX(KonSpalte5,9)+INDEX(KonFeld7,9)=0),9,0))</f>
        <v>-1</v>
      </c>
      <c r="AC166" s="46">
        <f>IF($G$96="x",-1,IF(AND($G$96=0,INDEX(KonZeile2,7)+INDEX(KonSpalte6,7)+INDEX(KonFeld7,7)=0),7,0))</f>
        <v>-1</v>
      </c>
      <c r="AD166" s="45">
        <f>IF($G$96="x",-1,IF(AND($G$96=0,INDEX(KonZeile2,8)+INDEX(KonSpalte6,8)+INDEX(KonFeld7,8)=0),8,0))</f>
        <v>-1</v>
      </c>
      <c r="AE166" s="48">
        <f>IF($G$96="x",-1,IF(AND($G$96=0,INDEX(KonZeile2,9)+INDEX(KonSpalte6,9)+INDEX(KonFeld7,9)=0),9,0))</f>
        <v>-1</v>
      </c>
      <c r="AF166" s="44">
        <f>IF($H$96="x",-1,IF(AND($H$96=0,INDEX(KonZeile2,7)+INDEX(KonSpalte7,7)+INDEX(KonFeld7,7)=0),7,0))</f>
        <v>-1</v>
      </c>
      <c r="AG166" s="45">
        <f>IF($H$96="x",-1,IF(AND($H$96=0,INDEX(KonZeile2,8)+INDEX(KonSpalte7,8)+INDEX(KonFeld7,8)=0),8,0))</f>
        <v>-1</v>
      </c>
      <c r="AH166" s="47">
        <f>IF($H$96="x",-1,IF(AND($H$96=0,INDEX(KonZeile2,9)+INDEX(KonSpalte7,9)+INDEX(KonFeld7,9)=0),9,0))</f>
        <v>-1</v>
      </c>
      <c r="AI166" s="46">
        <f>IF($I$96="x",-1,IF(AND($I$96=0,INDEX(KonZeile2,7)+INDEX(KonSpalte8,7)+INDEX(KonFeld7,7)=0),7,0))</f>
        <v>-1</v>
      </c>
      <c r="AJ166" s="45">
        <f>IF($I$96="x",-1,IF(AND($I$96=0,INDEX(KonZeile2,8)+INDEX(KonSpalte8,8)+INDEX(KonFeld7,8)=0),8,0))</f>
        <v>-1</v>
      </c>
      <c r="AK166" s="47">
        <f>IF($I$96="x",-1,IF(AND($I$96=0,INDEX(KonZeile2,9)+INDEX(KonSpalte8,9)+INDEX(KonFeld7,9)=0),9,0))</f>
        <v>-1</v>
      </c>
      <c r="AL166" s="46">
        <f>IF($J$96="x",-1,IF(AND($J$96=0,INDEX(KonZeile2,7)+INDEX(KonSpalte9,7)+INDEX(KonFeld7,7)=0),7,0))</f>
        <v>-1</v>
      </c>
      <c r="AM166" s="45">
        <f>IF($J$96="x",-1,IF(AND($J$96=0,INDEX(KonZeile2,8)+INDEX(KonSpalte9,8)+INDEX(KonFeld7,8)=0),8,0))</f>
        <v>-1</v>
      </c>
      <c r="AN166" s="100">
        <f>IF($J$96="x",-1,IF(AND($J$96=0,INDEX(KonZeile2,9)+INDEX(KonSpalte9,9)+INDEX(KonFeld7,9)=0),9,0))</f>
        <v>-1</v>
      </c>
      <c r="AO166" s="99">
        <f>IF($K$96="x",-1,IF(AND($K$96=0,INDEX(KonZeile2,7)+INDEX(KonSpalte1,7)+INDEX(KonFeld8,7)=0),7,0))</f>
        <v>-1</v>
      </c>
      <c r="AP166" s="45">
        <f>IF($K$96="x",-1,IF(AND($K$96=0,INDEX(KonZeile2,8)+INDEX(KonSpalte1,8)+INDEX(KonFeld8,8)=0),8,0))</f>
        <v>-1</v>
      </c>
      <c r="AQ166" s="47">
        <f>IF($K$96="x",-1,IF(AND($K$96=0,INDEX(KonZeile2,9)+INDEX(KonSpalte1,9)+INDEX(KonFeld8,9)=0),9,0))</f>
        <v>-1</v>
      </c>
      <c r="AR166" s="46">
        <f>IF($L$96="x",-1,IF(AND($L$96=0,INDEX(KonZeile2,7)+INDEX(KonSpalte2,7)+INDEX(KonFeld8,7)=0),7,0))</f>
        <v>-1</v>
      </c>
      <c r="AS166" s="45">
        <f>IF($L$96="x",-1,IF(AND($L$96=0,INDEX(KonZeile2,8)+INDEX(KonSpalte2,8)+INDEX(KonFeld8,8)=0),8,0))</f>
        <v>-1</v>
      </c>
      <c r="AT166" s="47">
        <f>IF($L$96="x",-1,IF(AND($L$96=0,INDEX(KonZeile2,9)+INDEX(KonSpalte2,9)+INDEX(KonFeld8,9)=0),9,0))</f>
        <v>-1</v>
      </c>
      <c r="AU166" s="46">
        <f>IF($M$96="x",-1,IF(AND($M$96=0,INDEX(KonZeile2,7)+INDEX(KonSpalte3,7)+INDEX(KonFeld8,7)=0),7,0))</f>
        <v>-1</v>
      </c>
      <c r="AV166" s="45">
        <f>IF($M$96="x",-1,IF(AND($M$96=0,INDEX(KonZeile2,8)+INDEX(KonSpalte3,8)+INDEX(KonFeld8,8)=0),8,0))</f>
        <v>-1</v>
      </c>
      <c r="AW166" s="48">
        <f>IF($M$96="x",-1,IF(AND($M$96=0,INDEX(KonZeile2,9)+INDEX(KonSpalte3,9)+INDEX(KonFeld8,9)=0),9,0))</f>
        <v>-1</v>
      </c>
      <c r="AX166" s="44">
        <f>IF($N$96="x",-1,IF(AND($N$96=0,INDEX(KonZeile2,7)+INDEX(KonSpalte4,7)+INDEX(KonFeld8,7)=0),7,0))</f>
        <v>-1</v>
      </c>
      <c r="AY166" s="45">
        <f>IF($N$96="x",-1,IF(AND($N$96=0,INDEX(KonZeile2,8)+INDEX(KonSpalte4,8)+INDEX(KonFeld8,8)=0),8,0))</f>
        <v>-1</v>
      </c>
      <c r="AZ166" s="47">
        <f>IF($N$96="x",-1,IF(AND($N$96=0,INDEX(KonZeile2,9)+INDEX(KonSpalte4,9)+INDEX(KonFeld8,9)=0),9,0))</f>
        <v>-1</v>
      </c>
      <c r="BA166" s="46">
        <f>IF($O$96="x",-1,IF(AND($O$96=0,INDEX(KonZeile2,7)+INDEX(KonSpalte5,7)+INDEX(KonFeld8,7)=0),7,0))</f>
        <v>-1</v>
      </c>
      <c r="BB166" s="45">
        <f>IF($O$96="x",-1,IF(AND($O$96=0,INDEX(KonZeile2,8)+INDEX(KonSpalte5,8)+INDEX(KonFeld8,8)=0),8,0))</f>
        <v>-1</v>
      </c>
      <c r="BC166" s="47">
        <f>IF($O$96="x",-1,IF(AND($O$96=0,INDEX(KonZeile2,9)+INDEX(KonSpalte5,9)+INDEX(KonFeld8,9)=0),9,0))</f>
        <v>-1</v>
      </c>
      <c r="BD166" s="46">
        <f>IF($P$96="x",-1,IF(AND($P$96=0,INDEX(KonZeile2,7)+INDEX(KonSpalte6,7)+INDEX(KonFeld8,7)=0),7,0))</f>
        <v>-1</v>
      </c>
      <c r="BE166" s="45">
        <f>IF($P$96="x",-1,IF(AND($P$96=0,INDEX(KonZeile2,8)+INDEX(KonSpalte6,8)+INDEX(KonFeld8,8)=0),8,0))</f>
        <v>-1</v>
      </c>
      <c r="BF166" s="48">
        <f>IF($P$96="x",-1,IF(AND($P$96=0,INDEX(KonZeile2,9)+INDEX(KonSpalte6,9)+INDEX(KonFeld8,9)=0),9,0))</f>
        <v>-1</v>
      </c>
      <c r="BG166" s="44">
        <f>IF($Q$96="x",-1,IF(AND($Q$96=0,INDEX(KonZeile2,7)+INDEX(KonSpalte7,7)+INDEX(KonFeld8,7)=0),7,0))</f>
        <v>-1</v>
      </c>
      <c r="BH166" s="45">
        <f>IF($Q$96="x",-1,IF(AND($Q$96=0,INDEX(KonZeile2,8)+INDEX(KonSpalte7,8)+INDEX(KonFeld8,8)=0),8,0))</f>
        <v>-1</v>
      </c>
      <c r="BI166" s="47">
        <f>IF($Q$96="x",-1,IF(AND($Q$96=0,INDEX(KonZeile2,9)+INDEX(KonSpalte7,9)+INDEX(KonFeld8,9)=0),9,0))</f>
        <v>-1</v>
      </c>
      <c r="BJ166" s="46">
        <f>IF($R$96="x",-1,IF(AND($R$96=0,INDEX(KonZeile2,7)+INDEX(KonSpalte8,7)+INDEX(KonFeld8,7)=0),7,0))</f>
        <v>-1</v>
      </c>
      <c r="BK166" s="45">
        <f>IF($R$96="x",-1,IF(AND($R$96=0,INDEX(KonZeile2,8)+INDEX(KonSpalte8,8)+INDEX(KonFeld8,8)=0),8,0))</f>
        <v>-1</v>
      </c>
      <c r="BL166" s="47">
        <f>IF($R$96="x",-1,IF(AND($R$96=0,INDEX(KonZeile2,9)+INDEX(KonSpalte8,9)+INDEX(KonFeld8,9)=0),9,0))</f>
        <v>-1</v>
      </c>
      <c r="BM166" s="46">
        <f>IF($S$96="x",-1,IF(AND($S$96=0,INDEX(KonZeile2,7)+INDEX(KonSpalte9,7)+INDEX(KonFeld8,7)=0),7,0))</f>
        <v>-1</v>
      </c>
      <c r="BN166" s="45">
        <f>IF($S$96="x",-1,IF(AND($S$96=0,INDEX(KonZeile2,8)+INDEX(KonSpalte9,8)+INDEX(KonFeld8,8)=0),8,0))</f>
        <v>-1</v>
      </c>
      <c r="BO166" s="100">
        <f>IF($S$96="x",-1,IF(AND($S$96=0,INDEX(KonZeile2,9)+INDEX(KonSpalte9,9)+INDEX(KonFeld8,9)=0),9,0))</f>
        <v>-1</v>
      </c>
      <c r="BP166" s="99">
        <f>IF($T$96="x",-1,IF(AND($T$96=0,INDEX(KonZeile2,7)+INDEX(KonSpalte1,7)+INDEX(KonFeld9,7)=0),7,0))</f>
        <v>-1</v>
      </c>
      <c r="BQ166" s="45">
        <f>IF($T$96="x",-1,IF(AND($T$96=0,INDEX(KonZeile2,8)+INDEX(KonSpalte1,8)+INDEX(KonFeld9,8)=0),8,0))</f>
        <v>-1</v>
      </c>
      <c r="BR166" s="47">
        <f>IF($T$96="x",-1,IF(AND($T$96=0,INDEX(KonZeile2,9)+INDEX(KonSpalte1,9)+INDEX(KonFeld9,9)=0),9,0))</f>
        <v>-1</v>
      </c>
      <c r="BS166" s="46">
        <f>IF($U$96="x",-1,IF(AND($U$96=0,INDEX(KonZeile2,7)+INDEX(KonSpalte2,7)+INDEX(KonFeld9,7)=0),7,0))</f>
        <v>-1</v>
      </c>
      <c r="BT166" s="45">
        <f>IF($U$96="x",-1,IF(AND($U$96=0,INDEX(KonZeile2,8)+INDEX(KonSpalte2,8)+INDEX(KonFeld9,8)=0),8,0))</f>
        <v>-1</v>
      </c>
      <c r="BU166" s="47">
        <f>IF($U$96="x",-1,IF(AND($U$96=0,INDEX(KonZeile2,9)+INDEX(KonSpalte2,9)+INDEX(KonFeld9,9)=0),9,0))</f>
        <v>-1</v>
      </c>
      <c r="BV166" s="46">
        <f>IF($V$96="x",-1,IF(AND($V$96=0,INDEX(KonZeile2,7)+INDEX(KonSpalte3,7)+INDEX(KonFeld9,7)=0),7,0))</f>
        <v>-1</v>
      </c>
      <c r="BW166" s="45">
        <f>IF($V$96="x",-1,IF(AND($V$96=0,INDEX(KonZeile2,8)+INDEX(KonSpalte3,8)+INDEX(KonFeld9,8)=0),8,0))</f>
        <v>-1</v>
      </c>
      <c r="BX166" s="48">
        <f>IF($V$96="x",-1,IF(AND($V$96=0,INDEX(KonZeile2,9)+INDEX(KonSpalte3,9)+INDEX(KonFeld9,9)=0),9,0))</f>
        <v>-1</v>
      </c>
      <c r="BY166" s="44">
        <f>IF($W$96="x",-1,IF(AND($W$96=0,INDEX(KonZeile2,7)+INDEX(KonSpalte4,7)+INDEX(KonFeld9,7)=0),7,0))</f>
        <v>-1</v>
      </c>
      <c r="BZ166" s="45">
        <f>IF($W$96="x",-1,IF(AND($W$96=0,INDEX(KonZeile2,8)+INDEX(KonSpalte4,8)+INDEX(KonFeld9,8)=0),8,0))</f>
        <v>-1</v>
      </c>
      <c r="CA166" s="47">
        <f>IF($W$96="x",-1,IF(AND($W$96=0,INDEX(KonZeile2,9)+INDEX(KonSpalte4,9)+INDEX(KonFeld9,9)=0),9,0))</f>
        <v>-1</v>
      </c>
      <c r="CB166" s="46">
        <f>IF($X$96="x",-1,IF(AND($X$96=0,INDEX(KonZeile2,7)+INDEX(KonSpalte5,7)+INDEX(KonFeld9,7)=0),7,0))</f>
        <v>-1</v>
      </c>
      <c r="CC166" s="45">
        <f>IF($X$96="x",-1,IF(AND($X$96=0,INDEX(KonZeile2,8)+INDEX(KonSpalte5,8)+INDEX(KonFeld9,8)=0),8,0))</f>
        <v>-1</v>
      </c>
      <c r="CD166" s="47">
        <f>IF($X$96="x",-1,IF(AND($X$96=0,INDEX(KonZeile2,9)+INDEX(KonSpalte5,9)+INDEX(KonFeld9,9)=0),9,0))</f>
        <v>-1</v>
      </c>
      <c r="CE166" s="46">
        <f>IF($Y$96="x",-1,IF(AND($Y$96=0,INDEX(KonZeile2,7)+INDEX(KonSpalte6,7)+INDEX(KonFeld9,7)=0),7,0))</f>
        <v>-1</v>
      </c>
      <c r="CF166" s="45">
        <f>IF($Y$96="x",-1,IF(AND($Y$96=0,INDEX(KonZeile2,8)+INDEX(KonSpalte6,8)+INDEX(KonFeld9,8)=0),8,0))</f>
        <v>-1</v>
      </c>
      <c r="CG166" s="48">
        <f>IF($Y$96="x",-1,IF(AND($Y$96=0,INDEX(KonZeile2,9)+INDEX(KonSpalte6,9)+INDEX(KonFeld9,9)=0),9,0))</f>
        <v>-1</v>
      </c>
      <c r="CH166" s="44">
        <f>IF($Z$96="x",-1,IF(AND($Z$96=0,INDEX(KonZeile2,7)+INDEX(KonSpalte7,7)+INDEX(KonFeld9,7)=0),7,0))</f>
        <v>-1</v>
      </c>
      <c r="CI166" s="45">
        <f>IF($Z$96="x",-1,IF(AND($Z$96=0,INDEX(KonZeile2,8)+INDEX(KonSpalte7,8)+INDEX(KonFeld9,8)=0),8,0))</f>
        <v>-1</v>
      </c>
      <c r="CJ166" s="47">
        <f>IF($Z$96="x",-1,IF(AND($Z$96=0,INDEX(KonZeile2,9)+INDEX(KonSpalte7,9)+INDEX(KonFeld9,9)=0),9,0))</f>
        <v>-1</v>
      </c>
      <c r="CK166" s="46">
        <f>IF($AA$96="x",-1,IF(AND($AA$96=0,INDEX(KonZeile2,7)+INDEX(KonSpalte8,7)+INDEX(KonFeld9,7)=0),7,0))</f>
        <v>-1</v>
      </c>
      <c r="CL166" s="45">
        <f>IF($AA$96="x",-1,IF(AND($AA$96=0,INDEX(KonZeile2,8)+INDEX(KonSpalte8,8)+INDEX(KonFeld9,8)=0),8,0))</f>
        <v>-1</v>
      </c>
      <c r="CM166" s="47">
        <f>IF($AA$96="x",-1,IF(AND($AA$96=0,INDEX(KonZeile2,9)+INDEX(KonSpalte8,9)+INDEX(KonFeld9,9)=0),9,0))</f>
        <v>-1</v>
      </c>
      <c r="CN166" s="46">
        <f>IF($AB$96="x",-1,IF(AND($AB$96=0,INDEX(KonZeile2,7)+INDEX(KonSpalte9,7)+INDEX(KonFeld9,7)=0),7,0))</f>
        <v>-1</v>
      </c>
      <c r="CO166" s="45">
        <f>IF($AB$96="x",-1,IF(AND($AB$96=0,INDEX(KonZeile2,8)+INDEX(KonSpalte9,8)+INDEX(KonFeld9,8)=0),8,0))</f>
        <v>-1</v>
      </c>
      <c r="CP166" s="100">
        <f>IF($AB$96="x",-1,IF(AND($AB$96=0,INDEX(KonZeile2,9)+INDEX(KonSpalte9,9)+INDEX(KonFeld9,9)=0),9,0))</f>
        <v>-1</v>
      </c>
      <c r="CR166" s="46">
        <f>COUNTIF(N166:CP166,7)</f>
        <v>0</v>
      </c>
      <c r="CS166" s="45">
        <f>COUNTIF(N166:CP166,8)</f>
        <v>0</v>
      </c>
      <c r="CT166" s="47">
        <f>COUNTIF(N166:CP166,9)</f>
        <v>0</v>
      </c>
      <c r="CU166" s="39"/>
      <c r="CV166" s="39"/>
      <c r="CX166" s="78">
        <f t="shared" si="270"/>
        <v>0</v>
      </c>
      <c r="CY166" s="79">
        <f t="shared" si="270"/>
        <v>0</v>
      </c>
      <c r="CZ166" s="80">
        <f t="shared" si="270"/>
        <v>0</v>
      </c>
      <c r="DJ166" s="110">
        <f t="shared" si="186"/>
        <v>-1</v>
      </c>
      <c r="DK166" s="83">
        <f t="shared" si="187"/>
        <v>-1</v>
      </c>
      <c r="DL166" s="111">
        <f t="shared" si="188"/>
        <v>-1</v>
      </c>
      <c r="DM166" s="112">
        <f t="shared" si="189"/>
        <v>-1</v>
      </c>
      <c r="DN166" s="83">
        <f t="shared" si="190"/>
        <v>-1</v>
      </c>
      <c r="DO166" s="111">
        <f t="shared" si="191"/>
        <v>-1</v>
      </c>
      <c r="DP166" s="112">
        <f t="shared" si="192"/>
        <v>-1</v>
      </c>
      <c r="DQ166" s="83">
        <f t="shared" si="193"/>
        <v>-1</v>
      </c>
      <c r="DR166" s="113">
        <f t="shared" si="194"/>
        <v>-1</v>
      </c>
      <c r="DS166" s="114">
        <f t="shared" si="195"/>
        <v>-1</v>
      </c>
      <c r="DT166" s="83">
        <f t="shared" si="196"/>
        <v>-1</v>
      </c>
      <c r="DU166" s="111">
        <f t="shared" si="197"/>
        <v>-1</v>
      </c>
      <c r="DV166" s="112">
        <f t="shared" si="198"/>
        <v>-1</v>
      </c>
      <c r="DW166" s="83">
        <f t="shared" si="199"/>
        <v>-1</v>
      </c>
      <c r="DX166" s="111">
        <f t="shared" si="200"/>
        <v>-1</v>
      </c>
      <c r="DY166" s="112">
        <f t="shared" si="201"/>
        <v>-1</v>
      </c>
      <c r="DZ166" s="83">
        <f t="shared" si="202"/>
        <v>-1</v>
      </c>
      <c r="EA166" s="113">
        <f t="shared" si="203"/>
        <v>-1</v>
      </c>
      <c r="EB166" s="114">
        <f t="shared" si="204"/>
        <v>-1</v>
      </c>
      <c r="EC166" s="83">
        <f t="shared" si="205"/>
        <v>-1</v>
      </c>
      <c r="ED166" s="111">
        <f t="shared" si="206"/>
        <v>-1</v>
      </c>
      <c r="EE166" s="112">
        <f t="shared" si="207"/>
        <v>-1</v>
      </c>
      <c r="EF166" s="83">
        <f t="shared" si="208"/>
        <v>-1</v>
      </c>
      <c r="EG166" s="111">
        <f t="shared" si="209"/>
        <v>-1</v>
      </c>
      <c r="EH166" s="112">
        <f t="shared" si="210"/>
        <v>-1</v>
      </c>
      <c r="EI166" s="83">
        <f t="shared" si="211"/>
        <v>-1</v>
      </c>
      <c r="EJ166" s="115">
        <f t="shared" si="212"/>
        <v>-1</v>
      </c>
      <c r="EK166" s="110">
        <f t="shared" si="213"/>
        <v>-1</v>
      </c>
      <c r="EL166" s="83">
        <f t="shared" si="214"/>
        <v>-1</v>
      </c>
      <c r="EM166" s="111">
        <f t="shared" si="215"/>
        <v>-1</v>
      </c>
      <c r="EN166" s="112">
        <f t="shared" si="216"/>
        <v>-1</v>
      </c>
      <c r="EO166" s="83">
        <f t="shared" si="217"/>
        <v>-1</v>
      </c>
      <c r="EP166" s="111">
        <f t="shared" si="218"/>
        <v>-1</v>
      </c>
      <c r="EQ166" s="112">
        <f t="shared" si="219"/>
        <v>-1</v>
      </c>
      <c r="ER166" s="83">
        <f t="shared" si="220"/>
        <v>-1</v>
      </c>
      <c r="ES166" s="113">
        <f t="shared" si="221"/>
        <v>-1</v>
      </c>
      <c r="ET166" s="114">
        <f t="shared" si="222"/>
        <v>-1</v>
      </c>
      <c r="EU166" s="83">
        <f t="shared" si="223"/>
        <v>-1</v>
      </c>
      <c r="EV166" s="111">
        <f t="shared" si="224"/>
        <v>-1</v>
      </c>
      <c r="EW166" s="112">
        <f t="shared" si="225"/>
        <v>-1</v>
      </c>
      <c r="EX166" s="83">
        <f t="shared" si="226"/>
        <v>-1</v>
      </c>
      <c r="EY166" s="111">
        <f t="shared" si="227"/>
        <v>-1</v>
      </c>
      <c r="EZ166" s="112">
        <f t="shared" si="228"/>
        <v>-1</v>
      </c>
      <c r="FA166" s="83">
        <f t="shared" si="229"/>
        <v>-1</v>
      </c>
      <c r="FB166" s="113">
        <f t="shared" si="230"/>
        <v>-1</v>
      </c>
      <c r="FC166" s="114">
        <f t="shared" si="231"/>
        <v>-1</v>
      </c>
      <c r="FD166" s="83">
        <f t="shared" si="232"/>
        <v>-1</v>
      </c>
      <c r="FE166" s="111">
        <f t="shared" si="233"/>
        <v>-1</v>
      </c>
      <c r="FF166" s="112">
        <f t="shared" si="234"/>
        <v>-1</v>
      </c>
      <c r="FG166" s="83">
        <f t="shared" si="235"/>
        <v>-1</v>
      </c>
      <c r="FH166" s="111">
        <f t="shared" si="236"/>
        <v>-1</v>
      </c>
      <c r="FI166" s="112">
        <f t="shared" si="237"/>
        <v>-1</v>
      </c>
      <c r="FJ166" s="83">
        <f t="shared" si="238"/>
        <v>-1</v>
      </c>
      <c r="FK166" s="115">
        <f t="shared" si="239"/>
        <v>-1</v>
      </c>
      <c r="FL166" s="110">
        <f t="shared" si="240"/>
        <v>-1</v>
      </c>
      <c r="FM166" s="83">
        <f t="shared" si="241"/>
        <v>-1</v>
      </c>
      <c r="FN166" s="111">
        <f t="shared" si="242"/>
        <v>-1</v>
      </c>
      <c r="FO166" s="112">
        <f t="shared" si="243"/>
        <v>-1</v>
      </c>
      <c r="FP166" s="83">
        <f t="shared" si="244"/>
        <v>-1</v>
      </c>
      <c r="FQ166" s="111">
        <f t="shared" si="245"/>
        <v>-1</v>
      </c>
      <c r="FR166" s="112">
        <f t="shared" si="246"/>
        <v>-1</v>
      </c>
      <c r="FS166" s="83">
        <f t="shared" si="247"/>
        <v>-1</v>
      </c>
      <c r="FT166" s="113">
        <f t="shared" si="248"/>
        <v>-1</v>
      </c>
      <c r="FU166" s="114">
        <f t="shared" si="249"/>
        <v>-1</v>
      </c>
      <c r="FV166" s="83">
        <f t="shared" si="250"/>
        <v>-1</v>
      </c>
      <c r="FW166" s="111">
        <f t="shared" si="251"/>
        <v>-1</v>
      </c>
      <c r="FX166" s="112">
        <f t="shared" si="252"/>
        <v>-1</v>
      </c>
      <c r="FY166" s="83">
        <f t="shared" si="253"/>
        <v>-1</v>
      </c>
      <c r="FZ166" s="111">
        <f t="shared" si="254"/>
        <v>-1</v>
      </c>
      <c r="GA166" s="112">
        <f t="shared" si="255"/>
        <v>-1</v>
      </c>
      <c r="GB166" s="83">
        <f t="shared" si="256"/>
        <v>-1</v>
      </c>
      <c r="GC166" s="113">
        <f t="shared" si="257"/>
        <v>-1</v>
      </c>
      <c r="GD166" s="114">
        <f t="shared" si="258"/>
        <v>-1</v>
      </c>
      <c r="GE166" s="83">
        <f t="shared" si="259"/>
        <v>-1</v>
      </c>
      <c r="GF166" s="111">
        <f t="shared" si="260"/>
        <v>-1</v>
      </c>
      <c r="GG166" s="112">
        <f t="shared" si="261"/>
        <v>-1</v>
      </c>
      <c r="GH166" s="83">
        <f t="shared" si="262"/>
        <v>-1</v>
      </c>
      <c r="GI166" s="111">
        <f t="shared" si="263"/>
        <v>-1</v>
      </c>
      <c r="GJ166" s="112">
        <f t="shared" si="264"/>
        <v>-1</v>
      </c>
      <c r="GK166" s="83">
        <f t="shared" si="265"/>
        <v>-1</v>
      </c>
      <c r="GL166" s="115">
        <f t="shared" si="266"/>
        <v>-1</v>
      </c>
      <c r="GN166" s="46">
        <f>COUNTIF(DJ166:GL166,7)</f>
        <v>0</v>
      </c>
      <c r="GO166" s="45">
        <f>COUNTIF(DJ166:GL166,8)</f>
        <v>0</v>
      </c>
      <c r="GP166" s="47">
        <f>COUNTIF(DJ166:GL166,9)</f>
        <v>0</v>
      </c>
      <c r="GQ166" s="39"/>
      <c r="GR166" s="39"/>
      <c r="GT166" s="101">
        <f t="shared" si="267"/>
        <v>1</v>
      </c>
      <c r="GU166" s="102">
        <f t="shared" si="268"/>
        <v>4</v>
      </c>
      <c r="GV166" s="103">
        <f t="shared" si="269"/>
        <v>0</v>
      </c>
    </row>
    <row r="167" spans="14:204" ht="15" customHeight="1" thickTop="1">
      <c r="N167" s="104">
        <f>IF($B$97="x",-1,IF(AND($B$97=0,INDEX(KonZeile3,1)+INDEX(KonSpalte1,1)+INDEX(KonFeld7,1)=0),1,0))</f>
        <v>-1</v>
      </c>
      <c r="O167" s="50">
        <f>IF($B$97="x",-1,IF(AND($B$97=0,INDEX(KonZeile3,2)+INDEX(KonSpalte1,2)+INDEX(KonFeld7,2)=0),2,0))</f>
        <v>-1</v>
      </c>
      <c r="P167" s="51">
        <f>IF($B$97="x",-1,IF(AND($B$97=0,INDEX(KonZeile3,3)+INDEX(KonSpalte1,3)+INDEX(KonFeld7,3)=0),3,0))</f>
        <v>-1</v>
      </c>
      <c r="Q167" s="52">
        <f>IF($C$97="x",-1,IF(AND($C$97=0,INDEX(KonZeile3,1)+INDEX(KonSpalte2,1)+INDEX(KonFeld7,1)=0),1,0))</f>
        <v>-1</v>
      </c>
      <c r="R167" s="50">
        <f>IF($C$97="x",-1,IF(AND($C$97=0,INDEX(KonZeile3,2)+INDEX(KonSpalte2,2)+INDEX(KonFeld7,2)=0),2,0))</f>
        <v>-1</v>
      </c>
      <c r="S167" s="51">
        <f>IF($C$97="x",-1,IF(AND($C$97=0,INDEX(KonZeile3,3)+INDEX(KonSpalte2,3)+INDEX(KonFeld7,3)=0),3,0))</f>
        <v>-1</v>
      </c>
      <c r="T167" s="52">
        <f>IF($D$97="x",-1,IF(AND($D$97=0,INDEX(KonZeile3,1)+INDEX(KonSpalte3,1)+INDEX(KonFeld7,1)=0),1,0))</f>
        <v>-1</v>
      </c>
      <c r="U167" s="50">
        <f>IF($D$97="x",-1,IF(AND($D$97=0,INDEX(KonZeile3,2)+INDEX(KonSpalte3,2)+INDEX(KonFeld7,2)=0),2,0))</f>
        <v>-1</v>
      </c>
      <c r="V167" s="53">
        <f>IF($D$97="x",-1,IF(AND($D$97=0,INDEX(KonZeile3,3)+INDEX(KonSpalte3,3)+INDEX(KonFeld7,3)=0),3,0))</f>
        <v>-1</v>
      </c>
      <c r="W167" s="49">
        <f>IF($E$97="x",-1,IF(AND($E$97=0,INDEX(KonZeile3,1)+INDEX(KonSpalte4,1)+INDEX(KonFeld7,1)=0),1,0))</f>
        <v>-1</v>
      </c>
      <c r="X167" s="50">
        <f>IF($E$97="x",-1,IF(AND($E$97=0,INDEX(KonZeile3,2)+INDEX(KonSpalte4,2)+INDEX(KonFeld7,2)=0),2,0))</f>
        <v>-1</v>
      </c>
      <c r="Y167" s="51">
        <f>IF($E$97="x",-1,IF(AND($E$97=0,INDEX(KonZeile3,3)+INDEX(KonSpalte4,3)+INDEX(KonFeld7,3)=0),3,0))</f>
        <v>-1</v>
      </c>
      <c r="Z167" s="52">
        <f>IF($F$97="x",-1,IF(AND($F$97=0,INDEX(KonZeile3,1)+INDEX(KonSpalte5,1)+INDEX(KonFeld7,1)=0),1,0))</f>
        <v>-1</v>
      </c>
      <c r="AA167" s="50">
        <f>IF($F$97="x",-1,IF(AND($F$97=0,INDEX(KonZeile3,2)+INDEX(KonSpalte5,2)+INDEX(KonFeld7,2)=0),2,0))</f>
        <v>-1</v>
      </c>
      <c r="AB167" s="51">
        <f>IF($F$97="x",-1,IF(AND($F$97=0,INDEX(KonZeile3,3)+INDEX(KonSpalte5,3)+INDEX(KonFeld7,3)=0),3,0))</f>
        <v>-1</v>
      </c>
      <c r="AC167" s="52">
        <f>IF($G$97="x",-1,IF(AND($G$97=0,INDEX(KonZeile3,1)+INDEX(KonSpalte6,1)+INDEX(KonFeld7,1)=0),1,0))</f>
        <v>-1</v>
      </c>
      <c r="AD167" s="50">
        <f>IF($G$97="x",-1,IF(AND($G$97=0,INDEX(KonZeile3,2)+INDEX(KonSpalte6,2)+INDEX(KonFeld7,2)=0),2,0))</f>
        <v>-1</v>
      </c>
      <c r="AE167" s="53">
        <f>IF($G$97="x",-1,IF(AND($G$97=0,INDEX(KonZeile3,3)+INDEX(KonSpalte6,3)+INDEX(KonFeld7,3)=0),3,0))</f>
        <v>-1</v>
      </c>
      <c r="AF167" s="49">
        <f>IF($H$97="x",-1,IF(AND($H$97=0,INDEX(KonZeile3,1)+INDEX(KonSpalte7,1)+INDEX(KonFeld7,1)=0),1,0))</f>
        <v>-1</v>
      </c>
      <c r="AG167" s="50">
        <f>IF($H$97="x",-1,IF(AND($H$97=0,INDEX(KonZeile3,2)+INDEX(KonSpalte7,2)+INDEX(KonFeld7,2)=0),2,0))</f>
        <v>-1</v>
      </c>
      <c r="AH167" s="51">
        <f>IF($H$97="x",-1,IF(AND($H$97=0,INDEX(KonZeile3,3)+INDEX(KonSpalte7,3)+INDEX(KonFeld7,3)=0),3,0))</f>
        <v>-1</v>
      </c>
      <c r="AI167" s="52">
        <f>IF($I$97="x",-1,IF(AND($I$97=0,INDEX(KonZeile3,1)+INDEX(KonSpalte8,1)+INDEX(KonFeld7,1)=0),1,0))</f>
        <v>-1</v>
      </c>
      <c r="AJ167" s="50">
        <f>IF($I$97="x",-1,IF(AND($I$97=0,INDEX(KonZeile3,2)+INDEX(KonSpalte8,2)+INDEX(KonFeld7,2)=0),2,0))</f>
        <v>-1</v>
      </c>
      <c r="AK167" s="51">
        <f>IF($I$97="x",-1,IF(AND($I$97=0,INDEX(KonZeile3,3)+INDEX(KonSpalte8,3)+INDEX(KonFeld7,3)=0),3,0))</f>
        <v>-1</v>
      </c>
      <c r="AL167" s="52">
        <f>IF($J$97="x",-1,IF(AND($J$97=0,INDEX(KonZeile3,1)+INDEX(KonSpalte9,1)+INDEX(KonFeld7,1)=0),1,0))</f>
        <v>-1</v>
      </c>
      <c r="AM167" s="50">
        <f>IF($J$97="x",-1,IF(AND($J$97=0,INDEX(KonZeile3,2)+INDEX(KonSpalte9,2)+INDEX(KonFeld7,2)=0),2,0))</f>
        <v>-1</v>
      </c>
      <c r="AN167" s="105">
        <f>IF($J$97="x",-1,IF(AND($J$97=0,INDEX(KonZeile3,3)+INDEX(KonSpalte9,3)+INDEX(KonFeld7,3)=0),3,0))</f>
        <v>-1</v>
      </c>
      <c r="AO167" s="104">
        <f>IF($K$97="x",-1,IF(AND($K$97=0,INDEX(KonZeile3,1)+INDEX(KonSpalte1,1)+INDEX(KonFeld8,1)=0),1,0))</f>
        <v>-1</v>
      </c>
      <c r="AP167" s="50">
        <f>IF($K$97="x",-1,IF(AND($K$97=0,INDEX(KonZeile3,2)+INDEX(KonSpalte1,2)+INDEX(KonFeld8,2)=0),2,0))</f>
        <v>-1</v>
      </c>
      <c r="AQ167" s="51">
        <f>IF($K$97="x",-1,IF(AND($K$97=0,INDEX(KonZeile3,3)+INDEX(KonSpalte1,3)+INDEX(KonFeld8,3)=0),3,0))</f>
        <v>-1</v>
      </c>
      <c r="AR167" s="52">
        <f>IF($L$97="x",-1,IF(AND($L$97=0,INDEX(KonZeile3,1)+INDEX(KonSpalte2,1)+INDEX(KonFeld8,1)=0),1,0))</f>
        <v>-1</v>
      </c>
      <c r="AS167" s="50">
        <f>IF($L$97="x",-1,IF(AND($L$97=0,INDEX(KonZeile3,2)+INDEX(KonSpalte2,2)+INDEX(KonFeld8,2)=0),2,0))</f>
        <v>-1</v>
      </c>
      <c r="AT167" s="51">
        <f>IF($L$97="x",-1,IF(AND($L$97=0,INDEX(KonZeile3,3)+INDEX(KonSpalte2,3)+INDEX(KonFeld8,3)=0),3,0))</f>
        <v>-1</v>
      </c>
      <c r="AU167" s="52">
        <f>IF($M$97="x",-1,IF(AND($M$97=0,INDEX(KonZeile3,1)+INDEX(KonSpalte3,1)+INDEX(KonFeld8,1)=0),1,0))</f>
        <v>-1</v>
      </c>
      <c r="AV167" s="50">
        <f>IF($M$97="x",-1,IF(AND($M$97=0,INDEX(KonZeile3,2)+INDEX(KonSpalte3,2)+INDEX(KonFeld8,2)=0),2,0))</f>
        <v>-1</v>
      </c>
      <c r="AW167" s="53">
        <f>IF($M$97="x",-1,IF(AND($M$97=0,INDEX(KonZeile3,3)+INDEX(KonSpalte3,3)+INDEX(KonFeld8,3)=0),3,0))</f>
        <v>-1</v>
      </c>
      <c r="AX167" s="49">
        <f>IF($N$97="x",-1,IF(AND($N$97=0,INDEX(KonZeile3,1)+INDEX(KonSpalte4,1)+INDEX(KonFeld8,1)=0),1,0))</f>
        <v>-1</v>
      </c>
      <c r="AY167" s="50">
        <f>IF($N$97="x",-1,IF(AND($N$97=0,INDEX(KonZeile3,2)+INDEX(KonSpalte4,2)+INDEX(KonFeld8,2)=0),2,0))</f>
        <v>-1</v>
      </c>
      <c r="AZ167" s="51">
        <f>IF($N$97="x",-1,IF(AND($N$97=0,INDEX(KonZeile3,3)+INDEX(KonSpalte4,3)+INDEX(KonFeld8,3)=0),3,0))</f>
        <v>-1</v>
      </c>
      <c r="BA167" s="52">
        <f>IF($O$97="x",-1,IF(AND($O$97=0,INDEX(KonZeile3,1)+INDEX(KonSpalte5,1)+INDEX(KonFeld8,1)=0),1,0))</f>
        <v>-1</v>
      </c>
      <c r="BB167" s="50">
        <f>IF($O$97="x",-1,IF(AND($O$97=0,INDEX(KonZeile3,2)+INDEX(KonSpalte5,2)+INDEX(KonFeld8,2)=0),2,0))</f>
        <v>-1</v>
      </c>
      <c r="BC167" s="51">
        <f>IF($O$97="x",-1,IF(AND($O$97=0,INDEX(KonZeile3,3)+INDEX(KonSpalte5,3)+INDEX(KonFeld8,3)=0),3,0))</f>
        <v>-1</v>
      </c>
      <c r="BD167" s="52">
        <f>IF($P$97="x",-1,IF(AND($P$97=0,INDEX(KonZeile3,1)+INDEX(KonSpalte6,1)+INDEX(KonFeld8,1)=0),1,0))</f>
        <v>0</v>
      </c>
      <c r="BE167" s="50">
        <f>IF($P$97="x",-1,IF(AND($P$97=0,INDEX(KonZeile3,2)+INDEX(KonSpalte6,2)+INDEX(KonFeld8,2)=0),2,0))</f>
        <v>0</v>
      </c>
      <c r="BF167" s="53">
        <f>IF($P$97="x",-1,IF(AND($P$97=0,INDEX(KonZeile3,3)+INDEX(KonSpalte6,3)+INDEX(KonFeld8,3)=0),3,0))</f>
        <v>0</v>
      </c>
      <c r="BG167" s="49">
        <f>IF($Q$97="x",-1,IF(AND($Q$97=0,INDEX(KonZeile3,1)+INDEX(KonSpalte7,1)+INDEX(KonFeld8,1)=0),1,0))</f>
        <v>-1</v>
      </c>
      <c r="BH167" s="50">
        <f>IF($Q$97="x",-1,IF(AND($Q$97=0,INDEX(KonZeile3,2)+INDEX(KonSpalte7,2)+INDEX(KonFeld8,2)=0),2,0))</f>
        <v>-1</v>
      </c>
      <c r="BI167" s="51">
        <f>IF($Q$97="x",-1,IF(AND($Q$97=0,INDEX(KonZeile3,3)+INDEX(KonSpalte7,3)+INDEX(KonFeld8,3)=0),3,0))</f>
        <v>-1</v>
      </c>
      <c r="BJ167" s="52">
        <f>IF($R$97="x",-1,IF(AND($R$97=0,INDEX(KonZeile3,1)+INDEX(KonSpalte8,1)+INDEX(KonFeld8,1)=0),1,0))</f>
        <v>-1</v>
      </c>
      <c r="BK167" s="50">
        <f>IF($R$97="x",-1,IF(AND($R$97=0,INDEX(KonZeile3,2)+INDEX(KonSpalte8,2)+INDEX(KonFeld8,2)=0),2,0))</f>
        <v>-1</v>
      </c>
      <c r="BL167" s="51">
        <f>IF($R$97="x",-1,IF(AND($R$97=0,INDEX(KonZeile3,3)+INDEX(KonSpalte8,3)+INDEX(KonFeld8,3)=0),3,0))</f>
        <v>-1</v>
      </c>
      <c r="BM167" s="52">
        <f>IF($S$97="x",-1,IF(AND($S$97=0,INDEX(KonZeile3,1)+INDEX(KonSpalte9,1)+INDEX(KonFeld8,1)=0),1,0))</f>
        <v>-1</v>
      </c>
      <c r="BN167" s="50">
        <f>IF($S$97="x",-1,IF(AND($S$97=0,INDEX(KonZeile3,2)+INDEX(KonSpalte9,2)+INDEX(KonFeld8,2)=0),2,0))</f>
        <v>-1</v>
      </c>
      <c r="BO167" s="105">
        <f>IF($S$97="x",-1,IF(AND($S$97=0,INDEX(KonZeile3,3)+INDEX(KonSpalte9,3)+INDEX(KonFeld8,3)=0),3,0))</f>
        <v>-1</v>
      </c>
      <c r="BP167" s="104">
        <f>IF($T$97="x",-1,IF(AND($T$97=0,INDEX(KonZeile3,1)+INDEX(KonSpalte1,1)+INDEX(KonFeld9,1)=0),1,0))</f>
        <v>-1</v>
      </c>
      <c r="BQ167" s="50">
        <f>IF($T$97="x",-1,IF(AND($T$97=0,INDEX(KonZeile3,2)+INDEX(KonSpalte1,2)+INDEX(KonFeld9,2)=0),2,0))</f>
        <v>-1</v>
      </c>
      <c r="BR167" s="51">
        <f>IF($T$97="x",-1,IF(AND($T$97=0,INDEX(KonZeile3,3)+INDEX(KonSpalte1,3)+INDEX(KonFeld9,3)=0),3,0))</f>
        <v>-1</v>
      </c>
      <c r="BS167" s="52">
        <f>IF($U$97="x",-1,IF(AND($U$97=0,INDEX(KonZeile3,1)+INDEX(KonSpalte2,1)+INDEX(KonFeld9,1)=0),1,0))</f>
        <v>-1</v>
      </c>
      <c r="BT167" s="50">
        <f>IF($U$97="x",-1,IF(AND($U$97=0,INDEX(KonZeile3,2)+INDEX(KonSpalte2,2)+INDEX(KonFeld9,2)=0),2,0))</f>
        <v>-1</v>
      </c>
      <c r="BU167" s="51">
        <f>IF($U$97="x",-1,IF(AND($U$97=0,INDEX(KonZeile3,3)+INDEX(KonSpalte2,3)+INDEX(KonFeld9,3)=0),3,0))</f>
        <v>-1</v>
      </c>
      <c r="BV167" s="52">
        <f>IF($V$97="x",-1,IF(AND($V$97=0,INDEX(KonZeile3,1)+INDEX(KonSpalte3,1)+INDEX(KonFeld9,1)=0),1,0))</f>
        <v>-1</v>
      </c>
      <c r="BW167" s="50">
        <f>IF($V$97="x",-1,IF(AND($V$97=0,INDEX(KonZeile3,2)+INDEX(KonSpalte3,2)+INDEX(KonFeld9,2)=0),2,0))</f>
        <v>-1</v>
      </c>
      <c r="BX167" s="53">
        <f>IF($V$97="x",-1,IF(AND($V$97=0,INDEX(KonZeile3,3)+INDEX(KonSpalte3,3)+INDEX(KonFeld9,3)=0),3,0))</f>
        <v>-1</v>
      </c>
      <c r="BY167" s="49">
        <f>IF($W$97="x",-1,IF(AND($W$97=0,INDEX(KonZeile3,1)+INDEX(KonSpalte4,1)+INDEX(KonFeld9,1)=0),1,0))</f>
        <v>-1</v>
      </c>
      <c r="BZ167" s="50">
        <f>IF($W$97="x",-1,IF(AND($W$97=0,INDEX(KonZeile3,2)+INDEX(KonSpalte4,2)+INDEX(KonFeld9,2)=0),2,0))</f>
        <v>-1</v>
      </c>
      <c r="CA167" s="51">
        <f>IF($W$97="x",-1,IF(AND($W$97=0,INDEX(KonZeile3,3)+INDEX(KonSpalte4,3)+INDEX(KonFeld9,3)=0),3,0))</f>
        <v>-1</v>
      </c>
      <c r="CB167" s="52">
        <f>IF($X$97="x",-1,IF(AND($X$97=0,INDEX(KonZeile3,1)+INDEX(KonSpalte5,1)+INDEX(KonFeld9,1)=0),1,0))</f>
        <v>-1</v>
      </c>
      <c r="CC167" s="50">
        <f>IF($X$97="x",-1,IF(AND($X$97=0,INDEX(KonZeile3,2)+INDEX(KonSpalte5,2)+INDEX(KonFeld9,2)=0),2,0))</f>
        <v>-1</v>
      </c>
      <c r="CD167" s="51">
        <f>IF($X$97="x",-1,IF(AND($X$97=0,INDEX(KonZeile3,3)+INDEX(KonSpalte5,3)+INDEX(KonFeld9,3)=0),3,0))</f>
        <v>-1</v>
      </c>
      <c r="CE167" s="52">
        <f>IF($Y$97="x",-1,IF(AND($Y$97=0,INDEX(KonZeile3,1)+INDEX(KonSpalte6,1)+INDEX(KonFeld9,1)=0),1,0))</f>
        <v>-1</v>
      </c>
      <c r="CF167" s="50">
        <f>IF($Y$97="x",-1,IF(AND($Y$97=0,INDEX(KonZeile3,2)+INDEX(KonSpalte6,2)+INDEX(KonFeld9,2)=0),2,0))</f>
        <v>-1</v>
      </c>
      <c r="CG167" s="53">
        <f>IF($Y$97="x",-1,IF(AND($Y$97=0,INDEX(KonZeile3,3)+INDEX(KonSpalte6,3)+INDEX(KonFeld9,3)=0),3,0))</f>
        <v>-1</v>
      </c>
      <c r="CH167" s="49">
        <f>IF($Z$97="x",-1,IF(AND($Z$97=0,INDEX(KonZeile3,1)+INDEX(KonSpalte7,1)+INDEX(KonFeld9,1)=0),1,0))</f>
        <v>-1</v>
      </c>
      <c r="CI167" s="50">
        <f>IF($Z$97="x",-1,IF(AND($Z$97=0,INDEX(KonZeile3,2)+INDEX(KonSpalte7,2)+INDEX(KonFeld9,2)=0),2,0))</f>
        <v>-1</v>
      </c>
      <c r="CJ167" s="51">
        <f>IF($Z$97="x",-1,IF(AND($Z$97=0,INDEX(KonZeile3,3)+INDEX(KonSpalte7,3)+INDEX(KonFeld9,3)=0),3,0))</f>
        <v>-1</v>
      </c>
      <c r="CK167" s="52">
        <f>IF($AA$97="x",-1,IF(AND($AA$97=0,INDEX(KonZeile3,1)+INDEX(KonSpalte8,1)+INDEX(KonFeld9,1)=0),1,0))</f>
        <v>-1</v>
      </c>
      <c r="CL167" s="50">
        <f>IF($AA$97="x",-1,IF(AND($AA$97=0,INDEX(KonZeile3,2)+INDEX(KonSpalte8,2)+INDEX(KonFeld9,2)=0),2,0))</f>
        <v>-1</v>
      </c>
      <c r="CM167" s="51">
        <f>IF($AA$97="x",-1,IF(AND($AA$97=0,INDEX(KonZeile3,3)+INDEX(KonSpalte8,3)+INDEX(KonFeld9,3)=0),3,0))</f>
        <v>-1</v>
      </c>
      <c r="CN167" s="52">
        <f>IF($AB$97="x",-1,IF(AND($AB$97=0,INDEX(KonZeile3,1)+INDEX(KonSpalte9,1)+INDEX(KonFeld9,1)=0),1,0))</f>
        <v>-1</v>
      </c>
      <c r="CO167" s="50">
        <f>IF($AB$97="x",-1,IF(AND($AB$97=0,INDEX(KonZeile3,2)+INDEX(KonSpalte9,2)+INDEX(KonFeld9,2)=0),2,0))</f>
        <v>-1</v>
      </c>
      <c r="CP167" s="105">
        <f>IF($AB$97="x",-1,IF(AND($AB$97=0,INDEX(KonZeile3,3)+INDEX(KonSpalte9,3)+INDEX(KonFeld9,3)=0),3,0))</f>
        <v>-1</v>
      </c>
      <c r="CR167" s="52">
        <f>COUNTIF(N167:CP167,1)</f>
        <v>0</v>
      </c>
      <c r="CS167" s="50">
        <f>COUNTIF(N167:CP167,2)</f>
        <v>0</v>
      </c>
      <c r="CT167" s="51">
        <f>COUNTIF(N167:CP167,3)</f>
        <v>0</v>
      </c>
      <c r="CU167" s="39"/>
      <c r="CV167" s="39"/>
      <c r="CX167" s="65">
        <f t="shared" si="270"/>
        <v>0</v>
      </c>
      <c r="CY167" s="66">
        <f t="shared" si="270"/>
        <v>0</v>
      </c>
      <c r="CZ167" s="67">
        <f t="shared" si="270"/>
        <v>0</v>
      </c>
      <c r="DJ167" s="84">
        <f t="shared" ref="DJ167:DJ193" si="271">IF(N134&lt;&gt;-1,EI107,-1)</f>
        <v>-1</v>
      </c>
      <c r="DK167" s="85">
        <f t="shared" ref="DK167:DK193" si="272">IF(O134&lt;&gt;-1,EJ107,-1)</f>
        <v>-1</v>
      </c>
      <c r="DL167" s="87">
        <f t="shared" ref="DL167:DL193" si="273">IF(P134&lt;&gt;-1,EK107,-1)</f>
        <v>-1</v>
      </c>
      <c r="DM167" s="86">
        <f t="shared" ref="DM167:DM193" si="274">IF(Q134&lt;&gt;-1,EL107,-1)</f>
        <v>-1</v>
      </c>
      <c r="DN167" s="85">
        <f t="shared" ref="DN167:DN193" si="275">IF(R134&lt;&gt;-1,EM107,-1)</f>
        <v>-1</v>
      </c>
      <c r="DO167" s="87">
        <f t="shared" ref="DO167:DO193" si="276">IF(S134&lt;&gt;-1,EN107,-1)</f>
        <v>-1</v>
      </c>
      <c r="DP167" s="86">
        <f t="shared" ref="DP167:DP193" si="277">IF(T134&lt;&gt;-1,EO107,-1)</f>
        <v>-1</v>
      </c>
      <c r="DQ167" s="85">
        <f t="shared" ref="DQ167:DQ193" si="278">IF(U134&lt;&gt;-1,EP107,-1)</f>
        <v>-1</v>
      </c>
      <c r="DR167" s="88">
        <f t="shared" ref="DR167:DR193" si="279">IF(V134&lt;&gt;-1,EQ107,-1)</f>
        <v>-1</v>
      </c>
      <c r="DS167" s="89">
        <f t="shared" ref="DS167:DS193" si="280">IF(W134&lt;&gt;-1,ER107,-1)</f>
        <v>-1</v>
      </c>
      <c r="DT167" s="85">
        <f t="shared" ref="DT167:DT193" si="281">IF(X134&lt;&gt;-1,ES107,-1)</f>
        <v>-1</v>
      </c>
      <c r="DU167" s="87">
        <f t="shared" ref="DU167:DU193" si="282">IF(Y134&lt;&gt;-1,ET107,-1)</f>
        <v>-1</v>
      </c>
      <c r="DV167" s="86">
        <f t="shared" ref="DV167:DV193" si="283">IF(Z134&lt;&gt;-1,EU107,-1)</f>
        <v>-1</v>
      </c>
      <c r="DW167" s="85">
        <f t="shared" ref="DW167:DW193" si="284">IF(AA134&lt;&gt;-1,EV107,-1)</f>
        <v>-1</v>
      </c>
      <c r="DX167" s="87">
        <f t="shared" ref="DX167:DX193" si="285">IF(AB134&lt;&gt;-1,EW107,-1)</f>
        <v>-1</v>
      </c>
      <c r="DY167" s="86">
        <f t="shared" ref="DY167:DY193" si="286">IF(AC134&lt;&gt;-1,EX107,-1)</f>
        <v>-1</v>
      </c>
      <c r="DZ167" s="85">
        <f t="shared" ref="DZ167:DZ193" si="287">IF(AD134&lt;&gt;-1,EY107,-1)</f>
        <v>-1</v>
      </c>
      <c r="EA167" s="88">
        <f t="shared" ref="EA167:EA193" si="288">IF(AE134&lt;&gt;-1,EZ107,-1)</f>
        <v>-1</v>
      </c>
      <c r="EB167" s="89">
        <f t="shared" ref="EB167:EB193" si="289">IF(AF134&lt;&gt;-1,FA107,-1)</f>
        <v>-1</v>
      </c>
      <c r="EC167" s="85">
        <f t="shared" ref="EC167:EC193" si="290">IF(AG134&lt;&gt;-1,FB107,-1)</f>
        <v>-1</v>
      </c>
      <c r="ED167" s="87">
        <f t="shared" ref="ED167:ED193" si="291">IF(AH134&lt;&gt;-1,FC107,-1)</f>
        <v>-1</v>
      </c>
      <c r="EE167" s="86">
        <f t="shared" ref="EE167:EE193" si="292">IF(AI134&lt;&gt;-1,FD107,-1)</f>
        <v>-1</v>
      </c>
      <c r="EF167" s="85">
        <f t="shared" ref="EF167:EF193" si="293">IF(AJ134&lt;&gt;-1,FE107,-1)</f>
        <v>-1</v>
      </c>
      <c r="EG167" s="87">
        <f t="shared" ref="EG167:EG193" si="294">IF(AK134&lt;&gt;-1,FF107,-1)</f>
        <v>-1</v>
      </c>
      <c r="EH167" s="86">
        <f t="shared" ref="EH167:EH193" si="295">IF(AL134&lt;&gt;-1,FG107,-1)</f>
        <v>-1</v>
      </c>
      <c r="EI167" s="85">
        <f t="shared" ref="EI167:EI193" si="296">IF(AM134&lt;&gt;-1,FH107,-1)</f>
        <v>-1</v>
      </c>
      <c r="EJ167" s="90">
        <f t="shared" ref="EJ167:EJ193" si="297">IF(AN134&lt;&gt;-1,FI107,-1)</f>
        <v>-1</v>
      </c>
      <c r="EK167" s="84">
        <f t="shared" ref="EK167:EK193" si="298">IF(AO134&lt;&gt;-1,EI107,-1)</f>
        <v>-1</v>
      </c>
      <c r="EL167" s="85">
        <f t="shared" ref="EL167:EL193" si="299">IF(AP134&lt;&gt;-1,EJ107,-1)</f>
        <v>-1</v>
      </c>
      <c r="EM167" s="87">
        <f t="shared" ref="EM167:EM193" si="300">IF(AQ134&lt;&gt;-1,EK107,-1)</f>
        <v>-1</v>
      </c>
      <c r="EN167" s="86">
        <f t="shared" ref="EN167:EN193" si="301">IF(AR134&lt;&gt;-1,EL107,-1)</f>
        <v>-1</v>
      </c>
      <c r="EO167" s="85">
        <f t="shared" ref="EO167:EO193" si="302">IF(AS134&lt;&gt;-1,EM107,-1)</f>
        <v>-1</v>
      </c>
      <c r="EP167" s="87">
        <f t="shared" ref="EP167:EP193" si="303">IF(AT134&lt;&gt;-1,EN107,-1)</f>
        <v>-1</v>
      </c>
      <c r="EQ167" s="86">
        <f t="shared" ref="EQ167:EQ193" si="304">IF(AU134&lt;&gt;-1,EO107,-1)</f>
        <v>-1</v>
      </c>
      <c r="ER167" s="85">
        <f t="shared" ref="ER167:ER193" si="305">IF(AV134&lt;&gt;-1,EP107,-1)</f>
        <v>-1</v>
      </c>
      <c r="ES167" s="88">
        <f t="shared" ref="ES167:ES193" si="306">IF(AW134&lt;&gt;-1,EQ107,-1)</f>
        <v>-1</v>
      </c>
      <c r="ET167" s="89">
        <f t="shared" ref="ET167:ET193" si="307">IF(AX134&lt;&gt;-1,ER107,-1)</f>
        <v>-1</v>
      </c>
      <c r="EU167" s="85">
        <f t="shared" ref="EU167:EU193" si="308">IF(AY134&lt;&gt;-1,ES107,-1)</f>
        <v>-1</v>
      </c>
      <c r="EV167" s="87">
        <f t="shared" ref="EV167:EV193" si="309">IF(AZ134&lt;&gt;-1,ET107,-1)</f>
        <v>-1</v>
      </c>
      <c r="EW167" s="86">
        <f t="shared" ref="EW167:EW193" si="310">IF(BA134&lt;&gt;-1,EU107,-1)</f>
        <v>-1</v>
      </c>
      <c r="EX167" s="85">
        <f t="shared" ref="EX167:EX193" si="311">IF(BB134&lt;&gt;-1,EV107,-1)</f>
        <v>-1</v>
      </c>
      <c r="EY167" s="87">
        <f t="shared" ref="EY167:EY193" si="312">IF(BC134&lt;&gt;-1,EW107,-1)</f>
        <v>-1</v>
      </c>
      <c r="EZ167" s="86">
        <f t="shared" ref="EZ167:EZ193" si="313">IF(BD134&lt;&gt;-1,EX107,-1)</f>
        <v>-1</v>
      </c>
      <c r="FA167" s="85">
        <f t="shared" ref="FA167:FA193" si="314">IF(BE134&lt;&gt;-1,EY107,-1)</f>
        <v>-1</v>
      </c>
      <c r="FB167" s="88">
        <f t="shared" ref="FB167:FB193" si="315">IF(BF134&lt;&gt;-1,EZ107,-1)</f>
        <v>-1</v>
      </c>
      <c r="FC167" s="89">
        <f t="shared" ref="FC167:FC193" si="316">IF(BG134&lt;&gt;-1,FA107,-1)</f>
        <v>-1</v>
      </c>
      <c r="FD167" s="85">
        <f t="shared" ref="FD167:FD193" si="317">IF(BH134&lt;&gt;-1,FB107,-1)</f>
        <v>-1</v>
      </c>
      <c r="FE167" s="87">
        <f t="shared" ref="FE167:FE193" si="318">IF(BI134&lt;&gt;-1,FC107,-1)</f>
        <v>-1</v>
      </c>
      <c r="FF167" s="86">
        <f t="shared" ref="FF167:FF193" si="319">IF(BJ134&lt;&gt;-1,FD107,-1)</f>
        <v>-1</v>
      </c>
      <c r="FG167" s="85">
        <f t="shared" ref="FG167:FG193" si="320">IF(BK134&lt;&gt;-1,FE107,-1)</f>
        <v>-1</v>
      </c>
      <c r="FH167" s="87">
        <f t="shared" ref="FH167:FH193" si="321">IF(BL134&lt;&gt;-1,FF107,-1)</f>
        <v>-1</v>
      </c>
      <c r="FI167" s="86">
        <f t="shared" ref="FI167:FI193" si="322">IF(BM134&lt;&gt;-1,FG107,-1)</f>
        <v>-1</v>
      </c>
      <c r="FJ167" s="85">
        <f t="shared" ref="FJ167:FJ193" si="323">IF(BN134&lt;&gt;-1,FH107,-1)</f>
        <v>-1</v>
      </c>
      <c r="FK167" s="90">
        <f t="shared" ref="FK167:FK193" si="324">IF(BO134&lt;&gt;-1,FI107,-1)</f>
        <v>-1</v>
      </c>
      <c r="FL167" s="84">
        <f t="shared" ref="FL167:FL193" si="325">IF(BP134&lt;&gt;-1,EI107,-1)</f>
        <v>-1</v>
      </c>
      <c r="FM167" s="85">
        <f t="shared" ref="FM167:FM193" si="326">IF(BQ134&lt;&gt;-1,EJ107,-1)</f>
        <v>-1</v>
      </c>
      <c r="FN167" s="87">
        <f t="shared" ref="FN167:FN193" si="327">IF(BR134&lt;&gt;-1,EK107,-1)</f>
        <v>-1</v>
      </c>
      <c r="FO167" s="86">
        <f t="shared" ref="FO167:FO193" si="328">IF(BS134&lt;&gt;-1,EL107,-1)</f>
        <v>-1</v>
      </c>
      <c r="FP167" s="85">
        <f t="shared" ref="FP167:FP193" si="329">IF(BT134&lt;&gt;-1,EM107,-1)</f>
        <v>-1</v>
      </c>
      <c r="FQ167" s="87">
        <f t="shared" ref="FQ167:FQ193" si="330">IF(BU134&lt;&gt;-1,EN107,-1)</f>
        <v>-1</v>
      </c>
      <c r="FR167" s="86">
        <f t="shared" ref="FR167:FR193" si="331">IF(BV134&lt;&gt;-1,EO107,-1)</f>
        <v>-1</v>
      </c>
      <c r="FS167" s="85">
        <f t="shared" ref="FS167:FS193" si="332">IF(BW134&lt;&gt;-1,EP107,-1)</f>
        <v>-1</v>
      </c>
      <c r="FT167" s="88">
        <f t="shared" ref="FT167:FT193" si="333">IF(BX134&lt;&gt;-1,EQ107,-1)</f>
        <v>-1</v>
      </c>
      <c r="FU167" s="89">
        <f t="shared" ref="FU167:FU193" si="334">IF(BY134&lt;&gt;-1,ER107,-1)</f>
        <v>-1</v>
      </c>
      <c r="FV167" s="85">
        <f t="shared" ref="FV167:FV193" si="335">IF(BZ134&lt;&gt;-1,ES107,-1)</f>
        <v>-1</v>
      </c>
      <c r="FW167" s="87">
        <f t="shared" ref="FW167:FW193" si="336">IF(CA134&lt;&gt;-1,ET107,-1)</f>
        <v>-1</v>
      </c>
      <c r="FX167" s="86">
        <f t="shared" ref="FX167:FX193" si="337">IF(CB134&lt;&gt;-1,EU107,-1)</f>
        <v>-1</v>
      </c>
      <c r="FY167" s="85">
        <f t="shared" ref="FY167:FY193" si="338">IF(CC134&lt;&gt;-1,EV107,-1)</f>
        <v>-1</v>
      </c>
      <c r="FZ167" s="87">
        <f t="shared" ref="FZ167:FZ193" si="339">IF(CD134&lt;&gt;-1,EW107,-1)</f>
        <v>-1</v>
      </c>
      <c r="GA167" s="86">
        <f t="shared" ref="GA167:GA193" si="340">IF(CE134&lt;&gt;-1,EX107,-1)</f>
        <v>-1</v>
      </c>
      <c r="GB167" s="85">
        <f t="shared" ref="GB167:GB193" si="341">IF(CF134&lt;&gt;-1,EY107,-1)</f>
        <v>-1</v>
      </c>
      <c r="GC167" s="88">
        <f t="shared" ref="GC167:GC193" si="342">IF(CG134&lt;&gt;-1,EZ107,-1)</f>
        <v>-1</v>
      </c>
      <c r="GD167" s="89">
        <f t="shared" ref="GD167:GD193" si="343">IF(CH134&lt;&gt;-1,FA107,-1)</f>
        <v>0</v>
      </c>
      <c r="GE167" s="85">
        <f t="shared" ref="GE167:GE193" si="344">IF(CI134&lt;&gt;-1,FB107,-1)</f>
        <v>0</v>
      </c>
      <c r="GF167" s="87">
        <f t="shared" ref="GF167:GF193" si="345">IF(CJ134&lt;&gt;-1,FC107,-1)</f>
        <v>0</v>
      </c>
      <c r="GG167" s="86">
        <f t="shared" ref="GG167:GG193" si="346">IF(CK134&lt;&gt;-1,FD107,-1)</f>
        <v>-1</v>
      </c>
      <c r="GH167" s="85">
        <f t="shared" ref="GH167:GH193" si="347">IF(CL134&lt;&gt;-1,FE107,-1)</f>
        <v>-1</v>
      </c>
      <c r="GI167" s="87">
        <f t="shared" ref="GI167:GI193" si="348">IF(CM134&lt;&gt;-1,FF107,-1)</f>
        <v>-1</v>
      </c>
      <c r="GJ167" s="86">
        <f t="shared" ref="GJ167:GJ193" si="349">IF(CN134&lt;&gt;-1,FG107,-1)</f>
        <v>0</v>
      </c>
      <c r="GK167" s="85">
        <f t="shared" ref="GK167:GK193" si="350">IF(CO134&lt;&gt;-1,FH107,-1)</f>
        <v>0</v>
      </c>
      <c r="GL167" s="90">
        <f t="shared" ref="GL167:GL193" si="351">IF(CP134&lt;&gt;-1,FI107,-1)</f>
        <v>3</v>
      </c>
      <c r="GN167" s="52">
        <f>COUNTIF(DJ167:GL167,1)</f>
        <v>0</v>
      </c>
      <c r="GO167" s="50">
        <f>COUNTIF(DJ167:GL167,2)</f>
        <v>0</v>
      </c>
      <c r="GP167" s="51">
        <f>COUNTIF(DJ167:GL167,3)</f>
        <v>1</v>
      </c>
      <c r="GQ167" s="39"/>
      <c r="GR167" s="39"/>
      <c r="GT167" s="65">
        <f t="shared" ref="GT167:GV167" si="352">GT140</f>
        <v>5</v>
      </c>
      <c r="GU167" s="66">
        <f t="shared" si="352"/>
        <v>5</v>
      </c>
      <c r="GV167" s="67">
        <f t="shared" si="352"/>
        <v>3</v>
      </c>
    </row>
    <row r="168" spans="14:204" ht="15" customHeight="1">
      <c r="N168" s="94">
        <f>IF($B$97="x",-1,IF(AND($B$97=0,INDEX(KonZeile3,4)+INDEX(KonSpalte1,4)+INDEX(KonFeld7,4)=0),4,0))</f>
        <v>-1</v>
      </c>
      <c r="O168" s="39">
        <f>IF($B$97="x",-1,IF(AND($B$97=0,INDEX(KonZeile3,5)+INDEX(KonSpalte1,5)+INDEX(KonFeld7,5)=0),5,0))</f>
        <v>-1</v>
      </c>
      <c r="P168" s="41">
        <f>IF($B$97="x",-1,IF(AND($B$97=0,INDEX(KonZeile3,6)+INDEX(KonSpalte1,6)+INDEX(KonFeld7,6)=0),6,0))</f>
        <v>-1</v>
      </c>
      <c r="Q168" s="40">
        <f>IF($C$97="x",-1,IF(AND($C$97=0,INDEX(KonZeile3,4)+INDEX(KonSpalte2,4)+INDEX(KonFeld7,4)=0),4,0))</f>
        <v>-1</v>
      </c>
      <c r="R168" s="39">
        <f>IF($C$97="x",-1,IF(AND($C$97=0,INDEX(KonZeile3,5)+INDEX(KonSpalte2,5)+INDEX(KonFeld7,5)=0),5,0))</f>
        <v>-1</v>
      </c>
      <c r="S168" s="41">
        <f>IF($C$97="x",-1,IF(AND($C$97=0,INDEX(KonZeile3,6)+INDEX(KonSpalte2,6)+INDEX(KonFeld7,6)=0),6,0))</f>
        <v>-1</v>
      </c>
      <c r="T168" s="40">
        <f>IF($D$97="x",-1,IF(AND($D$97=0,INDEX(KonZeile3,4)+INDEX(KonSpalte3,4)+INDEX(KonFeld7,4)=0),4,0))</f>
        <v>-1</v>
      </c>
      <c r="U168" s="39">
        <f>IF($D$97="x",-1,IF(AND($D$97=0,INDEX(KonZeile3,5)+INDEX(KonSpalte3,5)+INDEX(KonFeld7,5)=0),5,0))</f>
        <v>-1</v>
      </c>
      <c r="V168" s="42">
        <f>IF($D$97="x",-1,IF(AND($D$97=0,INDEX(KonZeile3,6)+INDEX(KonSpalte3,6)+INDEX(KonFeld7,6)=0),6,0))</f>
        <v>-1</v>
      </c>
      <c r="W168" s="43">
        <f>IF($E$97="x",-1,IF(AND($E$97=0,INDEX(KonZeile3,4)+INDEX(KonSpalte4,4)+INDEX(KonFeld7,4)=0),4,0))</f>
        <v>-1</v>
      </c>
      <c r="X168" s="39">
        <f>IF($E$97="x",-1,IF(AND($E$97=0,INDEX(KonZeile3,5)+INDEX(KonSpalte4,5)+INDEX(KonFeld7,5)=0),5,0))</f>
        <v>-1</v>
      </c>
      <c r="Y168" s="41">
        <f>IF($E$97="x",-1,IF(AND($E$97=0,INDEX(KonZeile3,6)+INDEX(KonSpalte4,6)+INDEX(KonFeld7,6)=0),6,0))</f>
        <v>-1</v>
      </c>
      <c r="Z168" s="40">
        <f>IF($F$97="x",-1,IF(AND($F$97=0,INDEX(KonZeile3,4)+INDEX(KonSpalte5,4)+INDEX(KonFeld7,4)=0),4,0))</f>
        <v>-1</v>
      </c>
      <c r="AA168" s="39">
        <f>IF($F$97="x",-1,IF(AND($F$97=0,INDEX(KonZeile3,5)+INDEX(KonSpalte5,5)+INDEX(KonFeld7,5)=0),5,0))</f>
        <v>-1</v>
      </c>
      <c r="AB168" s="41">
        <f>IF($F$97="x",-1,IF(AND($F$97=0,INDEX(KonZeile3,6)+INDEX(KonSpalte5,6)+INDEX(KonFeld7,6)=0),6,0))</f>
        <v>-1</v>
      </c>
      <c r="AC168" s="40">
        <f>IF($G$97="x",-1,IF(AND($G$97=0,INDEX(KonZeile3,4)+INDEX(KonSpalte6,4)+INDEX(KonFeld7,4)=0),4,0))</f>
        <v>-1</v>
      </c>
      <c r="AD168" s="39">
        <f>IF($G$97="x",-1,IF(AND($G$97=0,INDEX(KonZeile3,5)+INDEX(KonSpalte6,5)+INDEX(KonFeld7,5)=0),5,0))</f>
        <v>-1</v>
      </c>
      <c r="AE168" s="42">
        <f>IF($G$97="x",-1,IF(AND($G$97=0,INDEX(KonZeile3,6)+INDEX(KonSpalte6,6)+INDEX(KonFeld7,6)=0),6,0))</f>
        <v>-1</v>
      </c>
      <c r="AF168" s="43">
        <f>IF($H$97="x",-1,IF(AND($H$97=0,INDEX(KonZeile3,4)+INDEX(KonSpalte7,4)+INDEX(KonFeld7,4)=0),4,0))</f>
        <v>-1</v>
      </c>
      <c r="AG168" s="39">
        <f>IF($H$97="x",-1,IF(AND($H$97=0,INDEX(KonZeile3,5)+INDEX(KonSpalte7,5)+INDEX(KonFeld7,5)=0),5,0))</f>
        <v>-1</v>
      </c>
      <c r="AH168" s="41">
        <f>IF($H$97="x",-1,IF(AND($H$97=0,INDEX(KonZeile3,6)+INDEX(KonSpalte7,6)+INDEX(KonFeld7,6)=0),6,0))</f>
        <v>-1</v>
      </c>
      <c r="AI168" s="40">
        <f>IF($I$97="x",-1,IF(AND($I$97=0,INDEX(KonZeile3,4)+INDEX(KonSpalte8,4)+INDEX(KonFeld7,4)=0),4,0))</f>
        <v>-1</v>
      </c>
      <c r="AJ168" s="39">
        <f>IF($I$97="x",-1,IF(AND($I$97=0,INDEX(KonZeile3,5)+INDEX(KonSpalte8,5)+INDEX(KonFeld7,5)=0),5,0))</f>
        <v>-1</v>
      </c>
      <c r="AK168" s="41">
        <f>IF($I$97="x",-1,IF(AND($I$97=0,INDEX(KonZeile3,6)+INDEX(KonSpalte8,6)+INDEX(KonFeld7,6)=0),6,0))</f>
        <v>-1</v>
      </c>
      <c r="AL168" s="40">
        <f>IF($J$97="x",-1,IF(AND($J$97=0,INDEX(KonZeile3,4)+INDEX(KonSpalte9,4)+INDEX(KonFeld7,4)=0),4,0))</f>
        <v>-1</v>
      </c>
      <c r="AM168" s="39">
        <f>IF($J$97="x",-1,IF(AND($J$97=0,INDEX(KonZeile3,5)+INDEX(KonSpalte9,5)+INDEX(KonFeld7,5)=0),5,0))</f>
        <v>-1</v>
      </c>
      <c r="AN168" s="95">
        <f>IF($J$97="x",-1,IF(AND($J$97=0,INDEX(KonZeile3,6)+INDEX(KonSpalte9,6)+INDEX(KonFeld7,6)=0),6,0))</f>
        <v>-1</v>
      </c>
      <c r="AO168" s="94">
        <f>IF($K$97="x",-1,IF(AND($K$97=0,INDEX(KonZeile3,4)+INDEX(KonSpalte1,4)+INDEX(KonFeld8,4)=0),4,0))</f>
        <v>-1</v>
      </c>
      <c r="AP168" s="39">
        <f>IF($K$97="x",-1,IF(AND($K$97=0,INDEX(KonZeile3,5)+INDEX(KonSpalte1,5)+INDEX(KonFeld8,5)=0),5,0))</f>
        <v>-1</v>
      </c>
      <c r="AQ168" s="41">
        <f>IF($K$97="x",-1,IF(AND($K$97=0,INDEX(KonZeile3,6)+INDEX(KonSpalte1,6)+INDEX(KonFeld8,6)=0),6,0))</f>
        <v>-1</v>
      </c>
      <c r="AR168" s="40">
        <f>IF($L$97="x",-1,IF(AND($L$97=0,INDEX(KonZeile3,4)+INDEX(KonSpalte2,4)+INDEX(KonFeld8,4)=0),4,0))</f>
        <v>-1</v>
      </c>
      <c r="AS168" s="39">
        <f>IF($L$97="x",-1,IF(AND($L$97=0,INDEX(KonZeile3,5)+INDEX(KonSpalte2,5)+INDEX(KonFeld8,5)=0),5,0))</f>
        <v>-1</v>
      </c>
      <c r="AT168" s="41">
        <f>IF($L$97="x",-1,IF(AND($L$97=0,INDEX(KonZeile3,6)+INDEX(KonSpalte2,6)+INDEX(KonFeld8,6)=0),6,0))</f>
        <v>-1</v>
      </c>
      <c r="AU168" s="40">
        <f>IF($M$97="x",-1,IF(AND($M$97=0,INDEX(KonZeile3,4)+INDEX(KonSpalte3,4)+INDEX(KonFeld8,4)=0),4,0))</f>
        <v>-1</v>
      </c>
      <c r="AV168" s="39">
        <f>IF($M$97="x",-1,IF(AND($M$97=0,INDEX(KonZeile3,5)+INDEX(KonSpalte3,5)+INDEX(KonFeld8,5)=0),5,0))</f>
        <v>-1</v>
      </c>
      <c r="AW168" s="42">
        <f>IF($M$97="x",-1,IF(AND($M$97=0,INDEX(KonZeile3,6)+INDEX(KonSpalte3,6)+INDEX(KonFeld8,6)=0),6,0))</f>
        <v>-1</v>
      </c>
      <c r="AX168" s="43">
        <f>IF($N$97="x",-1,IF(AND($N$97=0,INDEX(KonZeile3,4)+INDEX(KonSpalte4,4)+INDEX(KonFeld8,4)=0),4,0))</f>
        <v>-1</v>
      </c>
      <c r="AY168" s="39">
        <f>IF($N$97="x",-1,IF(AND($N$97=0,INDEX(KonZeile3,5)+INDEX(KonSpalte4,5)+INDEX(KonFeld8,5)=0),5,0))</f>
        <v>-1</v>
      </c>
      <c r="AZ168" s="41">
        <f>IF($N$97="x",-1,IF(AND($N$97=0,INDEX(KonZeile3,6)+INDEX(KonSpalte4,6)+INDEX(KonFeld8,6)=0),6,0))</f>
        <v>-1</v>
      </c>
      <c r="BA168" s="40">
        <f>IF($O$97="x",-1,IF(AND($O$97=0,INDEX(KonZeile3,4)+INDEX(KonSpalte5,4)+INDEX(KonFeld8,4)=0),4,0))</f>
        <v>-1</v>
      </c>
      <c r="BB168" s="39">
        <f>IF($O$97="x",-1,IF(AND($O$97=0,INDEX(KonZeile3,5)+INDEX(KonSpalte5,5)+INDEX(KonFeld8,5)=0),5,0))</f>
        <v>-1</v>
      </c>
      <c r="BC168" s="41">
        <f>IF($O$97="x",-1,IF(AND($O$97=0,INDEX(KonZeile3,6)+INDEX(KonSpalte5,6)+INDEX(KonFeld8,6)=0),6,0))</f>
        <v>-1</v>
      </c>
      <c r="BD168" s="40">
        <f>IF($P$97="x",-1,IF(AND($P$97=0,INDEX(KonZeile3,4)+INDEX(KonSpalte6,4)+INDEX(KonFeld8,4)=0),4,0))</f>
        <v>0</v>
      </c>
      <c r="BE168" s="39">
        <f>IF($P$97="x",-1,IF(AND($P$97=0,INDEX(KonZeile3,5)+INDEX(KonSpalte6,5)+INDEX(KonFeld8,5)=0),5,0))</f>
        <v>0</v>
      </c>
      <c r="BF168" s="42">
        <f>IF($P$97="x",-1,IF(AND($P$97=0,INDEX(KonZeile3,6)+INDEX(KonSpalte6,6)+INDEX(KonFeld8,6)=0),6,0))</f>
        <v>0</v>
      </c>
      <c r="BG168" s="43">
        <f>IF($Q$97="x",-1,IF(AND($Q$97=0,INDEX(KonZeile3,4)+INDEX(KonSpalte7,4)+INDEX(KonFeld8,4)=0),4,0))</f>
        <v>-1</v>
      </c>
      <c r="BH168" s="39">
        <f>IF($Q$97="x",-1,IF(AND($Q$97=0,INDEX(KonZeile3,5)+INDEX(KonSpalte7,5)+INDEX(KonFeld8,5)=0),5,0))</f>
        <v>-1</v>
      </c>
      <c r="BI168" s="41">
        <f>IF($Q$97="x",-1,IF(AND($Q$97=0,INDEX(KonZeile3,6)+INDEX(KonSpalte7,6)+INDEX(KonFeld8,6)=0),6,0))</f>
        <v>-1</v>
      </c>
      <c r="BJ168" s="40">
        <f>IF($R$97="x",-1,IF(AND($R$97=0,INDEX(KonZeile3,4)+INDEX(KonSpalte8,4)+INDEX(KonFeld8,4)=0),4,0))</f>
        <v>-1</v>
      </c>
      <c r="BK168" s="39">
        <f>IF($R$97="x",-1,IF(AND($R$97=0,INDEX(KonZeile3,5)+INDEX(KonSpalte8,5)+INDEX(KonFeld8,5)=0),5,0))</f>
        <v>-1</v>
      </c>
      <c r="BL168" s="41">
        <f>IF($R$97="x",-1,IF(AND($R$97=0,INDEX(KonZeile3,6)+INDEX(KonSpalte8,6)+INDEX(KonFeld8,6)=0),6,0))</f>
        <v>-1</v>
      </c>
      <c r="BM168" s="40">
        <f>IF($S$97="x",-1,IF(AND($S$97=0,INDEX(KonZeile3,4)+INDEX(KonSpalte9,4)+INDEX(KonFeld8,4)=0),4,0))</f>
        <v>-1</v>
      </c>
      <c r="BN168" s="39">
        <f>IF($S$97="x",-1,IF(AND($S$97=0,INDEX(KonZeile3,5)+INDEX(KonSpalte9,5)+INDEX(KonFeld8,5)=0),5,0))</f>
        <v>-1</v>
      </c>
      <c r="BO168" s="95">
        <f>IF($S$97="x",-1,IF(AND($S$97=0,INDEX(KonZeile3,6)+INDEX(KonSpalte9,6)+INDEX(KonFeld8,6)=0),6,0))</f>
        <v>-1</v>
      </c>
      <c r="BP168" s="94">
        <f>IF($T$97="x",-1,IF(AND($T$97=0,INDEX(KonZeile3,4)+INDEX(KonSpalte1,4)+INDEX(KonFeld9,4)=0),4,0))</f>
        <v>-1</v>
      </c>
      <c r="BQ168" s="39">
        <f>IF($T$97="x",-1,IF(AND($T$97=0,INDEX(KonZeile3,5)+INDEX(KonSpalte1,5)+INDEX(KonFeld9,5)=0),5,0))</f>
        <v>-1</v>
      </c>
      <c r="BR168" s="41">
        <f>IF($T$97="x",-1,IF(AND($T$97=0,INDEX(KonZeile3,6)+INDEX(KonSpalte1,6)+INDEX(KonFeld9,6)=0),6,0))</f>
        <v>-1</v>
      </c>
      <c r="BS168" s="40">
        <f>IF($U$97="x",-1,IF(AND($U$97=0,INDEX(KonZeile3,4)+INDEX(KonSpalte2,4)+INDEX(KonFeld9,4)=0),4,0))</f>
        <v>-1</v>
      </c>
      <c r="BT168" s="39">
        <f>IF($U$97="x",-1,IF(AND($U$97=0,INDEX(KonZeile3,5)+INDEX(KonSpalte2,5)+INDEX(KonFeld9,5)=0),5,0))</f>
        <v>-1</v>
      </c>
      <c r="BU168" s="41">
        <f>IF($U$97="x",-1,IF(AND($U$97=0,INDEX(KonZeile3,6)+INDEX(KonSpalte2,6)+INDEX(KonFeld9,6)=0),6,0))</f>
        <v>-1</v>
      </c>
      <c r="BV168" s="40">
        <f>IF($V$97="x",-1,IF(AND($V$97=0,INDEX(KonZeile3,4)+INDEX(KonSpalte3,4)+INDEX(KonFeld9,4)=0),4,0))</f>
        <v>-1</v>
      </c>
      <c r="BW168" s="39">
        <f>IF($V$97="x",-1,IF(AND($V$97=0,INDEX(KonZeile3,5)+INDEX(KonSpalte3,5)+INDEX(KonFeld9,5)=0),5,0))</f>
        <v>-1</v>
      </c>
      <c r="BX168" s="42">
        <f>IF($V$97="x",-1,IF(AND($V$97=0,INDEX(KonZeile3,6)+INDEX(KonSpalte3,6)+INDEX(KonFeld9,6)=0),6,0))</f>
        <v>-1</v>
      </c>
      <c r="BY168" s="43">
        <f>IF($W$97="x",-1,IF(AND($W$97=0,INDEX(KonZeile3,4)+INDEX(KonSpalte4,4)+INDEX(KonFeld9,4)=0),4,0))</f>
        <v>-1</v>
      </c>
      <c r="BZ168" s="39">
        <f>IF($W$97="x",-1,IF(AND($W$97=0,INDEX(KonZeile3,5)+INDEX(KonSpalte4,5)+INDEX(KonFeld9,5)=0),5,0))</f>
        <v>-1</v>
      </c>
      <c r="CA168" s="41">
        <f>IF($W$97="x",-1,IF(AND($W$97=0,INDEX(KonZeile3,6)+INDEX(KonSpalte4,6)+INDEX(KonFeld9,6)=0),6,0))</f>
        <v>-1</v>
      </c>
      <c r="CB168" s="40">
        <f>IF($X$97="x",-1,IF(AND($X$97=0,INDEX(KonZeile3,4)+INDEX(KonSpalte5,4)+INDEX(KonFeld9,4)=0),4,0))</f>
        <v>-1</v>
      </c>
      <c r="CC168" s="39">
        <f>IF($X$97="x",-1,IF(AND($X$97=0,INDEX(KonZeile3,5)+INDEX(KonSpalte5,5)+INDEX(KonFeld9,5)=0),5,0))</f>
        <v>-1</v>
      </c>
      <c r="CD168" s="41">
        <f>IF($X$97="x",-1,IF(AND($X$97=0,INDEX(KonZeile3,6)+INDEX(KonSpalte5,6)+INDEX(KonFeld9,6)=0),6,0))</f>
        <v>-1</v>
      </c>
      <c r="CE168" s="40">
        <f>IF($Y$97="x",-1,IF(AND($Y$97=0,INDEX(KonZeile3,4)+INDEX(KonSpalte6,4)+INDEX(KonFeld9,4)=0),4,0))</f>
        <v>-1</v>
      </c>
      <c r="CF168" s="39">
        <f>IF($Y$97="x",-1,IF(AND($Y$97=0,INDEX(KonZeile3,5)+INDEX(KonSpalte6,5)+INDEX(KonFeld9,5)=0),5,0))</f>
        <v>-1</v>
      </c>
      <c r="CG168" s="42">
        <f>IF($Y$97="x",-1,IF(AND($Y$97=0,INDEX(KonZeile3,6)+INDEX(KonSpalte6,6)+INDEX(KonFeld9,6)=0),6,0))</f>
        <v>-1</v>
      </c>
      <c r="CH168" s="43">
        <f>IF($Z$97="x",-1,IF(AND($Z$97=0,INDEX(KonZeile3,4)+INDEX(KonSpalte7,4)+INDEX(KonFeld9,4)=0),4,0))</f>
        <v>-1</v>
      </c>
      <c r="CI168" s="39">
        <f>IF($Z$97="x",-1,IF(AND($Z$97=0,INDEX(KonZeile3,5)+INDEX(KonSpalte7,5)+INDEX(KonFeld9,5)=0),5,0))</f>
        <v>-1</v>
      </c>
      <c r="CJ168" s="41">
        <f>IF($Z$97="x",-1,IF(AND($Z$97=0,INDEX(KonZeile3,6)+INDEX(KonSpalte7,6)+INDEX(KonFeld9,6)=0),6,0))</f>
        <v>-1</v>
      </c>
      <c r="CK168" s="40">
        <f>IF($AA$97="x",-1,IF(AND($AA$97=0,INDEX(KonZeile3,4)+INDEX(KonSpalte8,4)+INDEX(KonFeld9,4)=0),4,0))</f>
        <v>-1</v>
      </c>
      <c r="CL168" s="39">
        <f>IF($AA$97="x",-1,IF(AND($AA$97=0,INDEX(KonZeile3,5)+INDEX(KonSpalte8,5)+INDEX(KonFeld9,5)=0),5,0))</f>
        <v>-1</v>
      </c>
      <c r="CM168" s="41">
        <f>IF($AA$97="x",-1,IF(AND($AA$97=0,INDEX(KonZeile3,6)+INDEX(KonSpalte8,6)+INDEX(KonFeld9,6)=0),6,0))</f>
        <v>-1</v>
      </c>
      <c r="CN168" s="40">
        <f>IF($AB$97="x",-1,IF(AND($AB$97=0,INDEX(KonZeile3,4)+INDEX(KonSpalte9,4)+INDEX(KonFeld9,4)=0),4,0))</f>
        <v>-1</v>
      </c>
      <c r="CO168" s="39">
        <f>IF($AB$97="x",-1,IF(AND($AB$97=0,INDEX(KonZeile3,5)+INDEX(KonSpalte9,5)+INDEX(KonFeld9,5)=0),5,0))</f>
        <v>-1</v>
      </c>
      <c r="CP168" s="95">
        <f>IF($AB$97="x",-1,IF(AND($AB$97=0,INDEX(KonZeile3,6)+INDEX(KonSpalte9,6)+INDEX(KonFeld9,6)=0),6,0))</f>
        <v>-1</v>
      </c>
      <c r="CR168" s="40">
        <f>COUNTIF(N168:CP168,4)</f>
        <v>0</v>
      </c>
      <c r="CS168" s="39">
        <f>COUNTIF(N168:CP168,5)</f>
        <v>0</v>
      </c>
      <c r="CT168" s="41">
        <f>COUNTIF(N168:CP168,6)</f>
        <v>0</v>
      </c>
      <c r="CU168" s="39"/>
      <c r="CV168" s="39"/>
      <c r="CX168" s="72">
        <f t="shared" si="270"/>
        <v>0</v>
      </c>
      <c r="CY168" s="73">
        <f t="shared" si="270"/>
        <v>0</v>
      </c>
      <c r="CZ168" s="74">
        <f t="shared" si="270"/>
        <v>0</v>
      </c>
      <c r="DJ168" s="94">
        <f t="shared" si="271"/>
        <v>-1</v>
      </c>
      <c r="DK168" s="39">
        <f t="shared" si="272"/>
        <v>-1</v>
      </c>
      <c r="DL168" s="41">
        <f t="shared" si="273"/>
        <v>-1</v>
      </c>
      <c r="DM168" s="40">
        <f t="shared" si="274"/>
        <v>-1</v>
      </c>
      <c r="DN168" s="39">
        <f t="shared" si="275"/>
        <v>-1</v>
      </c>
      <c r="DO168" s="41">
        <f t="shared" si="276"/>
        <v>-1</v>
      </c>
      <c r="DP168" s="40">
        <f t="shared" si="277"/>
        <v>-1</v>
      </c>
      <c r="DQ168" s="39">
        <f t="shared" si="278"/>
        <v>-1</v>
      </c>
      <c r="DR168" s="42">
        <f t="shared" si="279"/>
        <v>-1</v>
      </c>
      <c r="DS168" s="43">
        <f t="shared" si="280"/>
        <v>-1</v>
      </c>
      <c r="DT168" s="39">
        <f t="shared" si="281"/>
        <v>-1</v>
      </c>
      <c r="DU168" s="41">
        <f t="shared" si="282"/>
        <v>-1</v>
      </c>
      <c r="DV168" s="40">
        <f t="shared" si="283"/>
        <v>-1</v>
      </c>
      <c r="DW168" s="39">
        <f t="shared" si="284"/>
        <v>-1</v>
      </c>
      <c r="DX168" s="41">
        <f t="shared" si="285"/>
        <v>-1</v>
      </c>
      <c r="DY168" s="40">
        <f t="shared" si="286"/>
        <v>-1</v>
      </c>
      <c r="DZ168" s="39">
        <f t="shared" si="287"/>
        <v>-1</v>
      </c>
      <c r="EA168" s="42">
        <f t="shared" si="288"/>
        <v>-1</v>
      </c>
      <c r="EB168" s="43">
        <f t="shared" si="289"/>
        <v>-1</v>
      </c>
      <c r="EC168" s="39">
        <f t="shared" si="290"/>
        <v>-1</v>
      </c>
      <c r="ED168" s="41">
        <f t="shared" si="291"/>
        <v>-1</v>
      </c>
      <c r="EE168" s="40">
        <f t="shared" si="292"/>
        <v>-1</v>
      </c>
      <c r="EF168" s="39">
        <f t="shared" si="293"/>
        <v>-1</v>
      </c>
      <c r="EG168" s="41">
        <f t="shared" si="294"/>
        <v>-1</v>
      </c>
      <c r="EH168" s="40">
        <f t="shared" si="295"/>
        <v>-1</v>
      </c>
      <c r="EI168" s="39">
        <f t="shared" si="296"/>
        <v>-1</v>
      </c>
      <c r="EJ168" s="95">
        <f t="shared" si="297"/>
        <v>-1</v>
      </c>
      <c r="EK168" s="94">
        <f t="shared" si="298"/>
        <v>-1</v>
      </c>
      <c r="EL168" s="39">
        <f t="shared" si="299"/>
        <v>-1</v>
      </c>
      <c r="EM168" s="41">
        <f t="shared" si="300"/>
        <v>-1</v>
      </c>
      <c r="EN168" s="40">
        <f t="shared" si="301"/>
        <v>-1</v>
      </c>
      <c r="EO168" s="39">
        <f t="shared" si="302"/>
        <v>-1</v>
      </c>
      <c r="EP168" s="41">
        <f t="shared" si="303"/>
        <v>-1</v>
      </c>
      <c r="EQ168" s="40">
        <f t="shared" si="304"/>
        <v>-1</v>
      </c>
      <c r="ER168" s="39">
        <f t="shared" si="305"/>
        <v>-1</v>
      </c>
      <c r="ES168" s="42">
        <f t="shared" si="306"/>
        <v>-1</v>
      </c>
      <c r="ET168" s="43">
        <f t="shared" si="307"/>
        <v>-1</v>
      </c>
      <c r="EU168" s="39">
        <f t="shared" si="308"/>
        <v>-1</v>
      </c>
      <c r="EV168" s="41">
        <f t="shared" si="309"/>
        <v>-1</v>
      </c>
      <c r="EW168" s="40">
        <f t="shared" si="310"/>
        <v>-1</v>
      </c>
      <c r="EX168" s="39">
        <f t="shared" si="311"/>
        <v>-1</v>
      </c>
      <c r="EY168" s="41">
        <f t="shared" si="312"/>
        <v>-1</v>
      </c>
      <c r="EZ168" s="40">
        <f t="shared" si="313"/>
        <v>-1</v>
      </c>
      <c r="FA168" s="39">
        <f t="shared" si="314"/>
        <v>-1</v>
      </c>
      <c r="FB168" s="42">
        <f t="shared" si="315"/>
        <v>-1</v>
      </c>
      <c r="FC168" s="43">
        <f t="shared" si="316"/>
        <v>-1</v>
      </c>
      <c r="FD168" s="39">
        <f t="shared" si="317"/>
        <v>-1</v>
      </c>
      <c r="FE168" s="41">
        <f t="shared" si="318"/>
        <v>-1</v>
      </c>
      <c r="FF168" s="40">
        <f t="shared" si="319"/>
        <v>-1</v>
      </c>
      <c r="FG168" s="39">
        <f t="shared" si="320"/>
        <v>-1</v>
      </c>
      <c r="FH168" s="41">
        <f t="shared" si="321"/>
        <v>-1</v>
      </c>
      <c r="FI168" s="40">
        <f t="shared" si="322"/>
        <v>-1</v>
      </c>
      <c r="FJ168" s="39">
        <f t="shared" si="323"/>
        <v>-1</v>
      </c>
      <c r="FK168" s="95">
        <f t="shared" si="324"/>
        <v>-1</v>
      </c>
      <c r="FL168" s="94">
        <f t="shared" si="325"/>
        <v>-1</v>
      </c>
      <c r="FM168" s="39">
        <f t="shared" si="326"/>
        <v>-1</v>
      </c>
      <c r="FN168" s="41">
        <f t="shared" si="327"/>
        <v>-1</v>
      </c>
      <c r="FO168" s="40">
        <f t="shared" si="328"/>
        <v>-1</v>
      </c>
      <c r="FP168" s="39">
        <f t="shared" si="329"/>
        <v>-1</v>
      </c>
      <c r="FQ168" s="41">
        <f t="shared" si="330"/>
        <v>-1</v>
      </c>
      <c r="FR168" s="40">
        <f t="shared" si="331"/>
        <v>-1</v>
      </c>
      <c r="FS168" s="39">
        <f t="shared" si="332"/>
        <v>-1</v>
      </c>
      <c r="FT168" s="42">
        <f t="shared" si="333"/>
        <v>-1</v>
      </c>
      <c r="FU168" s="43">
        <f t="shared" si="334"/>
        <v>-1</v>
      </c>
      <c r="FV168" s="39">
        <f t="shared" si="335"/>
        <v>-1</v>
      </c>
      <c r="FW168" s="41">
        <f t="shared" si="336"/>
        <v>-1</v>
      </c>
      <c r="FX168" s="40">
        <f t="shared" si="337"/>
        <v>-1</v>
      </c>
      <c r="FY168" s="39">
        <f t="shared" si="338"/>
        <v>-1</v>
      </c>
      <c r="FZ168" s="41">
        <f t="shared" si="339"/>
        <v>-1</v>
      </c>
      <c r="GA168" s="40">
        <f t="shared" si="340"/>
        <v>-1</v>
      </c>
      <c r="GB168" s="39">
        <f t="shared" si="341"/>
        <v>-1</v>
      </c>
      <c r="GC168" s="42">
        <f t="shared" si="342"/>
        <v>-1</v>
      </c>
      <c r="GD168" s="43">
        <f t="shared" si="343"/>
        <v>0</v>
      </c>
      <c r="GE168" s="39">
        <f t="shared" si="344"/>
        <v>0</v>
      </c>
      <c r="GF168" s="41">
        <f t="shared" si="345"/>
        <v>0</v>
      </c>
      <c r="GG168" s="40">
        <f t="shared" si="346"/>
        <v>-1</v>
      </c>
      <c r="GH168" s="39">
        <f t="shared" si="347"/>
        <v>-1</v>
      </c>
      <c r="GI168" s="41">
        <f t="shared" si="348"/>
        <v>-1</v>
      </c>
      <c r="GJ168" s="40">
        <f t="shared" si="349"/>
        <v>0</v>
      </c>
      <c r="GK168" s="39">
        <f t="shared" si="350"/>
        <v>5</v>
      </c>
      <c r="GL168" s="95">
        <f t="shared" si="351"/>
        <v>0</v>
      </c>
      <c r="GN168" s="40">
        <f>COUNTIF(DJ168:GL168,4)</f>
        <v>0</v>
      </c>
      <c r="GO168" s="39">
        <f>COUNTIF(DJ168:GL168,5)</f>
        <v>1</v>
      </c>
      <c r="GP168" s="41">
        <f>COUNTIF(DJ168:GL168,6)</f>
        <v>0</v>
      </c>
      <c r="GQ168" s="39"/>
      <c r="GR168" s="39"/>
      <c r="GT168" s="72">
        <f t="shared" ref="GT168:GV168" si="353">GT141</f>
        <v>5</v>
      </c>
      <c r="GU168" s="73">
        <f t="shared" si="353"/>
        <v>1</v>
      </c>
      <c r="GV168" s="74">
        <f t="shared" si="353"/>
        <v>0</v>
      </c>
    </row>
    <row r="169" spans="14:204" ht="15" customHeight="1" thickBot="1">
      <c r="N169" s="106">
        <f>IF($B$97="x",-1,IF(AND($B$97=0,INDEX(KonZeile3,7)+INDEX(KonSpalte1,7)+INDEX(KonFeld7,7)=0),7,0))</f>
        <v>-1</v>
      </c>
      <c r="O169" s="55">
        <f>IF($B$97="x",-1,IF(AND($B$97=0,INDEX(KonZeile3,8)+INDEX(KonSpalte1,8)+INDEX(KonFeld7,8)=0),8,0))</f>
        <v>-1</v>
      </c>
      <c r="P169" s="56">
        <f>IF($B$97="x",-1,IF(AND($B$97=0,INDEX(KonZeile3,9)+INDEX(KonSpalte1,9)+INDEX(KonFeld7,9)=0),9,0))</f>
        <v>-1</v>
      </c>
      <c r="Q169" s="57">
        <f>IF($C$97="x",-1,IF(AND($C$97=0,INDEX(KonZeile3,7)+INDEX(KonSpalte2,7)+INDEX(KonFeld7,7)=0),7,0))</f>
        <v>-1</v>
      </c>
      <c r="R169" s="55">
        <f>IF($C$97="x",-1,IF(AND($C$97=0,INDEX(KonZeile3,8)+INDEX(KonSpalte2,8)+INDEX(KonFeld7,8)=0),8,0))</f>
        <v>-1</v>
      </c>
      <c r="S169" s="56">
        <f>IF($C$97="x",-1,IF(AND($C$97=0,INDEX(KonZeile3,9)+INDEX(KonSpalte2,9)+INDEX(KonFeld7,9)=0),9,0))</f>
        <v>-1</v>
      </c>
      <c r="T169" s="57">
        <f>IF($D$97="x",-1,IF(AND($D$97=0,INDEX(KonZeile3,7)+INDEX(KonSpalte3,7)+INDEX(KonFeld7,7)=0),7,0))</f>
        <v>-1</v>
      </c>
      <c r="U169" s="55">
        <f>IF($D$97="x",-1,IF(AND($D$97=0,INDEX(KonZeile3,8)+INDEX(KonSpalte3,8)+INDEX(KonFeld7,8)=0),8,0))</f>
        <v>-1</v>
      </c>
      <c r="V169" s="58">
        <f>IF($D$97="x",-1,IF(AND($D$97=0,INDEX(KonZeile3,9)+INDEX(KonSpalte3,9)+INDEX(KonFeld7,9)=0),9,0))</f>
        <v>-1</v>
      </c>
      <c r="W169" s="54">
        <f>IF($E$97="x",-1,IF(AND($E$97=0,INDEX(KonZeile3,7)+INDEX(KonSpalte4,7)+INDEX(KonFeld7,7)=0),7,0))</f>
        <v>-1</v>
      </c>
      <c r="X169" s="55">
        <f>IF($E$97="x",-1,IF(AND($E$97=0,INDEX(KonZeile3,8)+INDEX(KonSpalte4,8)+INDEX(KonFeld7,8)=0),8,0))</f>
        <v>-1</v>
      </c>
      <c r="Y169" s="56">
        <f>IF($E$97="x",-1,IF(AND($E$97=0,INDEX(KonZeile3,9)+INDEX(KonSpalte4,9)+INDEX(KonFeld7,9)=0),9,0))</f>
        <v>-1</v>
      </c>
      <c r="Z169" s="57">
        <f>IF($F$97="x",-1,IF(AND($F$97=0,INDEX(KonZeile3,7)+INDEX(KonSpalte5,7)+INDEX(KonFeld7,7)=0),7,0))</f>
        <v>-1</v>
      </c>
      <c r="AA169" s="55">
        <f>IF($F$97="x",-1,IF(AND($F$97=0,INDEX(KonZeile3,8)+INDEX(KonSpalte5,8)+INDEX(KonFeld7,8)=0),8,0))</f>
        <v>-1</v>
      </c>
      <c r="AB169" s="56">
        <f>IF($F$97="x",-1,IF(AND($F$97=0,INDEX(KonZeile3,9)+INDEX(KonSpalte5,9)+INDEX(KonFeld7,9)=0),9,0))</f>
        <v>-1</v>
      </c>
      <c r="AC169" s="57">
        <f>IF($G$97="x",-1,IF(AND($G$97=0,INDEX(KonZeile3,7)+INDEX(KonSpalte6,7)+INDEX(KonFeld7,7)=0),7,0))</f>
        <v>-1</v>
      </c>
      <c r="AD169" s="55">
        <f>IF($G$97="x",-1,IF(AND($G$97=0,INDEX(KonZeile3,8)+INDEX(KonSpalte6,8)+INDEX(KonFeld7,8)=0),8,0))</f>
        <v>-1</v>
      </c>
      <c r="AE169" s="58">
        <f>IF($G$97="x",-1,IF(AND($G$97=0,INDEX(KonZeile3,9)+INDEX(KonSpalte6,9)+INDEX(KonFeld7,9)=0),9,0))</f>
        <v>-1</v>
      </c>
      <c r="AF169" s="54">
        <f>IF($H$97="x",-1,IF(AND($H$97=0,INDEX(KonZeile3,7)+INDEX(KonSpalte7,7)+INDEX(KonFeld7,7)=0),7,0))</f>
        <v>-1</v>
      </c>
      <c r="AG169" s="55">
        <f>IF($H$97="x",-1,IF(AND($H$97=0,INDEX(KonZeile3,8)+INDEX(KonSpalte7,8)+INDEX(KonFeld7,8)=0),8,0))</f>
        <v>-1</v>
      </c>
      <c r="AH169" s="56">
        <f>IF($H$97="x",-1,IF(AND($H$97=0,INDEX(KonZeile3,9)+INDEX(KonSpalte7,9)+INDEX(KonFeld7,9)=0),9,0))</f>
        <v>-1</v>
      </c>
      <c r="AI169" s="57">
        <f>IF($I$97="x",-1,IF(AND($I$97=0,INDEX(KonZeile3,7)+INDEX(KonSpalte8,7)+INDEX(KonFeld7,7)=0),7,0))</f>
        <v>-1</v>
      </c>
      <c r="AJ169" s="55">
        <f>IF($I$97="x",-1,IF(AND($I$97=0,INDEX(KonZeile3,8)+INDEX(KonSpalte8,8)+INDEX(KonFeld7,8)=0),8,0))</f>
        <v>-1</v>
      </c>
      <c r="AK169" s="56">
        <f>IF($I$97="x",-1,IF(AND($I$97=0,INDEX(KonZeile3,9)+INDEX(KonSpalte8,9)+INDEX(KonFeld7,9)=0),9,0))</f>
        <v>-1</v>
      </c>
      <c r="AL169" s="57">
        <f>IF($J$97="x",-1,IF(AND($J$97=0,INDEX(KonZeile3,7)+INDEX(KonSpalte9,7)+INDEX(KonFeld7,7)=0),7,0))</f>
        <v>-1</v>
      </c>
      <c r="AM169" s="55">
        <f>IF($J$97="x",-1,IF(AND($J$97=0,INDEX(KonZeile3,8)+INDEX(KonSpalte9,8)+INDEX(KonFeld7,8)=0),8,0))</f>
        <v>-1</v>
      </c>
      <c r="AN169" s="107">
        <f>IF($J$97="x",-1,IF(AND($J$97=0,INDEX(KonZeile3,9)+INDEX(KonSpalte9,9)+INDEX(KonFeld7,9)=0),9,0))</f>
        <v>-1</v>
      </c>
      <c r="AO169" s="106">
        <f>IF($K$97="x",-1,IF(AND($K$97=0,INDEX(KonZeile3,7)+INDEX(KonSpalte1,7)+INDEX(KonFeld8,7)=0),7,0))</f>
        <v>-1</v>
      </c>
      <c r="AP169" s="55">
        <f>IF($K$97="x",-1,IF(AND($K$97=0,INDEX(KonZeile3,8)+INDEX(KonSpalte1,8)+INDEX(KonFeld8,8)=0),8,0))</f>
        <v>-1</v>
      </c>
      <c r="AQ169" s="56">
        <f>IF($K$97="x",-1,IF(AND($K$97=0,INDEX(KonZeile3,9)+INDEX(KonSpalte1,9)+INDEX(KonFeld8,9)=0),9,0))</f>
        <v>-1</v>
      </c>
      <c r="AR169" s="57">
        <f>IF($L$97="x",-1,IF(AND($L$97=0,INDEX(KonZeile3,7)+INDEX(KonSpalte2,7)+INDEX(KonFeld8,7)=0),7,0))</f>
        <v>-1</v>
      </c>
      <c r="AS169" s="55">
        <f>IF($L$97="x",-1,IF(AND($L$97=0,INDEX(KonZeile3,8)+INDEX(KonSpalte2,8)+INDEX(KonFeld8,8)=0),8,0))</f>
        <v>-1</v>
      </c>
      <c r="AT169" s="56">
        <f>IF($L$97="x",-1,IF(AND($L$97=0,INDEX(KonZeile3,9)+INDEX(KonSpalte2,9)+INDEX(KonFeld8,9)=0),9,0))</f>
        <v>-1</v>
      </c>
      <c r="AU169" s="57">
        <f>IF($M$97="x",-1,IF(AND($M$97=0,INDEX(KonZeile3,7)+INDEX(KonSpalte3,7)+INDEX(KonFeld8,7)=0),7,0))</f>
        <v>-1</v>
      </c>
      <c r="AV169" s="55">
        <f>IF($M$97="x",-1,IF(AND($M$97=0,INDEX(KonZeile3,8)+INDEX(KonSpalte3,8)+INDEX(KonFeld8,8)=0),8,0))</f>
        <v>-1</v>
      </c>
      <c r="AW169" s="58">
        <f>IF($M$97="x",-1,IF(AND($M$97=0,INDEX(KonZeile3,9)+INDEX(KonSpalte3,9)+INDEX(KonFeld8,9)=0),9,0))</f>
        <v>-1</v>
      </c>
      <c r="AX169" s="54">
        <f>IF($N$97="x",-1,IF(AND($N$97=0,INDEX(KonZeile3,7)+INDEX(KonSpalte4,7)+INDEX(KonFeld8,7)=0),7,0))</f>
        <v>-1</v>
      </c>
      <c r="AY169" s="55">
        <f>IF($N$97="x",-1,IF(AND($N$97=0,INDEX(KonZeile3,8)+INDEX(KonSpalte4,8)+INDEX(KonFeld8,8)=0),8,0))</f>
        <v>-1</v>
      </c>
      <c r="AZ169" s="56">
        <f>IF($N$97="x",-1,IF(AND($N$97=0,INDEX(KonZeile3,9)+INDEX(KonSpalte4,9)+INDEX(KonFeld8,9)=0),9,0))</f>
        <v>-1</v>
      </c>
      <c r="BA169" s="57">
        <f>IF($O$97="x",-1,IF(AND($O$97=0,INDEX(KonZeile3,7)+INDEX(KonSpalte5,7)+INDEX(KonFeld8,7)=0),7,0))</f>
        <v>-1</v>
      </c>
      <c r="BB169" s="55">
        <f>IF($O$97="x",-1,IF(AND($O$97=0,INDEX(KonZeile3,8)+INDEX(KonSpalte5,8)+INDEX(KonFeld8,8)=0),8,0))</f>
        <v>-1</v>
      </c>
      <c r="BC169" s="56">
        <f>IF($O$97="x",-1,IF(AND($O$97=0,INDEX(KonZeile3,9)+INDEX(KonSpalte5,9)+INDEX(KonFeld8,9)=0),9,0))</f>
        <v>-1</v>
      </c>
      <c r="BD169" s="57">
        <f>IF($P$97="x",-1,IF(AND($P$97=0,INDEX(KonZeile3,7)+INDEX(KonSpalte6,7)+INDEX(KonFeld8,7)=0),7,0))</f>
        <v>0</v>
      </c>
      <c r="BE169" s="55">
        <f>IF($P$97="x",-1,IF(AND($P$97=0,INDEX(KonZeile3,8)+INDEX(KonSpalte6,8)+INDEX(KonFeld8,8)=0),8,0))</f>
        <v>0</v>
      </c>
      <c r="BF169" s="58">
        <f>IF($P$97="x",-1,IF(AND($P$97=0,INDEX(KonZeile3,9)+INDEX(KonSpalte6,9)+INDEX(KonFeld8,9)=0),9,0))</f>
        <v>0</v>
      </c>
      <c r="BG169" s="54">
        <f>IF($Q$97="x",-1,IF(AND($Q$97=0,INDEX(KonZeile3,7)+INDEX(KonSpalte7,7)+INDEX(KonFeld8,7)=0),7,0))</f>
        <v>-1</v>
      </c>
      <c r="BH169" s="55">
        <f>IF($Q$97="x",-1,IF(AND($Q$97=0,INDEX(KonZeile3,8)+INDEX(KonSpalte7,8)+INDEX(KonFeld8,8)=0),8,0))</f>
        <v>-1</v>
      </c>
      <c r="BI169" s="56">
        <f>IF($Q$97="x",-1,IF(AND($Q$97=0,INDEX(KonZeile3,9)+INDEX(KonSpalte7,9)+INDEX(KonFeld8,9)=0),9,0))</f>
        <v>-1</v>
      </c>
      <c r="BJ169" s="57">
        <f>IF($R$97="x",-1,IF(AND($R$97=0,INDEX(KonZeile3,7)+INDEX(KonSpalte8,7)+INDEX(KonFeld8,7)=0),7,0))</f>
        <v>-1</v>
      </c>
      <c r="BK169" s="55">
        <f>IF($R$97="x",-1,IF(AND($R$97=0,INDEX(KonZeile3,8)+INDEX(KonSpalte8,8)+INDEX(KonFeld8,8)=0),8,0))</f>
        <v>-1</v>
      </c>
      <c r="BL169" s="56">
        <f>IF($R$97="x",-1,IF(AND($R$97=0,INDEX(KonZeile3,9)+INDEX(KonSpalte8,9)+INDEX(KonFeld8,9)=0),9,0))</f>
        <v>-1</v>
      </c>
      <c r="BM169" s="57">
        <f>IF($S$97="x",-1,IF(AND($S$97=0,INDEX(KonZeile3,7)+INDEX(KonSpalte9,7)+INDEX(KonFeld8,7)=0),7,0))</f>
        <v>-1</v>
      </c>
      <c r="BN169" s="55">
        <f>IF($S$97="x",-1,IF(AND($S$97=0,INDEX(KonZeile3,8)+INDEX(KonSpalte9,8)+INDEX(KonFeld8,8)=0),8,0))</f>
        <v>-1</v>
      </c>
      <c r="BO169" s="107">
        <f>IF($S$97="x",-1,IF(AND($S$97=0,INDEX(KonZeile3,9)+INDEX(KonSpalte9,9)+INDEX(KonFeld8,9)=0),9,0))</f>
        <v>-1</v>
      </c>
      <c r="BP169" s="106">
        <f>IF($T$97="x",-1,IF(AND($T$97=0,INDEX(KonZeile3,7)+INDEX(KonSpalte1,7)+INDEX(KonFeld9,7)=0),7,0))</f>
        <v>-1</v>
      </c>
      <c r="BQ169" s="55">
        <f>IF($T$97="x",-1,IF(AND($T$97=0,INDEX(KonZeile3,8)+INDEX(KonSpalte1,8)+INDEX(KonFeld9,8)=0),8,0))</f>
        <v>-1</v>
      </c>
      <c r="BR169" s="56">
        <f>IF($T$97="x",-1,IF(AND($T$97=0,INDEX(KonZeile3,9)+INDEX(KonSpalte1,9)+INDEX(KonFeld9,9)=0),9,0))</f>
        <v>-1</v>
      </c>
      <c r="BS169" s="57">
        <f>IF($U$97="x",-1,IF(AND($U$97=0,INDEX(KonZeile3,7)+INDEX(KonSpalte2,7)+INDEX(KonFeld9,7)=0),7,0))</f>
        <v>-1</v>
      </c>
      <c r="BT169" s="55">
        <f>IF($U$97="x",-1,IF(AND($U$97=0,INDEX(KonZeile3,8)+INDEX(KonSpalte2,8)+INDEX(KonFeld9,8)=0),8,0))</f>
        <v>-1</v>
      </c>
      <c r="BU169" s="56">
        <f>IF($U$97="x",-1,IF(AND($U$97=0,INDEX(KonZeile3,9)+INDEX(KonSpalte2,9)+INDEX(KonFeld9,9)=0),9,0))</f>
        <v>-1</v>
      </c>
      <c r="BV169" s="57">
        <f>IF($V$97="x",-1,IF(AND($V$97=0,INDEX(KonZeile3,7)+INDEX(KonSpalte3,7)+INDEX(KonFeld9,7)=0),7,0))</f>
        <v>-1</v>
      </c>
      <c r="BW169" s="55">
        <f>IF($V$97="x",-1,IF(AND($V$97=0,INDEX(KonZeile3,8)+INDEX(KonSpalte3,8)+INDEX(KonFeld9,8)=0),8,0))</f>
        <v>-1</v>
      </c>
      <c r="BX169" s="58">
        <f>IF($V$97="x",-1,IF(AND($V$97=0,INDEX(KonZeile3,9)+INDEX(KonSpalte3,9)+INDEX(KonFeld9,9)=0),9,0))</f>
        <v>-1</v>
      </c>
      <c r="BY169" s="54">
        <f>IF($W$97="x",-1,IF(AND($W$97=0,INDEX(KonZeile3,7)+INDEX(KonSpalte4,7)+INDEX(KonFeld9,7)=0),7,0))</f>
        <v>-1</v>
      </c>
      <c r="BZ169" s="55">
        <f>IF($W$97="x",-1,IF(AND($W$97=0,INDEX(KonZeile3,8)+INDEX(KonSpalte4,8)+INDEX(KonFeld9,8)=0),8,0))</f>
        <v>-1</v>
      </c>
      <c r="CA169" s="56">
        <f>IF($W$97="x",-1,IF(AND($W$97=0,INDEX(KonZeile3,9)+INDEX(KonSpalte4,9)+INDEX(KonFeld9,9)=0),9,0))</f>
        <v>-1</v>
      </c>
      <c r="CB169" s="57">
        <f>IF($X$97="x",-1,IF(AND($X$97=0,INDEX(KonZeile3,7)+INDEX(KonSpalte5,7)+INDEX(KonFeld9,7)=0),7,0))</f>
        <v>-1</v>
      </c>
      <c r="CC169" s="55">
        <f>IF($X$97="x",-1,IF(AND($X$97=0,INDEX(KonZeile3,8)+INDEX(KonSpalte5,8)+INDEX(KonFeld9,8)=0),8,0))</f>
        <v>-1</v>
      </c>
      <c r="CD169" s="56">
        <f>IF($X$97="x",-1,IF(AND($X$97=0,INDEX(KonZeile3,9)+INDEX(KonSpalte5,9)+INDEX(KonFeld9,9)=0),9,0))</f>
        <v>-1</v>
      </c>
      <c r="CE169" s="57">
        <f>IF($Y$97="x",-1,IF(AND($Y$97=0,INDEX(KonZeile3,7)+INDEX(KonSpalte6,7)+INDEX(KonFeld9,7)=0),7,0))</f>
        <v>-1</v>
      </c>
      <c r="CF169" s="55">
        <f>IF($Y$97="x",-1,IF(AND($Y$97=0,INDEX(KonZeile3,8)+INDEX(KonSpalte6,8)+INDEX(KonFeld9,8)=0),8,0))</f>
        <v>-1</v>
      </c>
      <c r="CG169" s="58">
        <f>IF($Y$97="x",-1,IF(AND($Y$97=0,INDEX(KonZeile3,9)+INDEX(KonSpalte6,9)+INDEX(KonFeld9,9)=0),9,0))</f>
        <v>-1</v>
      </c>
      <c r="CH169" s="54">
        <f>IF($Z$97="x",-1,IF(AND($Z$97=0,INDEX(KonZeile3,7)+INDEX(KonSpalte7,7)+INDEX(KonFeld9,7)=0),7,0))</f>
        <v>-1</v>
      </c>
      <c r="CI169" s="55">
        <f>IF($Z$97="x",-1,IF(AND($Z$97=0,INDEX(KonZeile3,8)+INDEX(KonSpalte7,8)+INDEX(KonFeld9,8)=0),8,0))</f>
        <v>-1</v>
      </c>
      <c r="CJ169" s="56">
        <f>IF($Z$97="x",-1,IF(AND($Z$97=0,INDEX(KonZeile3,9)+INDEX(KonSpalte7,9)+INDEX(KonFeld9,9)=0),9,0))</f>
        <v>-1</v>
      </c>
      <c r="CK169" s="57">
        <f>IF($AA$97="x",-1,IF(AND($AA$97=0,INDEX(KonZeile3,7)+INDEX(KonSpalte8,7)+INDEX(KonFeld9,7)=0),7,0))</f>
        <v>-1</v>
      </c>
      <c r="CL169" s="55">
        <f>IF($AA$97="x",-1,IF(AND($AA$97=0,INDEX(KonZeile3,8)+INDEX(KonSpalte8,8)+INDEX(KonFeld9,8)=0),8,0))</f>
        <v>-1</v>
      </c>
      <c r="CM169" s="56">
        <f>IF($AA$97="x",-1,IF(AND($AA$97=0,INDEX(KonZeile3,9)+INDEX(KonSpalte8,9)+INDEX(KonFeld9,9)=0),9,0))</f>
        <v>-1</v>
      </c>
      <c r="CN169" s="57">
        <f>IF($AB$97="x",-1,IF(AND($AB$97=0,INDEX(KonZeile3,7)+INDEX(KonSpalte9,7)+INDEX(KonFeld9,7)=0),7,0))</f>
        <v>-1</v>
      </c>
      <c r="CO169" s="55">
        <f>IF($AB$97="x",-1,IF(AND($AB$97=0,INDEX(KonZeile3,8)+INDEX(KonSpalte9,8)+INDEX(KonFeld9,8)=0),8,0))</f>
        <v>-1</v>
      </c>
      <c r="CP169" s="107">
        <f>IF($AB$97="x",-1,IF(AND($AB$97=0,INDEX(KonZeile3,9)+INDEX(KonSpalte9,9)+INDEX(KonFeld9,9)=0),9,0))</f>
        <v>-1</v>
      </c>
      <c r="CR169" s="46">
        <f>COUNTIF(N169:CP169,7)</f>
        <v>0</v>
      </c>
      <c r="CS169" s="45">
        <f>COUNTIF(N169:CP169,8)</f>
        <v>0</v>
      </c>
      <c r="CT169" s="47">
        <f>COUNTIF(N169:CP169,9)</f>
        <v>0</v>
      </c>
      <c r="CU169" s="39"/>
      <c r="CV169" s="39"/>
      <c r="CX169" s="78">
        <f t="shared" si="270"/>
        <v>0</v>
      </c>
      <c r="CY169" s="79">
        <f t="shared" si="270"/>
        <v>0</v>
      </c>
      <c r="CZ169" s="80">
        <f t="shared" si="270"/>
        <v>0</v>
      </c>
      <c r="DJ169" s="99">
        <f t="shared" si="271"/>
        <v>-1</v>
      </c>
      <c r="DK169" s="45">
        <f t="shared" si="272"/>
        <v>-1</v>
      </c>
      <c r="DL169" s="47">
        <f t="shared" si="273"/>
        <v>-1</v>
      </c>
      <c r="DM169" s="46">
        <f t="shared" si="274"/>
        <v>-1</v>
      </c>
      <c r="DN169" s="45">
        <f t="shared" si="275"/>
        <v>-1</v>
      </c>
      <c r="DO169" s="47">
        <f t="shared" si="276"/>
        <v>-1</v>
      </c>
      <c r="DP169" s="46">
        <f t="shared" si="277"/>
        <v>-1</v>
      </c>
      <c r="DQ169" s="45">
        <f t="shared" si="278"/>
        <v>-1</v>
      </c>
      <c r="DR169" s="48">
        <f t="shared" si="279"/>
        <v>-1</v>
      </c>
      <c r="DS169" s="44">
        <f t="shared" si="280"/>
        <v>-1</v>
      </c>
      <c r="DT169" s="45">
        <f t="shared" si="281"/>
        <v>-1</v>
      </c>
      <c r="DU169" s="47">
        <f t="shared" si="282"/>
        <v>-1</v>
      </c>
      <c r="DV169" s="46">
        <f t="shared" si="283"/>
        <v>-1</v>
      </c>
      <c r="DW169" s="45">
        <f t="shared" si="284"/>
        <v>-1</v>
      </c>
      <c r="DX169" s="47">
        <f t="shared" si="285"/>
        <v>-1</v>
      </c>
      <c r="DY169" s="46">
        <f t="shared" si="286"/>
        <v>-1</v>
      </c>
      <c r="DZ169" s="45">
        <f t="shared" si="287"/>
        <v>-1</v>
      </c>
      <c r="EA169" s="48">
        <f t="shared" si="288"/>
        <v>-1</v>
      </c>
      <c r="EB169" s="44">
        <f t="shared" si="289"/>
        <v>-1</v>
      </c>
      <c r="EC169" s="45">
        <f t="shared" si="290"/>
        <v>-1</v>
      </c>
      <c r="ED169" s="47">
        <f t="shared" si="291"/>
        <v>-1</v>
      </c>
      <c r="EE169" s="46">
        <f t="shared" si="292"/>
        <v>-1</v>
      </c>
      <c r="EF169" s="45">
        <f t="shared" si="293"/>
        <v>-1</v>
      </c>
      <c r="EG169" s="47">
        <f t="shared" si="294"/>
        <v>-1</v>
      </c>
      <c r="EH169" s="46">
        <f t="shared" si="295"/>
        <v>-1</v>
      </c>
      <c r="EI169" s="45">
        <f t="shared" si="296"/>
        <v>-1</v>
      </c>
      <c r="EJ169" s="100">
        <f t="shared" si="297"/>
        <v>-1</v>
      </c>
      <c r="EK169" s="99">
        <f t="shared" si="298"/>
        <v>-1</v>
      </c>
      <c r="EL169" s="45">
        <f t="shared" si="299"/>
        <v>-1</v>
      </c>
      <c r="EM169" s="47">
        <f t="shared" si="300"/>
        <v>-1</v>
      </c>
      <c r="EN169" s="46">
        <f t="shared" si="301"/>
        <v>-1</v>
      </c>
      <c r="EO169" s="45">
        <f t="shared" si="302"/>
        <v>-1</v>
      </c>
      <c r="EP169" s="47">
        <f t="shared" si="303"/>
        <v>-1</v>
      </c>
      <c r="EQ169" s="46">
        <f t="shared" si="304"/>
        <v>-1</v>
      </c>
      <c r="ER169" s="45">
        <f t="shared" si="305"/>
        <v>-1</v>
      </c>
      <c r="ES169" s="48">
        <f t="shared" si="306"/>
        <v>-1</v>
      </c>
      <c r="ET169" s="44">
        <f t="shared" si="307"/>
        <v>-1</v>
      </c>
      <c r="EU169" s="45">
        <f t="shared" si="308"/>
        <v>-1</v>
      </c>
      <c r="EV169" s="47">
        <f t="shared" si="309"/>
        <v>-1</v>
      </c>
      <c r="EW169" s="46">
        <f t="shared" si="310"/>
        <v>-1</v>
      </c>
      <c r="EX169" s="45">
        <f t="shared" si="311"/>
        <v>-1</v>
      </c>
      <c r="EY169" s="47">
        <f t="shared" si="312"/>
        <v>-1</v>
      </c>
      <c r="EZ169" s="46">
        <f t="shared" si="313"/>
        <v>-1</v>
      </c>
      <c r="FA169" s="45">
        <f t="shared" si="314"/>
        <v>-1</v>
      </c>
      <c r="FB169" s="48">
        <f t="shared" si="315"/>
        <v>-1</v>
      </c>
      <c r="FC169" s="44">
        <f t="shared" si="316"/>
        <v>-1</v>
      </c>
      <c r="FD169" s="45">
        <f t="shared" si="317"/>
        <v>-1</v>
      </c>
      <c r="FE169" s="47">
        <f t="shared" si="318"/>
        <v>-1</v>
      </c>
      <c r="FF169" s="46">
        <f t="shared" si="319"/>
        <v>-1</v>
      </c>
      <c r="FG169" s="45">
        <f t="shared" si="320"/>
        <v>-1</v>
      </c>
      <c r="FH169" s="47">
        <f t="shared" si="321"/>
        <v>-1</v>
      </c>
      <c r="FI169" s="46">
        <f t="shared" si="322"/>
        <v>-1</v>
      </c>
      <c r="FJ169" s="45">
        <f t="shared" si="323"/>
        <v>-1</v>
      </c>
      <c r="FK169" s="100">
        <f t="shared" si="324"/>
        <v>-1</v>
      </c>
      <c r="FL169" s="99">
        <f t="shared" si="325"/>
        <v>-1</v>
      </c>
      <c r="FM169" s="45">
        <f t="shared" si="326"/>
        <v>-1</v>
      </c>
      <c r="FN169" s="47">
        <f t="shared" si="327"/>
        <v>-1</v>
      </c>
      <c r="FO169" s="46">
        <f t="shared" si="328"/>
        <v>-1</v>
      </c>
      <c r="FP169" s="45">
        <f t="shared" si="329"/>
        <v>-1</v>
      </c>
      <c r="FQ169" s="47">
        <f t="shared" si="330"/>
        <v>-1</v>
      </c>
      <c r="FR169" s="46">
        <f t="shared" si="331"/>
        <v>-1</v>
      </c>
      <c r="FS169" s="45">
        <f t="shared" si="332"/>
        <v>-1</v>
      </c>
      <c r="FT169" s="48">
        <f t="shared" si="333"/>
        <v>-1</v>
      </c>
      <c r="FU169" s="44">
        <f t="shared" si="334"/>
        <v>-1</v>
      </c>
      <c r="FV169" s="45">
        <f t="shared" si="335"/>
        <v>-1</v>
      </c>
      <c r="FW169" s="47">
        <f t="shared" si="336"/>
        <v>-1</v>
      </c>
      <c r="FX169" s="46">
        <f t="shared" si="337"/>
        <v>-1</v>
      </c>
      <c r="FY169" s="45">
        <f t="shared" si="338"/>
        <v>-1</v>
      </c>
      <c r="FZ169" s="47">
        <f t="shared" si="339"/>
        <v>-1</v>
      </c>
      <c r="GA169" s="46">
        <f t="shared" si="340"/>
        <v>-1</v>
      </c>
      <c r="GB169" s="45">
        <f t="shared" si="341"/>
        <v>-1</v>
      </c>
      <c r="GC169" s="48">
        <f t="shared" si="342"/>
        <v>-1</v>
      </c>
      <c r="GD169" s="44">
        <f t="shared" si="343"/>
        <v>0</v>
      </c>
      <c r="GE169" s="45">
        <f t="shared" si="344"/>
        <v>0</v>
      </c>
      <c r="GF169" s="47">
        <f t="shared" si="345"/>
        <v>0</v>
      </c>
      <c r="GG169" s="46">
        <f t="shared" si="346"/>
        <v>-1</v>
      </c>
      <c r="GH169" s="45">
        <f t="shared" si="347"/>
        <v>-1</v>
      </c>
      <c r="GI169" s="47">
        <f t="shared" si="348"/>
        <v>-1</v>
      </c>
      <c r="GJ169" s="46">
        <f t="shared" si="349"/>
        <v>0</v>
      </c>
      <c r="GK169" s="45">
        <f t="shared" si="350"/>
        <v>8</v>
      </c>
      <c r="GL169" s="100">
        <f t="shared" si="351"/>
        <v>0</v>
      </c>
      <c r="GN169" s="46">
        <f>COUNTIF(DJ169:GL169,7)</f>
        <v>0</v>
      </c>
      <c r="GO169" s="45">
        <f>COUNTIF(DJ169:GL169,8)</f>
        <v>1</v>
      </c>
      <c r="GP169" s="47">
        <f>COUNTIF(DJ169:GL169,9)</f>
        <v>0</v>
      </c>
      <c r="GQ169" s="39"/>
      <c r="GR169" s="39"/>
      <c r="GT169" s="78">
        <f t="shared" ref="GT169:GV169" si="354">GT142</f>
        <v>1</v>
      </c>
      <c r="GU169" s="79">
        <f t="shared" si="354"/>
        <v>2</v>
      </c>
      <c r="GV169" s="80">
        <f t="shared" si="354"/>
        <v>0</v>
      </c>
    </row>
    <row r="170" spans="14:204" ht="15" customHeight="1">
      <c r="N170" s="108">
        <f>IF($B$98="x",-1,IF(AND($B$98=0,INDEX(KonZeile4,1)+INDEX(KonSpalte1,1)+INDEX(KonFeld7,1)=0),1,0))</f>
        <v>-1</v>
      </c>
      <c r="O170" s="37">
        <f>IF($B$98="x",-1,IF(AND($B$98=0,INDEX(KonZeile4,2)+INDEX(KonSpalte1,2)+INDEX(KonFeld7,2)=0),2,0))</f>
        <v>-1</v>
      </c>
      <c r="P170" s="35">
        <f>IF($B$98="x",-1,IF(AND($B$98=0,INDEX(KonZeile4,3)+INDEX(KonSpalte1,3)+INDEX(KonFeld7,3)=0),3,0))</f>
        <v>-1</v>
      </c>
      <c r="Q170" s="36">
        <f>IF($C$98="x",-1,IF(AND($C$98=0,INDEX(KonZeile4,1)+INDEX(KonSpalte2,1)+INDEX(KonFeld7,1)=0),1,0))</f>
        <v>-1</v>
      </c>
      <c r="R170" s="37">
        <f>IF($C$98="x",-1,IF(AND($C$98=0,INDEX(KonZeile4,2)+INDEX(KonSpalte2,2)+INDEX(KonFeld7,2)=0),2,0))</f>
        <v>-1</v>
      </c>
      <c r="S170" s="35">
        <f>IF($C$98="x",-1,IF(AND($C$98=0,INDEX(KonZeile4,3)+INDEX(KonSpalte2,3)+INDEX(KonFeld7,3)=0),3,0))</f>
        <v>-1</v>
      </c>
      <c r="T170" s="36">
        <f>IF($D$98="x",-1,IF(AND($D$98=0,INDEX(KonZeile4,1)+INDEX(KonSpalte3,1)+INDEX(KonFeld7,1)=0),1,0))</f>
        <v>-1</v>
      </c>
      <c r="U170" s="37">
        <f>IF($D$98="x",-1,IF(AND($D$98=0,INDEX(KonZeile4,2)+INDEX(KonSpalte3,2)+INDEX(KonFeld7,2)=0),2,0))</f>
        <v>-1</v>
      </c>
      <c r="V170" s="38">
        <f>IF($D$98="x",-1,IF(AND($D$98=0,INDEX(KonZeile4,3)+INDEX(KonSpalte3,3)+INDEX(KonFeld7,3)=0),3,0))</f>
        <v>-1</v>
      </c>
      <c r="W170" s="34">
        <f>IF($E$98="x",-1,IF(AND($E$98=0,INDEX(KonZeile4,1)+INDEX(KonSpalte4,1)+INDEX(KonFeld7,1)=0),1,0))</f>
        <v>-1</v>
      </c>
      <c r="X170" s="37">
        <f>IF($E$98="x",-1,IF(AND($E$98=0,INDEX(KonZeile4,2)+INDEX(KonSpalte4,2)+INDEX(KonFeld7,2)=0),2,0))</f>
        <v>-1</v>
      </c>
      <c r="Y170" s="35">
        <f>IF($E$98="x",-1,IF(AND($E$98=0,INDEX(KonZeile4,3)+INDEX(KonSpalte4,3)+INDEX(KonFeld7,3)=0),3,0))</f>
        <v>-1</v>
      </c>
      <c r="Z170" s="36">
        <f>IF($F$98="x",-1,IF(AND($F$98=0,INDEX(KonZeile4,1)+INDEX(KonSpalte5,1)+INDEX(KonFeld7,1)=0),1,0))</f>
        <v>-1</v>
      </c>
      <c r="AA170" s="37">
        <f>IF($F$98="x",-1,IF(AND($F$98=0,INDEX(KonZeile4,2)+INDEX(KonSpalte5,2)+INDEX(KonFeld7,2)=0),2,0))</f>
        <v>-1</v>
      </c>
      <c r="AB170" s="35">
        <f>IF($F$98="x",-1,IF(AND($F$98=0,INDEX(KonZeile4,3)+INDEX(KonSpalte5,3)+INDEX(KonFeld7,3)=0),3,0))</f>
        <v>-1</v>
      </c>
      <c r="AC170" s="36">
        <f>IF($G$98="x",-1,IF(AND($G$98=0,INDEX(KonZeile4,1)+INDEX(KonSpalte6,1)+INDEX(KonFeld7,1)=0),1,0))</f>
        <v>-1</v>
      </c>
      <c r="AD170" s="37">
        <f>IF($G$98="x",-1,IF(AND($G$98=0,INDEX(KonZeile4,2)+INDEX(KonSpalte6,2)+INDEX(KonFeld7,2)=0),2,0))</f>
        <v>-1</v>
      </c>
      <c r="AE170" s="38">
        <f>IF($G$98="x",-1,IF(AND($G$98=0,INDEX(KonZeile4,3)+INDEX(KonSpalte6,3)+INDEX(KonFeld7,3)=0),3,0))</f>
        <v>-1</v>
      </c>
      <c r="AF170" s="34">
        <f>IF($H$98="x",-1,IF(AND($H$98=0,INDEX(KonZeile4,1)+INDEX(KonSpalte7,1)+INDEX(KonFeld7,1)=0),1,0))</f>
        <v>-1</v>
      </c>
      <c r="AG170" s="37">
        <f>IF($H$98="x",-1,IF(AND($H$98=0,INDEX(KonZeile4,2)+INDEX(KonSpalte7,2)+INDEX(KonFeld7,2)=0),2,0))</f>
        <v>-1</v>
      </c>
      <c r="AH170" s="35">
        <f>IF($H$98="x",-1,IF(AND($H$98=0,INDEX(KonZeile4,3)+INDEX(KonSpalte7,3)+INDEX(KonFeld7,3)=0),3,0))</f>
        <v>-1</v>
      </c>
      <c r="AI170" s="36">
        <f>IF($I$98="x",-1,IF(AND($I$98=0,INDEX(KonZeile4,1)+INDEX(KonSpalte8,1)+INDEX(KonFeld7,1)=0),1,0))</f>
        <v>-1</v>
      </c>
      <c r="AJ170" s="37">
        <f>IF($I$98="x",-1,IF(AND($I$98=0,INDEX(KonZeile4,2)+INDEX(KonSpalte8,2)+INDEX(KonFeld7,2)=0),2,0))</f>
        <v>-1</v>
      </c>
      <c r="AK170" s="35">
        <f>IF($I$98="x",-1,IF(AND($I$98=0,INDEX(KonZeile4,3)+INDEX(KonSpalte8,3)+INDEX(KonFeld7,3)=0),3,0))</f>
        <v>-1</v>
      </c>
      <c r="AL170" s="36">
        <f>IF($J$98="x",-1,IF(AND($J$98=0,INDEX(KonZeile4,1)+INDEX(KonSpalte9,1)+INDEX(KonFeld7,1)=0),1,0))</f>
        <v>-1</v>
      </c>
      <c r="AM170" s="37">
        <f>IF($J$98="x",-1,IF(AND($J$98=0,INDEX(KonZeile4,2)+INDEX(KonSpalte9,2)+INDEX(KonFeld7,2)=0),2,0))</f>
        <v>-1</v>
      </c>
      <c r="AN170" s="109">
        <f>IF($J$98="x",-1,IF(AND($J$98=0,INDEX(KonZeile4,3)+INDEX(KonSpalte9,3)+INDEX(KonFeld7,3)=0),3,0))</f>
        <v>-1</v>
      </c>
      <c r="AO170" s="108">
        <f>IF($K$98="x",-1,IF(AND($K$98=0,INDEX(KonZeile4,1)+INDEX(KonSpalte1,1)+INDEX(KonFeld8,1)=0),1,0))</f>
        <v>-1</v>
      </c>
      <c r="AP170" s="37">
        <f>IF($K$98="x",-1,IF(AND($K$98=0,INDEX(KonZeile4,2)+INDEX(KonSpalte1,2)+INDEX(KonFeld8,2)=0),2,0))</f>
        <v>-1</v>
      </c>
      <c r="AQ170" s="35">
        <f>IF($K$98="x",-1,IF(AND($K$98=0,INDEX(KonZeile4,3)+INDEX(KonSpalte1,3)+INDEX(KonFeld8,3)=0),3,0))</f>
        <v>-1</v>
      </c>
      <c r="AR170" s="36">
        <f>IF($L$98="x",-1,IF(AND($L$98=0,INDEX(KonZeile4,1)+INDEX(KonSpalte2,1)+INDEX(KonFeld8,1)=0),1,0))</f>
        <v>-1</v>
      </c>
      <c r="AS170" s="37">
        <f>IF($L$98="x",-1,IF(AND($L$98=0,INDEX(KonZeile4,2)+INDEX(KonSpalte2,2)+INDEX(KonFeld8,2)=0),2,0))</f>
        <v>-1</v>
      </c>
      <c r="AT170" s="35">
        <f>IF($L$98="x",-1,IF(AND($L$98=0,INDEX(KonZeile4,3)+INDEX(KonSpalte2,3)+INDEX(KonFeld8,3)=0),3,0))</f>
        <v>-1</v>
      </c>
      <c r="AU170" s="36">
        <f>IF($M$98="x",-1,IF(AND($M$98=0,INDEX(KonZeile4,1)+INDEX(KonSpalte3,1)+INDEX(KonFeld8,1)=0),1,0))</f>
        <v>-1</v>
      </c>
      <c r="AV170" s="37">
        <f>IF($M$98="x",-1,IF(AND($M$98=0,INDEX(KonZeile4,2)+INDEX(KonSpalte3,2)+INDEX(KonFeld8,2)=0),2,0))</f>
        <v>-1</v>
      </c>
      <c r="AW170" s="38">
        <f>IF($M$98="x",-1,IF(AND($M$98=0,INDEX(KonZeile4,3)+INDEX(KonSpalte3,3)+INDEX(KonFeld8,3)=0),3,0))</f>
        <v>-1</v>
      </c>
      <c r="AX170" s="34">
        <f>IF($N$98="x",-1,IF(AND($N$98=0,INDEX(KonZeile4,1)+INDEX(KonSpalte4,1)+INDEX(KonFeld8,1)=0),1,0))</f>
        <v>-1</v>
      </c>
      <c r="AY170" s="37">
        <f>IF($N$98="x",-1,IF(AND($N$98=0,INDEX(KonZeile4,2)+INDEX(KonSpalte4,2)+INDEX(KonFeld8,2)=0),2,0))</f>
        <v>-1</v>
      </c>
      <c r="AZ170" s="35">
        <f>IF($N$98="x",-1,IF(AND($N$98=0,INDEX(KonZeile4,3)+INDEX(KonSpalte4,3)+INDEX(KonFeld8,3)=0),3,0))</f>
        <v>-1</v>
      </c>
      <c r="BA170" s="36">
        <f>IF($O$98="x",-1,IF(AND($O$98=0,INDEX(KonZeile4,1)+INDEX(KonSpalte5,1)+INDEX(KonFeld8,1)=0),1,0))</f>
        <v>0</v>
      </c>
      <c r="BB170" s="37">
        <f>IF($O$98="x",-1,IF(AND($O$98=0,INDEX(KonZeile4,2)+INDEX(KonSpalte5,2)+INDEX(KonFeld8,2)=0),2,0))</f>
        <v>0</v>
      </c>
      <c r="BC170" s="35">
        <f>IF($O$98="x",-1,IF(AND($O$98=0,INDEX(KonZeile4,3)+INDEX(KonSpalte5,3)+INDEX(KonFeld8,3)=0),3,0))</f>
        <v>0</v>
      </c>
      <c r="BD170" s="36">
        <f>IF($P$98="x",-1,IF(AND($P$98=0,INDEX(KonZeile4,1)+INDEX(KonSpalte6,1)+INDEX(KonFeld8,1)=0),1,0))</f>
        <v>-1</v>
      </c>
      <c r="BE170" s="37">
        <f>IF($P$98="x",-1,IF(AND($P$98=0,INDEX(KonZeile4,2)+INDEX(KonSpalte6,2)+INDEX(KonFeld8,2)=0),2,0))</f>
        <v>-1</v>
      </c>
      <c r="BF170" s="38">
        <f>IF($P$98="x",-1,IF(AND($P$98=0,INDEX(KonZeile4,3)+INDEX(KonSpalte6,3)+INDEX(KonFeld8,3)=0),3,0))</f>
        <v>-1</v>
      </c>
      <c r="BG170" s="34">
        <f>IF($Q$98="x",-1,IF(AND($Q$98=0,INDEX(KonZeile4,1)+INDEX(KonSpalte7,1)+INDEX(KonFeld8,1)=0),1,0))</f>
        <v>-1</v>
      </c>
      <c r="BH170" s="37">
        <f>IF($Q$98="x",-1,IF(AND($Q$98=0,INDEX(KonZeile4,2)+INDEX(KonSpalte7,2)+INDEX(KonFeld8,2)=0),2,0))</f>
        <v>-1</v>
      </c>
      <c r="BI170" s="35">
        <f>IF($Q$98="x",-1,IF(AND($Q$98=0,INDEX(KonZeile4,3)+INDEX(KonSpalte7,3)+INDEX(KonFeld8,3)=0),3,0))</f>
        <v>-1</v>
      </c>
      <c r="BJ170" s="36">
        <f>IF($R$98="x",-1,IF(AND($R$98=0,INDEX(KonZeile4,1)+INDEX(KonSpalte8,1)+INDEX(KonFeld8,1)=0),1,0))</f>
        <v>-1</v>
      </c>
      <c r="BK170" s="37">
        <f>IF($R$98="x",-1,IF(AND($R$98=0,INDEX(KonZeile4,2)+INDEX(KonSpalte8,2)+INDEX(KonFeld8,2)=0),2,0))</f>
        <v>-1</v>
      </c>
      <c r="BL170" s="35">
        <f>IF($R$98="x",-1,IF(AND($R$98=0,INDEX(KonZeile4,3)+INDEX(KonSpalte8,3)+INDEX(KonFeld8,3)=0),3,0))</f>
        <v>-1</v>
      </c>
      <c r="BM170" s="36">
        <f>IF($S$98="x",-1,IF(AND($S$98=0,INDEX(KonZeile4,1)+INDEX(KonSpalte9,1)+INDEX(KonFeld8,1)=0),1,0))</f>
        <v>-1</v>
      </c>
      <c r="BN170" s="37">
        <f>IF($S$98="x",-1,IF(AND($S$98=0,INDEX(KonZeile4,2)+INDEX(KonSpalte9,2)+INDEX(KonFeld8,2)=0),2,0))</f>
        <v>-1</v>
      </c>
      <c r="BO170" s="109">
        <f>IF($S$98="x",-1,IF(AND($S$98=0,INDEX(KonZeile4,3)+INDEX(KonSpalte9,3)+INDEX(KonFeld8,3)=0),3,0))</f>
        <v>-1</v>
      </c>
      <c r="BP170" s="108">
        <f>IF($T$98="x",-1,IF(AND($T$98=0,INDEX(KonZeile4,1)+INDEX(KonSpalte1,1)+INDEX(KonFeld9,1)=0),1,0))</f>
        <v>-1</v>
      </c>
      <c r="BQ170" s="37">
        <f>IF($T$98="x",-1,IF(AND($T$98=0,INDEX(KonZeile4,2)+INDEX(KonSpalte1,2)+INDEX(KonFeld9,2)=0),2,0))</f>
        <v>-1</v>
      </c>
      <c r="BR170" s="35">
        <f>IF($T$98="x",-1,IF(AND($T$98=0,INDEX(KonZeile4,3)+INDEX(KonSpalte1,3)+INDEX(KonFeld9,3)=0),3,0))</f>
        <v>-1</v>
      </c>
      <c r="BS170" s="36">
        <f>IF($U$98="x",-1,IF(AND($U$98=0,INDEX(KonZeile4,1)+INDEX(KonSpalte2,1)+INDEX(KonFeld9,1)=0),1,0))</f>
        <v>-1</v>
      </c>
      <c r="BT170" s="37">
        <f>IF($U$98="x",-1,IF(AND($U$98=0,INDEX(KonZeile4,2)+INDEX(KonSpalte2,2)+INDEX(KonFeld9,2)=0),2,0))</f>
        <v>-1</v>
      </c>
      <c r="BU170" s="35">
        <f>IF($U$98="x",-1,IF(AND($U$98=0,INDEX(KonZeile4,3)+INDEX(KonSpalte2,3)+INDEX(KonFeld9,3)=0),3,0))</f>
        <v>-1</v>
      </c>
      <c r="BV170" s="36">
        <f>IF($V$98="x",-1,IF(AND($V$98=0,INDEX(KonZeile4,1)+INDEX(KonSpalte3,1)+INDEX(KonFeld9,1)=0),1,0))</f>
        <v>-1</v>
      </c>
      <c r="BW170" s="37">
        <f>IF($V$98="x",-1,IF(AND($V$98=0,INDEX(KonZeile4,2)+INDEX(KonSpalte3,2)+INDEX(KonFeld9,2)=0),2,0))</f>
        <v>-1</v>
      </c>
      <c r="BX170" s="38">
        <f>IF($V$98="x",-1,IF(AND($V$98=0,INDEX(KonZeile4,3)+INDEX(KonSpalte3,3)+INDEX(KonFeld9,3)=0),3,0))</f>
        <v>-1</v>
      </c>
      <c r="BY170" s="34">
        <f>IF($W$98="x",-1,IF(AND($W$98=0,INDEX(KonZeile4,1)+INDEX(KonSpalte4,1)+INDEX(KonFeld9,1)=0),1,0))</f>
        <v>-1</v>
      </c>
      <c r="BZ170" s="37">
        <f>IF($W$98="x",-1,IF(AND($W$98=0,INDEX(KonZeile4,2)+INDEX(KonSpalte4,2)+INDEX(KonFeld9,2)=0),2,0))</f>
        <v>-1</v>
      </c>
      <c r="CA170" s="35">
        <f>IF($W$98="x",-1,IF(AND($W$98=0,INDEX(KonZeile4,3)+INDEX(KonSpalte4,3)+INDEX(KonFeld9,3)=0),3,0))</f>
        <v>-1</v>
      </c>
      <c r="CB170" s="36">
        <f>IF($X$98="x",-1,IF(AND($X$98=0,INDEX(KonZeile4,1)+INDEX(KonSpalte5,1)+INDEX(KonFeld9,1)=0),1,0))</f>
        <v>-1</v>
      </c>
      <c r="CC170" s="37">
        <f>IF($X$98="x",-1,IF(AND($X$98=0,INDEX(KonZeile4,2)+INDEX(KonSpalte5,2)+INDEX(KonFeld9,2)=0),2,0))</f>
        <v>-1</v>
      </c>
      <c r="CD170" s="35">
        <f>IF($X$98="x",-1,IF(AND($X$98=0,INDEX(KonZeile4,3)+INDEX(KonSpalte5,3)+INDEX(KonFeld9,3)=0),3,0))</f>
        <v>-1</v>
      </c>
      <c r="CE170" s="36">
        <f>IF($Y$98="x",-1,IF(AND($Y$98=0,INDEX(KonZeile4,1)+INDEX(KonSpalte6,1)+INDEX(KonFeld9,1)=0),1,0))</f>
        <v>-1</v>
      </c>
      <c r="CF170" s="37">
        <f>IF($Y$98="x",-1,IF(AND($Y$98=0,INDEX(KonZeile4,2)+INDEX(KonSpalte6,2)+INDEX(KonFeld9,2)=0),2,0))</f>
        <v>-1</v>
      </c>
      <c r="CG170" s="38">
        <f>IF($Y$98="x",-1,IF(AND($Y$98=0,INDEX(KonZeile4,3)+INDEX(KonSpalte6,3)+INDEX(KonFeld9,3)=0),3,0))</f>
        <v>-1</v>
      </c>
      <c r="CH170" s="34">
        <f>IF($Z$98="x",-1,IF(AND($Z$98=0,INDEX(KonZeile4,1)+INDEX(KonSpalte7,1)+INDEX(KonFeld9,1)=0),1,0))</f>
        <v>-1</v>
      </c>
      <c r="CI170" s="37">
        <f>IF($Z$98="x",-1,IF(AND($Z$98=0,INDEX(KonZeile4,2)+INDEX(KonSpalte7,2)+INDEX(KonFeld9,2)=0),2,0))</f>
        <v>-1</v>
      </c>
      <c r="CJ170" s="35">
        <f>IF($Z$98="x",-1,IF(AND($Z$98=0,INDEX(KonZeile4,3)+INDEX(KonSpalte7,3)+INDEX(KonFeld9,3)=0),3,0))</f>
        <v>-1</v>
      </c>
      <c r="CK170" s="36">
        <f>IF($AA$98="x",-1,IF(AND($AA$98=0,INDEX(KonZeile4,1)+INDEX(KonSpalte8,1)+INDEX(KonFeld9,1)=0),1,0))</f>
        <v>-1</v>
      </c>
      <c r="CL170" s="37">
        <f>IF($AA$98="x",-1,IF(AND($AA$98=0,INDEX(KonZeile4,2)+INDEX(KonSpalte8,2)+INDEX(KonFeld9,2)=0),2,0))</f>
        <v>-1</v>
      </c>
      <c r="CM170" s="35">
        <f>IF($AA$98="x",-1,IF(AND($AA$98=0,INDEX(KonZeile4,3)+INDEX(KonSpalte8,3)+INDEX(KonFeld9,3)=0),3,0))</f>
        <v>-1</v>
      </c>
      <c r="CN170" s="36">
        <f>IF($AB$98="x",-1,IF(AND($AB$98=0,INDEX(KonZeile4,1)+INDEX(KonSpalte9,1)+INDEX(KonFeld9,1)=0),1,0))</f>
        <v>-1</v>
      </c>
      <c r="CO170" s="37">
        <f>IF($AB$98="x",-1,IF(AND($AB$98=0,INDEX(KonZeile4,2)+INDEX(KonSpalte9,2)+INDEX(KonFeld9,2)=0),2,0))</f>
        <v>-1</v>
      </c>
      <c r="CP170" s="109">
        <f>IF($AB$98="x",-1,IF(AND($AB$98=0,INDEX(KonZeile4,3)+INDEX(KonSpalte9,3)+INDEX(KonFeld9,3)=0),3,0))</f>
        <v>-1</v>
      </c>
      <c r="CR170" s="52">
        <f>COUNTIF(N170:CP170,1)</f>
        <v>0</v>
      </c>
      <c r="CS170" s="50">
        <f>COUNTIF(N170:CP170,2)</f>
        <v>0</v>
      </c>
      <c r="CT170" s="51">
        <f>COUNTIF(N170:CP170,3)</f>
        <v>0</v>
      </c>
      <c r="CU170" s="39"/>
      <c r="CV170" s="39"/>
      <c r="CX170" s="65">
        <f t="shared" si="270"/>
        <v>0</v>
      </c>
      <c r="CY170" s="66">
        <f t="shared" si="270"/>
        <v>0</v>
      </c>
      <c r="CZ170" s="67">
        <f t="shared" si="270"/>
        <v>0</v>
      </c>
      <c r="DJ170" s="104">
        <f t="shared" si="271"/>
        <v>-1</v>
      </c>
      <c r="DK170" s="50">
        <f t="shared" si="272"/>
        <v>-1</v>
      </c>
      <c r="DL170" s="51">
        <f t="shared" si="273"/>
        <v>-1</v>
      </c>
      <c r="DM170" s="52">
        <f t="shared" si="274"/>
        <v>-1</v>
      </c>
      <c r="DN170" s="50">
        <f t="shared" si="275"/>
        <v>-1</v>
      </c>
      <c r="DO170" s="51">
        <f t="shared" si="276"/>
        <v>-1</v>
      </c>
      <c r="DP170" s="52">
        <f t="shared" si="277"/>
        <v>-1</v>
      </c>
      <c r="DQ170" s="50">
        <f t="shared" si="278"/>
        <v>-1</v>
      </c>
      <c r="DR170" s="53">
        <f t="shared" si="279"/>
        <v>-1</v>
      </c>
      <c r="DS170" s="49">
        <f t="shared" si="280"/>
        <v>-1</v>
      </c>
      <c r="DT170" s="50">
        <f t="shared" si="281"/>
        <v>-1</v>
      </c>
      <c r="DU170" s="51">
        <f t="shared" si="282"/>
        <v>-1</v>
      </c>
      <c r="DV170" s="52">
        <f t="shared" si="283"/>
        <v>-1</v>
      </c>
      <c r="DW170" s="50">
        <f t="shared" si="284"/>
        <v>-1</v>
      </c>
      <c r="DX170" s="51">
        <f t="shared" si="285"/>
        <v>-1</v>
      </c>
      <c r="DY170" s="52">
        <f t="shared" si="286"/>
        <v>-1</v>
      </c>
      <c r="DZ170" s="50">
        <f t="shared" si="287"/>
        <v>-1</v>
      </c>
      <c r="EA170" s="53">
        <f t="shared" si="288"/>
        <v>-1</v>
      </c>
      <c r="EB170" s="49">
        <f t="shared" si="289"/>
        <v>-1</v>
      </c>
      <c r="EC170" s="50">
        <f t="shared" si="290"/>
        <v>-1</v>
      </c>
      <c r="ED170" s="51">
        <f t="shared" si="291"/>
        <v>-1</v>
      </c>
      <c r="EE170" s="52">
        <f t="shared" si="292"/>
        <v>-1</v>
      </c>
      <c r="EF170" s="50">
        <f t="shared" si="293"/>
        <v>-1</v>
      </c>
      <c r="EG170" s="51">
        <f t="shared" si="294"/>
        <v>-1</v>
      </c>
      <c r="EH170" s="52">
        <f t="shared" si="295"/>
        <v>-1</v>
      </c>
      <c r="EI170" s="50">
        <f t="shared" si="296"/>
        <v>-1</v>
      </c>
      <c r="EJ170" s="105">
        <f t="shared" si="297"/>
        <v>-1</v>
      </c>
      <c r="EK170" s="104">
        <f t="shared" si="298"/>
        <v>-1</v>
      </c>
      <c r="EL170" s="50">
        <f t="shared" si="299"/>
        <v>-1</v>
      </c>
      <c r="EM170" s="51">
        <f t="shared" si="300"/>
        <v>-1</v>
      </c>
      <c r="EN170" s="52">
        <f t="shared" si="301"/>
        <v>1</v>
      </c>
      <c r="EO170" s="50">
        <f t="shared" si="302"/>
        <v>2</v>
      </c>
      <c r="EP170" s="51">
        <f t="shared" si="303"/>
        <v>0</v>
      </c>
      <c r="EQ170" s="52">
        <f t="shared" si="304"/>
        <v>0</v>
      </c>
      <c r="ER170" s="50">
        <f t="shared" si="305"/>
        <v>0</v>
      </c>
      <c r="ES170" s="53">
        <f t="shared" si="306"/>
        <v>0</v>
      </c>
      <c r="ET170" s="49">
        <f t="shared" si="307"/>
        <v>-1</v>
      </c>
      <c r="EU170" s="50">
        <f t="shared" si="308"/>
        <v>-1</v>
      </c>
      <c r="EV170" s="51">
        <f t="shared" si="309"/>
        <v>-1</v>
      </c>
      <c r="EW170" s="52">
        <f t="shared" si="310"/>
        <v>-1</v>
      </c>
      <c r="EX170" s="50">
        <f t="shared" si="311"/>
        <v>-1</v>
      </c>
      <c r="EY170" s="51">
        <f t="shared" si="312"/>
        <v>-1</v>
      </c>
      <c r="EZ170" s="52">
        <f t="shared" si="313"/>
        <v>1</v>
      </c>
      <c r="FA170" s="50">
        <f t="shared" si="314"/>
        <v>2</v>
      </c>
      <c r="FB170" s="53">
        <f t="shared" si="315"/>
        <v>0</v>
      </c>
      <c r="FC170" s="49">
        <f t="shared" si="316"/>
        <v>0</v>
      </c>
      <c r="FD170" s="50">
        <f t="shared" si="317"/>
        <v>0</v>
      </c>
      <c r="FE170" s="51">
        <f t="shared" si="318"/>
        <v>0</v>
      </c>
      <c r="FF170" s="52">
        <f t="shared" si="319"/>
        <v>-1</v>
      </c>
      <c r="FG170" s="50">
        <f t="shared" si="320"/>
        <v>-1</v>
      </c>
      <c r="FH170" s="51">
        <f t="shared" si="321"/>
        <v>-1</v>
      </c>
      <c r="FI170" s="52">
        <f t="shared" si="322"/>
        <v>-1</v>
      </c>
      <c r="FJ170" s="50">
        <f t="shared" si="323"/>
        <v>-1</v>
      </c>
      <c r="FK170" s="105">
        <f t="shared" si="324"/>
        <v>-1</v>
      </c>
      <c r="FL170" s="104">
        <f t="shared" si="325"/>
        <v>-1</v>
      </c>
      <c r="FM170" s="50">
        <f t="shared" si="326"/>
        <v>-1</v>
      </c>
      <c r="FN170" s="51">
        <f t="shared" si="327"/>
        <v>-1</v>
      </c>
      <c r="FO170" s="52">
        <f t="shared" si="328"/>
        <v>-1</v>
      </c>
      <c r="FP170" s="50">
        <f t="shared" si="329"/>
        <v>-1</v>
      </c>
      <c r="FQ170" s="51">
        <f t="shared" si="330"/>
        <v>-1</v>
      </c>
      <c r="FR170" s="52">
        <f t="shared" si="331"/>
        <v>-1</v>
      </c>
      <c r="FS170" s="50">
        <f t="shared" si="332"/>
        <v>-1</v>
      </c>
      <c r="FT170" s="53">
        <f t="shared" si="333"/>
        <v>-1</v>
      </c>
      <c r="FU170" s="49">
        <f t="shared" si="334"/>
        <v>-1</v>
      </c>
      <c r="FV170" s="50">
        <f t="shared" si="335"/>
        <v>-1</v>
      </c>
      <c r="FW170" s="51">
        <f t="shared" si="336"/>
        <v>-1</v>
      </c>
      <c r="FX170" s="52">
        <f t="shared" si="337"/>
        <v>-1</v>
      </c>
      <c r="FY170" s="50">
        <f t="shared" si="338"/>
        <v>-1</v>
      </c>
      <c r="FZ170" s="51">
        <f t="shared" si="339"/>
        <v>-1</v>
      </c>
      <c r="GA170" s="52">
        <f t="shared" si="340"/>
        <v>-1</v>
      </c>
      <c r="GB170" s="50">
        <f t="shared" si="341"/>
        <v>-1</v>
      </c>
      <c r="GC170" s="53">
        <f t="shared" si="342"/>
        <v>-1</v>
      </c>
      <c r="GD170" s="49">
        <f t="shared" si="343"/>
        <v>-1</v>
      </c>
      <c r="GE170" s="50">
        <f t="shared" si="344"/>
        <v>-1</v>
      </c>
      <c r="GF170" s="51">
        <f t="shared" si="345"/>
        <v>-1</v>
      </c>
      <c r="GG170" s="52">
        <f t="shared" si="346"/>
        <v>1</v>
      </c>
      <c r="GH170" s="50">
        <f t="shared" si="347"/>
        <v>0</v>
      </c>
      <c r="GI170" s="51">
        <f t="shared" si="348"/>
        <v>3</v>
      </c>
      <c r="GJ170" s="52">
        <f t="shared" si="349"/>
        <v>-1</v>
      </c>
      <c r="GK170" s="50">
        <f t="shared" si="350"/>
        <v>-1</v>
      </c>
      <c r="GL170" s="105">
        <f t="shared" si="351"/>
        <v>-1</v>
      </c>
      <c r="GN170" s="52">
        <f>COUNTIF(DJ170:GL170,1)</f>
        <v>3</v>
      </c>
      <c r="GO170" s="50">
        <f>COUNTIF(DJ170:GL170,2)</f>
        <v>2</v>
      </c>
      <c r="GP170" s="51">
        <f>COUNTIF(DJ170:GL170,3)</f>
        <v>1</v>
      </c>
      <c r="GQ170" s="39"/>
      <c r="GR170" s="39"/>
      <c r="GT170" s="65">
        <f t="shared" ref="GT170:GV170" si="355">GT143</f>
        <v>5</v>
      </c>
      <c r="GU170" s="66">
        <f t="shared" si="355"/>
        <v>5</v>
      </c>
      <c r="GV170" s="67">
        <f t="shared" si="355"/>
        <v>3</v>
      </c>
    </row>
    <row r="171" spans="14:204" ht="15" customHeight="1">
      <c r="N171" s="94">
        <f>IF($B$98="x",-1,IF(AND($B$98=0,INDEX(KonZeile4,4)+INDEX(KonSpalte1,4)+INDEX(KonFeld7,4)=0),4,0))</f>
        <v>-1</v>
      </c>
      <c r="O171" s="39">
        <f>IF($B$98="x",-1,IF(AND($B$98=0,INDEX(KonZeile4,5)+INDEX(KonSpalte1,5)+INDEX(KonFeld7,5)=0),5,0))</f>
        <v>-1</v>
      </c>
      <c r="P171" s="41">
        <f>IF($B$98="x",-1,IF(AND($B$98=0,INDEX(KonZeile4,6)+INDEX(KonSpalte1,6)+INDEX(KonFeld7,6)=0),6,0))</f>
        <v>-1</v>
      </c>
      <c r="Q171" s="40">
        <f>IF($C$98="x",-1,IF(AND($C$98=0,INDEX(KonZeile4,4)+INDEX(KonSpalte2,4)+INDEX(KonFeld7,4)=0),4,0))</f>
        <v>-1</v>
      </c>
      <c r="R171" s="39">
        <f>IF($C$98="x",-1,IF(AND($C$98=0,INDEX(KonZeile4,5)+INDEX(KonSpalte2,5)+INDEX(KonFeld7,5)=0),5,0))</f>
        <v>-1</v>
      </c>
      <c r="S171" s="41">
        <f>IF($C$98="x",-1,IF(AND($C$98=0,INDEX(KonZeile4,6)+INDEX(KonSpalte2,6)+INDEX(KonFeld7,6)=0),6,0))</f>
        <v>-1</v>
      </c>
      <c r="T171" s="40">
        <f>IF($D$98="x",-1,IF(AND($D$98=0,INDEX(KonZeile4,4)+INDEX(KonSpalte3,4)+INDEX(KonFeld7,4)=0),4,0))</f>
        <v>-1</v>
      </c>
      <c r="U171" s="39">
        <f>IF($D$98="x",-1,IF(AND($D$98=0,INDEX(KonZeile4,5)+INDEX(KonSpalte3,5)+INDEX(KonFeld7,5)=0),5,0))</f>
        <v>-1</v>
      </c>
      <c r="V171" s="42">
        <f>IF($D$98="x",-1,IF(AND($D$98=0,INDEX(KonZeile4,6)+INDEX(KonSpalte3,6)+INDEX(KonFeld7,6)=0),6,0))</f>
        <v>-1</v>
      </c>
      <c r="W171" s="43">
        <f>IF($E$98="x",-1,IF(AND($E$98=0,INDEX(KonZeile4,4)+INDEX(KonSpalte4,4)+INDEX(KonFeld7,4)=0),4,0))</f>
        <v>-1</v>
      </c>
      <c r="X171" s="39">
        <f>IF($E$98="x",-1,IF(AND($E$98=0,INDEX(KonZeile4,5)+INDEX(KonSpalte4,5)+INDEX(KonFeld7,5)=0),5,0))</f>
        <v>-1</v>
      </c>
      <c r="Y171" s="41">
        <f>IF($E$98="x",-1,IF(AND($E$98=0,INDEX(KonZeile4,6)+INDEX(KonSpalte4,6)+INDEX(KonFeld7,6)=0),6,0))</f>
        <v>-1</v>
      </c>
      <c r="Z171" s="40">
        <f>IF($F$98="x",-1,IF(AND($F$98=0,INDEX(KonZeile4,4)+INDEX(KonSpalte5,4)+INDEX(KonFeld7,4)=0),4,0))</f>
        <v>-1</v>
      </c>
      <c r="AA171" s="39">
        <f>IF($F$98="x",-1,IF(AND($F$98=0,INDEX(KonZeile4,5)+INDEX(KonSpalte5,5)+INDEX(KonFeld7,5)=0),5,0))</f>
        <v>-1</v>
      </c>
      <c r="AB171" s="41">
        <f>IF($F$98="x",-1,IF(AND($F$98=0,INDEX(KonZeile4,6)+INDEX(KonSpalte5,6)+INDEX(KonFeld7,6)=0),6,0))</f>
        <v>-1</v>
      </c>
      <c r="AC171" s="40">
        <f>IF($G$98="x",-1,IF(AND($G$98=0,INDEX(KonZeile4,4)+INDEX(KonSpalte6,4)+INDEX(KonFeld7,4)=0),4,0))</f>
        <v>-1</v>
      </c>
      <c r="AD171" s="39">
        <f>IF($G$98="x",-1,IF(AND($G$98=0,INDEX(KonZeile4,5)+INDEX(KonSpalte6,5)+INDEX(KonFeld7,5)=0),5,0))</f>
        <v>-1</v>
      </c>
      <c r="AE171" s="42">
        <f>IF($G$98="x",-1,IF(AND($G$98=0,INDEX(KonZeile4,6)+INDEX(KonSpalte6,6)+INDEX(KonFeld7,6)=0),6,0))</f>
        <v>-1</v>
      </c>
      <c r="AF171" s="43">
        <f>IF($H$98="x",-1,IF(AND($H$98=0,INDEX(KonZeile4,4)+INDEX(KonSpalte7,4)+INDEX(KonFeld7,4)=0),4,0))</f>
        <v>-1</v>
      </c>
      <c r="AG171" s="39">
        <f>IF($H$98="x",-1,IF(AND($H$98=0,INDEX(KonZeile4,5)+INDEX(KonSpalte7,5)+INDEX(KonFeld7,5)=0),5,0))</f>
        <v>-1</v>
      </c>
      <c r="AH171" s="41">
        <f>IF($H$98="x",-1,IF(AND($H$98=0,INDEX(KonZeile4,6)+INDEX(KonSpalte7,6)+INDEX(KonFeld7,6)=0),6,0))</f>
        <v>-1</v>
      </c>
      <c r="AI171" s="40">
        <f>IF($I$98="x",-1,IF(AND($I$98=0,INDEX(KonZeile4,4)+INDEX(KonSpalte8,4)+INDEX(KonFeld7,4)=0),4,0))</f>
        <v>-1</v>
      </c>
      <c r="AJ171" s="39">
        <f>IF($I$98="x",-1,IF(AND($I$98=0,INDEX(KonZeile4,5)+INDEX(KonSpalte8,5)+INDEX(KonFeld7,5)=0),5,0))</f>
        <v>-1</v>
      </c>
      <c r="AK171" s="41">
        <f>IF($I$98="x",-1,IF(AND($I$98=0,INDEX(KonZeile4,6)+INDEX(KonSpalte8,6)+INDEX(KonFeld7,6)=0),6,0))</f>
        <v>-1</v>
      </c>
      <c r="AL171" s="40">
        <f>IF($J$98="x",-1,IF(AND($J$98=0,INDEX(KonZeile4,4)+INDEX(KonSpalte9,4)+INDEX(KonFeld7,4)=0),4,0))</f>
        <v>-1</v>
      </c>
      <c r="AM171" s="39">
        <f>IF($J$98="x",-1,IF(AND($J$98=0,INDEX(KonZeile4,5)+INDEX(KonSpalte9,5)+INDEX(KonFeld7,5)=0),5,0))</f>
        <v>-1</v>
      </c>
      <c r="AN171" s="95">
        <f>IF($J$98="x",-1,IF(AND($J$98=0,INDEX(KonZeile4,6)+INDEX(KonSpalte9,6)+INDEX(KonFeld7,6)=0),6,0))</f>
        <v>-1</v>
      </c>
      <c r="AO171" s="94">
        <f>IF($K$98="x",-1,IF(AND($K$98=0,INDEX(KonZeile4,4)+INDEX(KonSpalte1,4)+INDEX(KonFeld8,4)=0),4,0))</f>
        <v>-1</v>
      </c>
      <c r="AP171" s="39">
        <f>IF($K$98="x",-1,IF(AND($K$98=0,INDEX(KonZeile4,5)+INDEX(KonSpalte1,5)+INDEX(KonFeld8,5)=0),5,0))</f>
        <v>-1</v>
      </c>
      <c r="AQ171" s="41">
        <f>IF($K$98="x",-1,IF(AND($K$98=0,INDEX(KonZeile4,6)+INDEX(KonSpalte1,6)+INDEX(KonFeld8,6)=0),6,0))</f>
        <v>-1</v>
      </c>
      <c r="AR171" s="40">
        <f>IF($L$98="x",-1,IF(AND($L$98=0,INDEX(KonZeile4,4)+INDEX(KonSpalte2,4)+INDEX(KonFeld8,4)=0),4,0))</f>
        <v>-1</v>
      </c>
      <c r="AS171" s="39">
        <f>IF($L$98="x",-1,IF(AND($L$98=0,INDEX(KonZeile4,5)+INDEX(KonSpalte2,5)+INDEX(KonFeld8,5)=0),5,0))</f>
        <v>-1</v>
      </c>
      <c r="AT171" s="41">
        <f>IF($L$98="x",-1,IF(AND($L$98=0,INDEX(KonZeile4,6)+INDEX(KonSpalte2,6)+INDEX(KonFeld8,6)=0),6,0))</f>
        <v>-1</v>
      </c>
      <c r="AU171" s="40">
        <f>IF($M$98="x",-1,IF(AND($M$98=0,INDEX(KonZeile4,4)+INDEX(KonSpalte3,4)+INDEX(KonFeld8,4)=0),4,0))</f>
        <v>-1</v>
      </c>
      <c r="AV171" s="39">
        <f>IF($M$98="x",-1,IF(AND($M$98=0,INDEX(KonZeile4,5)+INDEX(KonSpalte3,5)+INDEX(KonFeld8,5)=0),5,0))</f>
        <v>-1</v>
      </c>
      <c r="AW171" s="42">
        <f>IF($M$98="x",-1,IF(AND($M$98=0,INDEX(KonZeile4,6)+INDEX(KonSpalte3,6)+INDEX(KonFeld8,6)=0),6,0))</f>
        <v>-1</v>
      </c>
      <c r="AX171" s="43">
        <f>IF($N$98="x",-1,IF(AND($N$98=0,INDEX(KonZeile4,4)+INDEX(KonSpalte4,4)+INDEX(KonFeld8,4)=0),4,0))</f>
        <v>-1</v>
      </c>
      <c r="AY171" s="39">
        <f>IF($N$98="x",-1,IF(AND($N$98=0,INDEX(KonZeile4,5)+INDEX(KonSpalte4,5)+INDEX(KonFeld8,5)=0),5,0))</f>
        <v>-1</v>
      </c>
      <c r="AZ171" s="41">
        <f>IF($N$98="x",-1,IF(AND($N$98=0,INDEX(KonZeile4,6)+INDEX(KonSpalte4,6)+INDEX(KonFeld8,6)=0),6,0))</f>
        <v>-1</v>
      </c>
      <c r="BA171" s="40">
        <f>IF($O$98="x",-1,IF(AND($O$98=0,INDEX(KonZeile4,4)+INDEX(KonSpalte5,4)+INDEX(KonFeld8,4)=0),4,0))</f>
        <v>0</v>
      </c>
      <c r="BB171" s="39">
        <f>IF($O$98="x",-1,IF(AND($O$98=0,INDEX(KonZeile4,5)+INDEX(KonSpalte5,5)+INDEX(KonFeld8,5)=0),5,0))</f>
        <v>0</v>
      </c>
      <c r="BC171" s="41">
        <f>IF($O$98="x",-1,IF(AND($O$98=0,INDEX(KonZeile4,6)+INDEX(KonSpalte5,6)+INDEX(KonFeld8,6)=0),6,0))</f>
        <v>0</v>
      </c>
      <c r="BD171" s="40">
        <f>IF($P$98="x",-1,IF(AND($P$98=0,INDEX(KonZeile4,4)+INDEX(KonSpalte6,4)+INDEX(KonFeld8,4)=0),4,0))</f>
        <v>-1</v>
      </c>
      <c r="BE171" s="39">
        <f>IF($P$98="x",-1,IF(AND($P$98=0,INDEX(KonZeile4,5)+INDEX(KonSpalte6,5)+INDEX(KonFeld8,5)=0),5,0))</f>
        <v>-1</v>
      </c>
      <c r="BF171" s="42">
        <f>IF($P$98="x",-1,IF(AND($P$98=0,INDEX(KonZeile4,6)+INDEX(KonSpalte6,6)+INDEX(KonFeld8,6)=0),6,0))</f>
        <v>-1</v>
      </c>
      <c r="BG171" s="43">
        <f>IF($Q$98="x",-1,IF(AND($Q$98=0,INDEX(KonZeile4,4)+INDEX(KonSpalte7,4)+INDEX(KonFeld8,4)=0),4,0))</f>
        <v>-1</v>
      </c>
      <c r="BH171" s="39">
        <f>IF($Q$98="x",-1,IF(AND($Q$98=0,INDEX(KonZeile4,5)+INDEX(KonSpalte7,5)+INDEX(KonFeld8,5)=0),5,0))</f>
        <v>-1</v>
      </c>
      <c r="BI171" s="41">
        <f>IF($Q$98="x",-1,IF(AND($Q$98=0,INDEX(KonZeile4,6)+INDEX(KonSpalte7,6)+INDEX(KonFeld8,6)=0),6,0))</f>
        <v>-1</v>
      </c>
      <c r="BJ171" s="40">
        <f>IF($R$98="x",-1,IF(AND($R$98=0,INDEX(KonZeile4,4)+INDEX(KonSpalte8,4)+INDEX(KonFeld8,4)=0),4,0))</f>
        <v>-1</v>
      </c>
      <c r="BK171" s="39">
        <f>IF($R$98="x",-1,IF(AND($R$98=0,INDEX(KonZeile4,5)+INDEX(KonSpalte8,5)+INDEX(KonFeld8,5)=0),5,0))</f>
        <v>-1</v>
      </c>
      <c r="BL171" s="41">
        <f>IF($R$98="x",-1,IF(AND($R$98=0,INDEX(KonZeile4,6)+INDEX(KonSpalte8,6)+INDEX(KonFeld8,6)=0),6,0))</f>
        <v>-1</v>
      </c>
      <c r="BM171" s="40">
        <f>IF($S$98="x",-1,IF(AND($S$98=0,INDEX(KonZeile4,4)+INDEX(KonSpalte9,4)+INDEX(KonFeld8,4)=0),4,0))</f>
        <v>-1</v>
      </c>
      <c r="BN171" s="39">
        <f>IF($S$98="x",-1,IF(AND($S$98=0,INDEX(KonZeile4,5)+INDEX(KonSpalte9,5)+INDEX(KonFeld8,5)=0),5,0))</f>
        <v>-1</v>
      </c>
      <c r="BO171" s="95">
        <f>IF($S$98="x",-1,IF(AND($S$98=0,INDEX(KonZeile4,6)+INDEX(KonSpalte9,6)+INDEX(KonFeld8,6)=0),6,0))</f>
        <v>-1</v>
      </c>
      <c r="BP171" s="94">
        <f>IF($T$98="x",-1,IF(AND($T$98=0,INDEX(KonZeile4,4)+INDEX(KonSpalte1,4)+INDEX(KonFeld9,4)=0),4,0))</f>
        <v>-1</v>
      </c>
      <c r="BQ171" s="39">
        <f>IF($T$98="x",-1,IF(AND($T$98=0,INDEX(KonZeile4,5)+INDEX(KonSpalte1,5)+INDEX(KonFeld9,5)=0),5,0))</f>
        <v>-1</v>
      </c>
      <c r="BR171" s="41">
        <f>IF($T$98="x",-1,IF(AND($T$98=0,INDEX(KonZeile4,6)+INDEX(KonSpalte1,6)+INDEX(KonFeld9,6)=0),6,0))</f>
        <v>-1</v>
      </c>
      <c r="BS171" s="40">
        <f>IF($U$98="x",-1,IF(AND($U$98=0,INDEX(KonZeile4,4)+INDEX(KonSpalte2,4)+INDEX(KonFeld9,4)=0),4,0))</f>
        <v>-1</v>
      </c>
      <c r="BT171" s="39">
        <f>IF($U$98="x",-1,IF(AND($U$98=0,INDEX(KonZeile4,5)+INDEX(KonSpalte2,5)+INDEX(KonFeld9,5)=0),5,0))</f>
        <v>-1</v>
      </c>
      <c r="BU171" s="41">
        <f>IF($U$98="x",-1,IF(AND($U$98=0,INDEX(KonZeile4,6)+INDEX(KonSpalte2,6)+INDEX(KonFeld9,6)=0),6,0))</f>
        <v>-1</v>
      </c>
      <c r="BV171" s="40">
        <f>IF($V$98="x",-1,IF(AND($V$98=0,INDEX(KonZeile4,4)+INDEX(KonSpalte3,4)+INDEX(KonFeld9,4)=0),4,0))</f>
        <v>-1</v>
      </c>
      <c r="BW171" s="39">
        <f>IF($V$98="x",-1,IF(AND($V$98=0,INDEX(KonZeile4,5)+INDEX(KonSpalte3,5)+INDEX(KonFeld9,5)=0),5,0))</f>
        <v>-1</v>
      </c>
      <c r="BX171" s="42">
        <f>IF($V$98="x",-1,IF(AND($V$98=0,INDEX(KonZeile4,6)+INDEX(KonSpalte3,6)+INDEX(KonFeld9,6)=0),6,0))</f>
        <v>-1</v>
      </c>
      <c r="BY171" s="43">
        <f>IF($W$98="x",-1,IF(AND($W$98=0,INDEX(KonZeile4,4)+INDEX(KonSpalte4,4)+INDEX(KonFeld9,4)=0),4,0))</f>
        <v>-1</v>
      </c>
      <c r="BZ171" s="39">
        <f>IF($W$98="x",-1,IF(AND($W$98=0,INDEX(KonZeile4,5)+INDEX(KonSpalte4,5)+INDEX(KonFeld9,5)=0),5,0))</f>
        <v>-1</v>
      </c>
      <c r="CA171" s="41">
        <f>IF($W$98="x",-1,IF(AND($W$98=0,INDEX(KonZeile4,6)+INDEX(KonSpalte4,6)+INDEX(KonFeld9,6)=0),6,0))</f>
        <v>-1</v>
      </c>
      <c r="CB171" s="40">
        <f>IF($X$98="x",-1,IF(AND($X$98=0,INDEX(KonZeile4,4)+INDEX(KonSpalte5,4)+INDEX(KonFeld9,4)=0),4,0))</f>
        <v>-1</v>
      </c>
      <c r="CC171" s="39">
        <f>IF($X$98="x",-1,IF(AND($X$98=0,INDEX(KonZeile4,5)+INDEX(KonSpalte5,5)+INDEX(KonFeld9,5)=0),5,0))</f>
        <v>-1</v>
      </c>
      <c r="CD171" s="41">
        <f>IF($X$98="x",-1,IF(AND($X$98=0,INDEX(KonZeile4,6)+INDEX(KonSpalte5,6)+INDEX(KonFeld9,6)=0),6,0))</f>
        <v>-1</v>
      </c>
      <c r="CE171" s="40">
        <f>IF($Y$98="x",-1,IF(AND($Y$98=0,INDEX(KonZeile4,4)+INDEX(KonSpalte6,4)+INDEX(KonFeld9,4)=0),4,0))</f>
        <v>-1</v>
      </c>
      <c r="CF171" s="39">
        <f>IF($Y$98="x",-1,IF(AND($Y$98=0,INDEX(KonZeile4,5)+INDEX(KonSpalte6,5)+INDEX(KonFeld9,5)=0),5,0))</f>
        <v>-1</v>
      </c>
      <c r="CG171" s="42">
        <f>IF($Y$98="x",-1,IF(AND($Y$98=0,INDEX(KonZeile4,6)+INDEX(KonSpalte6,6)+INDEX(KonFeld9,6)=0),6,0))</f>
        <v>-1</v>
      </c>
      <c r="CH171" s="43">
        <f>IF($Z$98="x",-1,IF(AND($Z$98=0,INDEX(KonZeile4,4)+INDEX(KonSpalte7,4)+INDEX(KonFeld9,4)=0),4,0))</f>
        <v>-1</v>
      </c>
      <c r="CI171" s="39">
        <f>IF($Z$98="x",-1,IF(AND($Z$98=0,INDEX(KonZeile4,5)+INDEX(KonSpalte7,5)+INDEX(KonFeld9,5)=0),5,0))</f>
        <v>-1</v>
      </c>
      <c r="CJ171" s="41">
        <f>IF($Z$98="x",-1,IF(AND($Z$98=0,INDEX(KonZeile4,6)+INDEX(KonSpalte7,6)+INDEX(KonFeld9,6)=0),6,0))</f>
        <v>-1</v>
      </c>
      <c r="CK171" s="40">
        <f>IF($AA$98="x",-1,IF(AND($AA$98=0,INDEX(KonZeile4,4)+INDEX(KonSpalte8,4)+INDEX(KonFeld9,4)=0),4,0))</f>
        <v>-1</v>
      </c>
      <c r="CL171" s="39">
        <f>IF($AA$98="x",-1,IF(AND($AA$98=0,INDEX(KonZeile4,5)+INDEX(KonSpalte8,5)+INDEX(KonFeld9,5)=0),5,0))</f>
        <v>-1</v>
      </c>
      <c r="CM171" s="41">
        <f>IF($AA$98="x",-1,IF(AND($AA$98=0,INDEX(KonZeile4,6)+INDEX(KonSpalte8,6)+INDEX(KonFeld9,6)=0),6,0))</f>
        <v>-1</v>
      </c>
      <c r="CN171" s="40">
        <f>IF($AB$98="x",-1,IF(AND($AB$98=0,INDEX(KonZeile4,4)+INDEX(KonSpalte9,4)+INDEX(KonFeld9,4)=0),4,0))</f>
        <v>-1</v>
      </c>
      <c r="CO171" s="39">
        <f>IF($AB$98="x",-1,IF(AND($AB$98=0,INDEX(KonZeile4,5)+INDEX(KonSpalte9,5)+INDEX(KonFeld9,5)=0),5,0))</f>
        <v>-1</v>
      </c>
      <c r="CP171" s="95">
        <f>IF($AB$98="x",-1,IF(AND($AB$98=0,INDEX(KonZeile4,6)+INDEX(KonSpalte9,6)+INDEX(KonFeld9,6)=0),6,0))</f>
        <v>-1</v>
      </c>
      <c r="CR171" s="40">
        <f>COUNTIF(N171:CP171,4)</f>
        <v>0</v>
      </c>
      <c r="CS171" s="39">
        <f>COUNTIF(N171:CP171,5)</f>
        <v>0</v>
      </c>
      <c r="CT171" s="41">
        <f>COUNTIF(N171:CP171,6)</f>
        <v>0</v>
      </c>
      <c r="CU171" s="39"/>
      <c r="CV171" s="39"/>
      <c r="CX171" s="72">
        <f t="shared" si="270"/>
        <v>0</v>
      </c>
      <c r="CY171" s="73">
        <f t="shared" si="270"/>
        <v>0</v>
      </c>
      <c r="CZ171" s="74">
        <f t="shared" si="270"/>
        <v>0</v>
      </c>
      <c r="DJ171" s="94">
        <f t="shared" si="271"/>
        <v>-1</v>
      </c>
      <c r="DK171" s="39">
        <f t="shared" si="272"/>
        <v>-1</v>
      </c>
      <c r="DL171" s="41">
        <f t="shared" si="273"/>
        <v>-1</v>
      </c>
      <c r="DM171" s="40">
        <f t="shared" si="274"/>
        <v>-1</v>
      </c>
      <c r="DN171" s="39">
        <f t="shared" si="275"/>
        <v>-1</v>
      </c>
      <c r="DO171" s="41">
        <f t="shared" si="276"/>
        <v>-1</v>
      </c>
      <c r="DP171" s="40">
        <f t="shared" si="277"/>
        <v>-1</v>
      </c>
      <c r="DQ171" s="39">
        <f t="shared" si="278"/>
        <v>-1</v>
      </c>
      <c r="DR171" s="42">
        <f t="shared" si="279"/>
        <v>-1</v>
      </c>
      <c r="DS171" s="43">
        <f t="shared" si="280"/>
        <v>-1</v>
      </c>
      <c r="DT171" s="39">
        <f t="shared" si="281"/>
        <v>-1</v>
      </c>
      <c r="DU171" s="41">
        <f t="shared" si="282"/>
        <v>-1</v>
      </c>
      <c r="DV171" s="40">
        <f t="shared" si="283"/>
        <v>-1</v>
      </c>
      <c r="DW171" s="39">
        <f t="shared" si="284"/>
        <v>-1</v>
      </c>
      <c r="DX171" s="41">
        <f t="shared" si="285"/>
        <v>-1</v>
      </c>
      <c r="DY171" s="40">
        <f t="shared" si="286"/>
        <v>-1</v>
      </c>
      <c r="DZ171" s="39">
        <f t="shared" si="287"/>
        <v>-1</v>
      </c>
      <c r="EA171" s="42">
        <f t="shared" si="288"/>
        <v>-1</v>
      </c>
      <c r="EB171" s="43">
        <f t="shared" si="289"/>
        <v>-1</v>
      </c>
      <c r="EC171" s="39">
        <f t="shared" si="290"/>
        <v>-1</v>
      </c>
      <c r="ED171" s="41">
        <f t="shared" si="291"/>
        <v>-1</v>
      </c>
      <c r="EE171" s="40">
        <f t="shared" si="292"/>
        <v>-1</v>
      </c>
      <c r="EF171" s="39">
        <f t="shared" si="293"/>
        <v>-1</v>
      </c>
      <c r="EG171" s="41">
        <f t="shared" si="294"/>
        <v>-1</v>
      </c>
      <c r="EH171" s="40">
        <f t="shared" si="295"/>
        <v>-1</v>
      </c>
      <c r="EI171" s="39">
        <f t="shared" si="296"/>
        <v>-1</v>
      </c>
      <c r="EJ171" s="95">
        <f t="shared" si="297"/>
        <v>-1</v>
      </c>
      <c r="EK171" s="94">
        <f t="shared" si="298"/>
        <v>-1</v>
      </c>
      <c r="EL171" s="39">
        <f t="shared" si="299"/>
        <v>-1</v>
      </c>
      <c r="EM171" s="41">
        <f t="shared" si="300"/>
        <v>-1</v>
      </c>
      <c r="EN171" s="40">
        <f t="shared" si="301"/>
        <v>4</v>
      </c>
      <c r="EO171" s="39">
        <f t="shared" si="302"/>
        <v>0</v>
      </c>
      <c r="EP171" s="41">
        <f t="shared" si="303"/>
        <v>0</v>
      </c>
      <c r="EQ171" s="40">
        <f t="shared" si="304"/>
        <v>0</v>
      </c>
      <c r="ER171" s="39">
        <f t="shared" si="305"/>
        <v>0</v>
      </c>
      <c r="ES171" s="42">
        <f t="shared" si="306"/>
        <v>6</v>
      </c>
      <c r="ET171" s="43">
        <f t="shared" si="307"/>
        <v>-1</v>
      </c>
      <c r="EU171" s="39">
        <f t="shared" si="308"/>
        <v>-1</v>
      </c>
      <c r="EV171" s="41">
        <f t="shared" si="309"/>
        <v>-1</v>
      </c>
      <c r="EW171" s="40">
        <f t="shared" si="310"/>
        <v>-1</v>
      </c>
      <c r="EX171" s="39">
        <f t="shared" si="311"/>
        <v>-1</v>
      </c>
      <c r="EY171" s="41">
        <f t="shared" si="312"/>
        <v>-1</v>
      </c>
      <c r="EZ171" s="40">
        <f t="shared" si="313"/>
        <v>4</v>
      </c>
      <c r="FA171" s="39">
        <f t="shared" si="314"/>
        <v>0</v>
      </c>
      <c r="FB171" s="42">
        <f t="shared" si="315"/>
        <v>0</v>
      </c>
      <c r="FC171" s="43">
        <f t="shared" si="316"/>
        <v>0</v>
      </c>
      <c r="FD171" s="39">
        <f t="shared" si="317"/>
        <v>0</v>
      </c>
      <c r="FE171" s="41">
        <f t="shared" si="318"/>
        <v>0</v>
      </c>
      <c r="FF171" s="40">
        <f t="shared" si="319"/>
        <v>-1</v>
      </c>
      <c r="FG171" s="39">
        <f t="shared" si="320"/>
        <v>-1</v>
      </c>
      <c r="FH171" s="41">
        <f t="shared" si="321"/>
        <v>-1</v>
      </c>
      <c r="FI171" s="40">
        <f t="shared" si="322"/>
        <v>-1</v>
      </c>
      <c r="FJ171" s="39">
        <f t="shared" si="323"/>
        <v>-1</v>
      </c>
      <c r="FK171" s="95">
        <f t="shared" si="324"/>
        <v>-1</v>
      </c>
      <c r="FL171" s="94">
        <f t="shared" si="325"/>
        <v>-1</v>
      </c>
      <c r="FM171" s="39">
        <f t="shared" si="326"/>
        <v>-1</v>
      </c>
      <c r="FN171" s="41">
        <f t="shared" si="327"/>
        <v>-1</v>
      </c>
      <c r="FO171" s="40">
        <f t="shared" si="328"/>
        <v>-1</v>
      </c>
      <c r="FP171" s="39">
        <f t="shared" si="329"/>
        <v>-1</v>
      </c>
      <c r="FQ171" s="41">
        <f t="shared" si="330"/>
        <v>-1</v>
      </c>
      <c r="FR171" s="40">
        <f t="shared" si="331"/>
        <v>-1</v>
      </c>
      <c r="FS171" s="39">
        <f t="shared" si="332"/>
        <v>-1</v>
      </c>
      <c r="FT171" s="42">
        <f t="shared" si="333"/>
        <v>-1</v>
      </c>
      <c r="FU171" s="43">
        <f t="shared" si="334"/>
        <v>-1</v>
      </c>
      <c r="FV171" s="39">
        <f t="shared" si="335"/>
        <v>-1</v>
      </c>
      <c r="FW171" s="41">
        <f t="shared" si="336"/>
        <v>-1</v>
      </c>
      <c r="FX171" s="40">
        <f t="shared" si="337"/>
        <v>-1</v>
      </c>
      <c r="FY171" s="39">
        <f t="shared" si="338"/>
        <v>-1</v>
      </c>
      <c r="FZ171" s="41">
        <f t="shared" si="339"/>
        <v>-1</v>
      </c>
      <c r="GA171" s="40">
        <f t="shared" si="340"/>
        <v>-1</v>
      </c>
      <c r="GB171" s="39">
        <f t="shared" si="341"/>
        <v>-1</v>
      </c>
      <c r="GC171" s="42">
        <f t="shared" si="342"/>
        <v>-1</v>
      </c>
      <c r="GD171" s="43">
        <f t="shared" si="343"/>
        <v>-1</v>
      </c>
      <c r="GE171" s="39">
        <f t="shared" si="344"/>
        <v>-1</v>
      </c>
      <c r="GF171" s="41">
        <f t="shared" si="345"/>
        <v>-1</v>
      </c>
      <c r="GG171" s="40">
        <f t="shared" si="346"/>
        <v>0</v>
      </c>
      <c r="GH171" s="39">
        <f t="shared" si="347"/>
        <v>0</v>
      </c>
      <c r="GI171" s="41">
        <f t="shared" si="348"/>
        <v>0</v>
      </c>
      <c r="GJ171" s="40">
        <f t="shared" si="349"/>
        <v>-1</v>
      </c>
      <c r="GK171" s="39">
        <f t="shared" si="350"/>
        <v>-1</v>
      </c>
      <c r="GL171" s="95">
        <f t="shared" si="351"/>
        <v>-1</v>
      </c>
      <c r="GN171" s="40">
        <f>COUNTIF(DJ171:GL171,4)</f>
        <v>2</v>
      </c>
      <c r="GO171" s="39">
        <f>COUNTIF(DJ171:GL171,5)</f>
        <v>0</v>
      </c>
      <c r="GP171" s="41">
        <f>COUNTIF(DJ171:GL171,6)</f>
        <v>1</v>
      </c>
      <c r="GQ171" s="39"/>
      <c r="GR171" s="39"/>
      <c r="GT171" s="72">
        <f t="shared" ref="GT171:GV171" si="356">GT144</f>
        <v>5</v>
      </c>
      <c r="GU171" s="73">
        <f t="shared" si="356"/>
        <v>0</v>
      </c>
      <c r="GV171" s="74">
        <f t="shared" si="356"/>
        <v>2</v>
      </c>
    </row>
    <row r="172" spans="14:204" ht="15" customHeight="1" thickBot="1">
      <c r="N172" s="99">
        <f>IF($B$98="x",-1,IF(AND($B$98=0,INDEX(KonZeile4,7)+INDEX(KonSpalte1,7)+INDEX(KonFeld7,7)=0),7,0))</f>
        <v>-1</v>
      </c>
      <c r="O172" s="45">
        <f>IF($B$98="x",-1,IF(AND($B$98=0,INDEX(KonZeile4,8)+INDEX(KonSpalte1,8)+INDEX(KonFeld7,8)=0),8,0))</f>
        <v>-1</v>
      </c>
      <c r="P172" s="47">
        <f>IF($B$98="x",-1,IF(AND($B$98=0,INDEX(KonZeile4,9)+INDEX(KonSpalte1,9)+INDEX(KonFeld7,9)=0),9,0))</f>
        <v>-1</v>
      </c>
      <c r="Q172" s="46">
        <f>IF($C$98="x",-1,IF(AND($C$98=0,INDEX(KonZeile4,7)+INDEX(KonSpalte2,7)+INDEX(KonFeld7,7)=0),7,0))</f>
        <v>-1</v>
      </c>
      <c r="R172" s="45">
        <f>IF($C$98="x",-1,IF(AND($C$98=0,INDEX(KonZeile4,8)+INDEX(KonSpalte2,8)+INDEX(KonFeld7,8)=0),8,0))</f>
        <v>-1</v>
      </c>
      <c r="S172" s="47">
        <f>IF($C$98="x",-1,IF(AND($C$98=0,INDEX(KonZeile4,9)+INDEX(KonSpalte2,9)+INDEX(KonFeld7,9)=0),9,0))</f>
        <v>-1</v>
      </c>
      <c r="T172" s="46">
        <f>IF($D$98="x",-1,IF(AND($D$98=0,INDEX(KonZeile4,7)+INDEX(KonSpalte3,7)+INDEX(KonFeld7,7)=0),7,0))</f>
        <v>-1</v>
      </c>
      <c r="U172" s="45">
        <f>IF($D$98="x",-1,IF(AND($D$98=0,INDEX(KonZeile4,8)+INDEX(KonSpalte3,8)+INDEX(KonFeld7,8)=0),8,0))</f>
        <v>-1</v>
      </c>
      <c r="V172" s="48">
        <f>IF($D$98="x",-1,IF(AND($D$98=0,INDEX(KonZeile4,9)+INDEX(KonSpalte3,9)+INDEX(KonFeld7,9)=0),9,0))</f>
        <v>-1</v>
      </c>
      <c r="W172" s="44">
        <f>IF($E$98="x",-1,IF(AND($E$98=0,INDEX(KonZeile4,7)+INDEX(KonSpalte4,7)+INDEX(KonFeld7,7)=0),7,0))</f>
        <v>-1</v>
      </c>
      <c r="X172" s="45">
        <f>IF($E$98="x",-1,IF(AND($E$98=0,INDEX(KonZeile4,8)+INDEX(KonSpalte4,8)+INDEX(KonFeld7,8)=0),8,0))</f>
        <v>-1</v>
      </c>
      <c r="Y172" s="47">
        <f>IF($E$98="x",-1,IF(AND($E$98=0,INDEX(KonZeile4,9)+INDEX(KonSpalte4,9)+INDEX(KonFeld7,9)=0),9,0))</f>
        <v>-1</v>
      </c>
      <c r="Z172" s="46">
        <f>IF($F$98="x",-1,IF(AND($F$98=0,INDEX(KonZeile4,7)+INDEX(KonSpalte5,7)+INDEX(KonFeld7,7)=0),7,0))</f>
        <v>-1</v>
      </c>
      <c r="AA172" s="45">
        <f>IF($F$98="x",-1,IF(AND($F$98=0,INDEX(KonZeile4,8)+INDEX(KonSpalte5,8)+INDEX(KonFeld7,8)=0),8,0))</f>
        <v>-1</v>
      </c>
      <c r="AB172" s="47">
        <f>IF($F$98="x",-1,IF(AND($F$98=0,INDEX(KonZeile4,9)+INDEX(KonSpalte5,9)+INDEX(KonFeld7,9)=0),9,0))</f>
        <v>-1</v>
      </c>
      <c r="AC172" s="46">
        <f>IF($G$98="x",-1,IF(AND($G$98=0,INDEX(KonZeile4,7)+INDEX(KonSpalte6,7)+INDEX(KonFeld7,7)=0),7,0))</f>
        <v>-1</v>
      </c>
      <c r="AD172" s="45">
        <f>IF($G$98="x",-1,IF(AND($G$98=0,INDEX(KonZeile4,8)+INDEX(KonSpalte6,8)+INDEX(KonFeld7,8)=0),8,0))</f>
        <v>-1</v>
      </c>
      <c r="AE172" s="48">
        <f>IF($G$98="x",-1,IF(AND($G$98=0,INDEX(KonZeile4,9)+INDEX(KonSpalte6,9)+INDEX(KonFeld7,9)=0),9,0))</f>
        <v>-1</v>
      </c>
      <c r="AF172" s="44">
        <f>IF($H$98="x",-1,IF(AND($H$98=0,INDEX(KonZeile4,7)+INDEX(KonSpalte7,7)+INDEX(KonFeld7,7)=0),7,0))</f>
        <v>-1</v>
      </c>
      <c r="AG172" s="45">
        <f>IF($H$98="x",-1,IF(AND($H$98=0,INDEX(KonZeile4,8)+INDEX(KonSpalte7,8)+INDEX(KonFeld7,8)=0),8,0))</f>
        <v>-1</v>
      </c>
      <c r="AH172" s="47">
        <f>IF($H$98="x",-1,IF(AND($H$98=0,INDEX(KonZeile4,9)+INDEX(KonSpalte7,9)+INDEX(KonFeld7,9)=0),9,0))</f>
        <v>-1</v>
      </c>
      <c r="AI172" s="46">
        <f>IF($I$98="x",-1,IF(AND($I$98=0,INDEX(KonZeile4,7)+INDEX(KonSpalte8,7)+INDEX(KonFeld7,7)=0),7,0))</f>
        <v>-1</v>
      </c>
      <c r="AJ172" s="45">
        <f>IF($I$98="x",-1,IF(AND($I$98=0,INDEX(KonZeile4,8)+INDEX(KonSpalte8,8)+INDEX(KonFeld7,8)=0),8,0))</f>
        <v>-1</v>
      </c>
      <c r="AK172" s="47">
        <f>IF($I$98="x",-1,IF(AND($I$98=0,INDEX(KonZeile4,9)+INDEX(KonSpalte8,9)+INDEX(KonFeld7,9)=0),9,0))</f>
        <v>-1</v>
      </c>
      <c r="AL172" s="46">
        <f>IF($J$98="x",-1,IF(AND($J$98=0,INDEX(KonZeile4,7)+INDEX(KonSpalte9,7)+INDEX(KonFeld7,7)=0),7,0))</f>
        <v>-1</v>
      </c>
      <c r="AM172" s="45">
        <f>IF($J$98="x",-1,IF(AND($J$98=0,INDEX(KonZeile4,8)+INDEX(KonSpalte9,8)+INDEX(KonFeld7,8)=0),8,0))</f>
        <v>-1</v>
      </c>
      <c r="AN172" s="100">
        <f>IF($J$98="x",-1,IF(AND($J$98=0,INDEX(KonZeile4,9)+INDEX(KonSpalte9,9)+INDEX(KonFeld7,9)=0),9,0))</f>
        <v>-1</v>
      </c>
      <c r="AO172" s="99">
        <f>IF($K$98="x",-1,IF(AND($K$98=0,INDEX(KonZeile4,7)+INDEX(KonSpalte1,7)+INDEX(KonFeld8,7)=0),7,0))</f>
        <v>-1</v>
      </c>
      <c r="AP172" s="45">
        <f>IF($K$98="x",-1,IF(AND($K$98=0,INDEX(KonZeile4,8)+INDEX(KonSpalte1,8)+INDEX(KonFeld8,8)=0),8,0))</f>
        <v>-1</v>
      </c>
      <c r="AQ172" s="47">
        <f>IF($K$98="x",-1,IF(AND($K$98=0,INDEX(KonZeile4,9)+INDEX(KonSpalte1,9)+INDEX(KonFeld8,9)=0),9,0))</f>
        <v>-1</v>
      </c>
      <c r="AR172" s="46">
        <f>IF($L$98="x",-1,IF(AND($L$98=0,INDEX(KonZeile4,7)+INDEX(KonSpalte2,7)+INDEX(KonFeld8,7)=0),7,0))</f>
        <v>-1</v>
      </c>
      <c r="AS172" s="45">
        <f>IF($L$98="x",-1,IF(AND($L$98=0,INDEX(KonZeile4,8)+INDEX(KonSpalte2,8)+INDEX(KonFeld8,8)=0),8,0))</f>
        <v>-1</v>
      </c>
      <c r="AT172" s="47">
        <f>IF($L$98="x",-1,IF(AND($L$98=0,INDEX(KonZeile4,9)+INDEX(KonSpalte2,9)+INDEX(KonFeld8,9)=0),9,0))</f>
        <v>-1</v>
      </c>
      <c r="AU172" s="46">
        <f>IF($M$98="x",-1,IF(AND($M$98=0,INDEX(KonZeile4,7)+INDEX(KonSpalte3,7)+INDEX(KonFeld8,7)=0),7,0))</f>
        <v>-1</v>
      </c>
      <c r="AV172" s="45">
        <f>IF($M$98="x",-1,IF(AND($M$98=0,INDEX(KonZeile4,8)+INDEX(KonSpalte3,8)+INDEX(KonFeld8,8)=0),8,0))</f>
        <v>-1</v>
      </c>
      <c r="AW172" s="48">
        <f>IF($M$98="x",-1,IF(AND($M$98=0,INDEX(KonZeile4,9)+INDEX(KonSpalte3,9)+INDEX(KonFeld8,9)=0),9,0))</f>
        <v>-1</v>
      </c>
      <c r="AX172" s="44">
        <f>IF($N$98="x",-1,IF(AND($N$98=0,INDEX(KonZeile4,7)+INDEX(KonSpalte4,7)+INDEX(KonFeld8,7)=0),7,0))</f>
        <v>-1</v>
      </c>
      <c r="AY172" s="45">
        <f>IF($N$98="x",-1,IF(AND($N$98=0,INDEX(KonZeile4,8)+INDEX(KonSpalte4,8)+INDEX(KonFeld8,8)=0),8,0))</f>
        <v>-1</v>
      </c>
      <c r="AZ172" s="47">
        <f>IF($N$98="x",-1,IF(AND($N$98=0,INDEX(KonZeile4,9)+INDEX(KonSpalte4,9)+INDEX(KonFeld8,9)=0),9,0))</f>
        <v>-1</v>
      </c>
      <c r="BA172" s="46">
        <f>IF($O$98="x",-1,IF(AND($O$98=0,INDEX(KonZeile4,7)+INDEX(KonSpalte5,7)+INDEX(KonFeld8,7)=0),7,0))</f>
        <v>0</v>
      </c>
      <c r="BB172" s="45">
        <f>IF($O$98="x",-1,IF(AND($O$98=0,INDEX(KonZeile4,8)+INDEX(KonSpalte5,8)+INDEX(KonFeld8,8)=0),8,0))</f>
        <v>0</v>
      </c>
      <c r="BC172" s="47">
        <f>IF($O$98="x",-1,IF(AND($O$98=0,INDEX(KonZeile4,9)+INDEX(KonSpalte5,9)+INDEX(KonFeld8,9)=0),9,0))</f>
        <v>0</v>
      </c>
      <c r="BD172" s="46">
        <f>IF($P$98="x",-1,IF(AND($P$98=0,INDEX(KonZeile4,7)+INDEX(KonSpalte6,7)+INDEX(KonFeld8,7)=0),7,0))</f>
        <v>-1</v>
      </c>
      <c r="BE172" s="45">
        <f>IF($P$98="x",-1,IF(AND($P$98=0,INDEX(KonZeile4,8)+INDEX(KonSpalte6,8)+INDEX(KonFeld8,8)=0),8,0))</f>
        <v>-1</v>
      </c>
      <c r="BF172" s="48">
        <f>IF($P$98="x",-1,IF(AND($P$98=0,INDEX(KonZeile4,9)+INDEX(KonSpalte6,9)+INDEX(KonFeld8,9)=0),9,0))</f>
        <v>-1</v>
      </c>
      <c r="BG172" s="44">
        <f>IF($Q$98="x",-1,IF(AND($Q$98=0,INDEX(KonZeile4,7)+INDEX(KonSpalte7,7)+INDEX(KonFeld8,7)=0),7,0))</f>
        <v>-1</v>
      </c>
      <c r="BH172" s="45">
        <f>IF($Q$98="x",-1,IF(AND($Q$98=0,INDEX(KonZeile4,8)+INDEX(KonSpalte7,8)+INDEX(KonFeld8,8)=0),8,0))</f>
        <v>-1</v>
      </c>
      <c r="BI172" s="47">
        <f>IF($Q$98="x",-1,IF(AND($Q$98=0,INDEX(KonZeile4,9)+INDEX(KonSpalte7,9)+INDEX(KonFeld8,9)=0),9,0))</f>
        <v>-1</v>
      </c>
      <c r="BJ172" s="46">
        <f>IF($R$98="x",-1,IF(AND($R$98=0,INDEX(KonZeile4,7)+INDEX(KonSpalte8,7)+INDEX(KonFeld8,7)=0),7,0))</f>
        <v>-1</v>
      </c>
      <c r="BK172" s="45">
        <f>IF($R$98="x",-1,IF(AND($R$98=0,INDEX(KonZeile4,8)+INDEX(KonSpalte8,8)+INDEX(KonFeld8,8)=0),8,0))</f>
        <v>-1</v>
      </c>
      <c r="BL172" s="47">
        <f>IF($R$98="x",-1,IF(AND($R$98=0,INDEX(KonZeile4,9)+INDEX(KonSpalte8,9)+INDEX(KonFeld8,9)=0),9,0))</f>
        <v>-1</v>
      </c>
      <c r="BM172" s="46">
        <f>IF($S$98="x",-1,IF(AND($S$98=0,INDEX(KonZeile4,7)+INDEX(KonSpalte9,7)+INDEX(KonFeld8,7)=0),7,0))</f>
        <v>-1</v>
      </c>
      <c r="BN172" s="45">
        <f>IF($S$98="x",-1,IF(AND($S$98=0,INDEX(KonZeile4,8)+INDEX(KonSpalte9,8)+INDEX(KonFeld8,8)=0),8,0))</f>
        <v>-1</v>
      </c>
      <c r="BO172" s="100">
        <f>IF($S$98="x",-1,IF(AND($S$98=0,INDEX(KonZeile4,9)+INDEX(KonSpalte9,9)+INDEX(KonFeld8,9)=0),9,0))</f>
        <v>-1</v>
      </c>
      <c r="BP172" s="99">
        <f>IF($T$98="x",-1,IF(AND($T$98=0,INDEX(KonZeile4,7)+INDEX(KonSpalte1,7)+INDEX(KonFeld9,7)=0),7,0))</f>
        <v>-1</v>
      </c>
      <c r="BQ172" s="45">
        <f>IF($T$98="x",-1,IF(AND($T$98=0,INDEX(KonZeile4,8)+INDEX(KonSpalte1,8)+INDEX(KonFeld9,8)=0),8,0))</f>
        <v>-1</v>
      </c>
      <c r="BR172" s="47">
        <f>IF($T$98="x",-1,IF(AND($T$98=0,INDEX(KonZeile4,9)+INDEX(KonSpalte1,9)+INDEX(KonFeld9,9)=0),9,0))</f>
        <v>-1</v>
      </c>
      <c r="BS172" s="46">
        <f>IF($U$98="x",-1,IF(AND($U$98=0,INDEX(KonZeile4,7)+INDEX(KonSpalte2,7)+INDEX(KonFeld9,7)=0),7,0))</f>
        <v>-1</v>
      </c>
      <c r="BT172" s="45">
        <f>IF($U$98="x",-1,IF(AND($U$98=0,INDEX(KonZeile4,8)+INDEX(KonSpalte2,8)+INDEX(KonFeld9,8)=0),8,0))</f>
        <v>-1</v>
      </c>
      <c r="BU172" s="47">
        <f>IF($U$98="x",-1,IF(AND($U$98=0,INDEX(KonZeile4,9)+INDEX(KonSpalte2,9)+INDEX(KonFeld9,9)=0),9,0))</f>
        <v>-1</v>
      </c>
      <c r="BV172" s="46">
        <f>IF($V$98="x",-1,IF(AND($V$98=0,INDEX(KonZeile4,7)+INDEX(KonSpalte3,7)+INDEX(KonFeld9,7)=0),7,0))</f>
        <v>-1</v>
      </c>
      <c r="BW172" s="45">
        <f>IF($V$98="x",-1,IF(AND($V$98=0,INDEX(KonZeile4,8)+INDEX(KonSpalte3,8)+INDEX(KonFeld9,8)=0),8,0))</f>
        <v>-1</v>
      </c>
      <c r="BX172" s="48">
        <f>IF($V$98="x",-1,IF(AND($V$98=0,INDEX(KonZeile4,9)+INDEX(KonSpalte3,9)+INDEX(KonFeld9,9)=0),9,0))</f>
        <v>-1</v>
      </c>
      <c r="BY172" s="44">
        <f>IF($W$98="x",-1,IF(AND($W$98=0,INDEX(KonZeile4,7)+INDEX(KonSpalte4,7)+INDEX(KonFeld9,7)=0),7,0))</f>
        <v>-1</v>
      </c>
      <c r="BZ172" s="45">
        <f>IF($W$98="x",-1,IF(AND($W$98=0,INDEX(KonZeile4,8)+INDEX(KonSpalte4,8)+INDEX(KonFeld9,8)=0),8,0))</f>
        <v>-1</v>
      </c>
      <c r="CA172" s="47">
        <f>IF($W$98="x",-1,IF(AND($W$98=0,INDEX(KonZeile4,9)+INDEX(KonSpalte4,9)+INDEX(KonFeld9,9)=0),9,0))</f>
        <v>-1</v>
      </c>
      <c r="CB172" s="46">
        <f>IF($X$98="x",-1,IF(AND($X$98=0,INDEX(KonZeile4,7)+INDEX(KonSpalte5,7)+INDEX(KonFeld9,7)=0),7,0))</f>
        <v>-1</v>
      </c>
      <c r="CC172" s="45">
        <f>IF($X$98="x",-1,IF(AND($X$98=0,INDEX(KonZeile4,8)+INDEX(KonSpalte5,8)+INDEX(KonFeld9,8)=0),8,0))</f>
        <v>-1</v>
      </c>
      <c r="CD172" s="47">
        <f>IF($X$98="x",-1,IF(AND($X$98=0,INDEX(KonZeile4,9)+INDEX(KonSpalte5,9)+INDEX(KonFeld9,9)=0),9,0))</f>
        <v>-1</v>
      </c>
      <c r="CE172" s="46">
        <f>IF($Y$98="x",-1,IF(AND($Y$98=0,INDEX(KonZeile4,7)+INDEX(KonSpalte6,7)+INDEX(KonFeld9,7)=0),7,0))</f>
        <v>-1</v>
      </c>
      <c r="CF172" s="45">
        <f>IF($Y$98="x",-1,IF(AND($Y$98=0,INDEX(KonZeile4,8)+INDEX(KonSpalte6,8)+INDEX(KonFeld9,8)=0),8,0))</f>
        <v>-1</v>
      </c>
      <c r="CG172" s="48">
        <f>IF($Y$98="x",-1,IF(AND($Y$98=0,INDEX(KonZeile4,9)+INDEX(KonSpalte6,9)+INDEX(KonFeld9,9)=0),9,0))</f>
        <v>-1</v>
      </c>
      <c r="CH172" s="44">
        <f>IF($Z$98="x",-1,IF(AND($Z$98=0,INDEX(KonZeile4,7)+INDEX(KonSpalte7,7)+INDEX(KonFeld9,7)=0),7,0))</f>
        <v>-1</v>
      </c>
      <c r="CI172" s="45">
        <f>IF($Z$98="x",-1,IF(AND($Z$98=0,INDEX(KonZeile4,8)+INDEX(KonSpalte7,8)+INDEX(KonFeld9,8)=0),8,0))</f>
        <v>-1</v>
      </c>
      <c r="CJ172" s="47">
        <f>IF($Z$98="x",-1,IF(AND($Z$98=0,INDEX(KonZeile4,9)+INDEX(KonSpalte7,9)+INDEX(KonFeld9,9)=0),9,0))</f>
        <v>-1</v>
      </c>
      <c r="CK172" s="46">
        <f>IF($AA$98="x",-1,IF(AND($AA$98=0,INDEX(KonZeile4,7)+INDEX(KonSpalte8,7)+INDEX(KonFeld9,7)=0),7,0))</f>
        <v>-1</v>
      </c>
      <c r="CL172" s="45">
        <f>IF($AA$98="x",-1,IF(AND($AA$98=0,INDEX(KonZeile4,8)+INDEX(KonSpalte8,8)+INDEX(KonFeld9,8)=0),8,0))</f>
        <v>-1</v>
      </c>
      <c r="CM172" s="47">
        <f>IF($AA$98="x",-1,IF(AND($AA$98=0,INDEX(KonZeile4,9)+INDEX(KonSpalte8,9)+INDEX(KonFeld9,9)=0),9,0))</f>
        <v>-1</v>
      </c>
      <c r="CN172" s="46">
        <f>IF($AB$98="x",-1,IF(AND($AB$98=0,INDEX(KonZeile4,7)+INDEX(KonSpalte9,7)+INDEX(KonFeld9,7)=0),7,0))</f>
        <v>-1</v>
      </c>
      <c r="CO172" s="45">
        <f>IF($AB$98="x",-1,IF(AND($AB$98=0,INDEX(KonZeile4,8)+INDEX(KonSpalte9,8)+INDEX(KonFeld9,8)=0),8,0))</f>
        <v>-1</v>
      </c>
      <c r="CP172" s="100">
        <f>IF($AB$98="x",-1,IF(AND($AB$98=0,INDEX(KonZeile4,9)+INDEX(KonSpalte9,9)+INDEX(KonFeld9,9)=0),9,0))</f>
        <v>-1</v>
      </c>
      <c r="CR172" s="46">
        <f>COUNTIF(N172:CP172,7)</f>
        <v>0</v>
      </c>
      <c r="CS172" s="45">
        <f>COUNTIF(N172:CP172,8)</f>
        <v>0</v>
      </c>
      <c r="CT172" s="47">
        <f>COUNTIF(N172:CP172,9)</f>
        <v>0</v>
      </c>
      <c r="CU172" s="39"/>
      <c r="CV172" s="39"/>
      <c r="CX172" s="78">
        <f t="shared" si="270"/>
        <v>0</v>
      </c>
      <c r="CY172" s="79">
        <f t="shared" si="270"/>
        <v>0</v>
      </c>
      <c r="CZ172" s="80">
        <f t="shared" si="270"/>
        <v>0</v>
      </c>
      <c r="DJ172" s="99">
        <f t="shared" si="271"/>
        <v>-1</v>
      </c>
      <c r="DK172" s="45">
        <f t="shared" si="272"/>
        <v>-1</v>
      </c>
      <c r="DL172" s="47">
        <f t="shared" si="273"/>
        <v>-1</v>
      </c>
      <c r="DM172" s="46">
        <f t="shared" si="274"/>
        <v>-1</v>
      </c>
      <c r="DN172" s="45">
        <f t="shared" si="275"/>
        <v>-1</v>
      </c>
      <c r="DO172" s="47">
        <f t="shared" si="276"/>
        <v>-1</v>
      </c>
      <c r="DP172" s="46">
        <f t="shared" si="277"/>
        <v>-1</v>
      </c>
      <c r="DQ172" s="45">
        <f t="shared" si="278"/>
        <v>-1</v>
      </c>
      <c r="DR172" s="48">
        <f t="shared" si="279"/>
        <v>-1</v>
      </c>
      <c r="DS172" s="44">
        <f t="shared" si="280"/>
        <v>-1</v>
      </c>
      <c r="DT172" s="45">
        <f t="shared" si="281"/>
        <v>-1</v>
      </c>
      <c r="DU172" s="47">
        <f t="shared" si="282"/>
        <v>-1</v>
      </c>
      <c r="DV172" s="46">
        <f t="shared" si="283"/>
        <v>-1</v>
      </c>
      <c r="DW172" s="45">
        <f t="shared" si="284"/>
        <v>-1</v>
      </c>
      <c r="DX172" s="47">
        <f t="shared" si="285"/>
        <v>-1</v>
      </c>
      <c r="DY172" s="46">
        <f t="shared" si="286"/>
        <v>-1</v>
      </c>
      <c r="DZ172" s="45">
        <f t="shared" si="287"/>
        <v>-1</v>
      </c>
      <c r="EA172" s="48">
        <f t="shared" si="288"/>
        <v>-1</v>
      </c>
      <c r="EB172" s="44">
        <f t="shared" si="289"/>
        <v>-1</v>
      </c>
      <c r="EC172" s="45">
        <f t="shared" si="290"/>
        <v>-1</v>
      </c>
      <c r="ED172" s="47">
        <f t="shared" si="291"/>
        <v>-1</v>
      </c>
      <c r="EE172" s="46">
        <f t="shared" si="292"/>
        <v>-1</v>
      </c>
      <c r="EF172" s="45">
        <f t="shared" si="293"/>
        <v>-1</v>
      </c>
      <c r="EG172" s="47">
        <f t="shared" si="294"/>
        <v>-1</v>
      </c>
      <c r="EH172" s="46">
        <f t="shared" si="295"/>
        <v>-1</v>
      </c>
      <c r="EI172" s="45">
        <f t="shared" si="296"/>
        <v>-1</v>
      </c>
      <c r="EJ172" s="100">
        <f t="shared" si="297"/>
        <v>-1</v>
      </c>
      <c r="EK172" s="99">
        <f t="shared" si="298"/>
        <v>-1</v>
      </c>
      <c r="EL172" s="45">
        <f t="shared" si="299"/>
        <v>-1</v>
      </c>
      <c r="EM172" s="47">
        <f t="shared" si="300"/>
        <v>-1</v>
      </c>
      <c r="EN172" s="46">
        <f t="shared" si="301"/>
        <v>7</v>
      </c>
      <c r="EO172" s="45">
        <f t="shared" si="302"/>
        <v>0</v>
      </c>
      <c r="EP172" s="47">
        <f t="shared" si="303"/>
        <v>0</v>
      </c>
      <c r="EQ172" s="46">
        <f t="shared" si="304"/>
        <v>0</v>
      </c>
      <c r="ER172" s="45">
        <f t="shared" si="305"/>
        <v>8</v>
      </c>
      <c r="ES172" s="48">
        <f t="shared" si="306"/>
        <v>0</v>
      </c>
      <c r="ET172" s="44">
        <f t="shared" si="307"/>
        <v>-1</v>
      </c>
      <c r="EU172" s="45">
        <f t="shared" si="308"/>
        <v>-1</v>
      </c>
      <c r="EV172" s="47">
        <f t="shared" si="309"/>
        <v>-1</v>
      </c>
      <c r="EW172" s="46">
        <f t="shared" si="310"/>
        <v>-1</v>
      </c>
      <c r="EX172" s="45">
        <f t="shared" si="311"/>
        <v>-1</v>
      </c>
      <c r="EY172" s="47">
        <f t="shared" si="312"/>
        <v>-1</v>
      </c>
      <c r="EZ172" s="46">
        <f t="shared" si="313"/>
        <v>0</v>
      </c>
      <c r="FA172" s="45">
        <f t="shared" si="314"/>
        <v>0</v>
      </c>
      <c r="FB172" s="48">
        <f t="shared" si="315"/>
        <v>0</v>
      </c>
      <c r="FC172" s="44">
        <f t="shared" si="316"/>
        <v>0</v>
      </c>
      <c r="FD172" s="45">
        <f t="shared" si="317"/>
        <v>0</v>
      </c>
      <c r="FE172" s="47">
        <f t="shared" si="318"/>
        <v>0</v>
      </c>
      <c r="FF172" s="46">
        <f t="shared" si="319"/>
        <v>-1</v>
      </c>
      <c r="FG172" s="45">
        <f t="shared" si="320"/>
        <v>-1</v>
      </c>
      <c r="FH172" s="47">
        <f t="shared" si="321"/>
        <v>-1</v>
      </c>
      <c r="FI172" s="46">
        <f t="shared" si="322"/>
        <v>-1</v>
      </c>
      <c r="FJ172" s="45">
        <f t="shared" si="323"/>
        <v>-1</v>
      </c>
      <c r="FK172" s="100">
        <f t="shared" si="324"/>
        <v>-1</v>
      </c>
      <c r="FL172" s="99">
        <f t="shared" si="325"/>
        <v>-1</v>
      </c>
      <c r="FM172" s="45">
        <f t="shared" si="326"/>
        <v>-1</v>
      </c>
      <c r="FN172" s="47">
        <f t="shared" si="327"/>
        <v>-1</v>
      </c>
      <c r="FO172" s="46">
        <f t="shared" si="328"/>
        <v>-1</v>
      </c>
      <c r="FP172" s="45">
        <f t="shared" si="329"/>
        <v>-1</v>
      </c>
      <c r="FQ172" s="47">
        <f t="shared" si="330"/>
        <v>-1</v>
      </c>
      <c r="FR172" s="46">
        <f t="shared" si="331"/>
        <v>-1</v>
      </c>
      <c r="FS172" s="45">
        <f t="shared" si="332"/>
        <v>-1</v>
      </c>
      <c r="FT172" s="48">
        <f t="shared" si="333"/>
        <v>-1</v>
      </c>
      <c r="FU172" s="44">
        <f t="shared" si="334"/>
        <v>-1</v>
      </c>
      <c r="FV172" s="45">
        <f t="shared" si="335"/>
        <v>-1</v>
      </c>
      <c r="FW172" s="47">
        <f t="shared" si="336"/>
        <v>-1</v>
      </c>
      <c r="FX172" s="46">
        <f t="shared" si="337"/>
        <v>-1</v>
      </c>
      <c r="FY172" s="45">
        <f t="shared" si="338"/>
        <v>-1</v>
      </c>
      <c r="FZ172" s="47">
        <f t="shared" si="339"/>
        <v>-1</v>
      </c>
      <c r="GA172" s="46">
        <f t="shared" si="340"/>
        <v>-1</v>
      </c>
      <c r="GB172" s="45">
        <f t="shared" si="341"/>
        <v>-1</v>
      </c>
      <c r="GC172" s="48">
        <f t="shared" si="342"/>
        <v>-1</v>
      </c>
      <c r="GD172" s="44">
        <f t="shared" si="343"/>
        <v>-1</v>
      </c>
      <c r="GE172" s="45">
        <f t="shared" si="344"/>
        <v>-1</v>
      </c>
      <c r="GF172" s="47">
        <f t="shared" si="345"/>
        <v>-1</v>
      </c>
      <c r="GG172" s="46">
        <f t="shared" si="346"/>
        <v>0</v>
      </c>
      <c r="GH172" s="45">
        <f t="shared" si="347"/>
        <v>8</v>
      </c>
      <c r="GI172" s="47">
        <f t="shared" si="348"/>
        <v>0</v>
      </c>
      <c r="GJ172" s="46">
        <f t="shared" si="349"/>
        <v>-1</v>
      </c>
      <c r="GK172" s="45">
        <f t="shared" si="350"/>
        <v>-1</v>
      </c>
      <c r="GL172" s="100">
        <f t="shared" si="351"/>
        <v>-1</v>
      </c>
      <c r="GN172" s="46">
        <f>COUNTIF(DJ172:GL172,7)</f>
        <v>1</v>
      </c>
      <c r="GO172" s="45">
        <f>COUNTIF(DJ172:GL172,8)</f>
        <v>2</v>
      </c>
      <c r="GP172" s="47">
        <f>COUNTIF(DJ172:GL172,9)</f>
        <v>0</v>
      </c>
      <c r="GQ172" s="39"/>
      <c r="GR172" s="39"/>
      <c r="GT172" s="78">
        <f t="shared" ref="GT172:GV172" si="357">GT145</f>
        <v>1</v>
      </c>
      <c r="GU172" s="79">
        <f t="shared" si="357"/>
        <v>3</v>
      </c>
      <c r="GV172" s="80">
        <f t="shared" si="357"/>
        <v>0</v>
      </c>
    </row>
    <row r="173" spans="14:204" ht="15" customHeight="1">
      <c r="N173" s="104">
        <f>IF($B$99="x",-1,IF(AND($B$99=0,INDEX(KonZeile5,1)+INDEX(KonSpalte1,1)+INDEX(KonFeld7,1)=0),1,0))</f>
        <v>-1</v>
      </c>
      <c r="O173" s="50">
        <f>IF($B$99="x",-1,IF(AND($B$99=0,INDEX(KonZeile5,2)+INDEX(KonSpalte1,2)+INDEX(KonFeld7,2)=0),2,0))</f>
        <v>-1</v>
      </c>
      <c r="P173" s="51">
        <f>IF($B$99="x",-1,IF(AND($B$99=0,INDEX(KonZeile5,3)+INDEX(KonSpalte1,3)+INDEX(KonFeld7,3)=0),3,0))</f>
        <v>-1</v>
      </c>
      <c r="Q173" s="52">
        <f>IF($C$99="x",-1,IF(AND($C$99=0,INDEX(KonZeile5,1)+INDEX(KonSpalte2,1)+INDEX(KonFeld7,1)=0),1,0))</f>
        <v>-1</v>
      </c>
      <c r="R173" s="50">
        <f>IF($C$99="x",-1,IF(AND($C$99=0,INDEX(KonZeile5,2)+INDEX(KonSpalte2,2)+INDEX(KonFeld7,2)=0),2,0))</f>
        <v>-1</v>
      </c>
      <c r="S173" s="51">
        <f>IF($C$99="x",-1,IF(AND($C$99=0,INDEX(KonZeile5,3)+INDEX(KonSpalte2,3)+INDEX(KonFeld7,3)=0),3,0))</f>
        <v>-1</v>
      </c>
      <c r="T173" s="52">
        <f>IF($D$99="x",-1,IF(AND($D$99=0,INDEX(KonZeile5,1)+INDEX(KonSpalte3,1)+INDEX(KonFeld7,1)=0),1,0))</f>
        <v>-1</v>
      </c>
      <c r="U173" s="50">
        <f>IF($D$99="x",-1,IF(AND($D$99=0,INDEX(KonZeile5,2)+INDEX(KonSpalte3,2)+INDEX(KonFeld7,2)=0),2,0))</f>
        <v>-1</v>
      </c>
      <c r="V173" s="53">
        <f>IF($D$99="x",-1,IF(AND($D$99=0,INDEX(KonZeile5,3)+INDEX(KonSpalte3,3)+INDEX(KonFeld7,3)=0),3,0))</f>
        <v>-1</v>
      </c>
      <c r="W173" s="49">
        <f>IF($E$99="x",-1,IF(AND($E$99=0,INDEX(KonZeile5,1)+INDEX(KonSpalte4,1)+INDEX(KonFeld7,1)=0),1,0))</f>
        <v>-1</v>
      </c>
      <c r="X173" s="50">
        <f>IF($E$99="x",-1,IF(AND($E$99=0,INDEX(KonZeile5,2)+INDEX(KonSpalte4,2)+INDEX(KonFeld7,2)=0),2,0))</f>
        <v>-1</v>
      </c>
      <c r="Y173" s="51">
        <f>IF($E$99="x",-1,IF(AND($E$99=0,INDEX(KonZeile5,3)+INDEX(KonSpalte4,3)+INDEX(KonFeld7,3)=0),3,0))</f>
        <v>-1</v>
      </c>
      <c r="Z173" s="52">
        <f>IF($F$99="x",-1,IF(AND($F$99=0,INDEX(KonZeile5,1)+INDEX(KonSpalte5,1)+INDEX(KonFeld7,1)=0),1,0))</f>
        <v>-1</v>
      </c>
      <c r="AA173" s="50">
        <f>IF($F$99="x",-1,IF(AND($F$99=0,INDEX(KonZeile5,2)+INDEX(KonSpalte5,2)+INDEX(KonFeld7,2)=0),2,0))</f>
        <v>-1</v>
      </c>
      <c r="AB173" s="51">
        <f>IF($F$99="x",-1,IF(AND($F$99=0,INDEX(KonZeile5,3)+INDEX(KonSpalte5,3)+INDEX(KonFeld7,3)=0),3,0))</f>
        <v>-1</v>
      </c>
      <c r="AC173" s="52">
        <f>IF($G$99="x",-1,IF(AND($G$99=0,INDEX(KonZeile5,1)+INDEX(KonSpalte6,1)+INDEX(KonFeld7,1)=0),1,0))</f>
        <v>-1</v>
      </c>
      <c r="AD173" s="50">
        <f>IF($G$99="x",-1,IF(AND($G$99=0,INDEX(KonZeile5,2)+INDEX(KonSpalte6,2)+INDEX(KonFeld7,2)=0),2,0))</f>
        <v>-1</v>
      </c>
      <c r="AE173" s="53">
        <f>IF($G$99="x",-1,IF(AND($G$99=0,INDEX(KonZeile5,3)+INDEX(KonSpalte6,3)+INDEX(KonFeld7,3)=0),3,0))</f>
        <v>-1</v>
      </c>
      <c r="AF173" s="49">
        <f>IF($H$99="x",-1,IF(AND($H$99=0,INDEX(KonZeile5,1)+INDEX(KonSpalte7,1)+INDEX(KonFeld7,1)=0),1,0))</f>
        <v>-1</v>
      </c>
      <c r="AG173" s="50">
        <f>IF($H$99="x",-1,IF(AND($H$99=0,INDEX(KonZeile5,2)+INDEX(KonSpalte7,2)+INDEX(KonFeld7,2)=0),2,0))</f>
        <v>-1</v>
      </c>
      <c r="AH173" s="51">
        <f>IF($H$99="x",-1,IF(AND($H$99=0,INDEX(KonZeile5,3)+INDEX(KonSpalte7,3)+INDEX(KonFeld7,3)=0),3,0))</f>
        <v>-1</v>
      </c>
      <c r="AI173" s="52">
        <f>IF($I$99="x",-1,IF(AND($I$99=0,INDEX(KonZeile5,1)+INDEX(KonSpalte8,1)+INDEX(KonFeld7,1)=0),1,0))</f>
        <v>-1</v>
      </c>
      <c r="AJ173" s="50">
        <f>IF($I$99="x",-1,IF(AND($I$99=0,INDEX(KonZeile5,2)+INDEX(KonSpalte8,2)+INDEX(KonFeld7,2)=0),2,0))</f>
        <v>-1</v>
      </c>
      <c r="AK173" s="51">
        <f>IF($I$99="x",-1,IF(AND($I$99=0,INDEX(KonZeile5,3)+INDEX(KonSpalte8,3)+INDEX(KonFeld7,3)=0),3,0))</f>
        <v>-1</v>
      </c>
      <c r="AL173" s="52">
        <f>IF($J$99="x",-1,IF(AND($J$99=0,INDEX(KonZeile5,1)+INDEX(KonSpalte9,1)+INDEX(KonFeld7,1)=0),1,0))</f>
        <v>-1</v>
      </c>
      <c r="AM173" s="50">
        <f>IF($J$99="x",-1,IF(AND($J$99=0,INDEX(KonZeile5,2)+INDEX(KonSpalte9,2)+INDEX(KonFeld7,2)=0),2,0))</f>
        <v>-1</v>
      </c>
      <c r="AN173" s="105">
        <f>IF($J$99="x",-1,IF(AND($J$99=0,INDEX(KonZeile5,3)+INDEX(KonSpalte9,3)+INDEX(KonFeld7,3)=0),3,0))</f>
        <v>-1</v>
      </c>
      <c r="AO173" s="104">
        <f>IF($K$99="x",-1,IF(AND($K$99=0,INDEX(KonZeile5,1)+INDEX(KonSpalte1,1)+INDEX(KonFeld8,1)=0),1,0))</f>
        <v>-1</v>
      </c>
      <c r="AP173" s="50">
        <f>IF($K$99="x",-1,IF(AND($K$99=0,INDEX(KonZeile5,2)+INDEX(KonSpalte1,2)+INDEX(KonFeld8,2)=0),2,0))</f>
        <v>-1</v>
      </c>
      <c r="AQ173" s="51">
        <f>IF($K$99="x",-1,IF(AND($K$99=0,INDEX(KonZeile5,3)+INDEX(KonSpalte1,3)+INDEX(KonFeld8,3)=0),3,0))</f>
        <v>-1</v>
      </c>
      <c r="AR173" s="52">
        <f>IF($L$99="x",-1,IF(AND($L$99=0,INDEX(KonZeile5,1)+INDEX(KonSpalte2,1)+INDEX(KonFeld8,1)=0),1,0))</f>
        <v>-1</v>
      </c>
      <c r="AS173" s="50">
        <f>IF($L$99="x",-1,IF(AND($L$99=0,INDEX(KonZeile5,2)+INDEX(KonSpalte2,2)+INDEX(KonFeld8,2)=0),2,0))</f>
        <v>-1</v>
      </c>
      <c r="AT173" s="51">
        <f>IF($L$99="x",-1,IF(AND($L$99=0,INDEX(KonZeile5,3)+INDEX(KonSpalte2,3)+INDEX(KonFeld8,3)=0),3,0))</f>
        <v>-1</v>
      </c>
      <c r="AU173" s="52">
        <f>IF($M$99="x",-1,IF(AND($M$99=0,INDEX(KonZeile5,1)+INDEX(KonSpalte3,1)+INDEX(KonFeld8,1)=0),1,0))</f>
        <v>-1</v>
      </c>
      <c r="AV173" s="50">
        <f>IF($M$99="x",-1,IF(AND($M$99=0,INDEX(KonZeile5,2)+INDEX(KonSpalte3,2)+INDEX(KonFeld8,2)=0),2,0))</f>
        <v>-1</v>
      </c>
      <c r="AW173" s="53">
        <f>IF($M$99="x",-1,IF(AND($M$99=0,INDEX(KonZeile5,3)+INDEX(KonSpalte3,3)+INDEX(KonFeld8,3)=0),3,0))</f>
        <v>-1</v>
      </c>
      <c r="AX173" s="49">
        <f>IF($N$99="x",-1,IF(AND($N$99=0,INDEX(KonZeile5,1)+INDEX(KonSpalte4,1)+INDEX(KonFeld8,1)=0),1,0))</f>
        <v>0</v>
      </c>
      <c r="AY173" s="50">
        <f>IF($N$99="x",-1,IF(AND($N$99=0,INDEX(KonZeile5,2)+INDEX(KonSpalte4,2)+INDEX(KonFeld8,2)=0),2,0))</f>
        <v>0</v>
      </c>
      <c r="AZ173" s="51">
        <f>IF($N$99="x",-1,IF(AND($N$99=0,INDEX(KonZeile5,3)+INDEX(KonSpalte4,3)+INDEX(KonFeld8,3)=0),3,0))</f>
        <v>0</v>
      </c>
      <c r="BA173" s="52">
        <f>IF($O$99="x",-1,IF(AND($O$99=0,INDEX(KonZeile5,1)+INDEX(KonSpalte5,1)+INDEX(KonFeld8,1)=0),1,0))</f>
        <v>-1</v>
      </c>
      <c r="BB173" s="50">
        <f>IF($O$99="x",-1,IF(AND($O$99=0,INDEX(KonZeile5,2)+INDEX(KonSpalte5,2)+INDEX(KonFeld8,2)=0),2,0))</f>
        <v>-1</v>
      </c>
      <c r="BC173" s="51">
        <f>IF($O$99="x",-1,IF(AND($O$99=0,INDEX(KonZeile5,3)+INDEX(KonSpalte5,3)+INDEX(KonFeld8,3)=0),3,0))</f>
        <v>-1</v>
      </c>
      <c r="BD173" s="52">
        <f>IF($P$99="x",-1,IF(AND($P$99=0,INDEX(KonZeile5,1)+INDEX(KonSpalte6,1)+INDEX(KonFeld8,1)=0),1,0))</f>
        <v>-1</v>
      </c>
      <c r="BE173" s="50">
        <f>IF($P$99="x",-1,IF(AND($P$99=0,INDEX(KonZeile5,2)+INDEX(KonSpalte6,2)+INDEX(KonFeld8,2)=0),2,0))</f>
        <v>-1</v>
      </c>
      <c r="BF173" s="53">
        <f>IF($P$99="x",-1,IF(AND($P$99=0,INDEX(KonZeile5,3)+INDEX(KonSpalte6,3)+INDEX(KonFeld8,3)=0),3,0))</f>
        <v>-1</v>
      </c>
      <c r="BG173" s="49">
        <f>IF($Q$99="x",-1,IF(AND($Q$99=0,INDEX(KonZeile5,1)+INDEX(KonSpalte7,1)+INDEX(KonFeld8,1)=0),1,0))</f>
        <v>-1</v>
      </c>
      <c r="BH173" s="50">
        <f>IF($Q$99="x",-1,IF(AND($Q$99=0,INDEX(KonZeile5,2)+INDEX(KonSpalte7,2)+INDEX(KonFeld8,2)=0),2,0))</f>
        <v>-1</v>
      </c>
      <c r="BI173" s="51">
        <f>IF($Q$99="x",-1,IF(AND($Q$99=0,INDEX(KonZeile5,3)+INDEX(KonSpalte7,3)+INDEX(KonFeld8,3)=0),3,0))</f>
        <v>-1</v>
      </c>
      <c r="BJ173" s="52">
        <f>IF($R$99="x",-1,IF(AND($R$99=0,INDEX(KonZeile5,1)+INDEX(KonSpalte8,1)+INDEX(KonFeld8,1)=0),1,0))</f>
        <v>-1</v>
      </c>
      <c r="BK173" s="50">
        <f>IF($R$99="x",-1,IF(AND($R$99=0,INDEX(KonZeile5,2)+INDEX(KonSpalte8,2)+INDEX(KonFeld8,2)=0),2,0))</f>
        <v>-1</v>
      </c>
      <c r="BL173" s="51">
        <f>IF($R$99="x",-1,IF(AND($R$99=0,INDEX(KonZeile5,3)+INDEX(KonSpalte8,3)+INDEX(KonFeld8,3)=0),3,0))</f>
        <v>-1</v>
      </c>
      <c r="BM173" s="52">
        <f>IF($S$99="x",-1,IF(AND($S$99=0,INDEX(KonZeile5,1)+INDEX(KonSpalte9,1)+INDEX(KonFeld8,1)=0),1,0))</f>
        <v>-1</v>
      </c>
      <c r="BN173" s="50">
        <f>IF($S$99="x",-1,IF(AND($S$99=0,INDEX(KonZeile5,2)+INDEX(KonSpalte9,2)+INDEX(KonFeld8,2)=0),2,0))</f>
        <v>-1</v>
      </c>
      <c r="BO173" s="105">
        <f>IF($S$99="x",-1,IF(AND($S$99=0,INDEX(KonZeile5,3)+INDEX(KonSpalte9,3)+INDEX(KonFeld8,3)=0),3,0))</f>
        <v>-1</v>
      </c>
      <c r="BP173" s="104">
        <f>IF($T$99="x",-1,IF(AND($T$99=0,INDEX(KonZeile5,1)+INDEX(KonSpalte1,1)+INDEX(KonFeld9,1)=0),1,0))</f>
        <v>-1</v>
      </c>
      <c r="BQ173" s="50">
        <f>IF($T$99="x",-1,IF(AND($T$99=0,INDEX(KonZeile5,2)+INDEX(KonSpalte1,2)+INDEX(KonFeld9,2)=0),2,0))</f>
        <v>-1</v>
      </c>
      <c r="BR173" s="51">
        <f>IF($T$99="x",-1,IF(AND($T$99=0,INDEX(KonZeile5,3)+INDEX(KonSpalte1,3)+INDEX(KonFeld9,3)=0),3,0))</f>
        <v>-1</v>
      </c>
      <c r="BS173" s="52">
        <f>IF($U$99="x",-1,IF(AND($U$99=0,INDEX(KonZeile5,1)+INDEX(KonSpalte2,1)+INDEX(KonFeld9,1)=0),1,0))</f>
        <v>-1</v>
      </c>
      <c r="BT173" s="50">
        <f>IF($U$99="x",-1,IF(AND($U$99=0,INDEX(KonZeile5,2)+INDEX(KonSpalte2,2)+INDEX(KonFeld9,2)=0),2,0))</f>
        <v>-1</v>
      </c>
      <c r="BU173" s="51">
        <f>IF($U$99="x",-1,IF(AND($U$99=0,INDEX(KonZeile5,3)+INDEX(KonSpalte2,3)+INDEX(KonFeld9,3)=0),3,0))</f>
        <v>-1</v>
      </c>
      <c r="BV173" s="52">
        <f>IF($V$99="x",-1,IF(AND($V$99=0,INDEX(KonZeile5,1)+INDEX(KonSpalte3,1)+INDEX(KonFeld9,1)=0),1,0))</f>
        <v>-1</v>
      </c>
      <c r="BW173" s="50">
        <f>IF($V$99="x",-1,IF(AND($V$99=0,INDEX(KonZeile5,2)+INDEX(KonSpalte3,2)+INDEX(KonFeld9,2)=0),2,0))</f>
        <v>-1</v>
      </c>
      <c r="BX173" s="53">
        <f>IF($V$99="x",-1,IF(AND($V$99=0,INDEX(KonZeile5,3)+INDEX(KonSpalte3,3)+INDEX(KonFeld9,3)=0),3,0))</f>
        <v>-1</v>
      </c>
      <c r="BY173" s="49">
        <f>IF($W$99="x",-1,IF(AND($W$99=0,INDEX(KonZeile5,1)+INDEX(KonSpalte4,1)+INDEX(KonFeld9,1)=0),1,0))</f>
        <v>-1</v>
      </c>
      <c r="BZ173" s="50">
        <f>IF($W$99="x",-1,IF(AND($W$99=0,INDEX(KonZeile5,2)+INDEX(KonSpalte4,2)+INDEX(KonFeld9,2)=0),2,0))</f>
        <v>-1</v>
      </c>
      <c r="CA173" s="51">
        <f>IF($W$99="x",-1,IF(AND($W$99=0,INDEX(KonZeile5,3)+INDEX(KonSpalte4,3)+INDEX(KonFeld9,3)=0),3,0))</f>
        <v>-1</v>
      </c>
      <c r="CB173" s="52">
        <f>IF($X$99="x",-1,IF(AND($X$99=0,INDEX(KonZeile5,1)+INDEX(KonSpalte5,1)+INDEX(KonFeld9,1)=0),1,0))</f>
        <v>-1</v>
      </c>
      <c r="CC173" s="50">
        <f>IF($X$99="x",-1,IF(AND($X$99=0,INDEX(KonZeile5,2)+INDEX(KonSpalte5,2)+INDEX(KonFeld9,2)=0),2,0))</f>
        <v>-1</v>
      </c>
      <c r="CD173" s="51">
        <f>IF($X$99="x",-1,IF(AND($X$99=0,INDEX(KonZeile5,3)+INDEX(KonSpalte5,3)+INDEX(KonFeld9,3)=0),3,0))</f>
        <v>-1</v>
      </c>
      <c r="CE173" s="52">
        <f>IF($Y$99="x",-1,IF(AND($Y$99=0,INDEX(KonZeile5,1)+INDEX(KonSpalte6,1)+INDEX(KonFeld9,1)=0),1,0))</f>
        <v>-1</v>
      </c>
      <c r="CF173" s="50">
        <f>IF($Y$99="x",-1,IF(AND($Y$99=0,INDEX(KonZeile5,2)+INDEX(KonSpalte6,2)+INDEX(KonFeld9,2)=0),2,0))</f>
        <v>-1</v>
      </c>
      <c r="CG173" s="53">
        <f>IF($Y$99="x",-1,IF(AND($Y$99=0,INDEX(KonZeile5,3)+INDEX(KonSpalte6,3)+INDEX(KonFeld9,3)=0),3,0))</f>
        <v>-1</v>
      </c>
      <c r="CH173" s="49">
        <f>IF($Z$99="x",-1,IF(AND($Z$99=0,INDEX(KonZeile5,1)+INDEX(KonSpalte7,1)+INDEX(KonFeld9,1)=0),1,0))</f>
        <v>-1</v>
      </c>
      <c r="CI173" s="50">
        <f>IF($Z$99="x",-1,IF(AND($Z$99=0,INDEX(KonZeile5,2)+INDEX(KonSpalte7,2)+INDEX(KonFeld9,2)=0),2,0))</f>
        <v>-1</v>
      </c>
      <c r="CJ173" s="51">
        <f>IF($Z$99="x",-1,IF(AND($Z$99=0,INDEX(KonZeile5,3)+INDEX(KonSpalte7,3)+INDEX(KonFeld9,3)=0),3,0))</f>
        <v>-1</v>
      </c>
      <c r="CK173" s="52">
        <f>IF($AA$99="x",-1,IF(AND($AA$99=0,INDEX(KonZeile5,1)+INDEX(KonSpalte8,1)+INDEX(KonFeld9,1)=0),1,0))</f>
        <v>-1</v>
      </c>
      <c r="CL173" s="50">
        <f>IF($AA$99="x",-1,IF(AND($AA$99=0,INDEX(KonZeile5,2)+INDEX(KonSpalte8,2)+INDEX(KonFeld9,2)=0),2,0))</f>
        <v>-1</v>
      </c>
      <c r="CM173" s="51">
        <f>IF($AA$99="x",-1,IF(AND($AA$99=0,INDEX(KonZeile5,3)+INDEX(KonSpalte8,3)+INDEX(KonFeld9,3)=0),3,0))</f>
        <v>-1</v>
      </c>
      <c r="CN173" s="52">
        <f>IF($AB$99="x",-1,IF(AND($AB$99=0,INDEX(KonZeile5,1)+INDEX(KonSpalte9,1)+INDEX(KonFeld9,1)=0),1,0))</f>
        <v>-1</v>
      </c>
      <c r="CO173" s="50">
        <f>IF($AB$99="x",-1,IF(AND($AB$99=0,INDEX(KonZeile5,2)+INDEX(KonSpalte9,2)+INDEX(KonFeld9,2)=0),2,0))</f>
        <v>-1</v>
      </c>
      <c r="CP173" s="105">
        <f>IF($AB$99="x",-1,IF(AND($AB$99=0,INDEX(KonZeile5,3)+INDEX(KonSpalte9,3)+INDEX(KonFeld9,3)=0),3,0))</f>
        <v>-1</v>
      </c>
      <c r="CR173" s="52">
        <f>COUNTIF(N173:CP173,1)</f>
        <v>0</v>
      </c>
      <c r="CS173" s="50">
        <f>COUNTIF(N173:CP173,2)</f>
        <v>0</v>
      </c>
      <c r="CT173" s="51">
        <f>COUNTIF(N173:CP173,3)</f>
        <v>0</v>
      </c>
      <c r="CU173" s="39"/>
      <c r="CV173" s="39"/>
      <c r="CX173" s="65">
        <f t="shared" si="270"/>
        <v>0</v>
      </c>
      <c r="CY173" s="66">
        <f t="shared" si="270"/>
        <v>0</v>
      </c>
      <c r="CZ173" s="67">
        <f t="shared" si="270"/>
        <v>0</v>
      </c>
      <c r="DJ173" s="104">
        <f t="shared" si="271"/>
        <v>-1</v>
      </c>
      <c r="DK173" s="50">
        <f t="shared" si="272"/>
        <v>-1</v>
      </c>
      <c r="DL173" s="51">
        <f t="shared" si="273"/>
        <v>-1</v>
      </c>
      <c r="DM173" s="52">
        <f t="shared" si="274"/>
        <v>-1</v>
      </c>
      <c r="DN173" s="50">
        <f t="shared" si="275"/>
        <v>-1</v>
      </c>
      <c r="DO173" s="51">
        <f t="shared" si="276"/>
        <v>-1</v>
      </c>
      <c r="DP173" s="52">
        <f t="shared" si="277"/>
        <v>-1</v>
      </c>
      <c r="DQ173" s="50">
        <f t="shared" si="278"/>
        <v>-1</v>
      </c>
      <c r="DR173" s="53">
        <f t="shared" si="279"/>
        <v>-1</v>
      </c>
      <c r="DS173" s="49">
        <f t="shared" si="280"/>
        <v>-1</v>
      </c>
      <c r="DT173" s="50">
        <f t="shared" si="281"/>
        <v>-1</v>
      </c>
      <c r="DU173" s="51">
        <f t="shared" si="282"/>
        <v>-1</v>
      </c>
      <c r="DV173" s="52">
        <f t="shared" si="283"/>
        <v>-1</v>
      </c>
      <c r="DW173" s="50">
        <f t="shared" si="284"/>
        <v>-1</v>
      </c>
      <c r="DX173" s="51">
        <f t="shared" si="285"/>
        <v>-1</v>
      </c>
      <c r="DY173" s="52">
        <f t="shared" si="286"/>
        <v>-1</v>
      </c>
      <c r="DZ173" s="50">
        <f t="shared" si="287"/>
        <v>-1</v>
      </c>
      <c r="EA173" s="53">
        <f t="shared" si="288"/>
        <v>-1</v>
      </c>
      <c r="EB173" s="49">
        <f t="shared" si="289"/>
        <v>-1</v>
      </c>
      <c r="EC173" s="50">
        <f t="shared" si="290"/>
        <v>-1</v>
      </c>
      <c r="ED173" s="51">
        <f t="shared" si="291"/>
        <v>-1</v>
      </c>
      <c r="EE173" s="52">
        <f t="shared" si="292"/>
        <v>-1</v>
      </c>
      <c r="EF173" s="50">
        <f t="shared" si="293"/>
        <v>-1</v>
      </c>
      <c r="EG173" s="51">
        <f t="shared" si="294"/>
        <v>-1</v>
      </c>
      <c r="EH173" s="52">
        <f t="shared" si="295"/>
        <v>-1</v>
      </c>
      <c r="EI173" s="50">
        <f t="shared" si="296"/>
        <v>-1</v>
      </c>
      <c r="EJ173" s="105">
        <f t="shared" si="297"/>
        <v>-1</v>
      </c>
      <c r="EK173" s="104">
        <f t="shared" si="298"/>
        <v>-1</v>
      </c>
      <c r="EL173" s="50">
        <f t="shared" si="299"/>
        <v>-1</v>
      </c>
      <c r="EM173" s="51">
        <f t="shared" si="300"/>
        <v>-1</v>
      </c>
      <c r="EN173" s="52">
        <f t="shared" si="301"/>
        <v>0</v>
      </c>
      <c r="EO173" s="50">
        <f t="shared" si="302"/>
        <v>0</v>
      </c>
      <c r="EP173" s="51">
        <f t="shared" si="303"/>
        <v>0</v>
      </c>
      <c r="EQ173" s="52">
        <f t="shared" si="304"/>
        <v>-1</v>
      </c>
      <c r="ER173" s="50">
        <f t="shared" si="305"/>
        <v>-1</v>
      </c>
      <c r="ES173" s="53">
        <f t="shared" si="306"/>
        <v>-1</v>
      </c>
      <c r="ET173" s="49">
        <f t="shared" si="307"/>
        <v>1</v>
      </c>
      <c r="EU173" s="50">
        <f t="shared" si="308"/>
        <v>2</v>
      </c>
      <c r="EV173" s="51">
        <f t="shared" si="309"/>
        <v>0</v>
      </c>
      <c r="EW173" s="52">
        <f t="shared" si="310"/>
        <v>0</v>
      </c>
      <c r="EX173" s="50">
        <f t="shared" si="311"/>
        <v>0</v>
      </c>
      <c r="EY173" s="51">
        <f t="shared" si="312"/>
        <v>0</v>
      </c>
      <c r="EZ173" s="52">
        <f t="shared" si="313"/>
        <v>-1</v>
      </c>
      <c r="FA173" s="50">
        <f t="shared" si="314"/>
        <v>-1</v>
      </c>
      <c r="FB173" s="53">
        <f t="shared" si="315"/>
        <v>-1</v>
      </c>
      <c r="FC173" s="49">
        <f t="shared" si="316"/>
        <v>-1</v>
      </c>
      <c r="FD173" s="50">
        <f t="shared" si="317"/>
        <v>-1</v>
      </c>
      <c r="FE173" s="51">
        <f t="shared" si="318"/>
        <v>-1</v>
      </c>
      <c r="FF173" s="52">
        <f t="shared" si="319"/>
        <v>-1</v>
      </c>
      <c r="FG173" s="50">
        <f t="shared" si="320"/>
        <v>-1</v>
      </c>
      <c r="FH173" s="51">
        <f t="shared" si="321"/>
        <v>-1</v>
      </c>
      <c r="FI173" s="52">
        <f t="shared" si="322"/>
        <v>-1</v>
      </c>
      <c r="FJ173" s="50">
        <f t="shared" si="323"/>
        <v>-1</v>
      </c>
      <c r="FK173" s="105">
        <f t="shared" si="324"/>
        <v>-1</v>
      </c>
      <c r="FL173" s="104">
        <f t="shared" si="325"/>
        <v>-1</v>
      </c>
      <c r="FM173" s="50">
        <f t="shared" si="326"/>
        <v>-1</v>
      </c>
      <c r="FN173" s="51">
        <f t="shared" si="327"/>
        <v>-1</v>
      </c>
      <c r="FO173" s="52">
        <f t="shared" si="328"/>
        <v>-1</v>
      </c>
      <c r="FP173" s="50">
        <f t="shared" si="329"/>
        <v>-1</v>
      </c>
      <c r="FQ173" s="51">
        <f t="shared" si="330"/>
        <v>-1</v>
      </c>
      <c r="FR173" s="52">
        <f t="shared" si="331"/>
        <v>-1</v>
      </c>
      <c r="FS173" s="50">
        <f t="shared" si="332"/>
        <v>-1</v>
      </c>
      <c r="FT173" s="53">
        <f t="shared" si="333"/>
        <v>-1</v>
      </c>
      <c r="FU173" s="49">
        <f t="shared" si="334"/>
        <v>-1</v>
      </c>
      <c r="FV173" s="50">
        <f t="shared" si="335"/>
        <v>-1</v>
      </c>
      <c r="FW173" s="51">
        <f t="shared" si="336"/>
        <v>-1</v>
      </c>
      <c r="FX173" s="52">
        <f t="shared" si="337"/>
        <v>-1</v>
      </c>
      <c r="FY173" s="50">
        <f t="shared" si="338"/>
        <v>-1</v>
      </c>
      <c r="FZ173" s="51">
        <f t="shared" si="339"/>
        <v>-1</v>
      </c>
      <c r="GA173" s="52">
        <f t="shared" si="340"/>
        <v>-1</v>
      </c>
      <c r="GB173" s="50">
        <f t="shared" si="341"/>
        <v>-1</v>
      </c>
      <c r="GC173" s="53">
        <f t="shared" si="342"/>
        <v>-1</v>
      </c>
      <c r="GD173" s="49">
        <f t="shared" si="343"/>
        <v>1</v>
      </c>
      <c r="GE173" s="50">
        <f t="shared" si="344"/>
        <v>0</v>
      </c>
      <c r="GF173" s="51">
        <f t="shared" si="345"/>
        <v>0</v>
      </c>
      <c r="GG173" s="52">
        <f t="shared" si="346"/>
        <v>-1</v>
      </c>
      <c r="GH173" s="50">
        <f t="shared" si="347"/>
        <v>-1</v>
      </c>
      <c r="GI173" s="51">
        <f t="shared" si="348"/>
        <v>-1</v>
      </c>
      <c r="GJ173" s="52">
        <f t="shared" si="349"/>
        <v>-1</v>
      </c>
      <c r="GK173" s="50">
        <f t="shared" si="350"/>
        <v>-1</v>
      </c>
      <c r="GL173" s="105">
        <f t="shared" si="351"/>
        <v>-1</v>
      </c>
      <c r="GN173" s="52">
        <f>COUNTIF(DJ173:GL173,1)</f>
        <v>2</v>
      </c>
      <c r="GO173" s="50">
        <f>COUNTIF(DJ173:GL173,2)</f>
        <v>1</v>
      </c>
      <c r="GP173" s="51">
        <f>COUNTIF(DJ173:GL173,3)</f>
        <v>0</v>
      </c>
      <c r="GQ173" s="39"/>
      <c r="GR173" s="39"/>
      <c r="GT173" s="65">
        <f t="shared" ref="GT173:GV173" si="358">GT146</f>
        <v>3</v>
      </c>
      <c r="GU173" s="66">
        <f t="shared" si="358"/>
        <v>3</v>
      </c>
      <c r="GV173" s="67">
        <f t="shared" si="358"/>
        <v>0</v>
      </c>
    </row>
    <row r="174" spans="14:204" ht="15" customHeight="1">
      <c r="N174" s="94">
        <f>IF($B$99="x",-1,IF(AND($B$99=0,INDEX(KonZeile5,4)+INDEX(KonSpalte1,4)+INDEX(KonFeld7,4)=0),4,0))</f>
        <v>-1</v>
      </c>
      <c r="O174" s="39">
        <f>IF($B$99="x",-1,IF(AND($B$99=0,INDEX(KonZeile5,5)+INDEX(KonSpalte1,5)+INDEX(KonFeld7,5)=0),5,0))</f>
        <v>-1</v>
      </c>
      <c r="P174" s="41">
        <f>IF($B$99="x",-1,IF(AND($B$99=0,INDEX(KonZeile5,6)+INDEX(KonSpalte1,6)+INDEX(KonFeld7,6)=0),6,0))</f>
        <v>-1</v>
      </c>
      <c r="Q174" s="40">
        <f>IF($C$99="x",-1,IF(AND($C$99=0,INDEX(KonZeile5,4)+INDEX(KonSpalte2,4)+INDEX(KonFeld7,4)=0),4,0))</f>
        <v>-1</v>
      </c>
      <c r="R174" s="39">
        <f>IF($C$99="x",-1,IF(AND($C$99=0,INDEX(KonZeile5,5)+INDEX(KonSpalte2,5)+INDEX(KonFeld7,5)=0),5,0))</f>
        <v>-1</v>
      </c>
      <c r="S174" s="41">
        <f>IF($C$99="x",-1,IF(AND($C$99=0,INDEX(KonZeile5,6)+INDEX(KonSpalte2,6)+INDEX(KonFeld7,6)=0),6,0))</f>
        <v>-1</v>
      </c>
      <c r="T174" s="40">
        <f>IF($D$99="x",-1,IF(AND($D$99=0,INDEX(KonZeile5,4)+INDEX(KonSpalte3,4)+INDEX(KonFeld7,4)=0),4,0))</f>
        <v>-1</v>
      </c>
      <c r="U174" s="39">
        <f>IF($D$99="x",-1,IF(AND($D$99=0,INDEX(KonZeile5,5)+INDEX(KonSpalte3,5)+INDEX(KonFeld7,5)=0),5,0))</f>
        <v>-1</v>
      </c>
      <c r="V174" s="42">
        <f>IF($D$99="x",-1,IF(AND($D$99=0,INDEX(KonZeile5,6)+INDEX(KonSpalte3,6)+INDEX(KonFeld7,6)=0),6,0))</f>
        <v>-1</v>
      </c>
      <c r="W174" s="43">
        <f>IF($E$99="x",-1,IF(AND($E$99=0,INDEX(KonZeile5,4)+INDEX(KonSpalte4,4)+INDEX(KonFeld7,4)=0),4,0))</f>
        <v>-1</v>
      </c>
      <c r="X174" s="39">
        <f>IF($E$99="x",-1,IF(AND($E$99=0,INDEX(KonZeile5,5)+INDEX(KonSpalte4,5)+INDEX(KonFeld7,5)=0),5,0))</f>
        <v>-1</v>
      </c>
      <c r="Y174" s="41">
        <f>IF($E$99="x",-1,IF(AND($E$99=0,INDEX(KonZeile5,6)+INDEX(KonSpalte4,6)+INDEX(KonFeld7,6)=0),6,0))</f>
        <v>-1</v>
      </c>
      <c r="Z174" s="40">
        <f>IF($F$99="x",-1,IF(AND($F$99=0,INDEX(KonZeile5,4)+INDEX(KonSpalte5,4)+INDEX(KonFeld7,4)=0),4,0))</f>
        <v>-1</v>
      </c>
      <c r="AA174" s="39">
        <f>IF($F$99="x",-1,IF(AND($F$99=0,INDEX(KonZeile5,5)+INDEX(KonSpalte5,5)+INDEX(KonFeld7,5)=0),5,0))</f>
        <v>-1</v>
      </c>
      <c r="AB174" s="41">
        <f>IF($F$99="x",-1,IF(AND($F$99=0,INDEX(KonZeile5,6)+INDEX(KonSpalte5,6)+INDEX(KonFeld7,6)=0),6,0))</f>
        <v>-1</v>
      </c>
      <c r="AC174" s="40">
        <f>IF($G$99="x",-1,IF(AND($G$99=0,INDEX(KonZeile5,4)+INDEX(KonSpalte6,4)+INDEX(KonFeld7,4)=0),4,0))</f>
        <v>-1</v>
      </c>
      <c r="AD174" s="39">
        <f>IF($G$99="x",-1,IF(AND($G$99=0,INDEX(KonZeile5,5)+INDEX(KonSpalte6,5)+INDEX(KonFeld7,5)=0),5,0))</f>
        <v>-1</v>
      </c>
      <c r="AE174" s="42">
        <f>IF($G$99="x",-1,IF(AND($G$99=0,INDEX(KonZeile5,6)+INDEX(KonSpalte6,6)+INDEX(KonFeld7,6)=0),6,0))</f>
        <v>-1</v>
      </c>
      <c r="AF174" s="43">
        <f>IF($H$99="x",-1,IF(AND($H$99=0,INDEX(KonZeile5,4)+INDEX(KonSpalte7,4)+INDEX(KonFeld7,4)=0),4,0))</f>
        <v>-1</v>
      </c>
      <c r="AG174" s="39">
        <f>IF($H$99="x",-1,IF(AND($H$99=0,INDEX(KonZeile5,5)+INDEX(KonSpalte7,5)+INDEX(KonFeld7,5)=0),5,0))</f>
        <v>-1</v>
      </c>
      <c r="AH174" s="41">
        <f>IF($H$99="x",-1,IF(AND($H$99=0,INDEX(KonZeile5,6)+INDEX(KonSpalte7,6)+INDEX(KonFeld7,6)=0),6,0))</f>
        <v>-1</v>
      </c>
      <c r="AI174" s="40">
        <f>IF($I$99="x",-1,IF(AND($I$99=0,INDEX(KonZeile5,4)+INDEX(KonSpalte8,4)+INDEX(KonFeld7,4)=0),4,0))</f>
        <v>-1</v>
      </c>
      <c r="AJ174" s="39">
        <f>IF($I$99="x",-1,IF(AND($I$99=0,INDEX(KonZeile5,5)+INDEX(KonSpalte8,5)+INDEX(KonFeld7,5)=0),5,0))</f>
        <v>-1</v>
      </c>
      <c r="AK174" s="41">
        <f>IF($I$99="x",-1,IF(AND($I$99=0,INDEX(KonZeile5,6)+INDEX(KonSpalte8,6)+INDEX(KonFeld7,6)=0),6,0))</f>
        <v>-1</v>
      </c>
      <c r="AL174" s="40">
        <f>IF($J$99="x",-1,IF(AND($J$99=0,INDEX(KonZeile5,4)+INDEX(KonSpalte9,4)+INDEX(KonFeld7,4)=0),4,0))</f>
        <v>-1</v>
      </c>
      <c r="AM174" s="39">
        <f>IF($J$99="x",-1,IF(AND($J$99=0,INDEX(KonZeile5,5)+INDEX(KonSpalte9,5)+INDEX(KonFeld7,5)=0),5,0))</f>
        <v>-1</v>
      </c>
      <c r="AN174" s="95">
        <f>IF($J$99="x",-1,IF(AND($J$99=0,INDEX(KonZeile5,6)+INDEX(KonSpalte9,6)+INDEX(KonFeld7,6)=0),6,0))</f>
        <v>-1</v>
      </c>
      <c r="AO174" s="94">
        <f>IF($K$99="x",-1,IF(AND($K$99=0,INDEX(KonZeile5,4)+INDEX(KonSpalte1,4)+INDEX(KonFeld8,4)=0),4,0))</f>
        <v>-1</v>
      </c>
      <c r="AP174" s="39">
        <f>IF($K$99="x",-1,IF(AND($K$99=0,INDEX(KonZeile5,5)+INDEX(KonSpalte1,5)+INDEX(KonFeld8,5)=0),5,0))</f>
        <v>-1</v>
      </c>
      <c r="AQ174" s="41">
        <f>IF($K$99="x",-1,IF(AND($K$99=0,INDEX(KonZeile5,6)+INDEX(KonSpalte1,6)+INDEX(KonFeld8,6)=0),6,0))</f>
        <v>-1</v>
      </c>
      <c r="AR174" s="40">
        <f>IF($L$99="x",-1,IF(AND($L$99=0,INDEX(KonZeile5,4)+INDEX(KonSpalte2,4)+INDEX(KonFeld8,4)=0),4,0))</f>
        <v>-1</v>
      </c>
      <c r="AS174" s="39">
        <f>IF($L$99="x",-1,IF(AND($L$99=0,INDEX(KonZeile5,5)+INDEX(KonSpalte2,5)+INDEX(KonFeld8,5)=0),5,0))</f>
        <v>-1</v>
      </c>
      <c r="AT174" s="41">
        <f>IF($L$99="x",-1,IF(AND($L$99=0,INDEX(KonZeile5,6)+INDEX(KonSpalte2,6)+INDEX(KonFeld8,6)=0),6,0))</f>
        <v>-1</v>
      </c>
      <c r="AU174" s="40">
        <f>IF($M$99="x",-1,IF(AND($M$99=0,INDEX(KonZeile5,4)+INDEX(KonSpalte3,4)+INDEX(KonFeld8,4)=0),4,0))</f>
        <v>-1</v>
      </c>
      <c r="AV174" s="39">
        <f>IF($M$99="x",-1,IF(AND($M$99=0,INDEX(KonZeile5,5)+INDEX(KonSpalte3,5)+INDEX(KonFeld8,5)=0),5,0))</f>
        <v>-1</v>
      </c>
      <c r="AW174" s="42">
        <f>IF($M$99="x",-1,IF(AND($M$99=0,INDEX(KonZeile5,6)+INDEX(KonSpalte3,6)+INDEX(KonFeld8,6)=0),6,0))</f>
        <v>-1</v>
      </c>
      <c r="AX174" s="43">
        <f>IF($N$99="x",-1,IF(AND($N$99=0,INDEX(KonZeile5,4)+INDEX(KonSpalte4,4)+INDEX(KonFeld8,4)=0),4,0))</f>
        <v>0</v>
      </c>
      <c r="AY174" s="39">
        <f>IF($N$99="x",-1,IF(AND($N$99=0,INDEX(KonZeile5,5)+INDEX(KonSpalte4,5)+INDEX(KonFeld8,5)=0),5,0))</f>
        <v>0</v>
      </c>
      <c r="AZ174" s="41">
        <f>IF($N$99="x",-1,IF(AND($N$99=0,INDEX(KonZeile5,6)+INDEX(KonSpalte4,6)+INDEX(KonFeld8,6)=0),6,0))</f>
        <v>0</v>
      </c>
      <c r="BA174" s="40">
        <f>IF($O$99="x",-1,IF(AND($O$99=0,INDEX(KonZeile5,4)+INDEX(KonSpalte5,4)+INDEX(KonFeld8,4)=0),4,0))</f>
        <v>-1</v>
      </c>
      <c r="BB174" s="39">
        <f>IF($O$99="x",-1,IF(AND($O$99=0,INDEX(KonZeile5,5)+INDEX(KonSpalte5,5)+INDEX(KonFeld8,5)=0),5,0))</f>
        <v>-1</v>
      </c>
      <c r="BC174" s="41">
        <f>IF($O$99="x",-1,IF(AND($O$99=0,INDEX(KonZeile5,6)+INDEX(KonSpalte5,6)+INDEX(KonFeld8,6)=0),6,0))</f>
        <v>-1</v>
      </c>
      <c r="BD174" s="40">
        <f>IF($P$99="x",-1,IF(AND($P$99=0,INDEX(KonZeile5,4)+INDEX(KonSpalte6,4)+INDEX(KonFeld8,4)=0),4,0))</f>
        <v>-1</v>
      </c>
      <c r="BE174" s="39">
        <f>IF($P$99="x",-1,IF(AND($P$99=0,INDEX(KonZeile5,5)+INDEX(KonSpalte6,5)+INDEX(KonFeld8,5)=0),5,0))</f>
        <v>-1</v>
      </c>
      <c r="BF174" s="42">
        <f>IF($P$99="x",-1,IF(AND($P$99=0,INDEX(KonZeile5,6)+INDEX(KonSpalte6,6)+INDEX(KonFeld8,6)=0),6,0))</f>
        <v>-1</v>
      </c>
      <c r="BG174" s="43">
        <f>IF($Q$99="x",-1,IF(AND($Q$99=0,INDEX(KonZeile5,4)+INDEX(KonSpalte7,4)+INDEX(KonFeld8,4)=0),4,0))</f>
        <v>-1</v>
      </c>
      <c r="BH174" s="39">
        <f>IF($Q$99="x",-1,IF(AND($Q$99=0,INDEX(KonZeile5,5)+INDEX(KonSpalte7,5)+INDEX(KonFeld8,5)=0),5,0))</f>
        <v>-1</v>
      </c>
      <c r="BI174" s="41">
        <f>IF($Q$99="x",-1,IF(AND($Q$99=0,INDEX(KonZeile5,6)+INDEX(KonSpalte7,6)+INDEX(KonFeld8,6)=0),6,0))</f>
        <v>-1</v>
      </c>
      <c r="BJ174" s="40">
        <f>IF($R$99="x",-1,IF(AND($R$99=0,INDEX(KonZeile5,4)+INDEX(KonSpalte8,4)+INDEX(KonFeld8,4)=0),4,0))</f>
        <v>-1</v>
      </c>
      <c r="BK174" s="39">
        <f>IF($R$99="x",-1,IF(AND($R$99=0,INDEX(KonZeile5,5)+INDEX(KonSpalte8,5)+INDEX(KonFeld8,5)=0),5,0))</f>
        <v>-1</v>
      </c>
      <c r="BL174" s="41">
        <f>IF($R$99="x",-1,IF(AND($R$99=0,INDEX(KonZeile5,6)+INDEX(KonSpalte8,6)+INDEX(KonFeld8,6)=0),6,0))</f>
        <v>-1</v>
      </c>
      <c r="BM174" s="40">
        <f>IF($S$99="x",-1,IF(AND($S$99=0,INDEX(KonZeile5,4)+INDEX(KonSpalte9,4)+INDEX(KonFeld8,4)=0),4,0))</f>
        <v>-1</v>
      </c>
      <c r="BN174" s="39">
        <f>IF($S$99="x",-1,IF(AND($S$99=0,INDEX(KonZeile5,5)+INDEX(KonSpalte9,5)+INDEX(KonFeld8,5)=0),5,0))</f>
        <v>-1</v>
      </c>
      <c r="BO174" s="95">
        <f>IF($S$99="x",-1,IF(AND($S$99=0,INDEX(KonZeile5,6)+INDEX(KonSpalte9,6)+INDEX(KonFeld8,6)=0),6,0))</f>
        <v>-1</v>
      </c>
      <c r="BP174" s="94">
        <f>IF($T$99="x",-1,IF(AND($T$99=0,INDEX(KonZeile5,4)+INDEX(KonSpalte1,4)+INDEX(KonFeld9,4)=0),4,0))</f>
        <v>-1</v>
      </c>
      <c r="BQ174" s="39">
        <f>IF($T$99="x",-1,IF(AND($T$99=0,INDEX(KonZeile5,5)+INDEX(KonSpalte1,5)+INDEX(KonFeld9,5)=0),5,0))</f>
        <v>-1</v>
      </c>
      <c r="BR174" s="41">
        <f>IF($T$99="x",-1,IF(AND($T$99=0,INDEX(KonZeile5,6)+INDEX(KonSpalte1,6)+INDEX(KonFeld9,6)=0),6,0))</f>
        <v>-1</v>
      </c>
      <c r="BS174" s="40">
        <f>IF($U$99="x",-1,IF(AND($U$99=0,INDEX(KonZeile5,4)+INDEX(KonSpalte2,4)+INDEX(KonFeld9,4)=0),4,0))</f>
        <v>-1</v>
      </c>
      <c r="BT174" s="39">
        <f>IF($U$99="x",-1,IF(AND($U$99=0,INDEX(KonZeile5,5)+INDEX(KonSpalte2,5)+INDEX(KonFeld9,5)=0),5,0))</f>
        <v>-1</v>
      </c>
      <c r="BU174" s="41">
        <f>IF($U$99="x",-1,IF(AND($U$99=0,INDEX(KonZeile5,6)+INDEX(KonSpalte2,6)+INDEX(KonFeld9,6)=0),6,0))</f>
        <v>-1</v>
      </c>
      <c r="BV174" s="40">
        <f>IF($V$99="x",-1,IF(AND($V$99=0,INDEX(KonZeile5,4)+INDEX(KonSpalte3,4)+INDEX(KonFeld9,4)=0),4,0))</f>
        <v>-1</v>
      </c>
      <c r="BW174" s="39">
        <f>IF($V$99="x",-1,IF(AND($V$99=0,INDEX(KonZeile5,5)+INDEX(KonSpalte3,5)+INDEX(KonFeld9,5)=0),5,0))</f>
        <v>-1</v>
      </c>
      <c r="BX174" s="42">
        <f>IF($V$99="x",-1,IF(AND($V$99=0,INDEX(KonZeile5,6)+INDEX(KonSpalte3,6)+INDEX(KonFeld9,6)=0),6,0))</f>
        <v>-1</v>
      </c>
      <c r="BY174" s="43">
        <f>IF($W$99="x",-1,IF(AND($W$99=0,INDEX(KonZeile5,4)+INDEX(KonSpalte4,4)+INDEX(KonFeld9,4)=0),4,0))</f>
        <v>-1</v>
      </c>
      <c r="BZ174" s="39">
        <f>IF($W$99="x",-1,IF(AND($W$99=0,INDEX(KonZeile5,5)+INDEX(KonSpalte4,5)+INDEX(KonFeld9,5)=0),5,0))</f>
        <v>-1</v>
      </c>
      <c r="CA174" s="41">
        <f>IF($W$99="x",-1,IF(AND($W$99=0,INDEX(KonZeile5,6)+INDEX(KonSpalte4,6)+INDEX(KonFeld9,6)=0),6,0))</f>
        <v>-1</v>
      </c>
      <c r="CB174" s="40">
        <f>IF($X$99="x",-1,IF(AND($X$99=0,INDEX(KonZeile5,4)+INDEX(KonSpalte5,4)+INDEX(KonFeld9,4)=0),4,0))</f>
        <v>-1</v>
      </c>
      <c r="CC174" s="39">
        <f>IF($X$99="x",-1,IF(AND($X$99=0,INDEX(KonZeile5,5)+INDEX(KonSpalte5,5)+INDEX(KonFeld9,5)=0),5,0))</f>
        <v>-1</v>
      </c>
      <c r="CD174" s="41">
        <f>IF($X$99="x",-1,IF(AND($X$99=0,INDEX(KonZeile5,6)+INDEX(KonSpalte5,6)+INDEX(KonFeld9,6)=0),6,0))</f>
        <v>-1</v>
      </c>
      <c r="CE174" s="40">
        <f>IF($Y$99="x",-1,IF(AND($Y$99=0,INDEX(KonZeile5,4)+INDEX(KonSpalte6,4)+INDEX(KonFeld9,4)=0),4,0))</f>
        <v>-1</v>
      </c>
      <c r="CF174" s="39">
        <f>IF($Y$99="x",-1,IF(AND($Y$99=0,INDEX(KonZeile5,5)+INDEX(KonSpalte6,5)+INDEX(KonFeld9,5)=0),5,0))</f>
        <v>-1</v>
      </c>
      <c r="CG174" s="42">
        <f>IF($Y$99="x",-1,IF(AND($Y$99=0,INDEX(KonZeile5,6)+INDEX(KonSpalte6,6)+INDEX(KonFeld9,6)=0),6,0))</f>
        <v>-1</v>
      </c>
      <c r="CH174" s="43">
        <f>IF($Z$99="x",-1,IF(AND($Z$99=0,INDEX(KonZeile5,4)+INDEX(KonSpalte7,4)+INDEX(KonFeld9,4)=0),4,0))</f>
        <v>-1</v>
      </c>
      <c r="CI174" s="39">
        <f>IF($Z$99="x",-1,IF(AND($Z$99=0,INDEX(KonZeile5,5)+INDEX(KonSpalte7,5)+INDEX(KonFeld9,5)=0),5,0))</f>
        <v>-1</v>
      </c>
      <c r="CJ174" s="41">
        <f>IF($Z$99="x",-1,IF(AND($Z$99=0,INDEX(KonZeile5,6)+INDEX(KonSpalte7,6)+INDEX(KonFeld9,6)=0),6,0))</f>
        <v>-1</v>
      </c>
      <c r="CK174" s="40">
        <f>IF($AA$99="x",-1,IF(AND($AA$99=0,INDEX(KonZeile5,4)+INDEX(KonSpalte8,4)+INDEX(KonFeld9,4)=0),4,0))</f>
        <v>-1</v>
      </c>
      <c r="CL174" s="39">
        <f>IF($AA$99="x",-1,IF(AND($AA$99=0,INDEX(KonZeile5,5)+INDEX(KonSpalte8,5)+INDEX(KonFeld9,5)=0),5,0))</f>
        <v>-1</v>
      </c>
      <c r="CM174" s="41">
        <f>IF($AA$99="x",-1,IF(AND($AA$99=0,INDEX(KonZeile5,6)+INDEX(KonSpalte8,6)+INDEX(KonFeld9,6)=0),6,0))</f>
        <v>-1</v>
      </c>
      <c r="CN174" s="40">
        <f>IF($AB$99="x",-1,IF(AND($AB$99=0,INDEX(KonZeile5,4)+INDEX(KonSpalte9,4)+INDEX(KonFeld9,4)=0),4,0))</f>
        <v>-1</v>
      </c>
      <c r="CO174" s="39">
        <f>IF($AB$99="x",-1,IF(AND($AB$99=0,INDEX(KonZeile5,5)+INDEX(KonSpalte9,5)+INDEX(KonFeld9,5)=0),5,0))</f>
        <v>-1</v>
      </c>
      <c r="CP174" s="95">
        <f>IF($AB$99="x",-1,IF(AND($AB$99=0,INDEX(KonZeile5,6)+INDEX(KonSpalte9,6)+INDEX(KonFeld9,6)=0),6,0))</f>
        <v>-1</v>
      </c>
      <c r="CR174" s="40">
        <f>COUNTIF(N174:CP174,4)</f>
        <v>0</v>
      </c>
      <c r="CS174" s="39">
        <f>COUNTIF(N174:CP174,5)</f>
        <v>0</v>
      </c>
      <c r="CT174" s="41">
        <f>COUNTIF(N174:CP174,6)</f>
        <v>0</v>
      </c>
      <c r="CU174" s="39"/>
      <c r="CV174" s="39"/>
      <c r="CX174" s="72">
        <f t="shared" ref="CX174:CZ187" si="359">CX147</f>
        <v>0</v>
      </c>
      <c r="CY174" s="73">
        <f t="shared" si="359"/>
        <v>0</v>
      </c>
      <c r="CZ174" s="74">
        <f t="shared" si="359"/>
        <v>0</v>
      </c>
      <c r="DJ174" s="94">
        <f t="shared" si="271"/>
        <v>-1</v>
      </c>
      <c r="DK174" s="39">
        <f t="shared" si="272"/>
        <v>-1</v>
      </c>
      <c r="DL174" s="41">
        <f t="shared" si="273"/>
        <v>-1</v>
      </c>
      <c r="DM174" s="40">
        <f t="shared" si="274"/>
        <v>-1</v>
      </c>
      <c r="DN174" s="39">
        <f t="shared" si="275"/>
        <v>-1</v>
      </c>
      <c r="DO174" s="41">
        <f t="shared" si="276"/>
        <v>-1</v>
      </c>
      <c r="DP174" s="40">
        <f t="shared" si="277"/>
        <v>-1</v>
      </c>
      <c r="DQ174" s="39">
        <f t="shared" si="278"/>
        <v>-1</v>
      </c>
      <c r="DR174" s="42">
        <f t="shared" si="279"/>
        <v>-1</v>
      </c>
      <c r="DS174" s="43">
        <f t="shared" si="280"/>
        <v>-1</v>
      </c>
      <c r="DT174" s="39">
        <f t="shared" si="281"/>
        <v>-1</v>
      </c>
      <c r="DU174" s="41">
        <f t="shared" si="282"/>
        <v>-1</v>
      </c>
      <c r="DV174" s="40">
        <f t="shared" si="283"/>
        <v>-1</v>
      </c>
      <c r="DW174" s="39">
        <f t="shared" si="284"/>
        <v>-1</v>
      </c>
      <c r="DX174" s="41">
        <f t="shared" si="285"/>
        <v>-1</v>
      </c>
      <c r="DY174" s="40">
        <f t="shared" si="286"/>
        <v>-1</v>
      </c>
      <c r="DZ174" s="39">
        <f t="shared" si="287"/>
        <v>-1</v>
      </c>
      <c r="EA174" s="42">
        <f t="shared" si="288"/>
        <v>-1</v>
      </c>
      <c r="EB174" s="43">
        <f t="shared" si="289"/>
        <v>-1</v>
      </c>
      <c r="EC174" s="39">
        <f t="shared" si="290"/>
        <v>-1</v>
      </c>
      <c r="ED174" s="41">
        <f t="shared" si="291"/>
        <v>-1</v>
      </c>
      <c r="EE174" s="40">
        <f t="shared" si="292"/>
        <v>-1</v>
      </c>
      <c r="EF174" s="39">
        <f t="shared" si="293"/>
        <v>-1</v>
      </c>
      <c r="EG174" s="41">
        <f t="shared" si="294"/>
        <v>-1</v>
      </c>
      <c r="EH174" s="40">
        <f t="shared" si="295"/>
        <v>-1</v>
      </c>
      <c r="EI174" s="39">
        <f t="shared" si="296"/>
        <v>-1</v>
      </c>
      <c r="EJ174" s="95">
        <f t="shared" si="297"/>
        <v>-1</v>
      </c>
      <c r="EK174" s="94">
        <f t="shared" si="298"/>
        <v>-1</v>
      </c>
      <c r="EL174" s="39">
        <f t="shared" si="299"/>
        <v>-1</v>
      </c>
      <c r="EM174" s="41">
        <f t="shared" si="300"/>
        <v>-1</v>
      </c>
      <c r="EN174" s="40">
        <f t="shared" si="301"/>
        <v>0</v>
      </c>
      <c r="EO174" s="39">
        <f t="shared" si="302"/>
        <v>0</v>
      </c>
      <c r="EP174" s="41">
        <f t="shared" si="303"/>
        <v>0</v>
      </c>
      <c r="EQ174" s="40">
        <f t="shared" si="304"/>
        <v>-1</v>
      </c>
      <c r="ER174" s="39">
        <f t="shared" si="305"/>
        <v>-1</v>
      </c>
      <c r="ES174" s="42">
        <f t="shared" si="306"/>
        <v>-1</v>
      </c>
      <c r="ET174" s="43">
        <f t="shared" si="307"/>
        <v>4</v>
      </c>
      <c r="EU174" s="39">
        <f t="shared" si="308"/>
        <v>0</v>
      </c>
      <c r="EV174" s="41">
        <f t="shared" si="309"/>
        <v>0</v>
      </c>
      <c r="EW174" s="40">
        <f t="shared" si="310"/>
        <v>0</v>
      </c>
      <c r="EX174" s="39">
        <f t="shared" si="311"/>
        <v>0</v>
      </c>
      <c r="EY174" s="41">
        <f t="shared" si="312"/>
        <v>0</v>
      </c>
      <c r="EZ174" s="40">
        <f t="shared" si="313"/>
        <v>-1</v>
      </c>
      <c r="FA174" s="39">
        <f t="shared" si="314"/>
        <v>-1</v>
      </c>
      <c r="FB174" s="42">
        <f t="shared" si="315"/>
        <v>-1</v>
      </c>
      <c r="FC174" s="43">
        <f t="shared" si="316"/>
        <v>-1</v>
      </c>
      <c r="FD174" s="39">
        <f t="shared" si="317"/>
        <v>-1</v>
      </c>
      <c r="FE174" s="41">
        <f t="shared" si="318"/>
        <v>-1</v>
      </c>
      <c r="FF174" s="40">
        <f t="shared" si="319"/>
        <v>-1</v>
      </c>
      <c r="FG174" s="39">
        <f t="shared" si="320"/>
        <v>-1</v>
      </c>
      <c r="FH174" s="41">
        <f t="shared" si="321"/>
        <v>-1</v>
      </c>
      <c r="FI174" s="40">
        <f t="shared" si="322"/>
        <v>-1</v>
      </c>
      <c r="FJ174" s="39">
        <f t="shared" si="323"/>
        <v>-1</v>
      </c>
      <c r="FK174" s="95">
        <f t="shared" si="324"/>
        <v>-1</v>
      </c>
      <c r="FL174" s="94">
        <f t="shared" si="325"/>
        <v>-1</v>
      </c>
      <c r="FM174" s="39">
        <f t="shared" si="326"/>
        <v>-1</v>
      </c>
      <c r="FN174" s="41">
        <f t="shared" si="327"/>
        <v>-1</v>
      </c>
      <c r="FO174" s="40">
        <f t="shared" si="328"/>
        <v>-1</v>
      </c>
      <c r="FP174" s="39">
        <f t="shared" si="329"/>
        <v>-1</v>
      </c>
      <c r="FQ174" s="41">
        <f t="shared" si="330"/>
        <v>-1</v>
      </c>
      <c r="FR174" s="40">
        <f t="shared" si="331"/>
        <v>-1</v>
      </c>
      <c r="FS174" s="39">
        <f t="shared" si="332"/>
        <v>-1</v>
      </c>
      <c r="FT174" s="42">
        <f t="shared" si="333"/>
        <v>-1</v>
      </c>
      <c r="FU174" s="43">
        <f t="shared" si="334"/>
        <v>-1</v>
      </c>
      <c r="FV174" s="39">
        <f t="shared" si="335"/>
        <v>-1</v>
      </c>
      <c r="FW174" s="41">
        <f t="shared" si="336"/>
        <v>-1</v>
      </c>
      <c r="FX174" s="40">
        <f t="shared" si="337"/>
        <v>-1</v>
      </c>
      <c r="FY174" s="39">
        <f t="shared" si="338"/>
        <v>-1</v>
      </c>
      <c r="FZ174" s="41">
        <f t="shared" si="339"/>
        <v>-1</v>
      </c>
      <c r="GA174" s="40">
        <f t="shared" si="340"/>
        <v>-1</v>
      </c>
      <c r="GB174" s="39">
        <f t="shared" si="341"/>
        <v>-1</v>
      </c>
      <c r="GC174" s="42">
        <f t="shared" si="342"/>
        <v>-1</v>
      </c>
      <c r="GD174" s="43">
        <f t="shared" si="343"/>
        <v>0</v>
      </c>
      <c r="GE174" s="39">
        <f t="shared" si="344"/>
        <v>0</v>
      </c>
      <c r="GF174" s="41">
        <f t="shared" si="345"/>
        <v>6</v>
      </c>
      <c r="GG174" s="40">
        <f t="shared" si="346"/>
        <v>-1</v>
      </c>
      <c r="GH174" s="39">
        <f t="shared" si="347"/>
        <v>-1</v>
      </c>
      <c r="GI174" s="41">
        <f t="shared" si="348"/>
        <v>-1</v>
      </c>
      <c r="GJ174" s="40">
        <f t="shared" si="349"/>
        <v>-1</v>
      </c>
      <c r="GK174" s="39">
        <f t="shared" si="350"/>
        <v>-1</v>
      </c>
      <c r="GL174" s="95">
        <f t="shared" si="351"/>
        <v>-1</v>
      </c>
      <c r="GN174" s="40">
        <f>COUNTIF(DJ174:GL174,4)</f>
        <v>1</v>
      </c>
      <c r="GO174" s="39">
        <f>COUNTIF(DJ174:GL174,5)</f>
        <v>0</v>
      </c>
      <c r="GP174" s="41">
        <f>COUNTIF(DJ174:GL174,6)</f>
        <v>1</v>
      </c>
      <c r="GQ174" s="39"/>
      <c r="GR174" s="39"/>
      <c r="GT174" s="72">
        <f t="shared" ref="GT174:GV174" si="360">GT147</f>
        <v>3</v>
      </c>
      <c r="GU174" s="73">
        <f t="shared" si="360"/>
        <v>1</v>
      </c>
      <c r="GV174" s="74">
        <f t="shared" si="360"/>
        <v>2</v>
      </c>
    </row>
    <row r="175" spans="14:204" ht="15" customHeight="1" thickBot="1">
      <c r="N175" s="99">
        <f>IF($B$99="x",-1,IF(AND($B$99=0,INDEX(KonZeile5,7)+INDEX(KonSpalte1,7)+INDEX(KonFeld7,7)=0),7,0))</f>
        <v>-1</v>
      </c>
      <c r="O175" s="45">
        <f>IF($B$99="x",-1,IF(AND($B$99=0,INDEX(KonZeile5,8)+INDEX(KonSpalte1,8)+INDEX(KonFeld7,8)=0),8,0))</f>
        <v>-1</v>
      </c>
      <c r="P175" s="47">
        <f>IF($B$99="x",-1,IF(AND($B$99=0,INDEX(KonZeile5,9)+INDEX(KonSpalte1,9)+INDEX(KonFeld7,9)=0),9,0))</f>
        <v>-1</v>
      </c>
      <c r="Q175" s="46">
        <f>IF($C$99="x",-1,IF(AND($C$99=0,INDEX(KonZeile5,7)+INDEX(KonSpalte2,7)+INDEX(KonFeld7,7)=0),7,0))</f>
        <v>-1</v>
      </c>
      <c r="R175" s="45">
        <f>IF($C$99="x",-1,IF(AND($C$99=0,INDEX(KonZeile5,8)+INDEX(KonSpalte2,8)+INDEX(KonFeld7,8)=0),8,0))</f>
        <v>-1</v>
      </c>
      <c r="S175" s="47">
        <f>IF($C$99="x",-1,IF(AND($C$99=0,INDEX(KonZeile5,9)+INDEX(KonSpalte2,9)+INDEX(KonFeld7,9)=0),9,0))</f>
        <v>-1</v>
      </c>
      <c r="T175" s="46">
        <f>IF($D$99="x",-1,IF(AND($D$99=0,INDEX(KonZeile5,7)+INDEX(KonSpalte3,7)+INDEX(KonFeld7,7)=0),7,0))</f>
        <v>-1</v>
      </c>
      <c r="U175" s="45">
        <f>IF($D$99="x",-1,IF(AND($D$99=0,INDEX(KonZeile5,8)+INDEX(KonSpalte3,8)+INDEX(KonFeld7,8)=0),8,0))</f>
        <v>-1</v>
      </c>
      <c r="V175" s="48">
        <f>IF($D$99="x",-1,IF(AND($D$99=0,INDEX(KonZeile5,9)+INDEX(KonSpalte3,9)+INDEX(KonFeld7,9)=0),9,0))</f>
        <v>-1</v>
      </c>
      <c r="W175" s="44">
        <f>IF($E$99="x",-1,IF(AND($E$99=0,INDEX(KonZeile5,7)+INDEX(KonSpalte4,7)+INDEX(KonFeld7,7)=0),7,0))</f>
        <v>-1</v>
      </c>
      <c r="X175" s="45">
        <f>IF($E$99="x",-1,IF(AND($E$99=0,INDEX(KonZeile5,8)+INDEX(KonSpalte4,8)+INDEX(KonFeld7,8)=0),8,0))</f>
        <v>-1</v>
      </c>
      <c r="Y175" s="47">
        <f>IF($E$99="x",-1,IF(AND($E$99=0,INDEX(KonZeile5,9)+INDEX(KonSpalte4,9)+INDEX(KonFeld7,9)=0),9,0))</f>
        <v>-1</v>
      </c>
      <c r="Z175" s="46">
        <f>IF($F$99="x",-1,IF(AND($F$99=0,INDEX(KonZeile5,7)+INDEX(KonSpalte5,7)+INDEX(KonFeld7,7)=0),7,0))</f>
        <v>-1</v>
      </c>
      <c r="AA175" s="45">
        <f>IF($F$99="x",-1,IF(AND($F$99=0,INDEX(KonZeile5,8)+INDEX(KonSpalte5,8)+INDEX(KonFeld7,8)=0),8,0))</f>
        <v>-1</v>
      </c>
      <c r="AB175" s="47">
        <f>IF($F$99="x",-1,IF(AND($F$99=0,INDEX(KonZeile5,9)+INDEX(KonSpalte5,9)+INDEX(KonFeld7,9)=0),9,0))</f>
        <v>-1</v>
      </c>
      <c r="AC175" s="46">
        <f>IF($G$99="x",-1,IF(AND($G$99=0,INDEX(KonZeile5,7)+INDEX(KonSpalte6,7)+INDEX(KonFeld7,7)=0),7,0))</f>
        <v>-1</v>
      </c>
      <c r="AD175" s="45">
        <f>IF($G$99="x",-1,IF(AND($G$99=0,INDEX(KonZeile5,8)+INDEX(KonSpalte6,8)+INDEX(KonFeld7,8)=0),8,0))</f>
        <v>-1</v>
      </c>
      <c r="AE175" s="48">
        <f>IF($G$99="x",-1,IF(AND($G$99=0,INDEX(KonZeile5,9)+INDEX(KonSpalte6,9)+INDEX(KonFeld7,9)=0),9,0))</f>
        <v>-1</v>
      </c>
      <c r="AF175" s="44">
        <f>IF($H$99="x",-1,IF(AND($H$99=0,INDEX(KonZeile5,7)+INDEX(KonSpalte7,7)+INDEX(KonFeld7,7)=0),7,0))</f>
        <v>-1</v>
      </c>
      <c r="AG175" s="45">
        <f>IF($H$99="x",-1,IF(AND($H$99=0,INDEX(KonZeile5,8)+INDEX(KonSpalte7,8)+INDEX(KonFeld7,8)=0),8,0))</f>
        <v>-1</v>
      </c>
      <c r="AH175" s="47">
        <f>IF($H$99="x",-1,IF(AND($H$99=0,INDEX(KonZeile5,9)+INDEX(KonSpalte7,9)+INDEX(KonFeld7,9)=0),9,0))</f>
        <v>-1</v>
      </c>
      <c r="AI175" s="46">
        <f>IF($I$99="x",-1,IF(AND($I$99=0,INDEX(KonZeile5,7)+INDEX(KonSpalte8,7)+INDEX(KonFeld7,7)=0),7,0))</f>
        <v>-1</v>
      </c>
      <c r="AJ175" s="45">
        <f>IF($I$99="x",-1,IF(AND($I$99=0,INDEX(KonZeile5,8)+INDEX(KonSpalte8,8)+INDEX(KonFeld7,8)=0),8,0))</f>
        <v>-1</v>
      </c>
      <c r="AK175" s="47">
        <f>IF($I$99="x",-1,IF(AND($I$99=0,INDEX(KonZeile5,9)+INDEX(KonSpalte8,9)+INDEX(KonFeld7,9)=0),9,0))</f>
        <v>-1</v>
      </c>
      <c r="AL175" s="46">
        <f>IF($J$99="x",-1,IF(AND($J$99=0,INDEX(KonZeile5,7)+INDEX(KonSpalte9,7)+INDEX(KonFeld7,7)=0),7,0))</f>
        <v>-1</v>
      </c>
      <c r="AM175" s="45">
        <f>IF($J$99="x",-1,IF(AND($J$99=0,INDEX(KonZeile5,8)+INDEX(KonSpalte9,8)+INDEX(KonFeld7,8)=0),8,0))</f>
        <v>-1</v>
      </c>
      <c r="AN175" s="100">
        <f>IF($J$99="x",-1,IF(AND($J$99=0,INDEX(KonZeile5,9)+INDEX(KonSpalte9,9)+INDEX(KonFeld7,9)=0),9,0))</f>
        <v>-1</v>
      </c>
      <c r="AO175" s="99">
        <f>IF($K$99="x",-1,IF(AND($K$99=0,INDEX(KonZeile5,7)+INDEX(KonSpalte1,7)+INDEX(KonFeld8,7)=0),7,0))</f>
        <v>-1</v>
      </c>
      <c r="AP175" s="45">
        <f>IF($K$99="x",-1,IF(AND($K$99=0,INDEX(KonZeile5,8)+INDEX(KonSpalte1,8)+INDEX(KonFeld8,8)=0),8,0))</f>
        <v>-1</v>
      </c>
      <c r="AQ175" s="47">
        <f>IF($K$99="x",-1,IF(AND($K$99=0,INDEX(KonZeile5,9)+INDEX(KonSpalte1,9)+INDEX(KonFeld8,9)=0),9,0))</f>
        <v>-1</v>
      </c>
      <c r="AR175" s="46">
        <f>IF($L$99="x",-1,IF(AND($L$99=0,INDEX(KonZeile5,7)+INDEX(KonSpalte2,7)+INDEX(KonFeld8,7)=0),7,0))</f>
        <v>-1</v>
      </c>
      <c r="AS175" s="45">
        <f>IF($L$99="x",-1,IF(AND($L$99=0,INDEX(KonZeile5,8)+INDEX(KonSpalte2,8)+INDEX(KonFeld8,8)=0),8,0))</f>
        <v>-1</v>
      </c>
      <c r="AT175" s="47">
        <f>IF($L$99="x",-1,IF(AND($L$99=0,INDEX(KonZeile5,9)+INDEX(KonSpalte2,9)+INDEX(KonFeld8,9)=0),9,0))</f>
        <v>-1</v>
      </c>
      <c r="AU175" s="46">
        <f>IF($M$99="x",-1,IF(AND($M$99=0,INDEX(KonZeile5,7)+INDEX(KonSpalte3,7)+INDEX(KonFeld8,7)=0),7,0))</f>
        <v>-1</v>
      </c>
      <c r="AV175" s="45">
        <f>IF($M$99="x",-1,IF(AND($M$99=0,INDEX(KonZeile5,8)+INDEX(KonSpalte3,8)+INDEX(KonFeld8,8)=0),8,0))</f>
        <v>-1</v>
      </c>
      <c r="AW175" s="48">
        <f>IF($M$99="x",-1,IF(AND($M$99=0,INDEX(KonZeile5,9)+INDEX(KonSpalte3,9)+INDEX(KonFeld8,9)=0),9,0))</f>
        <v>-1</v>
      </c>
      <c r="AX175" s="44">
        <f>IF($N$99="x",-1,IF(AND($N$99=0,INDEX(KonZeile5,7)+INDEX(KonSpalte4,7)+INDEX(KonFeld8,7)=0),7,0))</f>
        <v>0</v>
      </c>
      <c r="AY175" s="45">
        <f>IF($N$99="x",-1,IF(AND($N$99=0,INDEX(KonZeile5,8)+INDEX(KonSpalte4,8)+INDEX(KonFeld8,8)=0),8,0))</f>
        <v>0</v>
      </c>
      <c r="AZ175" s="47">
        <f>IF($N$99="x",-1,IF(AND($N$99=0,INDEX(KonZeile5,9)+INDEX(KonSpalte4,9)+INDEX(KonFeld8,9)=0),9,0))</f>
        <v>0</v>
      </c>
      <c r="BA175" s="46">
        <f>IF($O$99="x",-1,IF(AND($O$99=0,INDEX(KonZeile5,7)+INDEX(KonSpalte5,7)+INDEX(KonFeld8,7)=0),7,0))</f>
        <v>-1</v>
      </c>
      <c r="BB175" s="45">
        <f>IF($O$99="x",-1,IF(AND($O$99=0,INDEX(KonZeile5,8)+INDEX(KonSpalte5,8)+INDEX(KonFeld8,8)=0),8,0))</f>
        <v>-1</v>
      </c>
      <c r="BC175" s="47">
        <f>IF($O$99="x",-1,IF(AND($O$99=0,INDEX(KonZeile5,9)+INDEX(KonSpalte5,9)+INDEX(KonFeld8,9)=0),9,0))</f>
        <v>-1</v>
      </c>
      <c r="BD175" s="46">
        <f>IF($P$99="x",-1,IF(AND($P$99=0,INDEX(KonZeile5,7)+INDEX(KonSpalte6,7)+INDEX(KonFeld8,7)=0),7,0))</f>
        <v>-1</v>
      </c>
      <c r="BE175" s="45">
        <f>IF($P$99="x",-1,IF(AND($P$99=0,INDEX(KonZeile5,8)+INDEX(KonSpalte6,8)+INDEX(KonFeld8,8)=0),8,0))</f>
        <v>-1</v>
      </c>
      <c r="BF175" s="48">
        <f>IF($P$99="x",-1,IF(AND($P$99=0,INDEX(KonZeile5,9)+INDEX(KonSpalte6,9)+INDEX(KonFeld8,9)=0),9,0))</f>
        <v>-1</v>
      </c>
      <c r="BG175" s="44">
        <f>IF($Q$99="x",-1,IF(AND($Q$99=0,INDEX(KonZeile5,7)+INDEX(KonSpalte7,7)+INDEX(KonFeld8,7)=0),7,0))</f>
        <v>-1</v>
      </c>
      <c r="BH175" s="45">
        <f>IF($Q$99="x",-1,IF(AND($Q$99=0,INDEX(KonZeile5,8)+INDEX(KonSpalte7,8)+INDEX(KonFeld8,8)=0),8,0))</f>
        <v>-1</v>
      </c>
      <c r="BI175" s="47">
        <f>IF($Q$99="x",-1,IF(AND($Q$99=0,INDEX(KonZeile5,9)+INDEX(KonSpalte7,9)+INDEX(KonFeld8,9)=0),9,0))</f>
        <v>-1</v>
      </c>
      <c r="BJ175" s="46">
        <f>IF($R$99="x",-1,IF(AND($R$99=0,INDEX(KonZeile5,7)+INDEX(KonSpalte8,7)+INDEX(KonFeld8,7)=0),7,0))</f>
        <v>-1</v>
      </c>
      <c r="BK175" s="45">
        <f>IF($R$99="x",-1,IF(AND($R$99=0,INDEX(KonZeile5,8)+INDEX(KonSpalte8,8)+INDEX(KonFeld8,8)=0),8,0))</f>
        <v>-1</v>
      </c>
      <c r="BL175" s="47">
        <f>IF($R$99="x",-1,IF(AND($R$99=0,INDEX(KonZeile5,9)+INDEX(KonSpalte8,9)+INDEX(KonFeld8,9)=0),9,0))</f>
        <v>-1</v>
      </c>
      <c r="BM175" s="46">
        <f>IF($S$99="x",-1,IF(AND($S$99=0,INDEX(KonZeile5,7)+INDEX(KonSpalte9,7)+INDEX(KonFeld8,7)=0),7,0))</f>
        <v>-1</v>
      </c>
      <c r="BN175" s="45">
        <f>IF($S$99="x",-1,IF(AND($S$99=0,INDEX(KonZeile5,8)+INDEX(KonSpalte9,8)+INDEX(KonFeld8,8)=0),8,0))</f>
        <v>-1</v>
      </c>
      <c r="BO175" s="100">
        <f>IF($S$99="x",-1,IF(AND($S$99=0,INDEX(KonZeile5,9)+INDEX(KonSpalte9,9)+INDEX(KonFeld8,9)=0),9,0))</f>
        <v>-1</v>
      </c>
      <c r="BP175" s="99">
        <f>IF($T$99="x",-1,IF(AND($T$99=0,INDEX(KonZeile5,7)+INDEX(KonSpalte1,7)+INDEX(KonFeld9,7)=0),7,0))</f>
        <v>-1</v>
      </c>
      <c r="BQ175" s="45">
        <f>IF($T$99="x",-1,IF(AND($T$99=0,INDEX(KonZeile5,8)+INDEX(KonSpalte1,8)+INDEX(KonFeld9,8)=0),8,0))</f>
        <v>-1</v>
      </c>
      <c r="BR175" s="47">
        <f>IF($T$99="x",-1,IF(AND($T$99=0,INDEX(KonZeile5,9)+INDEX(KonSpalte1,9)+INDEX(KonFeld9,9)=0),9,0))</f>
        <v>-1</v>
      </c>
      <c r="BS175" s="46">
        <f>IF($U$99="x",-1,IF(AND($U$99=0,INDEX(KonZeile5,7)+INDEX(KonSpalte2,7)+INDEX(KonFeld9,7)=0),7,0))</f>
        <v>-1</v>
      </c>
      <c r="BT175" s="45">
        <f>IF($U$99="x",-1,IF(AND($U$99=0,INDEX(KonZeile5,8)+INDEX(KonSpalte2,8)+INDEX(KonFeld9,8)=0),8,0))</f>
        <v>-1</v>
      </c>
      <c r="BU175" s="47">
        <f>IF($U$99="x",-1,IF(AND($U$99=0,INDEX(KonZeile5,9)+INDEX(KonSpalte2,9)+INDEX(KonFeld9,9)=0),9,0))</f>
        <v>-1</v>
      </c>
      <c r="BV175" s="46">
        <f>IF($V$99="x",-1,IF(AND($V$99=0,INDEX(KonZeile5,7)+INDEX(KonSpalte3,7)+INDEX(KonFeld9,7)=0),7,0))</f>
        <v>-1</v>
      </c>
      <c r="BW175" s="45">
        <f>IF($V$99="x",-1,IF(AND($V$99=0,INDEX(KonZeile5,8)+INDEX(KonSpalte3,8)+INDEX(KonFeld9,8)=0),8,0))</f>
        <v>-1</v>
      </c>
      <c r="BX175" s="48">
        <f>IF($V$99="x",-1,IF(AND($V$99=0,INDEX(KonZeile5,9)+INDEX(KonSpalte3,9)+INDEX(KonFeld9,9)=0),9,0))</f>
        <v>-1</v>
      </c>
      <c r="BY175" s="44">
        <f>IF($W$99="x",-1,IF(AND($W$99=0,INDEX(KonZeile5,7)+INDEX(KonSpalte4,7)+INDEX(KonFeld9,7)=0),7,0))</f>
        <v>-1</v>
      </c>
      <c r="BZ175" s="45">
        <f>IF($W$99="x",-1,IF(AND($W$99=0,INDEX(KonZeile5,8)+INDEX(KonSpalte4,8)+INDEX(KonFeld9,8)=0),8,0))</f>
        <v>-1</v>
      </c>
      <c r="CA175" s="47">
        <f>IF($W$99="x",-1,IF(AND($W$99=0,INDEX(KonZeile5,9)+INDEX(KonSpalte4,9)+INDEX(KonFeld9,9)=0),9,0))</f>
        <v>-1</v>
      </c>
      <c r="CB175" s="46">
        <f>IF($X$99="x",-1,IF(AND($X$99=0,INDEX(KonZeile5,7)+INDEX(KonSpalte5,7)+INDEX(KonFeld9,7)=0),7,0))</f>
        <v>-1</v>
      </c>
      <c r="CC175" s="45">
        <f>IF($X$99="x",-1,IF(AND($X$99=0,INDEX(KonZeile5,8)+INDEX(KonSpalte5,8)+INDEX(KonFeld9,8)=0),8,0))</f>
        <v>-1</v>
      </c>
      <c r="CD175" s="47">
        <f>IF($X$99="x",-1,IF(AND($X$99=0,INDEX(KonZeile5,9)+INDEX(KonSpalte5,9)+INDEX(KonFeld9,9)=0),9,0))</f>
        <v>-1</v>
      </c>
      <c r="CE175" s="46">
        <f>IF($Y$99="x",-1,IF(AND($Y$99=0,INDEX(KonZeile5,7)+INDEX(KonSpalte6,7)+INDEX(KonFeld9,7)=0),7,0))</f>
        <v>-1</v>
      </c>
      <c r="CF175" s="45">
        <f>IF($Y$99="x",-1,IF(AND($Y$99=0,INDEX(KonZeile5,8)+INDEX(KonSpalte6,8)+INDEX(KonFeld9,8)=0),8,0))</f>
        <v>-1</v>
      </c>
      <c r="CG175" s="48">
        <f>IF($Y$99="x",-1,IF(AND($Y$99=0,INDEX(KonZeile5,9)+INDEX(KonSpalte6,9)+INDEX(KonFeld9,9)=0),9,0))</f>
        <v>-1</v>
      </c>
      <c r="CH175" s="44">
        <f>IF($Z$99="x",-1,IF(AND($Z$99=0,INDEX(KonZeile5,7)+INDEX(KonSpalte7,7)+INDEX(KonFeld9,7)=0),7,0))</f>
        <v>-1</v>
      </c>
      <c r="CI175" s="45">
        <f>IF($Z$99="x",-1,IF(AND($Z$99=0,INDEX(KonZeile5,8)+INDEX(KonSpalte7,8)+INDEX(KonFeld9,8)=0),8,0))</f>
        <v>-1</v>
      </c>
      <c r="CJ175" s="47">
        <f>IF($Z$99="x",-1,IF(AND($Z$99=0,INDEX(KonZeile5,9)+INDEX(KonSpalte7,9)+INDEX(KonFeld9,9)=0),9,0))</f>
        <v>-1</v>
      </c>
      <c r="CK175" s="46">
        <f>IF($AA$99="x",-1,IF(AND($AA$99=0,INDEX(KonZeile5,7)+INDEX(KonSpalte8,7)+INDEX(KonFeld9,7)=0),7,0))</f>
        <v>-1</v>
      </c>
      <c r="CL175" s="45">
        <f>IF($AA$99="x",-1,IF(AND($AA$99=0,INDEX(KonZeile5,8)+INDEX(KonSpalte8,8)+INDEX(KonFeld9,8)=0),8,0))</f>
        <v>-1</v>
      </c>
      <c r="CM175" s="47">
        <f>IF($AA$99="x",-1,IF(AND($AA$99=0,INDEX(KonZeile5,9)+INDEX(KonSpalte8,9)+INDEX(KonFeld9,9)=0),9,0))</f>
        <v>-1</v>
      </c>
      <c r="CN175" s="46">
        <f>IF($AB$99="x",-1,IF(AND($AB$99=0,INDEX(KonZeile5,7)+INDEX(KonSpalte9,7)+INDEX(KonFeld9,7)=0),7,0))</f>
        <v>-1</v>
      </c>
      <c r="CO175" s="45">
        <f>IF($AB$99="x",-1,IF(AND($AB$99=0,INDEX(KonZeile5,8)+INDEX(KonSpalte9,8)+INDEX(KonFeld9,8)=0),8,0))</f>
        <v>-1</v>
      </c>
      <c r="CP175" s="100">
        <f>IF($AB$99="x",-1,IF(AND($AB$99=0,INDEX(KonZeile5,9)+INDEX(KonSpalte9,9)+INDEX(KonFeld9,9)=0),9,0))</f>
        <v>-1</v>
      </c>
      <c r="CR175" s="46">
        <f>COUNTIF(N175:CP175,7)</f>
        <v>0</v>
      </c>
      <c r="CS175" s="45">
        <f>COUNTIF(N175:CP175,8)</f>
        <v>0</v>
      </c>
      <c r="CT175" s="47">
        <f>COUNTIF(N175:CP175,9)</f>
        <v>0</v>
      </c>
      <c r="CU175" s="39"/>
      <c r="CV175" s="39"/>
      <c r="CX175" s="78">
        <f t="shared" si="359"/>
        <v>0</v>
      </c>
      <c r="CY175" s="79">
        <f t="shared" si="359"/>
        <v>0</v>
      </c>
      <c r="CZ175" s="80">
        <f t="shared" si="359"/>
        <v>0</v>
      </c>
      <c r="DJ175" s="106">
        <f t="shared" si="271"/>
        <v>-1</v>
      </c>
      <c r="DK175" s="55">
        <f t="shared" si="272"/>
        <v>-1</v>
      </c>
      <c r="DL175" s="56">
        <f t="shared" si="273"/>
        <v>-1</v>
      </c>
      <c r="DM175" s="57">
        <f t="shared" si="274"/>
        <v>-1</v>
      </c>
      <c r="DN175" s="55">
        <f t="shared" si="275"/>
        <v>-1</v>
      </c>
      <c r="DO175" s="56">
        <f t="shared" si="276"/>
        <v>-1</v>
      </c>
      <c r="DP175" s="57">
        <f t="shared" si="277"/>
        <v>-1</v>
      </c>
      <c r="DQ175" s="55">
        <f t="shared" si="278"/>
        <v>-1</v>
      </c>
      <c r="DR175" s="58">
        <f t="shared" si="279"/>
        <v>-1</v>
      </c>
      <c r="DS175" s="54">
        <f t="shared" si="280"/>
        <v>-1</v>
      </c>
      <c r="DT175" s="55">
        <f t="shared" si="281"/>
        <v>-1</v>
      </c>
      <c r="DU175" s="56">
        <f t="shared" si="282"/>
        <v>-1</v>
      </c>
      <c r="DV175" s="57">
        <f t="shared" si="283"/>
        <v>-1</v>
      </c>
      <c r="DW175" s="55">
        <f t="shared" si="284"/>
        <v>-1</v>
      </c>
      <c r="DX175" s="56">
        <f t="shared" si="285"/>
        <v>-1</v>
      </c>
      <c r="DY175" s="57">
        <f t="shared" si="286"/>
        <v>-1</v>
      </c>
      <c r="DZ175" s="55">
        <f t="shared" si="287"/>
        <v>-1</v>
      </c>
      <c r="EA175" s="58">
        <f t="shared" si="288"/>
        <v>-1</v>
      </c>
      <c r="EB175" s="54">
        <f t="shared" si="289"/>
        <v>-1</v>
      </c>
      <c r="EC175" s="55">
        <f t="shared" si="290"/>
        <v>-1</v>
      </c>
      <c r="ED175" s="56">
        <f t="shared" si="291"/>
        <v>-1</v>
      </c>
      <c r="EE175" s="57">
        <f t="shared" si="292"/>
        <v>-1</v>
      </c>
      <c r="EF175" s="55">
        <f t="shared" si="293"/>
        <v>-1</v>
      </c>
      <c r="EG175" s="56">
        <f t="shared" si="294"/>
        <v>-1</v>
      </c>
      <c r="EH175" s="57">
        <f t="shared" si="295"/>
        <v>-1</v>
      </c>
      <c r="EI175" s="55">
        <f t="shared" si="296"/>
        <v>-1</v>
      </c>
      <c r="EJ175" s="107">
        <f t="shared" si="297"/>
        <v>-1</v>
      </c>
      <c r="EK175" s="106">
        <f t="shared" si="298"/>
        <v>-1</v>
      </c>
      <c r="EL175" s="55">
        <f t="shared" si="299"/>
        <v>-1</v>
      </c>
      <c r="EM175" s="56">
        <f t="shared" si="300"/>
        <v>-1</v>
      </c>
      <c r="EN175" s="57">
        <f t="shared" si="301"/>
        <v>0</v>
      </c>
      <c r="EO175" s="55">
        <f t="shared" si="302"/>
        <v>0</v>
      </c>
      <c r="EP175" s="56">
        <f t="shared" si="303"/>
        <v>0</v>
      </c>
      <c r="EQ175" s="57">
        <f t="shared" si="304"/>
        <v>-1</v>
      </c>
      <c r="ER175" s="55">
        <f t="shared" si="305"/>
        <v>-1</v>
      </c>
      <c r="ES175" s="58">
        <f t="shared" si="306"/>
        <v>-1</v>
      </c>
      <c r="ET175" s="54">
        <f t="shared" si="307"/>
        <v>0</v>
      </c>
      <c r="EU175" s="55">
        <f t="shared" si="308"/>
        <v>0</v>
      </c>
      <c r="EV175" s="56">
        <f t="shared" si="309"/>
        <v>0</v>
      </c>
      <c r="EW175" s="57">
        <f t="shared" si="310"/>
        <v>0</v>
      </c>
      <c r="EX175" s="55">
        <f t="shared" si="311"/>
        <v>0</v>
      </c>
      <c r="EY175" s="56">
        <f t="shared" si="312"/>
        <v>0</v>
      </c>
      <c r="EZ175" s="57">
        <f t="shared" si="313"/>
        <v>-1</v>
      </c>
      <c r="FA175" s="55">
        <f t="shared" si="314"/>
        <v>-1</v>
      </c>
      <c r="FB175" s="58">
        <f t="shared" si="315"/>
        <v>-1</v>
      </c>
      <c r="FC175" s="54">
        <f t="shared" si="316"/>
        <v>-1</v>
      </c>
      <c r="FD175" s="55">
        <f t="shared" si="317"/>
        <v>-1</v>
      </c>
      <c r="FE175" s="56">
        <f t="shared" si="318"/>
        <v>-1</v>
      </c>
      <c r="FF175" s="57">
        <f t="shared" si="319"/>
        <v>-1</v>
      </c>
      <c r="FG175" s="55">
        <f t="shared" si="320"/>
        <v>-1</v>
      </c>
      <c r="FH175" s="56">
        <f t="shared" si="321"/>
        <v>-1</v>
      </c>
      <c r="FI175" s="57">
        <f t="shared" si="322"/>
        <v>-1</v>
      </c>
      <c r="FJ175" s="55">
        <f t="shared" si="323"/>
        <v>-1</v>
      </c>
      <c r="FK175" s="107">
        <f t="shared" si="324"/>
        <v>-1</v>
      </c>
      <c r="FL175" s="106">
        <f t="shared" si="325"/>
        <v>-1</v>
      </c>
      <c r="FM175" s="55">
        <f t="shared" si="326"/>
        <v>-1</v>
      </c>
      <c r="FN175" s="56">
        <f t="shared" si="327"/>
        <v>-1</v>
      </c>
      <c r="FO175" s="57">
        <f t="shared" si="328"/>
        <v>-1</v>
      </c>
      <c r="FP175" s="55">
        <f t="shared" si="329"/>
        <v>-1</v>
      </c>
      <c r="FQ175" s="56">
        <f t="shared" si="330"/>
        <v>-1</v>
      </c>
      <c r="FR175" s="57">
        <f t="shared" si="331"/>
        <v>-1</v>
      </c>
      <c r="FS175" s="55">
        <f t="shared" si="332"/>
        <v>-1</v>
      </c>
      <c r="FT175" s="58">
        <f t="shared" si="333"/>
        <v>-1</v>
      </c>
      <c r="FU175" s="54">
        <f t="shared" si="334"/>
        <v>-1</v>
      </c>
      <c r="FV175" s="55">
        <f t="shared" si="335"/>
        <v>-1</v>
      </c>
      <c r="FW175" s="56">
        <f t="shared" si="336"/>
        <v>-1</v>
      </c>
      <c r="FX175" s="57">
        <f t="shared" si="337"/>
        <v>-1</v>
      </c>
      <c r="FY175" s="55">
        <f t="shared" si="338"/>
        <v>-1</v>
      </c>
      <c r="FZ175" s="56">
        <f t="shared" si="339"/>
        <v>-1</v>
      </c>
      <c r="GA175" s="57">
        <f t="shared" si="340"/>
        <v>-1</v>
      </c>
      <c r="GB175" s="55">
        <f t="shared" si="341"/>
        <v>-1</v>
      </c>
      <c r="GC175" s="58">
        <f t="shared" si="342"/>
        <v>-1</v>
      </c>
      <c r="GD175" s="54">
        <f t="shared" si="343"/>
        <v>0</v>
      </c>
      <c r="GE175" s="55">
        <f t="shared" si="344"/>
        <v>0</v>
      </c>
      <c r="GF175" s="56">
        <f t="shared" si="345"/>
        <v>0</v>
      </c>
      <c r="GG175" s="57">
        <f t="shared" si="346"/>
        <v>-1</v>
      </c>
      <c r="GH175" s="55">
        <f t="shared" si="347"/>
        <v>-1</v>
      </c>
      <c r="GI175" s="56">
        <f t="shared" si="348"/>
        <v>-1</v>
      </c>
      <c r="GJ175" s="57">
        <f t="shared" si="349"/>
        <v>-1</v>
      </c>
      <c r="GK175" s="55">
        <f t="shared" si="350"/>
        <v>-1</v>
      </c>
      <c r="GL175" s="107">
        <f t="shared" si="351"/>
        <v>-1</v>
      </c>
      <c r="GN175" s="46">
        <f>COUNTIF(DJ175:GL175,7)</f>
        <v>0</v>
      </c>
      <c r="GO175" s="45">
        <f>COUNTIF(DJ175:GL175,8)</f>
        <v>0</v>
      </c>
      <c r="GP175" s="47">
        <f>COUNTIF(DJ175:GL175,9)</f>
        <v>0</v>
      </c>
      <c r="GQ175" s="39"/>
      <c r="GR175" s="39"/>
      <c r="GT175" s="78">
        <f t="shared" ref="GT175:GV175" si="361">GT148</f>
        <v>1</v>
      </c>
      <c r="GU175" s="79">
        <f t="shared" si="361"/>
        <v>0</v>
      </c>
      <c r="GV175" s="80">
        <f t="shared" si="361"/>
        <v>0</v>
      </c>
    </row>
    <row r="176" spans="14:204" ht="15" customHeight="1">
      <c r="N176" s="104">
        <f>IF($B$100="x",-1,IF(AND($B$100=0,INDEX(KonZeile6,1)+INDEX(KonSpalte1,1)+INDEX(KonFeld7,1)=0),1,0))</f>
        <v>-1</v>
      </c>
      <c r="O176" s="50">
        <f>IF($B$100="x",-1,IF(AND($B$100=0,INDEX(KonZeile6,2)+INDEX(KonSpalte1,2)+INDEX(KonFeld7,2)=0),2,0))</f>
        <v>-1</v>
      </c>
      <c r="P176" s="51">
        <f>IF($B$100="x",-1,IF(AND($B$100=0,INDEX(KonZeile6,3)+INDEX(KonSpalte1,3)+INDEX(KonFeld7,3)=0),3,0))</f>
        <v>-1</v>
      </c>
      <c r="Q176" s="52">
        <f>IF($C$100="x",-1,IF(AND($C$100=0,INDEX(KonZeile6,1)+INDEX(KonSpalte2,1)+INDEX(KonFeld7,1)=0),1,0))</f>
        <v>-1</v>
      </c>
      <c r="R176" s="50">
        <f>IF($C$100="x",-1,IF(AND($C$100=0,INDEX(KonZeile6,2)+INDEX(KonSpalte2,2)+INDEX(KonFeld7,2)=0),2,0))</f>
        <v>-1</v>
      </c>
      <c r="S176" s="51">
        <f>IF($C$100="x",-1,IF(AND($C$100=0,INDEX(KonZeile6,3)+INDEX(KonSpalte2,3)+INDEX(KonFeld7,3)=0),3,0))</f>
        <v>-1</v>
      </c>
      <c r="T176" s="52">
        <f>IF($D$100="x",-1,IF(AND($D$100=0,INDEX(KonZeile6,1)+INDEX(KonSpalte3,1)+INDEX(KonFeld7,1)=0),1,0))</f>
        <v>-1</v>
      </c>
      <c r="U176" s="50">
        <f>IF($D$100="x",-1,IF(AND($D$100=0,INDEX(KonZeile6,2)+INDEX(KonSpalte3,2)+INDEX(KonFeld7,2)=0),2,0))</f>
        <v>-1</v>
      </c>
      <c r="V176" s="53">
        <f>IF($D$100="x",-1,IF(AND($D$100=0,INDEX(KonZeile6,3)+INDEX(KonSpalte3,3)+INDEX(KonFeld7,3)=0),3,0))</f>
        <v>-1</v>
      </c>
      <c r="W176" s="49">
        <f>IF($E$100="x",-1,IF(AND($E$100=0,INDEX(KonZeile6,1)+INDEX(KonSpalte4,1)+INDEX(KonFeld7,1)=0),1,0))</f>
        <v>-1</v>
      </c>
      <c r="X176" s="50">
        <f>IF($E$100="x",-1,IF(AND($E$100=0,INDEX(KonZeile6,2)+INDEX(KonSpalte4,2)+INDEX(KonFeld7,2)=0),2,0))</f>
        <v>-1</v>
      </c>
      <c r="Y176" s="51">
        <f>IF($E$100="x",-1,IF(AND($E$100=0,INDEX(KonZeile6,3)+INDEX(KonSpalte4,3)+INDEX(KonFeld7,3)=0),3,0))</f>
        <v>-1</v>
      </c>
      <c r="Z176" s="52">
        <f>IF($F$100="x",-1,IF(AND($F$100=0,INDEX(KonZeile6,1)+INDEX(KonSpalte5,1)+INDEX(KonFeld7,1)=0),1,0))</f>
        <v>-1</v>
      </c>
      <c r="AA176" s="50">
        <f>IF($F$100="x",-1,IF(AND($F$100=0,INDEX(KonZeile6,2)+INDEX(KonSpalte5,2)+INDEX(KonFeld7,2)=0),2,0))</f>
        <v>-1</v>
      </c>
      <c r="AB176" s="51">
        <f>IF($F$100="x",-1,IF(AND($F$100=0,INDEX(KonZeile6,3)+INDEX(KonSpalte5,3)+INDEX(KonFeld7,3)=0),3,0))</f>
        <v>-1</v>
      </c>
      <c r="AC176" s="52">
        <f>IF($G$100="x",-1,IF(AND($G$100=0,INDEX(KonZeile6,1)+INDEX(KonSpalte6,1)+INDEX(KonFeld7,1)=0),1,0))</f>
        <v>-1</v>
      </c>
      <c r="AD176" s="50">
        <f>IF($G$100="x",-1,IF(AND($G$100=0,INDEX(KonZeile6,2)+INDEX(KonSpalte6,2)+INDEX(KonFeld7,2)=0),2,0))</f>
        <v>-1</v>
      </c>
      <c r="AE176" s="53">
        <f>IF($G$100="x",-1,IF(AND($G$100=0,INDEX(KonZeile6,3)+INDEX(KonSpalte6,3)+INDEX(KonFeld7,3)=0),3,0))</f>
        <v>-1</v>
      </c>
      <c r="AF176" s="49">
        <f>IF($H$100="x",-1,IF(AND($H$100=0,INDEX(KonZeile6,1)+INDEX(KonSpalte7,1)+INDEX(KonFeld7,1)=0),1,0))</f>
        <v>-1</v>
      </c>
      <c r="AG176" s="50">
        <f>IF($H$100="x",-1,IF(AND($H$100=0,INDEX(KonZeile6,2)+INDEX(KonSpalte7,2)+INDEX(KonFeld7,2)=0),2,0))</f>
        <v>-1</v>
      </c>
      <c r="AH176" s="51">
        <f>IF($H$100="x",-1,IF(AND($H$100=0,INDEX(KonZeile6,3)+INDEX(KonSpalte7,3)+INDEX(KonFeld7,3)=0),3,0))</f>
        <v>-1</v>
      </c>
      <c r="AI176" s="52">
        <f>IF($I$100="x",-1,IF(AND($I$100=0,INDEX(KonZeile6,1)+INDEX(KonSpalte8,1)+INDEX(KonFeld7,1)=0),1,0))</f>
        <v>-1</v>
      </c>
      <c r="AJ176" s="50">
        <f>IF($I$100="x",-1,IF(AND($I$100=0,INDEX(KonZeile6,2)+INDEX(KonSpalte8,2)+INDEX(KonFeld7,2)=0),2,0))</f>
        <v>-1</v>
      </c>
      <c r="AK176" s="51">
        <f>IF($I$100="x",-1,IF(AND($I$100=0,INDEX(KonZeile6,3)+INDEX(KonSpalte8,3)+INDEX(KonFeld7,3)=0),3,0))</f>
        <v>-1</v>
      </c>
      <c r="AL176" s="52">
        <f>IF($J$100="x",-1,IF(AND($J$100=0,INDEX(KonZeile6,1)+INDEX(KonSpalte9,1)+INDEX(KonFeld7,1)=0),1,0))</f>
        <v>-1</v>
      </c>
      <c r="AM176" s="50">
        <f>IF($J$100="x",-1,IF(AND($J$100=0,INDEX(KonZeile6,2)+INDEX(KonSpalte9,2)+INDEX(KonFeld7,2)=0),2,0))</f>
        <v>-1</v>
      </c>
      <c r="AN176" s="105">
        <f>IF($J$100="x",-1,IF(AND($J$100=0,INDEX(KonZeile6,3)+INDEX(KonSpalte9,3)+INDEX(KonFeld7,3)=0),3,0))</f>
        <v>-1</v>
      </c>
      <c r="AO176" s="104">
        <f>IF($K$100="x",-1,IF(AND($K$100=0,INDEX(KonZeile6,1)+INDEX(KonSpalte1,1)+INDEX(KonFeld8,1)=0),1,0))</f>
        <v>-1</v>
      </c>
      <c r="AP176" s="50">
        <f>IF($K$100="x",-1,IF(AND($K$100=0,INDEX(KonZeile6,2)+INDEX(KonSpalte1,2)+INDEX(KonFeld8,2)=0),2,0))</f>
        <v>-1</v>
      </c>
      <c r="AQ176" s="51">
        <f>IF($K$100="x",-1,IF(AND($K$100=0,INDEX(KonZeile6,3)+INDEX(KonSpalte1,3)+INDEX(KonFeld8,3)=0),3,0))</f>
        <v>-1</v>
      </c>
      <c r="AR176" s="52">
        <f>IF($L$100="x",-1,IF(AND($L$100=0,INDEX(KonZeile6,1)+INDEX(KonSpalte2,1)+INDEX(KonFeld8,1)=0),1,0))</f>
        <v>-1</v>
      </c>
      <c r="AS176" s="50">
        <f>IF($L$100="x",-1,IF(AND($L$100=0,INDEX(KonZeile6,2)+INDEX(KonSpalte2,2)+INDEX(KonFeld8,2)=0),2,0))</f>
        <v>-1</v>
      </c>
      <c r="AT176" s="51">
        <f>IF($L$100="x",-1,IF(AND($L$100=0,INDEX(KonZeile6,3)+INDEX(KonSpalte2,3)+INDEX(KonFeld8,3)=0),3,0))</f>
        <v>-1</v>
      </c>
      <c r="AU176" s="52">
        <f>IF($M$100="x",-1,IF(AND($M$100=0,INDEX(KonZeile6,1)+INDEX(KonSpalte3,1)+INDEX(KonFeld8,1)=0),1,0))</f>
        <v>-1</v>
      </c>
      <c r="AV176" s="50">
        <f>IF($M$100="x",-1,IF(AND($M$100=0,INDEX(KonZeile6,2)+INDEX(KonSpalte3,2)+INDEX(KonFeld8,2)=0),2,0))</f>
        <v>-1</v>
      </c>
      <c r="AW176" s="53">
        <f>IF($M$100="x",-1,IF(AND($M$100=0,INDEX(KonZeile6,3)+INDEX(KonSpalte3,3)+INDEX(KonFeld8,3)=0),3,0))</f>
        <v>-1</v>
      </c>
      <c r="AX176" s="49">
        <f>IF($N$100="x",-1,IF(AND($N$100=0,INDEX(KonZeile6,1)+INDEX(KonSpalte4,1)+INDEX(KonFeld8,1)=0),1,0))</f>
        <v>-1</v>
      </c>
      <c r="AY176" s="50">
        <f>IF($N$100="x",-1,IF(AND($N$100=0,INDEX(KonZeile6,2)+INDEX(KonSpalte4,2)+INDEX(KonFeld8,2)=0),2,0))</f>
        <v>-1</v>
      </c>
      <c r="AZ176" s="51">
        <f>IF($N$100="x",-1,IF(AND($N$100=0,INDEX(KonZeile6,3)+INDEX(KonSpalte4,3)+INDEX(KonFeld8,3)=0),3,0))</f>
        <v>-1</v>
      </c>
      <c r="BA176" s="52">
        <f>IF($O$100="x",-1,IF(AND($O$100=0,INDEX(KonZeile6,1)+INDEX(KonSpalte5,1)+INDEX(KonFeld8,1)=0),1,0))</f>
        <v>0</v>
      </c>
      <c r="BB176" s="50">
        <f>IF($O$100="x",-1,IF(AND($O$100=0,INDEX(KonZeile6,2)+INDEX(KonSpalte5,2)+INDEX(KonFeld8,2)=0),2,0))</f>
        <v>0</v>
      </c>
      <c r="BC176" s="51">
        <f>IF($O$100="x",-1,IF(AND($O$100=0,INDEX(KonZeile6,3)+INDEX(KonSpalte5,3)+INDEX(KonFeld8,3)=0),3,0))</f>
        <v>0</v>
      </c>
      <c r="BD176" s="52">
        <f>IF($P$100="x",-1,IF(AND($P$100=0,INDEX(KonZeile6,1)+INDEX(KonSpalte6,1)+INDEX(KonFeld8,1)=0),1,0))</f>
        <v>0</v>
      </c>
      <c r="BE176" s="50">
        <f>IF($P$100="x",-1,IF(AND($P$100=0,INDEX(KonZeile6,2)+INDEX(KonSpalte6,2)+INDEX(KonFeld8,2)=0),2,0))</f>
        <v>0</v>
      </c>
      <c r="BF176" s="53">
        <f>IF($P$100="x",-1,IF(AND($P$100=0,INDEX(KonZeile6,3)+INDEX(KonSpalte6,3)+INDEX(KonFeld8,3)=0),3,0))</f>
        <v>0</v>
      </c>
      <c r="BG176" s="49">
        <f>IF($Q$100="x",-1,IF(AND($Q$100=0,INDEX(KonZeile6,1)+INDEX(KonSpalte7,1)+INDEX(KonFeld8,1)=0),1,0))</f>
        <v>0</v>
      </c>
      <c r="BH176" s="50">
        <f>IF($Q$100="x",-1,IF(AND($Q$100=0,INDEX(KonZeile6,2)+INDEX(KonSpalte7,2)+INDEX(KonFeld8,2)=0),2,0))</f>
        <v>0</v>
      </c>
      <c r="BI176" s="51">
        <f>IF($Q$100="x",-1,IF(AND($Q$100=0,INDEX(KonZeile6,3)+INDEX(KonSpalte7,3)+INDEX(KonFeld8,3)=0),3,0))</f>
        <v>0</v>
      </c>
      <c r="BJ176" s="52">
        <f>IF($R$100="x",-1,IF(AND($R$100=0,INDEX(KonZeile6,1)+INDEX(KonSpalte8,1)+INDEX(KonFeld8,1)=0),1,0))</f>
        <v>-1</v>
      </c>
      <c r="BK176" s="50">
        <f>IF($R$100="x",-1,IF(AND($R$100=0,INDEX(KonZeile6,2)+INDEX(KonSpalte8,2)+INDEX(KonFeld8,2)=0),2,0))</f>
        <v>-1</v>
      </c>
      <c r="BL176" s="51">
        <f>IF($R$100="x",-1,IF(AND($R$100=0,INDEX(KonZeile6,3)+INDEX(KonSpalte8,3)+INDEX(KonFeld8,3)=0),3,0))</f>
        <v>-1</v>
      </c>
      <c r="BM176" s="52">
        <f>IF($S$100="x",-1,IF(AND($S$100=0,INDEX(KonZeile6,1)+INDEX(KonSpalte9,1)+INDEX(KonFeld8,1)=0),1,0))</f>
        <v>-1</v>
      </c>
      <c r="BN176" s="50">
        <f>IF($S$100="x",-1,IF(AND($S$100=0,INDEX(KonZeile6,2)+INDEX(KonSpalte9,2)+INDEX(KonFeld8,2)=0),2,0))</f>
        <v>-1</v>
      </c>
      <c r="BO176" s="105">
        <f>IF($S$100="x",-1,IF(AND($S$100=0,INDEX(KonZeile6,3)+INDEX(KonSpalte9,3)+INDEX(KonFeld8,3)=0),3,0))</f>
        <v>-1</v>
      </c>
      <c r="BP176" s="104">
        <f>IF($T$100="x",-1,IF(AND($T$100=0,INDEX(KonZeile6,1)+INDEX(KonSpalte1,1)+INDEX(KonFeld9,1)=0),1,0))</f>
        <v>-1</v>
      </c>
      <c r="BQ176" s="50">
        <f>IF($T$100="x",-1,IF(AND($T$100=0,INDEX(KonZeile6,2)+INDEX(KonSpalte1,2)+INDEX(KonFeld9,2)=0),2,0))</f>
        <v>-1</v>
      </c>
      <c r="BR176" s="51">
        <f>IF($T$100="x",-1,IF(AND($T$100=0,INDEX(KonZeile6,3)+INDEX(KonSpalte1,3)+INDEX(KonFeld9,3)=0),3,0))</f>
        <v>-1</v>
      </c>
      <c r="BS176" s="52">
        <f>IF($U$100="x",-1,IF(AND($U$100=0,INDEX(KonZeile6,1)+INDEX(KonSpalte2,1)+INDEX(KonFeld9,1)=0),1,0))</f>
        <v>-1</v>
      </c>
      <c r="BT176" s="50">
        <f>IF($U$100="x",-1,IF(AND($U$100=0,INDEX(KonZeile6,2)+INDEX(KonSpalte2,2)+INDEX(KonFeld9,2)=0),2,0))</f>
        <v>-1</v>
      </c>
      <c r="BU176" s="51">
        <f>IF($U$100="x",-1,IF(AND($U$100=0,INDEX(KonZeile6,3)+INDEX(KonSpalte2,3)+INDEX(KonFeld9,3)=0),3,0))</f>
        <v>-1</v>
      </c>
      <c r="BV176" s="52">
        <f>IF($V$100="x",-1,IF(AND($V$100=0,INDEX(KonZeile6,1)+INDEX(KonSpalte3,1)+INDEX(KonFeld9,1)=0),1,0))</f>
        <v>-1</v>
      </c>
      <c r="BW176" s="50">
        <f>IF($V$100="x",-1,IF(AND($V$100=0,INDEX(KonZeile6,2)+INDEX(KonSpalte3,2)+INDEX(KonFeld9,2)=0),2,0))</f>
        <v>-1</v>
      </c>
      <c r="BX176" s="53">
        <f>IF($V$100="x",-1,IF(AND($V$100=0,INDEX(KonZeile6,3)+INDEX(KonSpalte3,3)+INDEX(KonFeld9,3)=0),3,0))</f>
        <v>-1</v>
      </c>
      <c r="BY176" s="49">
        <f>IF($W$100="x",-1,IF(AND($W$100=0,INDEX(KonZeile6,1)+INDEX(KonSpalte4,1)+INDEX(KonFeld9,1)=0),1,0))</f>
        <v>-1</v>
      </c>
      <c r="BZ176" s="50">
        <f>IF($W$100="x",-1,IF(AND($W$100=0,INDEX(KonZeile6,2)+INDEX(KonSpalte4,2)+INDEX(KonFeld9,2)=0),2,0))</f>
        <v>-1</v>
      </c>
      <c r="CA176" s="51">
        <f>IF($W$100="x",-1,IF(AND($W$100=0,INDEX(KonZeile6,3)+INDEX(KonSpalte4,3)+INDEX(KonFeld9,3)=0),3,0))</f>
        <v>-1</v>
      </c>
      <c r="CB176" s="52">
        <f>IF($X$100="x",-1,IF(AND($X$100=0,INDEX(KonZeile6,1)+INDEX(KonSpalte5,1)+INDEX(KonFeld9,1)=0),1,0))</f>
        <v>-1</v>
      </c>
      <c r="CC176" s="50">
        <f>IF($X$100="x",-1,IF(AND($X$100=0,INDEX(KonZeile6,2)+INDEX(KonSpalte5,2)+INDEX(KonFeld9,2)=0),2,0))</f>
        <v>-1</v>
      </c>
      <c r="CD176" s="51">
        <f>IF($X$100="x",-1,IF(AND($X$100=0,INDEX(KonZeile6,3)+INDEX(KonSpalte5,3)+INDEX(KonFeld9,3)=0),3,0))</f>
        <v>-1</v>
      </c>
      <c r="CE176" s="52">
        <f>IF($Y$100="x",-1,IF(AND($Y$100=0,INDEX(KonZeile6,1)+INDEX(KonSpalte6,1)+INDEX(KonFeld9,1)=0),1,0))</f>
        <v>-1</v>
      </c>
      <c r="CF176" s="50">
        <f>IF($Y$100="x",-1,IF(AND($Y$100=0,INDEX(KonZeile6,2)+INDEX(KonSpalte6,2)+INDEX(KonFeld9,2)=0),2,0))</f>
        <v>-1</v>
      </c>
      <c r="CG176" s="53">
        <f>IF($Y$100="x",-1,IF(AND($Y$100=0,INDEX(KonZeile6,3)+INDEX(KonSpalte6,3)+INDEX(KonFeld9,3)=0),3,0))</f>
        <v>-1</v>
      </c>
      <c r="CH176" s="49">
        <f>IF($Z$100="x",-1,IF(AND($Z$100=0,INDEX(KonZeile6,1)+INDEX(KonSpalte7,1)+INDEX(KonFeld9,1)=0),1,0))</f>
        <v>-1</v>
      </c>
      <c r="CI176" s="50">
        <f>IF($Z$100="x",-1,IF(AND($Z$100=0,INDEX(KonZeile6,2)+INDEX(KonSpalte7,2)+INDEX(KonFeld9,2)=0),2,0))</f>
        <v>-1</v>
      </c>
      <c r="CJ176" s="51">
        <f>IF($Z$100="x",-1,IF(AND($Z$100=0,INDEX(KonZeile6,3)+INDEX(KonSpalte7,3)+INDEX(KonFeld9,3)=0),3,0))</f>
        <v>-1</v>
      </c>
      <c r="CK176" s="52">
        <f>IF($AA$100="x",-1,IF(AND($AA$100=0,INDEX(KonZeile6,1)+INDEX(KonSpalte8,1)+INDEX(KonFeld9,1)=0),1,0))</f>
        <v>-1</v>
      </c>
      <c r="CL176" s="50">
        <f>IF($AA$100="x",-1,IF(AND($AA$100=0,INDEX(KonZeile6,2)+INDEX(KonSpalte8,2)+INDEX(KonFeld9,2)=0),2,0))</f>
        <v>-1</v>
      </c>
      <c r="CM176" s="51">
        <f>IF($AA$100="x",-1,IF(AND($AA$100=0,INDEX(KonZeile6,3)+INDEX(KonSpalte8,3)+INDEX(KonFeld9,3)=0),3,0))</f>
        <v>-1</v>
      </c>
      <c r="CN176" s="52">
        <f>IF($AB$100="x",-1,IF(AND($AB$100=0,INDEX(KonZeile6,1)+INDEX(KonSpalte9,1)+INDEX(KonFeld9,1)=0),1,0))</f>
        <v>-1</v>
      </c>
      <c r="CO176" s="50">
        <f>IF($AB$100="x",-1,IF(AND($AB$100=0,INDEX(KonZeile6,2)+INDEX(KonSpalte9,2)+INDEX(KonFeld9,2)=0),2,0))</f>
        <v>-1</v>
      </c>
      <c r="CP176" s="105">
        <f>IF($AB$100="x",-1,IF(AND($AB$100=0,INDEX(KonZeile6,3)+INDEX(KonSpalte9,3)+INDEX(KonFeld9,3)=0),3,0))</f>
        <v>-1</v>
      </c>
      <c r="CR176" s="52">
        <f>COUNTIF(N176:CP176,1)</f>
        <v>0</v>
      </c>
      <c r="CS176" s="50">
        <f>COUNTIF(N176:CP176,2)</f>
        <v>0</v>
      </c>
      <c r="CT176" s="51">
        <f>COUNTIF(N176:CP176,3)</f>
        <v>0</v>
      </c>
      <c r="CU176" s="39"/>
      <c r="CV176" s="39"/>
      <c r="CX176" s="65">
        <f t="shared" si="359"/>
        <v>0</v>
      </c>
      <c r="CY176" s="66">
        <f t="shared" si="359"/>
        <v>0</v>
      </c>
      <c r="CZ176" s="67">
        <f t="shared" si="359"/>
        <v>0</v>
      </c>
      <c r="DJ176" s="108">
        <f t="shared" si="271"/>
        <v>-1</v>
      </c>
      <c r="DK176" s="37">
        <f t="shared" si="272"/>
        <v>-1</v>
      </c>
      <c r="DL176" s="35">
        <f t="shared" si="273"/>
        <v>-1</v>
      </c>
      <c r="DM176" s="36">
        <f t="shared" si="274"/>
        <v>-1</v>
      </c>
      <c r="DN176" s="37">
        <f t="shared" si="275"/>
        <v>-1</v>
      </c>
      <c r="DO176" s="35">
        <f t="shared" si="276"/>
        <v>-1</v>
      </c>
      <c r="DP176" s="36">
        <f t="shared" si="277"/>
        <v>-1</v>
      </c>
      <c r="DQ176" s="37">
        <f t="shared" si="278"/>
        <v>-1</v>
      </c>
      <c r="DR176" s="38">
        <f t="shared" si="279"/>
        <v>-1</v>
      </c>
      <c r="DS176" s="416">
        <f t="shared" si="280"/>
        <v>-1</v>
      </c>
      <c r="DT176" s="37">
        <f t="shared" si="281"/>
        <v>-1</v>
      </c>
      <c r="DU176" s="35">
        <f t="shared" si="282"/>
        <v>-1</v>
      </c>
      <c r="DV176" s="36">
        <f t="shared" si="283"/>
        <v>-1</v>
      </c>
      <c r="DW176" s="37">
        <f t="shared" si="284"/>
        <v>-1</v>
      </c>
      <c r="DX176" s="35">
        <f t="shared" si="285"/>
        <v>-1</v>
      </c>
      <c r="DY176" s="36">
        <f t="shared" si="286"/>
        <v>-1</v>
      </c>
      <c r="DZ176" s="37">
        <f t="shared" si="287"/>
        <v>-1</v>
      </c>
      <c r="EA176" s="38">
        <f t="shared" si="288"/>
        <v>-1</v>
      </c>
      <c r="EB176" s="416">
        <f t="shared" si="289"/>
        <v>-1</v>
      </c>
      <c r="EC176" s="37">
        <f t="shared" si="290"/>
        <v>-1</v>
      </c>
      <c r="ED176" s="35">
        <f t="shared" si="291"/>
        <v>-1</v>
      </c>
      <c r="EE176" s="36">
        <f t="shared" si="292"/>
        <v>-1</v>
      </c>
      <c r="EF176" s="37">
        <f t="shared" si="293"/>
        <v>-1</v>
      </c>
      <c r="EG176" s="35">
        <f t="shared" si="294"/>
        <v>-1</v>
      </c>
      <c r="EH176" s="36">
        <f t="shared" si="295"/>
        <v>-1</v>
      </c>
      <c r="EI176" s="37">
        <f t="shared" si="296"/>
        <v>-1</v>
      </c>
      <c r="EJ176" s="109">
        <f t="shared" si="297"/>
        <v>-1</v>
      </c>
      <c r="EK176" s="108">
        <f t="shared" si="298"/>
        <v>-1</v>
      </c>
      <c r="EL176" s="37">
        <f t="shared" si="299"/>
        <v>-1</v>
      </c>
      <c r="EM176" s="35">
        <f t="shared" si="300"/>
        <v>-1</v>
      </c>
      <c r="EN176" s="36">
        <f t="shared" si="301"/>
        <v>-1</v>
      </c>
      <c r="EO176" s="37">
        <f t="shared" si="302"/>
        <v>-1</v>
      </c>
      <c r="EP176" s="35">
        <f t="shared" si="303"/>
        <v>-1</v>
      </c>
      <c r="EQ176" s="36">
        <f t="shared" si="304"/>
        <v>0</v>
      </c>
      <c r="ER176" s="37">
        <f t="shared" si="305"/>
        <v>0</v>
      </c>
      <c r="ES176" s="38">
        <f t="shared" si="306"/>
        <v>0</v>
      </c>
      <c r="ET176" s="416">
        <f t="shared" si="307"/>
        <v>-1</v>
      </c>
      <c r="EU176" s="37">
        <f t="shared" si="308"/>
        <v>-1</v>
      </c>
      <c r="EV176" s="35">
        <f t="shared" si="309"/>
        <v>-1</v>
      </c>
      <c r="EW176" s="36">
        <f t="shared" si="310"/>
        <v>-1</v>
      </c>
      <c r="EX176" s="37">
        <f t="shared" si="311"/>
        <v>-1</v>
      </c>
      <c r="EY176" s="35">
        <f t="shared" si="312"/>
        <v>-1</v>
      </c>
      <c r="EZ176" s="36">
        <f t="shared" si="313"/>
        <v>1</v>
      </c>
      <c r="FA176" s="37">
        <f t="shared" si="314"/>
        <v>2</v>
      </c>
      <c r="FB176" s="38">
        <f t="shared" si="315"/>
        <v>0</v>
      </c>
      <c r="FC176" s="416">
        <f t="shared" si="316"/>
        <v>-1</v>
      </c>
      <c r="FD176" s="37">
        <f t="shared" si="317"/>
        <v>-1</v>
      </c>
      <c r="FE176" s="35">
        <f t="shared" si="318"/>
        <v>-1</v>
      </c>
      <c r="FF176" s="36">
        <f t="shared" si="319"/>
        <v>-1</v>
      </c>
      <c r="FG176" s="37">
        <f t="shared" si="320"/>
        <v>-1</v>
      </c>
      <c r="FH176" s="35">
        <f t="shared" si="321"/>
        <v>-1</v>
      </c>
      <c r="FI176" s="36">
        <f t="shared" si="322"/>
        <v>-1</v>
      </c>
      <c r="FJ176" s="37">
        <f t="shared" si="323"/>
        <v>-1</v>
      </c>
      <c r="FK176" s="109">
        <f t="shared" si="324"/>
        <v>-1</v>
      </c>
      <c r="FL176" s="108">
        <f t="shared" si="325"/>
        <v>-1</v>
      </c>
      <c r="FM176" s="37">
        <f t="shared" si="326"/>
        <v>-1</v>
      </c>
      <c r="FN176" s="35">
        <f t="shared" si="327"/>
        <v>-1</v>
      </c>
      <c r="FO176" s="36">
        <f t="shared" si="328"/>
        <v>-1</v>
      </c>
      <c r="FP176" s="37">
        <f t="shared" si="329"/>
        <v>-1</v>
      </c>
      <c r="FQ176" s="35">
        <f t="shared" si="330"/>
        <v>-1</v>
      </c>
      <c r="FR176" s="36">
        <f t="shared" si="331"/>
        <v>-1</v>
      </c>
      <c r="FS176" s="37">
        <f t="shared" si="332"/>
        <v>-1</v>
      </c>
      <c r="FT176" s="38">
        <f t="shared" si="333"/>
        <v>-1</v>
      </c>
      <c r="FU176" s="416">
        <f t="shared" si="334"/>
        <v>-1</v>
      </c>
      <c r="FV176" s="37">
        <f t="shared" si="335"/>
        <v>-1</v>
      </c>
      <c r="FW176" s="35">
        <f t="shared" si="336"/>
        <v>-1</v>
      </c>
      <c r="FX176" s="36">
        <f t="shared" si="337"/>
        <v>-1</v>
      </c>
      <c r="FY176" s="37">
        <f t="shared" si="338"/>
        <v>-1</v>
      </c>
      <c r="FZ176" s="35">
        <f t="shared" si="339"/>
        <v>-1</v>
      </c>
      <c r="GA176" s="36">
        <f t="shared" si="340"/>
        <v>-1</v>
      </c>
      <c r="GB176" s="37">
        <f t="shared" si="341"/>
        <v>-1</v>
      </c>
      <c r="GC176" s="38">
        <f t="shared" si="342"/>
        <v>-1</v>
      </c>
      <c r="GD176" s="416">
        <f t="shared" si="343"/>
        <v>1</v>
      </c>
      <c r="GE176" s="37">
        <f t="shared" si="344"/>
        <v>0</v>
      </c>
      <c r="GF176" s="35">
        <f t="shared" si="345"/>
        <v>3</v>
      </c>
      <c r="GG176" s="36">
        <f t="shared" si="346"/>
        <v>-1</v>
      </c>
      <c r="GH176" s="37">
        <f t="shared" si="347"/>
        <v>-1</v>
      </c>
      <c r="GI176" s="35">
        <f t="shared" si="348"/>
        <v>-1</v>
      </c>
      <c r="GJ176" s="36">
        <f t="shared" si="349"/>
        <v>-1</v>
      </c>
      <c r="GK176" s="37">
        <f t="shared" si="350"/>
        <v>-1</v>
      </c>
      <c r="GL176" s="109">
        <f t="shared" si="351"/>
        <v>-1</v>
      </c>
      <c r="GN176" s="52">
        <f>COUNTIF(DJ176:GL176,1)</f>
        <v>2</v>
      </c>
      <c r="GO176" s="50">
        <f>COUNTIF(DJ176:GL176,2)</f>
        <v>1</v>
      </c>
      <c r="GP176" s="51">
        <f>COUNTIF(DJ176:GL176,3)</f>
        <v>1</v>
      </c>
      <c r="GQ176" s="39"/>
      <c r="GR176" s="39"/>
      <c r="GT176" s="65">
        <f t="shared" ref="GT176:GV176" si="362">GT149</f>
        <v>5</v>
      </c>
      <c r="GU176" s="66">
        <f t="shared" si="362"/>
        <v>5</v>
      </c>
      <c r="GV176" s="67">
        <f t="shared" si="362"/>
        <v>4</v>
      </c>
    </row>
    <row r="177" spans="9:204" ht="15" customHeight="1">
      <c r="N177" s="94">
        <f>IF($B$100="x",-1,IF(AND($B$100=0,INDEX(KonZeile6,4)+INDEX(KonSpalte1,4)+INDEX(KonFeld7,4)=0),4,0))</f>
        <v>-1</v>
      </c>
      <c r="O177" s="39">
        <f>IF($B$100="x",-1,IF(AND($B$100=0,INDEX(KonZeile6,5)+INDEX(KonSpalte1,5)+INDEX(KonFeld7,5)=0),5,0))</f>
        <v>-1</v>
      </c>
      <c r="P177" s="41">
        <f>IF($B$100="x",-1,IF(AND($B$100=0,INDEX(KonZeile6,6)+INDEX(KonSpalte1,6)+INDEX(KonFeld7,6)=0),6,0))</f>
        <v>-1</v>
      </c>
      <c r="Q177" s="40">
        <f>IF($C$100="x",-1,IF(AND($C$100=0,INDEX(KonZeile6,4)+INDEX(KonSpalte2,4)+INDEX(KonFeld7,4)=0),4,0))</f>
        <v>-1</v>
      </c>
      <c r="R177" s="39">
        <f>IF($C$100="x",-1,IF(AND($C$100=0,INDEX(KonZeile6,5)+INDEX(KonSpalte2,5)+INDEX(KonFeld7,5)=0),5,0))</f>
        <v>-1</v>
      </c>
      <c r="S177" s="41">
        <f>IF($C$100="x",-1,IF(AND($C$100=0,INDEX(KonZeile6,6)+INDEX(KonSpalte2,6)+INDEX(KonFeld7,6)=0),6,0))</f>
        <v>-1</v>
      </c>
      <c r="T177" s="40">
        <f>IF($D$100="x",-1,IF(AND($D$100=0,INDEX(KonZeile6,4)+INDEX(KonSpalte3,4)+INDEX(KonFeld7,4)=0),4,0))</f>
        <v>-1</v>
      </c>
      <c r="U177" s="39">
        <f>IF($D$100="x",-1,IF(AND($D$100=0,INDEX(KonZeile6,5)+INDEX(KonSpalte3,5)+INDEX(KonFeld7,5)=0),5,0))</f>
        <v>-1</v>
      </c>
      <c r="V177" s="42">
        <f>IF($D$100="x",-1,IF(AND($D$100=0,INDEX(KonZeile6,6)+INDEX(KonSpalte3,6)+INDEX(KonFeld7,6)=0),6,0))</f>
        <v>-1</v>
      </c>
      <c r="W177" s="43">
        <f>IF($E$100="x",-1,IF(AND($E$100=0,INDEX(KonZeile6,4)+INDEX(KonSpalte4,4)+INDEX(KonFeld7,4)=0),4,0))</f>
        <v>-1</v>
      </c>
      <c r="X177" s="39">
        <f>IF($E$100="x",-1,IF(AND($E$100=0,INDEX(KonZeile6,5)+INDEX(KonSpalte4,5)+INDEX(KonFeld7,5)=0),5,0))</f>
        <v>-1</v>
      </c>
      <c r="Y177" s="41">
        <f>IF($E$100="x",-1,IF(AND($E$100=0,INDEX(KonZeile6,6)+INDEX(KonSpalte4,6)+INDEX(KonFeld7,6)=0),6,0))</f>
        <v>-1</v>
      </c>
      <c r="Z177" s="40">
        <f>IF($F$100="x",-1,IF(AND($F$100=0,INDEX(KonZeile6,4)+INDEX(KonSpalte5,4)+INDEX(KonFeld7,4)=0),4,0))</f>
        <v>-1</v>
      </c>
      <c r="AA177" s="39">
        <f>IF($F$100="x",-1,IF(AND($F$100=0,INDEX(KonZeile6,5)+INDEX(KonSpalte5,5)+INDEX(KonFeld7,5)=0),5,0))</f>
        <v>-1</v>
      </c>
      <c r="AB177" s="41">
        <f>IF($F$100="x",-1,IF(AND($F$100=0,INDEX(KonZeile6,6)+INDEX(KonSpalte5,6)+INDEX(KonFeld7,6)=0),6,0))</f>
        <v>-1</v>
      </c>
      <c r="AC177" s="40">
        <f>IF($G$100="x",-1,IF(AND($G$100=0,INDEX(KonZeile6,4)+INDEX(KonSpalte6,4)+INDEX(KonFeld7,4)=0),4,0))</f>
        <v>-1</v>
      </c>
      <c r="AD177" s="39">
        <f>IF($G$100="x",-1,IF(AND($G$100=0,INDEX(KonZeile6,5)+INDEX(KonSpalte6,5)+INDEX(KonFeld7,5)=0),5,0))</f>
        <v>-1</v>
      </c>
      <c r="AE177" s="42">
        <f>IF($G$100="x",-1,IF(AND($G$100=0,INDEX(KonZeile6,6)+INDEX(KonSpalte6,6)+INDEX(KonFeld7,6)=0),6,0))</f>
        <v>-1</v>
      </c>
      <c r="AF177" s="43">
        <f>IF($H$100="x",-1,IF(AND($H$100=0,INDEX(KonZeile6,4)+INDEX(KonSpalte7,4)+INDEX(KonFeld7,4)=0),4,0))</f>
        <v>-1</v>
      </c>
      <c r="AG177" s="39">
        <f>IF($H$100="x",-1,IF(AND($H$100=0,INDEX(KonZeile6,5)+INDEX(KonSpalte7,5)+INDEX(KonFeld7,5)=0),5,0))</f>
        <v>-1</v>
      </c>
      <c r="AH177" s="41">
        <f>IF($H$100="x",-1,IF(AND($H$100=0,INDEX(KonZeile6,6)+INDEX(KonSpalte7,6)+INDEX(KonFeld7,6)=0),6,0))</f>
        <v>-1</v>
      </c>
      <c r="AI177" s="40">
        <f>IF($I$100="x",-1,IF(AND($I$100=0,INDEX(KonZeile6,4)+INDEX(KonSpalte8,4)+INDEX(KonFeld7,4)=0),4,0))</f>
        <v>-1</v>
      </c>
      <c r="AJ177" s="39">
        <f>IF($I$100="x",-1,IF(AND($I$100=0,INDEX(KonZeile6,5)+INDEX(KonSpalte8,5)+INDEX(KonFeld7,5)=0),5,0))</f>
        <v>-1</v>
      </c>
      <c r="AK177" s="41">
        <f>IF($I$100="x",-1,IF(AND($I$100=0,INDEX(KonZeile6,6)+INDEX(KonSpalte8,6)+INDEX(KonFeld7,6)=0),6,0))</f>
        <v>-1</v>
      </c>
      <c r="AL177" s="40">
        <f>IF($J$100="x",-1,IF(AND($J$100=0,INDEX(KonZeile6,4)+INDEX(KonSpalte9,4)+INDEX(KonFeld7,4)=0),4,0))</f>
        <v>-1</v>
      </c>
      <c r="AM177" s="39">
        <f>IF($J$100="x",-1,IF(AND($J$100=0,INDEX(KonZeile6,5)+INDEX(KonSpalte9,5)+INDEX(KonFeld7,5)=0),5,0))</f>
        <v>-1</v>
      </c>
      <c r="AN177" s="95">
        <f>IF($J$100="x",-1,IF(AND($J$100=0,INDEX(KonZeile6,6)+INDEX(KonSpalte9,6)+INDEX(KonFeld7,6)=0),6,0))</f>
        <v>-1</v>
      </c>
      <c r="AO177" s="94">
        <f>IF($K$100="x",-1,IF(AND($K$100=0,INDEX(KonZeile6,4)+INDEX(KonSpalte1,4)+INDEX(KonFeld8,4)=0),4,0))</f>
        <v>-1</v>
      </c>
      <c r="AP177" s="39">
        <f>IF($K$100="x",-1,IF(AND($K$100=0,INDEX(KonZeile6,5)+INDEX(KonSpalte1,5)+INDEX(KonFeld8,5)=0),5,0))</f>
        <v>-1</v>
      </c>
      <c r="AQ177" s="41">
        <f>IF($K$100="x",-1,IF(AND($K$100=0,INDEX(KonZeile6,6)+INDEX(KonSpalte1,6)+INDEX(KonFeld8,6)=0),6,0))</f>
        <v>-1</v>
      </c>
      <c r="AR177" s="40">
        <f>IF($L$100="x",-1,IF(AND($L$100=0,INDEX(KonZeile6,4)+INDEX(KonSpalte2,4)+INDEX(KonFeld8,4)=0),4,0))</f>
        <v>-1</v>
      </c>
      <c r="AS177" s="39">
        <f>IF($L$100="x",-1,IF(AND($L$100=0,INDEX(KonZeile6,5)+INDEX(KonSpalte2,5)+INDEX(KonFeld8,5)=0),5,0))</f>
        <v>-1</v>
      </c>
      <c r="AT177" s="41">
        <f>IF($L$100="x",-1,IF(AND($L$100=0,INDEX(KonZeile6,6)+INDEX(KonSpalte2,6)+INDEX(KonFeld8,6)=0),6,0))</f>
        <v>-1</v>
      </c>
      <c r="AU177" s="40">
        <f>IF($M$100="x",-1,IF(AND($M$100=0,INDEX(KonZeile6,4)+INDEX(KonSpalte3,4)+INDEX(KonFeld8,4)=0),4,0))</f>
        <v>-1</v>
      </c>
      <c r="AV177" s="39">
        <f>IF($M$100="x",-1,IF(AND($M$100=0,INDEX(KonZeile6,5)+INDEX(KonSpalte3,5)+INDEX(KonFeld8,5)=0),5,0))</f>
        <v>-1</v>
      </c>
      <c r="AW177" s="42">
        <f>IF($M$100="x",-1,IF(AND($M$100=0,INDEX(KonZeile6,6)+INDEX(KonSpalte3,6)+INDEX(KonFeld8,6)=0),6,0))</f>
        <v>-1</v>
      </c>
      <c r="AX177" s="43">
        <f>IF($N$100="x",-1,IF(AND($N$100=0,INDEX(KonZeile6,4)+INDEX(KonSpalte4,4)+INDEX(KonFeld8,4)=0),4,0))</f>
        <v>-1</v>
      </c>
      <c r="AY177" s="39">
        <f>IF($N$100="x",-1,IF(AND($N$100=0,INDEX(KonZeile6,5)+INDEX(KonSpalte4,5)+INDEX(KonFeld8,5)=0),5,0))</f>
        <v>-1</v>
      </c>
      <c r="AZ177" s="41">
        <f>IF($N$100="x",-1,IF(AND($N$100=0,INDEX(KonZeile6,6)+INDEX(KonSpalte4,6)+INDEX(KonFeld8,6)=0),6,0))</f>
        <v>-1</v>
      </c>
      <c r="BA177" s="40">
        <f>IF($O$100="x",-1,IF(AND($O$100=0,INDEX(KonZeile6,4)+INDEX(KonSpalte5,4)+INDEX(KonFeld8,4)=0),4,0))</f>
        <v>0</v>
      </c>
      <c r="BB177" s="39">
        <f>IF($O$100="x",-1,IF(AND($O$100=0,INDEX(KonZeile6,5)+INDEX(KonSpalte5,5)+INDEX(KonFeld8,5)=0),5,0))</f>
        <v>0</v>
      </c>
      <c r="BC177" s="41">
        <f>IF($O$100="x",-1,IF(AND($O$100=0,INDEX(KonZeile6,6)+INDEX(KonSpalte5,6)+INDEX(KonFeld8,6)=0),6,0))</f>
        <v>0</v>
      </c>
      <c r="BD177" s="40">
        <f>IF($P$100="x",-1,IF(AND($P$100=0,INDEX(KonZeile6,4)+INDEX(KonSpalte6,4)+INDEX(KonFeld8,4)=0),4,0))</f>
        <v>0</v>
      </c>
      <c r="BE177" s="39">
        <f>IF($P$100="x",-1,IF(AND($P$100=0,INDEX(KonZeile6,5)+INDEX(KonSpalte6,5)+INDEX(KonFeld8,5)=0),5,0))</f>
        <v>0</v>
      </c>
      <c r="BF177" s="42">
        <f>IF($P$100="x",-1,IF(AND($P$100=0,INDEX(KonZeile6,6)+INDEX(KonSpalte6,6)+INDEX(KonFeld8,6)=0),6,0))</f>
        <v>0</v>
      </c>
      <c r="BG177" s="43">
        <f>IF($Q$100="x",-1,IF(AND($Q$100=0,INDEX(KonZeile6,4)+INDEX(KonSpalte7,4)+INDEX(KonFeld8,4)=0),4,0))</f>
        <v>0</v>
      </c>
      <c r="BH177" s="39">
        <f>IF($Q$100="x",-1,IF(AND($Q$100=0,INDEX(KonZeile6,5)+INDEX(KonSpalte7,5)+INDEX(KonFeld8,5)=0),5,0))</f>
        <v>0</v>
      </c>
      <c r="BI177" s="41">
        <f>IF($Q$100="x",-1,IF(AND($Q$100=0,INDEX(KonZeile6,6)+INDEX(KonSpalte7,6)+INDEX(KonFeld8,6)=0),6,0))</f>
        <v>0</v>
      </c>
      <c r="BJ177" s="40">
        <f>IF($R$100="x",-1,IF(AND($R$100=0,INDEX(KonZeile6,4)+INDEX(KonSpalte8,4)+INDEX(KonFeld8,4)=0),4,0))</f>
        <v>-1</v>
      </c>
      <c r="BK177" s="39">
        <f>IF($R$100="x",-1,IF(AND($R$100=0,INDEX(KonZeile6,5)+INDEX(KonSpalte8,5)+INDEX(KonFeld8,5)=0),5,0))</f>
        <v>-1</v>
      </c>
      <c r="BL177" s="41">
        <f>IF($R$100="x",-1,IF(AND($R$100=0,INDEX(KonZeile6,6)+INDEX(KonSpalte8,6)+INDEX(KonFeld8,6)=0),6,0))</f>
        <v>-1</v>
      </c>
      <c r="BM177" s="40">
        <f>IF($S$100="x",-1,IF(AND($S$100=0,INDEX(KonZeile6,4)+INDEX(KonSpalte9,4)+INDEX(KonFeld8,4)=0),4,0))</f>
        <v>-1</v>
      </c>
      <c r="BN177" s="39">
        <f>IF($S$100="x",-1,IF(AND($S$100=0,INDEX(KonZeile6,5)+INDEX(KonSpalte9,5)+INDEX(KonFeld8,5)=0),5,0))</f>
        <v>-1</v>
      </c>
      <c r="BO177" s="95">
        <f>IF($S$100="x",-1,IF(AND($S$100=0,INDEX(KonZeile6,6)+INDEX(KonSpalte9,6)+INDEX(KonFeld8,6)=0),6,0))</f>
        <v>-1</v>
      </c>
      <c r="BP177" s="94">
        <f>IF($T$100="x",-1,IF(AND($T$100=0,INDEX(KonZeile6,4)+INDEX(KonSpalte1,4)+INDEX(KonFeld9,4)=0),4,0))</f>
        <v>-1</v>
      </c>
      <c r="BQ177" s="39">
        <f>IF($T$100="x",-1,IF(AND($T$100=0,INDEX(KonZeile6,5)+INDEX(KonSpalte1,5)+INDEX(KonFeld9,5)=0),5,0))</f>
        <v>-1</v>
      </c>
      <c r="BR177" s="41">
        <f>IF($T$100="x",-1,IF(AND($T$100=0,INDEX(KonZeile6,6)+INDEX(KonSpalte1,6)+INDEX(KonFeld9,6)=0),6,0))</f>
        <v>-1</v>
      </c>
      <c r="BS177" s="40">
        <f>IF($U$100="x",-1,IF(AND($U$100=0,INDEX(KonZeile6,4)+INDEX(KonSpalte2,4)+INDEX(KonFeld9,4)=0),4,0))</f>
        <v>-1</v>
      </c>
      <c r="BT177" s="39">
        <f>IF($U$100="x",-1,IF(AND($U$100=0,INDEX(KonZeile6,5)+INDEX(KonSpalte2,5)+INDEX(KonFeld9,5)=0),5,0))</f>
        <v>-1</v>
      </c>
      <c r="BU177" s="41">
        <f>IF($U$100="x",-1,IF(AND($U$100=0,INDEX(KonZeile6,6)+INDEX(KonSpalte2,6)+INDEX(KonFeld9,6)=0),6,0))</f>
        <v>-1</v>
      </c>
      <c r="BV177" s="40">
        <f>IF($V$100="x",-1,IF(AND($V$100=0,INDEX(KonZeile6,4)+INDEX(KonSpalte3,4)+INDEX(KonFeld9,4)=0),4,0))</f>
        <v>-1</v>
      </c>
      <c r="BW177" s="39">
        <f>IF($V$100="x",-1,IF(AND($V$100=0,INDEX(KonZeile6,5)+INDEX(KonSpalte3,5)+INDEX(KonFeld9,5)=0),5,0))</f>
        <v>-1</v>
      </c>
      <c r="BX177" s="42">
        <f>IF($V$100="x",-1,IF(AND($V$100=0,INDEX(KonZeile6,6)+INDEX(KonSpalte3,6)+INDEX(KonFeld9,6)=0),6,0))</f>
        <v>-1</v>
      </c>
      <c r="BY177" s="43">
        <f>IF($W$100="x",-1,IF(AND($W$100=0,INDEX(KonZeile6,4)+INDEX(KonSpalte4,4)+INDEX(KonFeld9,4)=0),4,0))</f>
        <v>-1</v>
      </c>
      <c r="BZ177" s="39">
        <f>IF($W$100="x",-1,IF(AND($W$100=0,INDEX(KonZeile6,5)+INDEX(KonSpalte4,5)+INDEX(KonFeld9,5)=0),5,0))</f>
        <v>-1</v>
      </c>
      <c r="CA177" s="41">
        <f>IF($W$100="x",-1,IF(AND($W$100=0,INDEX(KonZeile6,6)+INDEX(KonSpalte4,6)+INDEX(KonFeld9,6)=0),6,0))</f>
        <v>-1</v>
      </c>
      <c r="CB177" s="40">
        <f>IF($X$100="x",-1,IF(AND($X$100=0,INDEX(KonZeile6,4)+INDEX(KonSpalte5,4)+INDEX(KonFeld9,4)=0),4,0))</f>
        <v>-1</v>
      </c>
      <c r="CC177" s="39">
        <f>IF($X$100="x",-1,IF(AND($X$100=0,INDEX(KonZeile6,5)+INDEX(KonSpalte5,5)+INDEX(KonFeld9,5)=0),5,0))</f>
        <v>-1</v>
      </c>
      <c r="CD177" s="41">
        <f>IF($X$100="x",-1,IF(AND($X$100=0,INDEX(KonZeile6,6)+INDEX(KonSpalte5,6)+INDEX(KonFeld9,6)=0),6,0))</f>
        <v>-1</v>
      </c>
      <c r="CE177" s="40">
        <f>IF($Y$100="x",-1,IF(AND($Y$100=0,INDEX(KonZeile6,4)+INDEX(KonSpalte6,4)+INDEX(KonFeld9,4)=0),4,0))</f>
        <v>-1</v>
      </c>
      <c r="CF177" s="39">
        <f>IF($Y$100="x",-1,IF(AND($Y$100=0,INDEX(KonZeile6,5)+INDEX(KonSpalte6,5)+INDEX(KonFeld9,5)=0),5,0))</f>
        <v>-1</v>
      </c>
      <c r="CG177" s="42">
        <f>IF($Y$100="x",-1,IF(AND($Y$100=0,INDEX(KonZeile6,6)+INDEX(KonSpalte6,6)+INDEX(KonFeld9,6)=0),6,0))</f>
        <v>-1</v>
      </c>
      <c r="CH177" s="43">
        <f>IF($Z$100="x",-1,IF(AND($Z$100=0,INDEX(KonZeile6,4)+INDEX(KonSpalte7,4)+INDEX(KonFeld9,4)=0),4,0))</f>
        <v>-1</v>
      </c>
      <c r="CI177" s="39">
        <f>IF($Z$100="x",-1,IF(AND($Z$100=0,INDEX(KonZeile6,5)+INDEX(KonSpalte7,5)+INDEX(KonFeld9,5)=0),5,0))</f>
        <v>-1</v>
      </c>
      <c r="CJ177" s="41">
        <f>IF($Z$100="x",-1,IF(AND($Z$100=0,INDEX(KonZeile6,6)+INDEX(KonSpalte7,6)+INDEX(KonFeld9,6)=0),6,0))</f>
        <v>-1</v>
      </c>
      <c r="CK177" s="40">
        <f>IF($AA$100="x",-1,IF(AND($AA$100=0,INDEX(KonZeile6,4)+INDEX(KonSpalte8,4)+INDEX(KonFeld9,4)=0),4,0))</f>
        <v>-1</v>
      </c>
      <c r="CL177" s="39">
        <f>IF($AA$100="x",-1,IF(AND($AA$100=0,INDEX(KonZeile6,5)+INDEX(KonSpalte8,5)+INDEX(KonFeld9,5)=0),5,0))</f>
        <v>-1</v>
      </c>
      <c r="CM177" s="41">
        <f>IF($AA$100="x",-1,IF(AND($AA$100=0,INDEX(KonZeile6,6)+INDEX(KonSpalte8,6)+INDEX(KonFeld9,6)=0),6,0))</f>
        <v>-1</v>
      </c>
      <c r="CN177" s="40">
        <f>IF($AB$100="x",-1,IF(AND($AB$100=0,INDEX(KonZeile6,4)+INDEX(KonSpalte9,4)+INDEX(KonFeld9,4)=0),4,0))</f>
        <v>-1</v>
      </c>
      <c r="CO177" s="39">
        <f>IF($AB$100="x",-1,IF(AND($AB$100=0,INDEX(KonZeile6,5)+INDEX(KonSpalte9,5)+INDEX(KonFeld9,5)=0),5,0))</f>
        <v>-1</v>
      </c>
      <c r="CP177" s="95">
        <f>IF($AB$100="x",-1,IF(AND($AB$100=0,INDEX(KonZeile6,6)+INDEX(KonSpalte9,6)+INDEX(KonFeld9,6)=0),6,0))</f>
        <v>-1</v>
      </c>
      <c r="CR177" s="40">
        <f>COUNTIF(N177:CP177,4)</f>
        <v>0</v>
      </c>
      <c r="CS177" s="39">
        <f>COUNTIF(N177:CP177,5)</f>
        <v>0</v>
      </c>
      <c r="CT177" s="41">
        <f>COUNTIF(N177:CP177,6)</f>
        <v>0</v>
      </c>
      <c r="CU177" s="39"/>
      <c r="CV177" s="39"/>
      <c r="CX177" s="72">
        <f t="shared" si="359"/>
        <v>0</v>
      </c>
      <c r="CY177" s="73">
        <f t="shared" si="359"/>
        <v>0</v>
      </c>
      <c r="CZ177" s="74">
        <f t="shared" si="359"/>
        <v>0</v>
      </c>
      <c r="DJ177" s="94">
        <f t="shared" si="271"/>
        <v>-1</v>
      </c>
      <c r="DK177" s="39">
        <f t="shared" si="272"/>
        <v>-1</v>
      </c>
      <c r="DL177" s="41">
        <f t="shared" si="273"/>
        <v>-1</v>
      </c>
      <c r="DM177" s="40">
        <f t="shared" si="274"/>
        <v>-1</v>
      </c>
      <c r="DN177" s="39">
        <f t="shared" si="275"/>
        <v>-1</v>
      </c>
      <c r="DO177" s="41">
        <f t="shared" si="276"/>
        <v>-1</v>
      </c>
      <c r="DP177" s="40">
        <f t="shared" si="277"/>
        <v>-1</v>
      </c>
      <c r="DQ177" s="39">
        <f t="shared" si="278"/>
        <v>-1</v>
      </c>
      <c r="DR177" s="42">
        <f t="shared" si="279"/>
        <v>-1</v>
      </c>
      <c r="DS177" s="43">
        <f t="shared" si="280"/>
        <v>-1</v>
      </c>
      <c r="DT177" s="39">
        <f t="shared" si="281"/>
        <v>-1</v>
      </c>
      <c r="DU177" s="41">
        <f t="shared" si="282"/>
        <v>-1</v>
      </c>
      <c r="DV177" s="40">
        <f t="shared" si="283"/>
        <v>-1</v>
      </c>
      <c r="DW177" s="39">
        <f t="shared" si="284"/>
        <v>-1</v>
      </c>
      <c r="DX177" s="41">
        <f t="shared" si="285"/>
        <v>-1</v>
      </c>
      <c r="DY177" s="40">
        <f t="shared" si="286"/>
        <v>-1</v>
      </c>
      <c r="DZ177" s="39">
        <f t="shared" si="287"/>
        <v>-1</v>
      </c>
      <c r="EA177" s="42">
        <f t="shared" si="288"/>
        <v>-1</v>
      </c>
      <c r="EB177" s="43">
        <f t="shared" si="289"/>
        <v>-1</v>
      </c>
      <c r="EC177" s="39">
        <f t="shared" si="290"/>
        <v>-1</v>
      </c>
      <c r="ED177" s="41">
        <f t="shared" si="291"/>
        <v>-1</v>
      </c>
      <c r="EE177" s="40">
        <f t="shared" si="292"/>
        <v>-1</v>
      </c>
      <c r="EF177" s="39">
        <f t="shared" si="293"/>
        <v>-1</v>
      </c>
      <c r="EG177" s="41">
        <f t="shared" si="294"/>
        <v>-1</v>
      </c>
      <c r="EH177" s="40">
        <f t="shared" si="295"/>
        <v>-1</v>
      </c>
      <c r="EI177" s="39">
        <f t="shared" si="296"/>
        <v>-1</v>
      </c>
      <c r="EJ177" s="95">
        <f t="shared" si="297"/>
        <v>-1</v>
      </c>
      <c r="EK177" s="94">
        <f t="shared" si="298"/>
        <v>-1</v>
      </c>
      <c r="EL177" s="39">
        <f t="shared" si="299"/>
        <v>-1</v>
      </c>
      <c r="EM177" s="41">
        <f t="shared" si="300"/>
        <v>-1</v>
      </c>
      <c r="EN177" s="40">
        <f t="shared" si="301"/>
        <v>-1</v>
      </c>
      <c r="EO177" s="39">
        <f t="shared" si="302"/>
        <v>-1</v>
      </c>
      <c r="EP177" s="41">
        <f t="shared" si="303"/>
        <v>-1</v>
      </c>
      <c r="EQ177" s="40">
        <f t="shared" si="304"/>
        <v>0</v>
      </c>
      <c r="ER177" s="39">
        <f t="shared" si="305"/>
        <v>0</v>
      </c>
      <c r="ES177" s="42">
        <f t="shared" si="306"/>
        <v>6</v>
      </c>
      <c r="ET177" s="43">
        <f t="shared" si="307"/>
        <v>-1</v>
      </c>
      <c r="EU177" s="39">
        <f t="shared" si="308"/>
        <v>-1</v>
      </c>
      <c r="EV177" s="41">
        <f t="shared" si="309"/>
        <v>-1</v>
      </c>
      <c r="EW177" s="40">
        <f t="shared" si="310"/>
        <v>-1</v>
      </c>
      <c r="EX177" s="39">
        <f t="shared" si="311"/>
        <v>-1</v>
      </c>
      <c r="EY177" s="41">
        <f t="shared" si="312"/>
        <v>-1</v>
      </c>
      <c r="EZ177" s="40">
        <f t="shared" si="313"/>
        <v>4</v>
      </c>
      <c r="FA177" s="39">
        <f t="shared" si="314"/>
        <v>0</v>
      </c>
      <c r="FB177" s="42">
        <f t="shared" si="315"/>
        <v>0</v>
      </c>
      <c r="FC177" s="43">
        <f t="shared" si="316"/>
        <v>-1</v>
      </c>
      <c r="FD177" s="39">
        <f t="shared" si="317"/>
        <v>-1</v>
      </c>
      <c r="FE177" s="41">
        <f t="shared" si="318"/>
        <v>-1</v>
      </c>
      <c r="FF177" s="40">
        <f t="shared" si="319"/>
        <v>-1</v>
      </c>
      <c r="FG177" s="39">
        <f t="shared" si="320"/>
        <v>-1</v>
      </c>
      <c r="FH177" s="41">
        <f t="shared" si="321"/>
        <v>-1</v>
      </c>
      <c r="FI177" s="40">
        <f t="shared" si="322"/>
        <v>-1</v>
      </c>
      <c r="FJ177" s="39">
        <f t="shared" si="323"/>
        <v>-1</v>
      </c>
      <c r="FK177" s="95">
        <f t="shared" si="324"/>
        <v>-1</v>
      </c>
      <c r="FL177" s="94">
        <f t="shared" si="325"/>
        <v>-1</v>
      </c>
      <c r="FM177" s="39">
        <f t="shared" si="326"/>
        <v>-1</v>
      </c>
      <c r="FN177" s="41">
        <f t="shared" si="327"/>
        <v>-1</v>
      </c>
      <c r="FO177" s="40">
        <f t="shared" si="328"/>
        <v>-1</v>
      </c>
      <c r="FP177" s="39">
        <f t="shared" si="329"/>
        <v>-1</v>
      </c>
      <c r="FQ177" s="41">
        <f t="shared" si="330"/>
        <v>-1</v>
      </c>
      <c r="FR177" s="40">
        <f t="shared" si="331"/>
        <v>-1</v>
      </c>
      <c r="FS177" s="39">
        <f t="shared" si="332"/>
        <v>-1</v>
      </c>
      <c r="FT177" s="42">
        <f t="shared" si="333"/>
        <v>-1</v>
      </c>
      <c r="FU177" s="43">
        <f t="shared" si="334"/>
        <v>-1</v>
      </c>
      <c r="FV177" s="39">
        <f t="shared" si="335"/>
        <v>-1</v>
      </c>
      <c r="FW177" s="41">
        <f t="shared" si="336"/>
        <v>-1</v>
      </c>
      <c r="FX177" s="40">
        <f t="shared" si="337"/>
        <v>-1</v>
      </c>
      <c r="FY177" s="39">
        <f t="shared" si="338"/>
        <v>-1</v>
      </c>
      <c r="FZ177" s="41">
        <f t="shared" si="339"/>
        <v>-1</v>
      </c>
      <c r="GA177" s="40">
        <f t="shared" si="340"/>
        <v>-1</v>
      </c>
      <c r="GB177" s="39">
        <f t="shared" si="341"/>
        <v>-1</v>
      </c>
      <c r="GC177" s="42">
        <f t="shared" si="342"/>
        <v>-1</v>
      </c>
      <c r="GD177" s="43">
        <f t="shared" si="343"/>
        <v>0</v>
      </c>
      <c r="GE177" s="39">
        <f t="shared" si="344"/>
        <v>0</v>
      </c>
      <c r="GF177" s="41">
        <f t="shared" si="345"/>
        <v>6</v>
      </c>
      <c r="GG177" s="40">
        <f t="shared" si="346"/>
        <v>-1</v>
      </c>
      <c r="GH177" s="39">
        <f t="shared" si="347"/>
        <v>-1</v>
      </c>
      <c r="GI177" s="41">
        <f t="shared" si="348"/>
        <v>-1</v>
      </c>
      <c r="GJ177" s="40">
        <f t="shared" si="349"/>
        <v>-1</v>
      </c>
      <c r="GK177" s="39">
        <f t="shared" si="350"/>
        <v>-1</v>
      </c>
      <c r="GL177" s="95">
        <f t="shared" si="351"/>
        <v>-1</v>
      </c>
      <c r="GN177" s="40">
        <f>COUNTIF(DJ177:GL177,4)</f>
        <v>1</v>
      </c>
      <c r="GO177" s="39">
        <f>COUNTIF(DJ177:GL177,5)</f>
        <v>0</v>
      </c>
      <c r="GP177" s="41">
        <f>COUNTIF(DJ177:GL177,6)</f>
        <v>2</v>
      </c>
      <c r="GQ177" s="39"/>
      <c r="GR177" s="39"/>
      <c r="GT177" s="72">
        <f t="shared" ref="GT177:GV177" si="363">GT150</f>
        <v>4</v>
      </c>
      <c r="GU177" s="73">
        <f t="shared" si="363"/>
        <v>1</v>
      </c>
      <c r="GV177" s="74">
        <f t="shared" si="363"/>
        <v>3</v>
      </c>
    </row>
    <row r="178" spans="9:204" ht="15" customHeight="1" thickBot="1">
      <c r="N178" s="106">
        <f>IF($B$100="x",-1,IF(AND($B$100=0,INDEX(KonZeile6,7)+INDEX(KonSpalte1,7)+INDEX(KonFeld7,7)=0),7,0))</f>
        <v>-1</v>
      </c>
      <c r="O178" s="55">
        <f>IF($B$100="x",-1,IF(AND($B$100=0,INDEX(KonZeile6,8)+INDEX(KonSpalte1,8)+INDEX(KonFeld7,8)=0),8,0))</f>
        <v>-1</v>
      </c>
      <c r="P178" s="56">
        <f>IF($B$100="x",-1,IF(AND($B$100=0,INDEX(KonZeile6,9)+INDEX(KonSpalte1,9)+INDEX(KonFeld7,9)=0),9,0))</f>
        <v>-1</v>
      </c>
      <c r="Q178" s="57">
        <f>IF($C$100="x",-1,IF(AND($C$100=0,INDEX(KonZeile6,7)+INDEX(KonSpalte2,7)+INDEX(KonFeld7,7)=0),7,0))</f>
        <v>-1</v>
      </c>
      <c r="R178" s="55">
        <f>IF($C$100="x",-1,IF(AND($C$100=0,INDEX(KonZeile6,8)+INDEX(KonSpalte2,8)+INDEX(KonFeld7,8)=0),8,0))</f>
        <v>-1</v>
      </c>
      <c r="S178" s="56">
        <f>IF($C$100="x",-1,IF(AND($C$100=0,INDEX(KonZeile6,9)+INDEX(KonSpalte2,9)+INDEX(KonFeld7,9)=0),9,0))</f>
        <v>-1</v>
      </c>
      <c r="T178" s="57">
        <f>IF($D$100="x",-1,IF(AND($D$100=0,INDEX(KonZeile6,7)+INDEX(KonSpalte3,7)+INDEX(KonFeld7,7)=0),7,0))</f>
        <v>-1</v>
      </c>
      <c r="U178" s="55">
        <f>IF($D$100="x",-1,IF(AND($D$100=0,INDEX(KonZeile6,8)+INDEX(KonSpalte3,8)+INDEX(KonFeld7,8)=0),8,0))</f>
        <v>-1</v>
      </c>
      <c r="V178" s="58">
        <f>IF($D$100="x",-1,IF(AND($D$100=0,INDEX(KonZeile6,9)+INDEX(KonSpalte3,9)+INDEX(KonFeld7,9)=0),9,0))</f>
        <v>-1</v>
      </c>
      <c r="W178" s="54">
        <f>IF($E$100="x",-1,IF(AND($E$100=0,INDEX(KonZeile6,7)+INDEX(KonSpalte4,7)+INDEX(KonFeld7,7)=0),7,0))</f>
        <v>-1</v>
      </c>
      <c r="X178" s="55">
        <f>IF($E$100="x",-1,IF(AND($E$100=0,INDEX(KonZeile6,8)+INDEX(KonSpalte4,8)+INDEX(KonFeld7,8)=0),8,0))</f>
        <v>-1</v>
      </c>
      <c r="Y178" s="56">
        <f>IF($E$100="x",-1,IF(AND($E$100=0,INDEX(KonZeile6,9)+INDEX(KonSpalte4,9)+INDEX(KonFeld7,9)=0),9,0))</f>
        <v>-1</v>
      </c>
      <c r="Z178" s="57">
        <f>IF($F$100="x",-1,IF(AND($F$100=0,INDEX(KonZeile6,7)+INDEX(KonSpalte5,7)+INDEX(KonFeld7,7)=0),7,0))</f>
        <v>-1</v>
      </c>
      <c r="AA178" s="55">
        <f>IF($F$100="x",-1,IF(AND($F$100=0,INDEX(KonZeile6,8)+INDEX(KonSpalte5,8)+INDEX(KonFeld7,8)=0),8,0))</f>
        <v>-1</v>
      </c>
      <c r="AB178" s="56">
        <f>IF($F$100="x",-1,IF(AND($F$100=0,INDEX(KonZeile6,9)+INDEX(KonSpalte5,9)+INDEX(KonFeld7,9)=0),9,0))</f>
        <v>-1</v>
      </c>
      <c r="AC178" s="57">
        <f>IF($G$100="x",-1,IF(AND($G$100=0,INDEX(KonZeile6,7)+INDEX(KonSpalte6,7)+INDEX(KonFeld7,7)=0),7,0))</f>
        <v>-1</v>
      </c>
      <c r="AD178" s="55">
        <f>IF($G$100="x",-1,IF(AND($G$100=0,INDEX(KonZeile6,8)+INDEX(KonSpalte6,8)+INDEX(KonFeld7,8)=0),8,0))</f>
        <v>-1</v>
      </c>
      <c r="AE178" s="58">
        <f>IF($G$100="x",-1,IF(AND($G$100=0,INDEX(KonZeile6,9)+INDEX(KonSpalte6,9)+INDEX(KonFeld7,9)=0),9,0))</f>
        <v>-1</v>
      </c>
      <c r="AF178" s="54">
        <f>IF($H$100="x",-1,IF(AND($H$100=0,INDEX(KonZeile6,7)+INDEX(KonSpalte7,7)+INDEX(KonFeld7,7)=0),7,0))</f>
        <v>-1</v>
      </c>
      <c r="AG178" s="55">
        <f>IF($H$100="x",-1,IF(AND($H$100=0,INDEX(KonZeile6,8)+INDEX(KonSpalte7,8)+INDEX(KonFeld7,8)=0),8,0))</f>
        <v>-1</v>
      </c>
      <c r="AH178" s="56">
        <f>IF($H$100="x",-1,IF(AND($H$100=0,INDEX(KonZeile6,9)+INDEX(KonSpalte7,9)+INDEX(KonFeld7,9)=0),9,0))</f>
        <v>-1</v>
      </c>
      <c r="AI178" s="57">
        <f>IF($I$100="x",-1,IF(AND($I$100=0,INDEX(KonZeile6,7)+INDEX(KonSpalte8,7)+INDEX(KonFeld7,7)=0),7,0))</f>
        <v>-1</v>
      </c>
      <c r="AJ178" s="55">
        <f>IF($I$100="x",-1,IF(AND($I$100=0,INDEX(KonZeile6,8)+INDEX(KonSpalte8,8)+INDEX(KonFeld7,8)=0),8,0))</f>
        <v>-1</v>
      </c>
      <c r="AK178" s="56">
        <f>IF($I$100="x",-1,IF(AND($I$100=0,INDEX(KonZeile6,9)+INDEX(KonSpalte8,9)+INDEX(KonFeld7,9)=0),9,0))</f>
        <v>-1</v>
      </c>
      <c r="AL178" s="57">
        <f>IF($J$100="x",-1,IF(AND($J$100=0,INDEX(KonZeile6,7)+INDEX(KonSpalte9,7)+INDEX(KonFeld7,7)=0),7,0))</f>
        <v>-1</v>
      </c>
      <c r="AM178" s="55">
        <f>IF($J$100="x",-1,IF(AND($J$100=0,INDEX(KonZeile6,8)+INDEX(KonSpalte9,8)+INDEX(KonFeld7,8)=0),8,0))</f>
        <v>-1</v>
      </c>
      <c r="AN178" s="107">
        <f>IF($J$100="x",-1,IF(AND($J$100=0,INDEX(KonZeile6,9)+INDEX(KonSpalte9,9)+INDEX(KonFeld7,9)=0),9,0))</f>
        <v>-1</v>
      </c>
      <c r="AO178" s="106">
        <f>IF($K$100="x",-1,IF(AND($K$100=0,INDEX(KonZeile6,7)+INDEX(KonSpalte1,7)+INDEX(KonFeld8,7)=0),7,0))</f>
        <v>-1</v>
      </c>
      <c r="AP178" s="55">
        <f>IF($K$100="x",-1,IF(AND($K$100=0,INDEX(KonZeile6,8)+INDEX(KonSpalte1,8)+INDEX(KonFeld8,8)=0),8,0))</f>
        <v>-1</v>
      </c>
      <c r="AQ178" s="56">
        <f>IF($K$100="x",-1,IF(AND($K$100=0,INDEX(KonZeile6,9)+INDEX(KonSpalte1,9)+INDEX(KonFeld8,9)=0),9,0))</f>
        <v>-1</v>
      </c>
      <c r="AR178" s="57">
        <f>IF($L$100="x",-1,IF(AND($L$100=0,INDEX(KonZeile6,7)+INDEX(KonSpalte2,7)+INDEX(KonFeld8,7)=0),7,0))</f>
        <v>-1</v>
      </c>
      <c r="AS178" s="55">
        <f>IF($L$100="x",-1,IF(AND($L$100=0,INDEX(KonZeile6,8)+INDEX(KonSpalte2,8)+INDEX(KonFeld8,8)=0),8,0))</f>
        <v>-1</v>
      </c>
      <c r="AT178" s="56">
        <f>IF($L$100="x",-1,IF(AND($L$100=0,INDEX(KonZeile6,9)+INDEX(KonSpalte2,9)+INDEX(KonFeld8,9)=0),9,0))</f>
        <v>-1</v>
      </c>
      <c r="AU178" s="57">
        <f>IF($M$100="x",-1,IF(AND($M$100=0,INDEX(KonZeile6,7)+INDEX(KonSpalte3,7)+INDEX(KonFeld8,7)=0),7,0))</f>
        <v>-1</v>
      </c>
      <c r="AV178" s="55">
        <f>IF($M$100="x",-1,IF(AND($M$100=0,INDEX(KonZeile6,8)+INDEX(KonSpalte3,8)+INDEX(KonFeld8,8)=0),8,0))</f>
        <v>-1</v>
      </c>
      <c r="AW178" s="58">
        <f>IF($M$100="x",-1,IF(AND($M$100=0,INDEX(KonZeile6,9)+INDEX(KonSpalte3,9)+INDEX(KonFeld8,9)=0),9,0))</f>
        <v>-1</v>
      </c>
      <c r="AX178" s="54">
        <f>IF($N$100="x",-1,IF(AND($N$100=0,INDEX(KonZeile6,7)+INDEX(KonSpalte4,7)+INDEX(KonFeld8,7)=0),7,0))</f>
        <v>-1</v>
      </c>
      <c r="AY178" s="55">
        <f>IF($N$100="x",-1,IF(AND($N$100=0,INDEX(KonZeile6,8)+INDEX(KonSpalte4,8)+INDEX(KonFeld8,8)=0),8,0))</f>
        <v>-1</v>
      </c>
      <c r="AZ178" s="56">
        <f>IF($N$100="x",-1,IF(AND($N$100=0,INDEX(KonZeile6,9)+INDEX(KonSpalte4,9)+INDEX(KonFeld8,9)=0),9,0))</f>
        <v>-1</v>
      </c>
      <c r="BA178" s="57">
        <f>IF($O$100="x",-1,IF(AND($O$100=0,INDEX(KonZeile6,7)+INDEX(KonSpalte5,7)+INDEX(KonFeld8,7)=0),7,0))</f>
        <v>0</v>
      </c>
      <c r="BB178" s="55">
        <f>IF($O$100="x",-1,IF(AND($O$100=0,INDEX(KonZeile6,8)+INDEX(KonSpalte5,8)+INDEX(KonFeld8,8)=0),8,0))</f>
        <v>0</v>
      </c>
      <c r="BC178" s="56">
        <f>IF($O$100="x",-1,IF(AND($O$100=0,INDEX(KonZeile6,9)+INDEX(KonSpalte5,9)+INDEX(KonFeld8,9)=0),9,0))</f>
        <v>0</v>
      </c>
      <c r="BD178" s="57">
        <f>IF($P$100="x",-1,IF(AND($P$100=0,INDEX(KonZeile6,7)+INDEX(KonSpalte6,7)+INDEX(KonFeld8,7)=0),7,0))</f>
        <v>0</v>
      </c>
      <c r="BE178" s="55">
        <f>IF($P$100="x",-1,IF(AND($P$100=0,INDEX(KonZeile6,8)+INDEX(KonSpalte6,8)+INDEX(KonFeld8,8)=0),8,0))</f>
        <v>0</v>
      </c>
      <c r="BF178" s="58">
        <f>IF($P$100="x",-1,IF(AND($P$100=0,INDEX(KonZeile6,9)+INDEX(KonSpalte6,9)+INDEX(KonFeld8,9)=0),9,0))</f>
        <v>0</v>
      </c>
      <c r="BG178" s="54">
        <f>IF($Q$100="x",-1,IF(AND($Q$100=0,INDEX(KonZeile6,7)+INDEX(KonSpalte7,7)+INDEX(KonFeld8,7)=0),7,0))</f>
        <v>0</v>
      </c>
      <c r="BH178" s="55">
        <f>IF($Q$100="x",-1,IF(AND($Q$100=0,INDEX(KonZeile6,8)+INDEX(KonSpalte7,8)+INDEX(KonFeld8,8)=0),8,0))</f>
        <v>0</v>
      </c>
      <c r="BI178" s="56">
        <f>IF($Q$100="x",-1,IF(AND($Q$100=0,INDEX(KonZeile6,9)+INDEX(KonSpalte7,9)+INDEX(KonFeld8,9)=0),9,0))</f>
        <v>0</v>
      </c>
      <c r="BJ178" s="57">
        <f>IF($R$100="x",-1,IF(AND($R$100=0,INDEX(KonZeile6,7)+INDEX(KonSpalte8,7)+INDEX(KonFeld8,7)=0),7,0))</f>
        <v>-1</v>
      </c>
      <c r="BK178" s="55">
        <f>IF($R$100="x",-1,IF(AND($R$100=0,INDEX(KonZeile6,8)+INDEX(KonSpalte8,8)+INDEX(KonFeld8,8)=0),8,0))</f>
        <v>-1</v>
      </c>
      <c r="BL178" s="56">
        <f>IF($R$100="x",-1,IF(AND($R$100=0,INDEX(KonZeile6,9)+INDEX(KonSpalte8,9)+INDEX(KonFeld8,9)=0),9,0))</f>
        <v>-1</v>
      </c>
      <c r="BM178" s="57">
        <f>IF($S$100="x",-1,IF(AND($S$100=0,INDEX(KonZeile6,7)+INDEX(KonSpalte9,7)+INDEX(KonFeld8,7)=0),7,0))</f>
        <v>-1</v>
      </c>
      <c r="BN178" s="55">
        <f>IF($S$100="x",-1,IF(AND($S$100=0,INDEX(KonZeile6,8)+INDEX(KonSpalte9,8)+INDEX(KonFeld8,8)=0),8,0))</f>
        <v>-1</v>
      </c>
      <c r="BO178" s="107">
        <f>IF($S$100="x",-1,IF(AND($S$100=0,INDEX(KonZeile6,9)+INDEX(KonSpalte9,9)+INDEX(KonFeld8,9)=0),9,0))</f>
        <v>-1</v>
      </c>
      <c r="BP178" s="106">
        <f>IF($T$100="x",-1,IF(AND($T$100=0,INDEX(KonZeile6,7)+INDEX(KonSpalte1,7)+INDEX(KonFeld9,7)=0),7,0))</f>
        <v>-1</v>
      </c>
      <c r="BQ178" s="55">
        <f>IF($T$100="x",-1,IF(AND($T$100=0,INDEX(KonZeile6,8)+INDEX(KonSpalte1,8)+INDEX(KonFeld9,8)=0),8,0))</f>
        <v>-1</v>
      </c>
      <c r="BR178" s="56">
        <f>IF($T$100="x",-1,IF(AND($T$100=0,INDEX(KonZeile6,9)+INDEX(KonSpalte1,9)+INDEX(KonFeld9,9)=0),9,0))</f>
        <v>-1</v>
      </c>
      <c r="BS178" s="57">
        <f>IF($U$100="x",-1,IF(AND($U$100=0,INDEX(KonZeile6,7)+INDEX(KonSpalte2,7)+INDEX(KonFeld9,7)=0),7,0))</f>
        <v>-1</v>
      </c>
      <c r="BT178" s="55">
        <f>IF($U$100="x",-1,IF(AND($U$100=0,INDEX(KonZeile6,8)+INDEX(KonSpalte2,8)+INDEX(KonFeld9,8)=0),8,0))</f>
        <v>-1</v>
      </c>
      <c r="BU178" s="56">
        <f>IF($U$100="x",-1,IF(AND($U$100=0,INDEX(KonZeile6,9)+INDEX(KonSpalte2,9)+INDEX(KonFeld9,9)=0),9,0))</f>
        <v>-1</v>
      </c>
      <c r="BV178" s="57">
        <f>IF($V$100="x",-1,IF(AND($V$100=0,INDEX(KonZeile6,7)+INDEX(KonSpalte3,7)+INDEX(KonFeld9,7)=0),7,0))</f>
        <v>-1</v>
      </c>
      <c r="BW178" s="55">
        <f>IF($V$100="x",-1,IF(AND($V$100=0,INDEX(KonZeile6,8)+INDEX(KonSpalte3,8)+INDEX(KonFeld9,8)=0),8,0))</f>
        <v>-1</v>
      </c>
      <c r="BX178" s="58">
        <f>IF($V$100="x",-1,IF(AND($V$100=0,INDEX(KonZeile6,9)+INDEX(KonSpalte3,9)+INDEX(KonFeld9,9)=0),9,0))</f>
        <v>-1</v>
      </c>
      <c r="BY178" s="54">
        <f>IF($W$100="x",-1,IF(AND($W$100=0,INDEX(KonZeile6,7)+INDEX(KonSpalte4,7)+INDEX(KonFeld9,7)=0),7,0))</f>
        <v>-1</v>
      </c>
      <c r="BZ178" s="55">
        <f>IF($W$100="x",-1,IF(AND($W$100=0,INDEX(KonZeile6,8)+INDEX(KonSpalte4,8)+INDEX(KonFeld9,8)=0),8,0))</f>
        <v>-1</v>
      </c>
      <c r="CA178" s="56">
        <f>IF($W$100="x",-1,IF(AND($W$100=0,INDEX(KonZeile6,9)+INDEX(KonSpalte4,9)+INDEX(KonFeld9,9)=0),9,0))</f>
        <v>-1</v>
      </c>
      <c r="CB178" s="57">
        <f>IF($X$100="x",-1,IF(AND($X$100=0,INDEX(KonZeile6,7)+INDEX(KonSpalte5,7)+INDEX(KonFeld9,7)=0),7,0))</f>
        <v>-1</v>
      </c>
      <c r="CC178" s="55">
        <f>IF($X$100="x",-1,IF(AND($X$100=0,INDEX(KonZeile6,8)+INDEX(KonSpalte5,8)+INDEX(KonFeld9,8)=0),8,0))</f>
        <v>-1</v>
      </c>
      <c r="CD178" s="56">
        <f>IF($X$100="x",-1,IF(AND($X$100=0,INDEX(KonZeile6,9)+INDEX(KonSpalte5,9)+INDEX(KonFeld9,9)=0),9,0))</f>
        <v>-1</v>
      </c>
      <c r="CE178" s="57">
        <f>IF($Y$100="x",-1,IF(AND($Y$100=0,INDEX(KonZeile6,7)+INDEX(KonSpalte6,7)+INDEX(KonFeld9,7)=0),7,0))</f>
        <v>-1</v>
      </c>
      <c r="CF178" s="55">
        <f>IF($Y$100="x",-1,IF(AND($Y$100=0,INDEX(KonZeile6,8)+INDEX(KonSpalte6,8)+INDEX(KonFeld9,8)=0),8,0))</f>
        <v>-1</v>
      </c>
      <c r="CG178" s="58">
        <f>IF($Y$100="x",-1,IF(AND($Y$100=0,INDEX(KonZeile6,9)+INDEX(KonSpalte6,9)+INDEX(KonFeld9,9)=0),9,0))</f>
        <v>-1</v>
      </c>
      <c r="CH178" s="54">
        <f>IF($Z$100="x",-1,IF(AND($Z$100=0,INDEX(KonZeile6,7)+INDEX(KonSpalte7,7)+INDEX(KonFeld9,7)=0),7,0))</f>
        <v>-1</v>
      </c>
      <c r="CI178" s="55">
        <f>IF($Z$100="x",-1,IF(AND($Z$100=0,INDEX(KonZeile6,8)+INDEX(KonSpalte7,8)+INDEX(KonFeld9,8)=0),8,0))</f>
        <v>-1</v>
      </c>
      <c r="CJ178" s="56">
        <f>IF($Z$100="x",-1,IF(AND($Z$100=0,INDEX(KonZeile6,9)+INDEX(KonSpalte7,9)+INDEX(KonFeld9,9)=0),9,0))</f>
        <v>-1</v>
      </c>
      <c r="CK178" s="57">
        <f>IF($AA$100="x",-1,IF(AND($AA$100=0,INDEX(KonZeile6,7)+INDEX(KonSpalte8,7)+INDEX(KonFeld9,7)=0),7,0))</f>
        <v>-1</v>
      </c>
      <c r="CL178" s="55">
        <f>IF($AA$100="x",-1,IF(AND($AA$100=0,INDEX(KonZeile6,8)+INDEX(KonSpalte8,8)+INDEX(KonFeld9,8)=0),8,0))</f>
        <v>-1</v>
      </c>
      <c r="CM178" s="56">
        <f>IF($AA$100="x",-1,IF(AND($AA$100=0,INDEX(KonZeile6,9)+INDEX(KonSpalte8,9)+INDEX(KonFeld9,9)=0),9,0))</f>
        <v>-1</v>
      </c>
      <c r="CN178" s="57">
        <f>IF($AB$100="x",-1,IF(AND($AB$100=0,INDEX(KonZeile6,7)+INDEX(KonSpalte9,7)+INDEX(KonFeld9,7)=0),7,0))</f>
        <v>-1</v>
      </c>
      <c r="CO178" s="55">
        <f>IF($AB$100="x",-1,IF(AND($AB$100=0,INDEX(KonZeile6,8)+INDEX(KonSpalte9,8)+INDEX(KonFeld9,8)=0),8,0))</f>
        <v>-1</v>
      </c>
      <c r="CP178" s="107">
        <f>IF($AB$100="x",-1,IF(AND($AB$100=0,INDEX(KonZeile6,9)+INDEX(KonSpalte9,9)+INDEX(KonFeld9,9)=0),9,0))</f>
        <v>-1</v>
      </c>
      <c r="CR178" s="46">
        <f>COUNTIF(N178:CP178,7)</f>
        <v>0</v>
      </c>
      <c r="CS178" s="45">
        <f>COUNTIF(N178:CP178,8)</f>
        <v>0</v>
      </c>
      <c r="CT178" s="47">
        <f>COUNTIF(N178:CP178,9)</f>
        <v>0</v>
      </c>
      <c r="CU178" s="39"/>
      <c r="CV178" s="39"/>
      <c r="CX178" s="78">
        <f t="shared" si="359"/>
        <v>0</v>
      </c>
      <c r="CY178" s="79">
        <f t="shared" si="359"/>
        <v>0</v>
      </c>
      <c r="CZ178" s="80">
        <f t="shared" si="359"/>
        <v>0</v>
      </c>
      <c r="DJ178" s="99">
        <f t="shared" si="271"/>
        <v>-1</v>
      </c>
      <c r="DK178" s="45">
        <f t="shared" si="272"/>
        <v>-1</v>
      </c>
      <c r="DL178" s="47">
        <f t="shared" si="273"/>
        <v>-1</v>
      </c>
      <c r="DM178" s="46">
        <f t="shared" si="274"/>
        <v>-1</v>
      </c>
      <c r="DN178" s="45">
        <f t="shared" si="275"/>
        <v>-1</v>
      </c>
      <c r="DO178" s="47">
        <f t="shared" si="276"/>
        <v>-1</v>
      </c>
      <c r="DP178" s="46">
        <f t="shared" si="277"/>
        <v>-1</v>
      </c>
      <c r="DQ178" s="45">
        <f t="shared" si="278"/>
        <v>-1</v>
      </c>
      <c r="DR178" s="48">
        <f t="shared" si="279"/>
        <v>-1</v>
      </c>
      <c r="DS178" s="44">
        <f t="shared" si="280"/>
        <v>-1</v>
      </c>
      <c r="DT178" s="45">
        <f t="shared" si="281"/>
        <v>-1</v>
      </c>
      <c r="DU178" s="47">
        <f t="shared" si="282"/>
        <v>-1</v>
      </c>
      <c r="DV178" s="46">
        <f t="shared" si="283"/>
        <v>-1</v>
      </c>
      <c r="DW178" s="45">
        <f t="shared" si="284"/>
        <v>-1</v>
      </c>
      <c r="DX178" s="47">
        <f t="shared" si="285"/>
        <v>-1</v>
      </c>
      <c r="DY178" s="46">
        <f t="shared" si="286"/>
        <v>-1</v>
      </c>
      <c r="DZ178" s="45">
        <f t="shared" si="287"/>
        <v>-1</v>
      </c>
      <c r="EA178" s="48">
        <f t="shared" si="288"/>
        <v>-1</v>
      </c>
      <c r="EB178" s="44">
        <f t="shared" si="289"/>
        <v>-1</v>
      </c>
      <c r="EC178" s="45">
        <f t="shared" si="290"/>
        <v>-1</v>
      </c>
      <c r="ED178" s="47">
        <f t="shared" si="291"/>
        <v>-1</v>
      </c>
      <c r="EE178" s="46">
        <f t="shared" si="292"/>
        <v>-1</v>
      </c>
      <c r="EF178" s="45">
        <f t="shared" si="293"/>
        <v>-1</v>
      </c>
      <c r="EG178" s="47">
        <f t="shared" si="294"/>
        <v>-1</v>
      </c>
      <c r="EH178" s="46">
        <f t="shared" si="295"/>
        <v>-1</v>
      </c>
      <c r="EI178" s="45">
        <f t="shared" si="296"/>
        <v>-1</v>
      </c>
      <c r="EJ178" s="100">
        <f t="shared" si="297"/>
        <v>-1</v>
      </c>
      <c r="EK178" s="99">
        <f t="shared" si="298"/>
        <v>-1</v>
      </c>
      <c r="EL178" s="45">
        <f t="shared" si="299"/>
        <v>-1</v>
      </c>
      <c r="EM178" s="47">
        <f t="shared" si="300"/>
        <v>-1</v>
      </c>
      <c r="EN178" s="46">
        <f t="shared" si="301"/>
        <v>-1</v>
      </c>
      <c r="EO178" s="45">
        <f t="shared" si="302"/>
        <v>-1</v>
      </c>
      <c r="EP178" s="47">
        <f t="shared" si="303"/>
        <v>-1</v>
      </c>
      <c r="EQ178" s="46">
        <f t="shared" si="304"/>
        <v>0</v>
      </c>
      <c r="ER178" s="45">
        <f t="shared" si="305"/>
        <v>8</v>
      </c>
      <c r="ES178" s="48">
        <f t="shared" si="306"/>
        <v>0</v>
      </c>
      <c r="ET178" s="44">
        <f t="shared" si="307"/>
        <v>-1</v>
      </c>
      <c r="EU178" s="45">
        <f t="shared" si="308"/>
        <v>-1</v>
      </c>
      <c r="EV178" s="47">
        <f t="shared" si="309"/>
        <v>-1</v>
      </c>
      <c r="EW178" s="46">
        <f t="shared" si="310"/>
        <v>-1</v>
      </c>
      <c r="EX178" s="45">
        <f t="shared" si="311"/>
        <v>-1</v>
      </c>
      <c r="EY178" s="47">
        <f t="shared" si="312"/>
        <v>-1</v>
      </c>
      <c r="EZ178" s="46">
        <f t="shared" si="313"/>
        <v>0</v>
      </c>
      <c r="FA178" s="45">
        <f t="shared" si="314"/>
        <v>0</v>
      </c>
      <c r="FB178" s="48">
        <f t="shared" si="315"/>
        <v>0</v>
      </c>
      <c r="FC178" s="44">
        <f t="shared" si="316"/>
        <v>-1</v>
      </c>
      <c r="FD178" s="45">
        <f t="shared" si="317"/>
        <v>-1</v>
      </c>
      <c r="FE178" s="47">
        <f t="shared" si="318"/>
        <v>-1</v>
      </c>
      <c r="FF178" s="46">
        <f t="shared" si="319"/>
        <v>-1</v>
      </c>
      <c r="FG178" s="45">
        <f t="shared" si="320"/>
        <v>-1</v>
      </c>
      <c r="FH178" s="47">
        <f t="shared" si="321"/>
        <v>-1</v>
      </c>
      <c r="FI178" s="46">
        <f t="shared" si="322"/>
        <v>-1</v>
      </c>
      <c r="FJ178" s="45">
        <f t="shared" si="323"/>
        <v>-1</v>
      </c>
      <c r="FK178" s="100">
        <f t="shared" si="324"/>
        <v>-1</v>
      </c>
      <c r="FL178" s="99">
        <f t="shared" si="325"/>
        <v>-1</v>
      </c>
      <c r="FM178" s="45">
        <f t="shared" si="326"/>
        <v>-1</v>
      </c>
      <c r="FN178" s="47">
        <f t="shared" si="327"/>
        <v>-1</v>
      </c>
      <c r="FO178" s="46">
        <f t="shared" si="328"/>
        <v>-1</v>
      </c>
      <c r="FP178" s="45">
        <f t="shared" si="329"/>
        <v>-1</v>
      </c>
      <c r="FQ178" s="47">
        <f t="shared" si="330"/>
        <v>-1</v>
      </c>
      <c r="FR178" s="46">
        <f t="shared" si="331"/>
        <v>-1</v>
      </c>
      <c r="FS178" s="45">
        <f t="shared" si="332"/>
        <v>-1</v>
      </c>
      <c r="FT178" s="48">
        <f t="shared" si="333"/>
        <v>-1</v>
      </c>
      <c r="FU178" s="44">
        <f t="shared" si="334"/>
        <v>-1</v>
      </c>
      <c r="FV178" s="45">
        <f t="shared" si="335"/>
        <v>-1</v>
      </c>
      <c r="FW178" s="47">
        <f t="shared" si="336"/>
        <v>-1</v>
      </c>
      <c r="FX178" s="46">
        <f t="shared" si="337"/>
        <v>-1</v>
      </c>
      <c r="FY178" s="45">
        <f t="shared" si="338"/>
        <v>-1</v>
      </c>
      <c r="FZ178" s="47">
        <f t="shared" si="339"/>
        <v>-1</v>
      </c>
      <c r="GA178" s="46">
        <f t="shared" si="340"/>
        <v>-1</v>
      </c>
      <c r="GB178" s="45">
        <f t="shared" si="341"/>
        <v>-1</v>
      </c>
      <c r="GC178" s="48">
        <f t="shared" si="342"/>
        <v>-1</v>
      </c>
      <c r="GD178" s="44">
        <f t="shared" si="343"/>
        <v>0</v>
      </c>
      <c r="GE178" s="45">
        <f t="shared" si="344"/>
        <v>8</v>
      </c>
      <c r="GF178" s="47">
        <f t="shared" si="345"/>
        <v>0</v>
      </c>
      <c r="GG178" s="46">
        <f t="shared" si="346"/>
        <v>-1</v>
      </c>
      <c r="GH178" s="45">
        <f t="shared" si="347"/>
        <v>-1</v>
      </c>
      <c r="GI178" s="47">
        <f t="shared" si="348"/>
        <v>-1</v>
      </c>
      <c r="GJ178" s="46">
        <f t="shared" si="349"/>
        <v>-1</v>
      </c>
      <c r="GK178" s="45">
        <f t="shared" si="350"/>
        <v>-1</v>
      </c>
      <c r="GL178" s="100">
        <f t="shared" si="351"/>
        <v>-1</v>
      </c>
      <c r="GN178" s="46">
        <f>COUNTIF(DJ178:GL178,7)</f>
        <v>0</v>
      </c>
      <c r="GO178" s="45">
        <f>COUNTIF(DJ178:GL178,8)</f>
        <v>2</v>
      </c>
      <c r="GP178" s="47">
        <f>COUNTIF(DJ178:GL178,9)</f>
        <v>0</v>
      </c>
      <c r="GQ178" s="39"/>
      <c r="GR178" s="39"/>
      <c r="GT178" s="78">
        <f t="shared" ref="GT178:GV178" si="364">GT151</f>
        <v>1</v>
      </c>
      <c r="GU178" s="79">
        <f t="shared" si="364"/>
        <v>4</v>
      </c>
      <c r="GV178" s="80">
        <f t="shared" si="364"/>
        <v>0</v>
      </c>
    </row>
    <row r="179" spans="9:204" ht="15" customHeight="1">
      <c r="N179" s="108">
        <f>IF($B$101="x",-1,IF(AND($B$101=0,INDEX(KonZeile7,1)+INDEX(KonSpalte1,1)+INDEX(KonFeld7,1)=0),1,0))</f>
        <v>-1</v>
      </c>
      <c r="O179" s="37">
        <f>IF($B$101="x",-1,IF(AND($B$101=0,INDEX(KonZeile7,2)+INDEX(KonSpalte1,2)+INDEX(KonFeld7,2)=0),2,0))</f>
        <v>-1</v>
      </c>
      <c r="P179" s="35">
        <f>IF($B$101="x",-1,IF(AND($B$101=0,INDEX(KonZeile7,3)+INDEX(KonSpalte1,3)+INDEX(KonFeld7,3)=0),3,0))</f>
        <v>-1</v>
      </c>
      <c r="Q179" s="36">
        <f>IF($C$101="x",-1,IF(AND($C$101=0,INDEX(KonZeile7,1)+INDEX(KonSpalte2,1)+INDEX(KonFeld7,1)=0),1,0))</f>
        <v>-1</v>
      </c>
      <c r="R179" s="37">
        <f>IF($C$101="x",-1,IF(AND($C$101=0,INDEX(KonZeile7,2)+INDEX(KonSpalte2,2)+INDEX(KonFeld7,2)=0),2,0))</f>
        <v>-1</v>
      </c>
      <c r="S179" s="35">
        <f>IF($C$101="x",-1,IF(AND($C$101=0,INDEX(KonZeile7,3)+INDEX(KonSpalte2,3)+INDEX(KonFeld7,3)=0),3,0))</f>
        <v>-1</v>
      </c>
      <c r="T179" s="36">
        <f>IF($D$101="x",-1,IF(AND($D$101=0,INDEX(KonZeile7,1)+INDEX(KonSpalte3,1)+INDEX(KonFeld7,1)=0),1,0))</f>
        <v>-1</v>
      </c>
      <c r="U179" s="37">
        <f>IF($D$101="x",-1,IF(AND($D$101=0,INDEX(KonZeile7,2)+INDEX(KonSpalte3,2)+INDEX(KonFeld7,2)=0),2,0))</f>
        <v>-1</v>
      </c>
      <c r="V179" s="38">
        <f>IF($D$101="x",-1,IF(AND($D$101=0,INDEX(KonZeile7,3)+INDEX(KonSpalte3,3)+INDEX(KonFeld7,3)=0),3,0))</f>
        <v>-1</v>
      </c>
      <c r="W179" s="34">
        <f>IF($E$101="x",-1,IF(AND($E$101=0,INDEX(KonZeile7,1)+INDEX(KonSpalte4,1)+INDEX(KonFeld7,1)=0),1,0))</f>
        <v>-1</v>
      </c>
      <c r="X179" s="37">
        <f>IF($E$101="x",-1,IF(AND($E$101=0,INDEX(KonZeile7,2)+INDEX(KonSpalte4,2)+INDEX(KonFeld7,2)=0),2,0))</f>
        <v>-1</v>
      </c>
      <c r="Y179" s="35">
        <f>IF($E$101="x",-1,IF(AND($E$101=0,INDEX(KonZeile7,3)+INDEX(KonSpalte4,3)+INDEX(KonFeld7,3)=0),3,0))</f>
        <v>-1</v>
      </c>
      <c r="Z179" s="36">
        <f>IF($F$101="x",-1,IF(AND($F$101=0,INDEX(KonZeile7,1)+INDEX(KonSpalte5,1)+INDEX(KonFeld7,1)=0),1,0))</f>
        <v>-1</v>
      </c>
      <c r="AA179" s="37">
        <f>IF($F$101="x",-1,IF(AND($F$101=0,INDEX(KonZeile7,2)+INDEX(KonSpalte5,2)+INDEX(KonFeld7,2)=0),2,0))</f>
        <v>-1</v>
      </c>
      <c r="AB179" s="35">
        <f>IF($F$101="x",-1,IF(AND($F$101=0,INDEX(KonZeile7,3)+INDEX(KonSpalte5,3)+INDEX(KonFeld7,3)=0),3,0))</f>
        <v>-1</v>
      </c>
      <c r="AC179" s="36">
        <f>IF($G$101="x",-1,IF(AND($G$101=0,INDEX(KonZeile7,1)+INDEX(KonSpalte6,1)+INDEX(KonFeld7,1)=0),1,0))</f>
        <v>0</v>
      </c>
      <c r="AD179" s="37">
        <f>IF($G$101="x",-1,IF(AND($G$101=0,INDEX(KonZeile7,2)+INDEX(KonSpalte6,2)+INDEX(KonFeld7,2)=0),2,0))</f>
        <v>0</v>
      </c>
      <c r="AE179" s="38">
        <f>IF($G$101="x",-1,IF(AND($G$101=0,INDEX(KonZeile7,3)+INDEX(KonSpalte6,3)+INDEX(KonFeld7,3)=0),3,0))</f>
        <v>0</v>
      </c>
      <c r="AF179" s="34">
        <f>IF($H$101="x",-1,IF(AND($H$101=0,INDEX(KonZeile7,1)+INDEX(KonSpalte7,1)+INDEX(KonFeld7,1)=0),1,0))</f>
        <v>-1</v>
      </c>
      <c r="AG179" s="37">
        <f>IF($H$101="x",-1,IF(AND($H$101=0,INDEX(KonZeile7,2)+INDEX(KonSpalte7,2)+INDEX(KonFeld7,2)=0),2,0))</f>
        <v>-1</v>
      </c>
      <c r="AH179" s="35">
        <f>IF($H$101="x",-1,IF(AND($H$101=0,INDEX(KonZeile7,3)+INDEX(KonSpalte7,3)+INDEX(KonFeld7,3)=0),3,0))</f>
        <v>-1</v>
      </c>
      <c r="AI179" s="36">
        <f>IF($I$101="x",-1,IF(AND($I$101=0,INDEX(KonZeile7,1)+INDEX(KonSpalte8,1)+INDEX(KonFeld7,1)=0),1,0))</f>
        <v>-1</v>
      </c>
      <c r="AJ179" s="37">
        <f>IF($I$101="x",-1,IF(AND($I$101=0,INDEX(KonZeile7,2)+INDEX(KonSpalte8,2)+INDEX(KonFeld7,2)=0),2,0))</f>
        <v>-1</v>
      </c>
      <c r="AK179" s="35">
        <f>IF($I$101="x",-1,IF(AND($I$101=0,INDEX(KonZeile7,3)+INDEX(KonSpalte8,3)+INDEX(KonFeld7,3)=0),3,0))</f>
        <v>-1</v>
      </c>
      <c r="AL179" s="36">
        <f>IF($J$101="x",-1,IF(AND($J$101=0,INDEX(KonZeile7,1)+INDEX(KonSpalte9,1)+INDEX(KonFeld7,1)=0),1,0))</f>
        <v>-1</v>
      </c>
      <c r="AM179" s="37">
        <f>IF($J$101="x",-1,IF(AND($J$101=0,INDEX(KonZeile7,2)+INDEX(KonSpalte9,2)+INDEX(KonFeld7,2)=0),2,0))</f>
        <v>-1</v>
      </c>
      <c r="AN179" s="109">
        <f>IF($J$101="x",-1,IF(AND($J$101=0,INDEX(KonZeile7,3)+INDEX(KonSpalte9,3)+INDEX(KonFeld7,3)=0),3,0))</f>
        <v>-1</v>
      </c>
      <c r="AO179" s="108">
        <f>IF($K$101="x",-1,IF(AND($K$101=0,INDEX(KonZeile7,1)+INDEX(KonSpalte1,1)+INDEX(KonFeld8,1)=0),1,0))</f>
        <v>-1</v>
      </c>
      <c r="AP179" s="37">
        <f>IF($K$101="x",-1,IF(AND($K$101=0,INDEX(KonZeile7,2)+INDEX(KonSpalte1,2)+INDEX(KonFeld8,2)=0),2,0))</f>
        <v>-1</v>
      </c>
      <c r="AQ179" s="35">
        <f>IF($K$101="x",-1,IF(AND($K$101=0,INDEX(KonZeile7,3)+INDEX(KonSpalte1,3)+INDEX(KonFeld8,3)=0),3,0))</f>
        <v>-1</v>
      </c>
      <c r="AR179" s="36">
        <f>IF($L$101="x",-1,IF(AND($L$101=0,INDEX(KonZeile7,1)+INDEX(KonSpalte2,1)+INDEX(KonFeld8,1)=0),1,0))</f>
        <v>-1</v>
      </c>
      <c r="AS179" s="37">
        <f>IF($L$101="x",-1,IF(AND($L$101=0,INDEX(KonZeile7,2)+INDEX(KonSpalte2,2)+INDEX(KonFeld8,2)=0),2,0))</f>
        <v>-1</v>
      </c>
      <c r="AT179" s="35">
        <f>IF($L$101="x",-1,IF(AND($L$101=0,INDEX(KonZeile7,3)+INDEX(KonSpalte2,3)+INDEX(KonFeld8,3)=0),3,0))</f>
        <v>-1</v>
      </c>
      <c r="AU179" s="36">
        <f>IF($M$101="x",-1,IF(AND($M$101=0,INDEX(KonZeile7,1)+INDEX(KonSpalte3,1)+INDEX(KonFeld8,1)=0),1,0))</f>
        <v>-1</v>
      </c>
      <c r="AV179" s="37">
        <f>IF($M$101="x",-1,IF(AND($M$101=0,INDEX(KonZeile7,2)+INDEX(KonSpalte3,2)+INDEX(KonFeld8,2)=0),2,0))</f>
        <v>-1</v>
      </c>
      <c r="AW179" s="38">
        <f>IF($M$101="x",-1,IF(AND($M$101=0,INDEX(KonZeile7,3)+INDEX(KonSpalte3,3)+INDEX(KonFeld8,3)=0),3,0))</f>
        <v>-1</v>
      </c>
      <c r="AX179" s="34">
        <f>IF($N$101="x",-1,IF(AND($N$101=0,INDEX(KonZeile7,1)+INDEX(KonSpalte4,1)+INDEX(KonFeld8,1)=0),1,0))</f>
        <v>0</v>
      </c>
      <c r="AY179" s="37">
        <f>IF($N$101="x",-1,IF(AND($N$101=0,INDEX(KonZeile7,2)+INDEX(KonSpalte4,2)+INDEX(KonFeld8,2)=0),2,0))</f>
        <v>0</v>
      </c>
      <c r="AZ179" s="35">
        <f>IF($N$101="x",-1,IF(AND($N$101=0,INDEX(KonZeile7,3)+INDEX(KonSpalte4,3)+INDEX(KonFeld8,3)=0),3,0))</f>
        <v>0</v>
      </c>
      <c r="BA179" s="36">
        <f>IF($O$101="x",-1,IF(AND($O$101=0,INDEX(KonZeile7,1)+INDEX(KonSpalte5,1)+INDEX(KonFeld8,1)=0),1,0))</f>
        <v>0</v>
      </c>
      <c r="BB179" s="37">
        <f>IF($O$101="x",-1,IF(AND($O$101=0,INDEX(KonZeile7,2)+INDEX(KonSpalte5,2)+INDEX(KonFeld8,2)=0),2,0))</f>
        <v>0</v>
      </c>
      <c r="BC179" s="35">
        <f>IF($O$101="x",-1,IF(AND($O$101=0,INDEX(KonZeile7,3)+INDEX(KonSpalte5,3)+INDEX(KonFeld8,3)=0),3,0))</f>
        <v>0</v>
      </c>
      <c r="BD179" s="36">
        <f>IF($P$101="x",-1,IF(AND($P$101=0,INDEX(KonZeile7,1)+INDEX(KonSpalte6,1)+INDEX(KonFeld8,1)=0),1,0))</f>
        <v>-1</v>
      </c>
      <c r="BE179" s="37">
        <f>IF($P$101="x",-1,IF(AND($P$101=0,INDEX(KonZeile7,2)+INDEX(KonSpalte6,2)+INDEX(KonFeld8,2)=0),2,0))</f>
        <v>-1</v>
      </c>
      <c r="BF179" s="38">
        <f>IF($P$101="x",-1,IF(AND($P$101=0,INDEX(KonZeile7,3)+INDEX(KonSpalte6,3)+INDEX(KonFeld8,3)=0),3,0))</f>
        <v>-1</v>
      </c>
      <c r="BG179" s="34">
        <f>IF($Q$101="x",-1,IF(AND($Q$101=0,INDEX(KonZeile7,1)+INDEX(KonSpalte7,1)+INDEX(KonFeld8,1)=0),1,0))</f>
        <v>-1</v>
      </c>
      <c r="BH179" s="37">
        <f>IF($Q$101="x",-1,IF(AND($Q$101=0,INDEX(KonZeile7,2)+INDEX(KonSpalte7,2)+INDEX(KonFeld8,2)=0),2,0))</f>
        <v>-1</v>
      </c>
      <c r="BI179" s="35">
        <f>IF($Q$101="x",-1,IF(AND($Q$101=0,INDEX(KonZeile7,3)+INDEX(KonSpalte7,3)+INDEX(KonFeld8,3)=0),3,0))</f>
        <v>-1</v>
      </c>
      <c r="BJ179" s="36">
        <f>IF($R$101="x",-1,IF(AND($R$101=0,INDEX(KonZeile7,1)+INDEX(KonSpalte8,1)+INDEX(KonFeld8,1)=0),1,0))</f>
        <v>0</v>
      </c>
      <c r="BK179" s="37">
        <f>IF($R$101="x",-1,IF(AND($R$101=0,INDEX(KonZeile7,2)+INDEX(KonSpalte8,2)+INDEX(KonFeld8,2)=0),2,0))</f>
        <v>0</v>
      </c>
      <c r="BL179" s="35">
        <f>IF($R$101="x",-1,IF(AND($R$101=0,INDEX(KonZeile7,3)+INDEX(KonSpalte8,3)+INDEX(KonFeld8,3)=0),3,0))</f>
        <v>0</v>
      </c>
      <c r="BM179" s="36">
        <f>IF($S$101="x",-1,IF(AND($S$101=0,INDEX(KonZeile7,1)+INDEX(KonSpalte9,1)+INDEX(KonFeld8,1)=0),1,0))</f>
        <v>-1</v>
      </c>
      <c r="BN179" s="37">
        <f>IF($S$101="x",-1,IF(AND($S$101=0,INDEX(KonZeile7,2)+INDEX(KonSpalte9,2)+INDEX(KonFeld8,2)=0),2,0))</f>
        <v>-1</v>
      </c>
      <c r="BO179" s="109">
        <f>IF($S$101="x",-1,IF(AND($S$101=0,INDEX(KonZeile7,3)+INDEX(KonSpalte9,3)+INDEX(KonFeld8,3)=0),3,0))</f>
        <v>-1</v>
      </c>
      <c r="BP179" s="108">
        <f>IF($T$101="x",-1,IF(AND($T$101=0,INDEX(KonZeile7,1)+INDEX(KonSpalte1,1)+INDEX(KonFeld9,1)=0),1,0))</f>
        <v>-1</v>
      </c>
      <c r="BQ179" s="37">
        <f>IF($T$101="x",-1,IF(AND($T$101=0,INDEX(KonZeile7,2)+INDEX(KonSpalte1,2)+INDEX(KonFeld9,2)=0),2,0))</f>
        <v>-1</v>
      </c>
      <c r="BR179" s="35">
        <f>IF($T$101="x",-1,IF(AND($T$101=0,INDEX(KonZeile7,3)+INDEX(KonSpalte1,3)+INDEX(KonFeld9,3)=0),3,0))</f>
        <v>-1</v>
      </c>
      <c r="BS179" s="36">
        <f>IF($U$101="x",-1,IF(AND($U$101=0,INDEX(KonZeile7,1)+INDEX(KonSpalte2,1)+INDEX(KonFeld9,1)=0),1,0))</f>
        <v>-1</v>
      </c>
      <c r="BT179" s="37">
        <f>IF($U$101="x",-1,IF(AND($U$101=0,INDEX(KonZeile7,2)+INDEX(KonSpalte2,2)+INDEX(KonFeld9,2)=0),2,0))</f>
        <v>-1</v>
      </c>
      <c r="BU179" s="35">
        <f>IF($U$101="x",-1,IF(AND($U$101=0,INDEX(KonZeile7,3)+INDEX(KonSpalte2,3)+INDEX(KonFeld9,3)=0),3,0))</f>
        <v>-1</v>
      </c>
      <c r="BV179" s="36">
        <f>IF($V$101="x",-1,IF(AND($V$101=0,INDEX(KonZeile7,1)+INDEX(KonSpalte3,1)+INDEX(KonFeld9,1)=0),1,0))</f>
        <v>-1</v>
      </c>
      <c r="BW179" s="37">
        <f>IF($V$101="x",-1,IF(AND($V$101=0,INDEX(KonZeile7,2)+INDEX(KonSpalte3,2)+INDEX(KonFeld9,2)=0),2,0))</f>
        <v>-1</v>
      </c>
      <c r="BX179" s="38">
        <f>IF($V$101="x",-1,IF(AND($V$101=0,INDEX(KonZeile7,3)+INDEX(KonSpalte3,3)+INDEX(KonFeld9,3)=0),3,0))</f>
        <v>-1</v>
      </c>
      <c r="BY179" s="34">
        <f>IF($W$101="x",-1,IF(AND($W$101=0,INDEX(KonZeile7,1)+INDEX(KonSpalte4,1)+INDEX(KonFeld9,1)=0),1,0))</f>
        <v>-1</v>
      </c>
      <c r="BZ179" s="37">
        <f>IF($W$101="x",-1,IF(AND($W$101=0,INDEX(KonZeile7,2)+INDEX(KonSpalte4,2)+INDEX(KonFeld9,2)=0),2,0))</f>
        <v>-1</v>
      </c>
      <c r="CA179" s="35">
        <f>IF($W$101="x",-1,IF(AND($W$101=0,INDEX(KonZeile7,3)+INDEX(KonSpalte4,3)+INDEX(KonFeld9,3)=0),3,0))</f>
        <v>-1</v>
      </c>
      <c r="CB179" s="36">
        <f>IF($X$101="x",-1,IF(AND($X$101=0,INDEX(KonZeile7,1)+INDEX(KonSpalte5,1)+INDEX(KonFeld9,1)=0),1,0))</f>
        <v>-1</v>
      </c>
      <c r="CC179" s="37">
        <f>IF($X$101="x",-1,IF(AND($X$101=0,INDEX(KonZeile7,2)+INDEX(KonSpalte5,2)+INDEX(KonFeld9,2)=0),2,0))</f>
        <v>-1</v>
      </c>
      <c r="CD179" s="35">
        <f>IF($X$101="x",-1,IF(AND($X$101=0,INDEX(KonZeile7,3)+INDEX(KonSpalte5,3)+INDEX(KonFeld9,3)=0),3,0))</f>
        <v>-1</v>
      </c>
      <c r="CE179" s="36">
        <f>IF($Y$101="x",-1,IF(AND($Y$101=0,INDEX(KonZeile7,1)+INDEX(KonSpalte6,1)+INDEX(KonFeld9,1)=0),1,0))</f>
        <v>-1</v>
      </c>
      <c r="CF179" s="37">
        <f>IF($Y$101="x",-1,IF(AND($Y$101=0,INDEX(KonZeile7,2)+INDEX(KonSpalte6,2)+INDEX(KonFeld9,2)=0),2,0))</f>
        <v>-1</v>
      </c>
      <c r="CG179" s="38">
        <f>IF($Y$101="x",-1,IF(AND($Y$101=0,INDEX(KonZeile7,3)+INDEX(KonSpalte6,3)+INDEX(KonFeld9,3)=0),3,0))</f>
        <v>-1</v>
      </c>
      <c r="CH179" s="34">
        <f>IF($Z$101="x",-1,IF(AND($Z$101=0,INDEX(KonZeile7,1)+INDEX(KonSpalte7,1)+INDEX(KonFeld9,1)=0),1,0))</f>
        <v>-1</v>
      </c>
      <c r="CI179" s="37">
        <f>IF($Z$101="x",-1,IF(AND($Z$101=0,INDEX(KonZeile7,2)+INDEX(KonSpalte7,2)+INDEX(KonFeld9,2)=0),2,0))</f>
        <v>-1</v>
      </c>
      <c r="CJ179" s="35">
        <f>IF($Z$101="x",-1,IF(AND($Z$101=0,INDEX(KonZeile7,3)+INDEX(KonSpalte7,3)+INDEX(KonFeld9,3)=0),3,0))</f>
        <v>-1</v>
      </c>
      <c r="CK179" s="36">
        <f>IF($AA$101="x",-1,IF(AND($AA$101=0,INDEX(KonZeile7,1)+INDEX(KonSpalte8,1)+INDEX(KonFeld9,1)=0),1,0))</f>
        <v>-1</v>
      </c>
      <c r="CL179" s="37">
        <f>IF($AA$101="x",-1,IF(AND($AA$101=0,INDEX(KonZeile7,2)+INDEX(KonSpalte8,2)+INDEX(KonFeld9,2)=0),2,0))</f>
        <v>-1</v>
      </c>
      <c r="CM179" s="35">
        <f>IF($AA$101="x",-1,IF(AND($AA$101=0,INDEX(KonZeile7,3)+INDEX(KonSpalte8,3)+INDEX(KonFeld9,3)=0),3,0))</f>
        <v>-1</v>
      </c>
      <c r="CN179" s="36">
        <f>IF($AB$101="x",-1,IF(AND($AB$101=0,INDEX(KonZeile7,1)+INDEX(KonSpalte9,1)+INDEX(KonFeld9,1)=0),1,0))</f>
        <v>-1</v>
      </c>
      <c r="CO179" s="37">
        <f>IF($AB$101="x",-1,IF(AND($AB$101=0,INDEX(KonZeile7,2)+INDEX(KonSpalte9,2)+INDEX(KonFeld9,2)=0),2,0))</f>
        <v>-1</v>
      </c>
      <c r="CP179" s="109">
        <f>IF($AB$101="x",-1,IF(AND($AB$101=0,INDEX(KonZeile7,3)+INDEX(KonSpalte9,3)+INDEX(KonFeld9,3)=0),3,0))</f>
        <v>-1</v>
      </c>
      <c r="CR179" s="52">
        <f>COUNTIF(N179:CP179,1)</f>
        <v>0</v>
      </c>
      <c r="CS179" s="50">
        <f>COUNTIF(N179:CP179,2)</f>
        <v>0</v>
      </c>
      <c r="CT179" s="51">
        <f>COUNTIF(N179:CP179,3)</f>
        <v>0</v>
      </c>
      <c r="CU179" s="39"/>
      <c r="CV179" s="39"/>
      <c r="CX179" s="65">
        <f t="shared" si="359"/>
        <v>0</v>
      </c>
      <c r="CY179" s="66">
        <f t="shared" si="359"/>
        <v>0</v>
      </c>
      <c r="CZ179" s="67">
        <f t="shared" si="359"/>
        <v>0</v>
      </c>
      <c r="DJ179" s="104">
        <f t="shared" si="271"/>
        <v>-1</v>
      </c>
      <c r="DK179" s="50">
        <f t="shared" si="272"/>
        <v>-1</v>
      </c>
      <c r="DL179" s="51">
        <f t="shared" si="273"/>
        <v>-1</v>
      </c>
      <c r="DM179" s="52">
        <f t="shared" si="274"/>
        <v>-1</v>
      </c>
      <c r="DN179" s="50">
        <f t="shared" si="275"/>
        <v>-1</v>
      </c>
      <c r="DO179" s="51">
        <f t="shared" si="276"/>
        <v>-1</v>
      </c>
      <c r="DP179" s="52">
        <f t="shared" si="277"/>
        <v>0</v>
      </c>
      <c r="DQ179" s="50">
        <f t="shared" si="278"/>
        <v>0</v>
      </c>
      <c r="DR179" s="53">
        <f t="shared" si="279"/>
        <v>0</v>
      </c>
      <c r="DS179" s="49">
        <f t="shared" si="280"/>
        <v>-1</v>
      </c>
      <c r="DT179" s="50">
        <f t="shared" si="281"/>
        <v>-1</v>
      </c>
      <c r="DU179" s="51">
        <f t="shared" si="282"/>
        <v>-1</v>
      </c>
      <c r="DV179" s="52">
        <f t="shared" si="283"/>
        <v>-1</v>
      </c>
      <c r="DW179" s="50">
        <f t="shared" si="284"/>
        <v>-1</v>
      </c>
      <c r="DX179" s="51">
        <f t="shared" si="285"/>
        <v>-1</v>
      </c>
      <c r="DY179" s="52">
        <f t="shared" si="286"/>
        <v>-1</v>
      </c>
      <c r="DZ179" s="50">
        <f t="shared" si="287"/>
        <v>-1</v>
      </c>
      <c r="EA179" s="53">
        <f t="shared" si="288"/>
        <v>-1</v>
      </c>
      <c r="EB179" s="49">
        <f t="shared" si="289"/>
        <v>-1</v>
      </c>
      <c r="EC179" s="50">
        <f t="shared" si="290"/>
        <v>-1</v>
      </c>
      <c r="ED179" s="51">
        <f t="shared" si="291"/>
        <v>-1</v>
      </c>
      <c r="EE179" s="52">
        <f t="shared" si="292"/>
        <v>-1</v>
      </c>
      <c r="EF179" s="50">
        <f t="shared" si="293"/>
        <v>-1</v>
      </c>
      <c r="EG179" s="51">
        <f t="shared" si="294"/>
        <v>-1</v>
      </c>
      <c r="EH179" s="52">
        <f t="shared" si="295"/>
        <v>-1</v>
      </c>
      <c r="EI179" s="50">
        <f t="shared" si="296"/>
        <v>-1</v>
      </c>
      <c r="EJ179" s="105">
        <f t="shared" si="297"/>
        <v>-1</v>
      </c>
      <c r="EK179" s="104">
        <f t="shared" si="298"/>
        <v>-1</v>
      </c>
      <c r="EL179" s="50">
        <f t="shared" si="299"/>
        <v>-1</v>
      </c>
      <c r="EM179" s="51">
        <f t="shared" si="300"/>
        <v>-1</v>
      </c>
      <c r="EN179" s="52">
        <f t="shared" si="301"/>
        <v>-1</v>
      </c>
      <c r="EO179" s="50">
        <f t="shared" si="302"/>
        <v>-1</v>
      </c>
      <c r="EP179" s="51">
        <f t="shared" si="303"/>
        <v>-1</v>
      </c>
      <c r="EQ179" s="52">
        <f t="shared" si="304"/>
        <v>-1</v>
      </c>
      <c r="ER179" s="50">
        <f t="shared" si="305"/>
        <v>-1</v>
      </c>
      <c r="ES179" s="53">
        <f t="shared" si="306"/>
        <v>-1</v>
      </c>
      <c r="ET179" s="49">
        <f t="shared" si="307"/>
        <v>-1</v>
      </c>
      <c r="EU179" s="50">
        <f t="shared" si="308"/>
        <v>-1</v>
      </c>
      <c r="EV179" s="51">
        <f t="shared" si="309"/>
        <v>-1</v>
      </c>
      <c r="EW179" s="52">
        <f t="shared" si="310"/>
        <v>-1</v>
      </c>
      <c r="EX179" s="50">
        <f t="shared" si="311"/>
        <v>-1</v>
      </c>
      <c r="EY179" s="51">
        <f t="shared" si="312"/>
        <v>-1</v>
      </c>
      <c r="EZ179" s="52">
        <f t="shared" si="313"/>
        <v>-1</v>
      </c>
      <c r="FA179" s="50">
        <f t="shared" si="314"/>
        <v>-1</v>
      </c>
      <c r="FB179" s="53">
        <f t="shared" si="315"/>
        <v>-1</v>
      </c>
      <c r="FC179" s="49">
        <f t="shared" si="316"/>
        <v>-1</v>
      </c>
      <c r="FD179" s="50">
        <f t="shared" si="317"/>
        <v>-1</v>
      </c>
      <c r="FE179" s="51">
        <f t="shared" si="318"/>
        <v>-1</v>
      </c>
      <c r="FF179" s="52">
        <f t="shared" si="319"/>
        <v>-1</v>
      </c>
      <c r="FG179" s="50">
        <f t="shared" si="320"/>
        <v>-1</v>
      </c>
      <c r="FH179" s="51">
        <f t="shared" si="321"/>
        <v>-1</v>
      </c>
      <c r="FI179" s="52">
        <f t="shared" si="322"/>
        <v>-1</v>
      </c>
      <c r="FJ179" s="50">
        <f t="shared" si="323"/>
        <v>-1</v>
      </c>
      <c r="FK179" s="105">
        <f t="shared" si="324"/>
        <v>-1</v>
      </c>
      <c r="FL179" s="104">
        <f t="shared" si="325"/>
        <v>-1</v>
      </c>
      <c r="FM179" s="50">
        <f t="shared" si="326"/>
        <v>-1</v>
      </c>
      <c r="FN179" s="51">
        <f t="shared" si="327"/>
        <v>-1</v>
      </c>
      <c r="FO179" s="52">
        <f t="shared" si="328"/>
        <v>-1</v>
      </c>
      <c r="FP179" s="50">
        <f t="shared" si="329"/>
        <v>-1</v>
      </c>
      <c r="FQ179" s="51">
        <f t="shared" si="330"/>
        <v>-1</v>
      </c>
      <c r="FR179" s="52">
        <f t="shared" si="331"/>
        <v>-1</v>
      </c>
      <c r="FS179" s="50">
        <f t="shared" si="332"/>
        <v>-1</v>
      </c>
      <c r="FT179" s="53">
        <f t="shared" si="333"/>
        <v>-1</v>
      </c>
      <c r="FU179" s="49">
        <f t="shared" si="334"/>
        <v>-1</v>
      </c>
      <c r="FV179" s="50">
        <f t="shared" si="335"/>
        <v>-1</v>
      </c>
      <c r="FW179" s="51">
        <f t="shared" si="336"/>
        <v>-1</v>
      </c>
      <c r="FX179" s="52">
        <f t="shared" si="337"/>
        <v>-1</v>
      </c>
      <c r="FY179" s="50">
        <f t="shared" si="338"/>
        <v>-1</v>
      </c>
      <c r="FZ179" s="51">
        <f t="shared" si="339"/>
        <v>-1</v>
      </c>
      <c r="GA179" s="52">
        <f t="shared" si="340"/>
        <v>-1</v>
      </c>
      <c r="GB179" s="50">
        <f t="shared" si="341"/>
        <v>-1</v>
      </c>
      <c r="GC179" s="53">
        <f t="shared" si="342"/>
        <v>-1</v>
      </c>
      <c r="GD179" s="49">
        <f t="shared" si="343"/>
        <v>0</v>
      </c>
      <c r="GE179" s="50">
        <f t="shared" si="344"/>
        <v>0</v>
      </c>
      <c r="GF179" s="51">
        <f t="shared" si="345"/>
        <v>0</v>
      </c>
      <c r="GG179" s="52">
        <f t="shared" si="346"/>
        <v>0</v>
      </c>
      <c r="GH179" s="50">
        <f t="shared" si="347"/>
        <v>0</v>
      </c>
      <c r="GI179" s="51">
        <f t="shared" si="348"/>
        <v>0</v>
      </c>
      <c r="GJ179" s="52">
        <f t="shared" si="349"/>
        <v>-1</v>
      </c>
      <c r="GK179" s="50">
        <f t="shared" si="350"/>
        <v>-1</v>
      </c>
      <c r="GL179" s="105">
        <f t="shared" si="351"/>
        <v>-1</v>
      </c>
      <c r="GN179" s="52">
        <f>COUNTIF(DJ179:GL179,1)</f>
        <v>0</v>
      </c>
      <c r="GO179" s="50">
        <f>COUNTIF(DJ179:GL179,2)</f>
        <v>0</v>
      </c>
      <c r="GP179" s="51">
        <f>COUNTIF(DJ179:GL179,3)</f>
        <v>0</v>
      </c>
      <c r="GQ179" s="39"/>
      <c r="GR179" s="39"/>
      <c r="GT179" s="65">
        <f t="shared" ref="GT179:GV179" si="365">GT152</f>
        <v>0</v>
      </c>
      <c r="GU179" s="66">
        <f t="shared" si="365"/>
        <v>0</v>
      </c>
      <c r="GV179" s="67">
        <f t="shared" si="365"/>
        <v>0</v>
      </c>
    </row>
    <row r="180" spans="9:204" ht="15" customHeight="1">
      <c r="N180" s="94">
        <f>IF($B$101="x",-1,IF(AND($B$101=0,INDEX(KonZeile7,4)+INDEX(KonSpalte1,4)+INDEX(KonFeld7,4)=0),4,0))</f>
        <v>-1</v>
      </c>
      <c r="O180" s="39">
        <f>IF($B$101="x",-1,IF(AND($B$101=0,INDEX(KonZeile7,5)+INDEX(KonSpalte1,5)+INDEX(KonFeld7,5)=0),5,0))</f>
        <v>-1</v>
      </c>
      <c r="P180" s="41">
        <f>IF($B$101="x",-1,IF(AND($B$101=0,INDEX(KonZeile7,6)+INDEX(KonSpalte1,6)+INDEX(KonFeld7,6)=0),6,0))</f>
        <v>-1</v>
      </c>
      <c r="Q180" s="40">
        <f>IF($C$101="x",-1,IF(AND($C$101=0,INDEX(KonZeile7,4)+INDEX(KonSpalte2,4)+INDEX(KonFeld7,4)=0),4,0))</f>
        <v>-1</v>
      </c>
      <c r="R180" s="39">
        <f>IF($C$101="x",-1,IF(AND($C$101=0,INDEX(KonZeile7,5)+INDEX(KonSpalte2,5)+INDEX(KonFeld7,5)=0),5,0))</f>
        <v>-1</v>
      </c>
      <c r="S180" s="41">
        <f>IF($C$101="x",-1,IF(AND($C$101=0,INDEX(KonZeile7,6)+INDEX(KonSpalte2,6)+INDEX(KonFeld7,6)=0),6,0))</f>
        <v>-1</v>
      </c>
      <c r="T180" s="40">
        <f>IF($D$101="x",-1,IF(AND($D$101=0,INDEX(KonZeile7,4)+INDEX(KonSpalte3,4)+INDEX(KonFeld7,4)=0),4,0))</f>
        <v>-1</v>
      </c>
      <c r="U180" s="39">
        <f>IF($D$101="x",-1,IF(AND($D$101=0,INDEX(KonZeile7,5)+INDEX(KonSpalte3,5)+INDEX(KonFeld7,5)=0),5,0))</f>
        <v>-1</v>
      </c>
      <c r="V180" s="42">
        <f>IF($D$101="x",-1,IF(AND($D$101=0,INDEX(KonZeile7,6)+INDEX(KonSpalte3,6)+INDEX(KonFeld7,6)=0),6,0))</f>
        <v>-1</v>
      </c>
      <c r="W180" s="43">
        <f>IF($E$101="x",-1,IF(AND($E$101=0,INDEX(KonZeile7,4)+INDEX(KonSpalte4,4)+INDEX(KonFeld7,4)=0),4,0))</f>
        <v>-1</v>
      </c>
      <c r="X180" s="39">
        <f>IF($E$101="x",-1,IF(AND($E$101=0,INDEX(KonZeile7,5)+INDEX(KonSpalte4,5)+INDEX(KonFeld7,5)=0),5,0))</f>
        <v>-1</v>
      </c>
      <c r="Y180" s="41">
        <f>IF($E$101="x",-1,IF(AND($E$101=0,INDEX(KonZeile7,6)+INDEX(KonSpalte4,6)+INDEX(KonFeld7,6)=0),6,0))</f>
        <v>-1</v>
      </c>
      <c r="Z180" s="40">
        <f>IF($F$101="x",-1,IF(AND($F$101=0,INDEX(KonZeile7,4)+INDEX(KonSpalte5,4)+INDEX(KonFeld7,4)=0),4,0))</f>
        <v>-1</v>
      </c>
      <c r="AA180" s="39">
        <f>IF($F$101="x",-1,IF(AND($F$101=0,INDEX(KonZeile7,5)+INDEX(KonSpalte5,5)+INDEX(KonFeld7,5)=0),5,0))</f>
        <v>-1</v>
      </c>
      <c r="AB180" s="41">
        <f>IF($F$101="x",-1,IF(AND($F$101=0,INDEX(KonZeile7,6)+INDEX(KonSpalte5,6)+INDEX(KonFeld7,6)=0),6,0))</f>
        <v>-1</v>
      </c>
      <c r="AC180" s="40">
        <f>IF($G$101="x",-1,IF(AND($G$101=0,INDEX(KonZeile7,4)+INDEX(KonSpalte6,4)+INDEX(KonFeld7,4)=0),4,0))</f>
        <v>0</v>
      </c>
      <c r="AD180" s="39">
        <f>IF($G$101="x",-1,IF(AND($G$101=0,INDEX(KonZeile7,5)+INDEX(KonSpalte6,5)+INDEX(KonFeld7,5)=0),5,0))</f>
        <v>0</v>
      </c>
      <c r="AE180" s="42">
        <f>IF($G$101="x",-1,IF(AND($G$101=0,INDEX(KonZeile7,6)+INDEX(KonSpalte6,6)+INDEX(KonFeld7,6)=0),6,0))</f>
        <v>0</v>
      </c>
      <c r="AF180" s="43">
        <f>IF($H$101="x",-1,IF(AND($H$101=0,INDEX(KonZeile7,4)+INDEX(KonSpalte7,4)+INDEX(KonFeld7,4)=0),4,0))</f>
        <v>-1</v>
      </c>
      <c r="AG180" s="39">
        <f>IF($H$101="x",-1,IF(AND($H$101=0,INDEX(KonZeile7,5)+INDEX(KonSpalte7,5)+INDEX(KonFeld7,5)=0),5,0))</f>
        <v>-1</v>
      </c>
      <c r="AH180" s="41">
        <f>IF($H$101="x",-1,IF(AND($H$101=0,INDEX(KonZeile7,6)+INDEX(KonSpalte7,6)+INDEX(KonFeld7,6)=0),6,0))</f>
        <v>-1</v>
      </c>
      <c r="AI180" s="40">
        <f>IF($I$101="x",-1,IF(AND($I$101=0,INDEX(KonZeile7,4)+INDEX(KonSpalte8,4)+INDEX(KonFeld7,4)=0),4,0))</f>
        <v>-1</v>
      </c>
      <c r="AJ180" s="39">
        <f>IF($I$101="x",-1,IF(AND($I$101=0,INDEX(KonZeile7,5)+INDEX(KonSpalte8,5)+INDEX(KonFeld7,5)=0),5,0))</f>
        <v>-1</v>
      </c>
      <c r="AK180" s="41">
        <f>IF($I$101="x",-1,IF(AND($I$101=0,INDEX(KonZeile7,6)+INDEX(KonSpalte8,6)+INDEX(KonFeld7,6)=0),6,0))</f>
        <v>-1</v>
      </c>
      <c r="AL180" s="40">
        <f>IF($J$101="x",-1,IF(AND($J$101=0,INDEX(KonZeile7,4)+INDEX(KonSpalte9,4)+INDEX(KonFeld7,4)=0),4,0))</f>
        <v>-1</v>
      </c>
      <c r="AM180" s="39">
        <f>IF($J$101="x",-1,IF(AND($J$101=0,INDEX(KonZeile7,5)+INDEX(KonSpalte9,5)+INDEX(KonFeld7,5)=0),5,0))</f>
        <v>-1</v>
      </c>
      <c r="AN180" s="95">
        <f>IF($J$101="x",-1,IF(AND($J$101=0,INDEX(KonZeile7,6)+INDEX(KonSpalte9,6)+INDEX(KonFeld7,6)=0),6,0))</f>
        <v>-1</v>
      </c>
      <c r="AO180" s="94">
        <f>IF($K$101="x",-1,IF(AND($K$101=0,INDEX(KonZeile7,4)+INDEX(KonSpalte1,4)+INDEX(KonFeld8,4)=0),4,0))</f>
        <v>-1</v>
      </c>
      <c r="AP180" s="39">
        <f>IF($K$101="x",-1,IF(AND($K$101=0,INDEX(KonZeile7,5)+INDEX(KonSpalte1,5)+INDEX(KonFeld8,5)=0),5,0))</f>
        <v>-1</v>
      </c>
      <c r="AQ180" s="41">
        <f>IF($K$101="x",-1,IF(AND($K$101=0,INDEX(KonZeile7,6)+INDEX(KonSpalte1,6)+INDEX(KonFeld8,6)=0),6,0))</f>
        <v>-1</v>
      </c>
      <c r="AR180" s="40">
        <f>IF($L$101="x",-1,IF(AND($L$101=0,INDEX(KonZeile7,4)+INDEX(KonSpalte2,4)+INDEX(KonFeld8,4)=0),4,0))</f>
        <v>-1</v>
      </c>
      <c r="AS180" s="39">
        <f>IF($L$101="x",-1,IF(AND($L$101=0,INDEX(KonZeile7,5)+INDEX(KonSpalte2,5)+INDEX(KonFeld8,5)=0),5,0))</f>
        <v>-1</v>
      </c>
      <c r="AT180" s="41">
        <f>IF($L$101="x",-1,IF(AND($L$101=0,INDEX(KonZeile7,6)+INDEX(KonSpalte2,6)+INDEX(KonFeld8,6)=0),6,0))</f>
        <v>-1</v>
      </c>
      <c r="AU180" s="40">
        <f>IF($M$101="x",-1,IF(AND($M$101=0,INDEX(KonZeile7,4)+INDEX(KonSpalte3,4)+INDEX(KonFeld8,4)=0),4,0))</f>
        <v>-1</v>
      </c>
      <c r="AV180" s="39">
        <f>IF($M$101="x",-1,IF(AND($M$101=0,INDEX(KonZeile7,5)+INDEX(KonSpalte3,5)+INDEX(KonFeld8,5)=0),5,0))</f>
        <v>-1</v>
      </c>
      <c r="AW180" s="42">
        <f>IF($M$101="x",-1,IF(AND($M$101=0,INDEX(KonZeile7,6)+INDEX(KonSpalte3,6)+INDEX(KonFeld8,6)=0),6,0))</f>
        <v>-1</v>
      </c>
      <c r="AX180" s="43">
        <f>IF($N$101="x",-1,IF(AND($N$101=0,INDEX(KonZeile7,4)+INDEX(KonSpalte4,4)+INDEX(KonFeld8,4)=0),4,0))</f>
        <v>0</v>
      </c>
      <c r="AY180" s="39">
        <f>IF($N$101="x",-1,IF(AND($N$101=0,INDEX(KonZeile7,5)+INDEX(KonSpalte4,5)+INDEX(KonFeld8,5)=0),5,0))</f>
        <v>0</v>
      </c>
      <c r="AZ180" s="41">
        <f>IF($N$101="x",-1,IF(AND($N$101=0,INDEX(KonZeile7,6)+INDEX(KonSpalte4,6)+INDEX(KonFeld8,6)=0),6,0))</f>
        <v>0</v>
      </c>
      <c r="BA180" s="40">
        <f>IF($O$101="x",-1,IF(AND($O$101=0,INDEX(KonZeile7,4)+INDEX(KonSpalte5,4)+INDEX(KonFeld8,4)=0),4,0))</f>
        <v>0</v>
      </c>
      <c r="BB180" s="39">
        <f>IF($O$101="x",-1,IF(AND($O$101=0,INDEX(KonZeile7,5)+INDEX(KonSpalte5,5)+INDEX(KonFeld8,5)=0),5,0))</f>
        <v>0</v>
      </c>
      <c r="BC180" s="41">
        <f>IF($O$101="x",-1,IF(AND($O$101=0,INDEX(KonZeile7,6)+INDEX(KonSpalte5,6)+INDEX(KonFeld8,6)=0),6,0))</f>
        <v>0</v>
      </c>
      <c r="BD180" s="40">
        <f>IF($P$101="x",-1,IF(AND($P$101=0,INDEX(KonZeile7,4)+INDEX(KonSpalte6,4)+INDEX(KonFeld8,4)=0),4,0))</f>
        <v>-1</v>
      </c>
      <c r="BE180" s="39">
        <f>IF($P$101="x",-1,IF(AND($P$101=0,INDEX(KonZeile7,5)+INDEX(KonSpalte6,5)+INDEX(KonFeld8,5)=0),5,0))</f>
        <v>-1</v>
      </c>
      <c r="BF180" s="42">
        <f>IF($P$101="x",-1,IF(AND($P$101=0,INDEX(KonZeile7,6)+INDEX(KonSpalte6,6)+INDEX(KonFeld8,6)=0),6,0))</f>
        <v>-1</v>
      </c>
      <c r="BG180" s="43">
        <f>IF($Q$101="x",-1,IF(AND($Q$101=0,INDEX(KonZeile7,4)+INDEX(KonSpalte7,4)+INDEX(KonFeld8,4)=0),4,0))</f>
        <v>-1</v>
      </c>
      <c r="BH180" s="39">
        <f>IF($Q$101="x",-1,IF(AND($Q$101=0,INDEX(KonZeile7,5)+INDEX(KonSpalte7,5)+INDEX(KonFeld8,5)=0),5,0))</f>
        <v>-1</v>
      </c>
      <c r="BI180" s="41">
        <f>IF($Q$101="x",-1,IF(AND($Q$101=0,INDEX(KonZeile7,6)+INDEX(KonSpalte7,6)+INDEX(KonFeld8,6)=0),6,0))</f>
        <v>-1</v>
      </c>
      <c r="BJ180" s="40">
        <f>IF($R$101="x",-1,IF(AND($R$101=0,INDEX(KonZeile7,4)+INDEX(KonSpalte8,4)+INDEX(KonFeld8,4)=0),4,0))</f>
        <v>0</v>
      </c>
      <c r="BK180" s="39">
        <f>IF($R$101="x",-1,IF(AND($R$101=0,INDEX(KonZeile7,5)+INDEX(KonSpalte8,5)+INDEX(KonFeld8,5)=0),5,0))</f>
        <v>0</v>
      </c>
      <c r="BL180" s="41">
        <f>IF($R$101="x",-1,IF(AND($R$101=0,INDEX(KonZeile7,6)+INDEX(KonSpalte8,6)+INDEX(KonFeld8,6)=0),6,0))</f>
        <v>0</v>
      </c>
      <c r="BM180" s="40">
        <f>IF($S$101="x",-1,IF(AND($S$101=0,INDEX(KonZeile7,4)+INDEX(KonSpalte9,4)+INDEX(KonFeld8,4)=0),4,0))</f>
        <v>-1</v>
      </c>
      <c r="BN180" s="39">
        <f>IF($S$101="x",-1,IF(AND($S$101=0,INDEX(KonZeile7,5)+INDEX(KonSpalte9,5)+INDEX(KonFeld8,5)=0),5,0))</f>
        <v>-1</v>
      </c>
      <c r="BO180" s="95">
        <f>IF($S$101="x",-1,IF(AND($S$101=0,INDEX(KonZeile7,6)+INDEX(KonSpalte9,6)+INDEX(KonFeld8,6)=0),6,0))</f>
        <v>-1</v>
      </c>
      <c r="BP180" s="94">
        <f>IF($T$101="x",-1,IF(AND($T$101=0,INDEX(KonZeile7,4)+INDEX(KonSpalte1,4)+INDEX(KonFeld9,4)=0),4,0))</f>
        <v>-1</v>
      </c>
      <c r="BQ180" s="39">
        <f>IF($T$101="x",-1,IF(AND($T$101=0,INDEX(KonZeile7,5)+INDEX(KonSpalte1,5)+INDEX(KonFeld9,5)=0),5,0))</f>
        <v>-1</v>
      </c>
      <c r="BR180" s="41">
        <f>IF($T$101="x",-1,IF(AND($T$101=0,INDEX(KonZeile7,6)+INDEX(KonSpalte1,6)+INDEX(KonFeld9,6)=0),6,0))</f>
        <v>-1</v>
      </c>
      <c r="BS180" s="40">
        <f>IF($U$101="x",-1,IF(AND($U$101=0,INDEX(KonZeile7,4)+INDEX(KonSpalte2,4)+INDEX(KonFeld9,4)=0),4,0))</f>
        <v>-1</v>
      </c>
      <c r="BT180" s="39">
        <f>IF($U$101="x",-1,IF(AND($U$101=0,INDEX(KonZeile7,5)+INDEX(KonSpalte2,5)+INDEX(KonFeld9,5)=0),5,0))</f>
        <v>-1</v>
      </c>
      <c r="BU180" s="41">
        <f>IF($U$101="x",-1,IF(AND($U$101=0,INDEX(KonZeile7,6)+INDEX(KonSpalte2,6)+INDEX(KonFeld9,6)=0),6,0))</f>
        <v>-1</v>
      </c>
      <c r="BV180" s="40">
        <f>IF($V$101="x",-1,IF(AND($V$101=0,INDEX(KonZeile7,4)+INDEX(KonSpalte3,4)+INDEX(KonFeld9,4)=0),4,0))</f>
        <v>-1</v>
      </c>
      <c r="BW180" s="39">
        <f>IF($V$101="x",-1,IF(AND($V$101=0,INDEX(KonZeile7,5)+INDEX(KonSpalte3,5)+INDEX(KonFeld9,5)=0),5,0))</f>
        <v>-1</v>
      </c>
      <c r="BX180" s="42">
        <f>IF($V$101="x",-1,IF(AND($V$101=0,INDEX(KonZeile7,6)+INDEX(KonSpalte3,6)+INDEX(KonFeld9,6)=0),6,0))</f>
        <v>-1</v>
      </c>
      <c r="BY180" s="43">
        <f>IF($W$101="x",-1,IF(AND($W$101=0,INDEX(KonZeile7,4)+INDEX(KonSpalte4,4)+INDEX(KonFeld9,4)=0),4,0))</f>
        <v>-1</v>
      </c>
      <c r="BZ180" s="39">
        <f>IF($W$101="x",-1,IF(AND($W$101=0,INDEX(KonZeile7,5)+INDEX(KonSpalte4,5)+INDEX(KonFeld9,5)=0),5,0))</f>
        <v>-1</v>
      </c>
      <c r="CA180" s="41">
        <f>IF($W$101="x",-1,IF(AND($W$101=0,INDEX(KonZeile7,6)+INDEX(KonSpalte4,6)+INDEX(KonFeld9,6)=0),6,0))</f>
        <v>-1</v>
      </c>
      <c r="CB180" s="40">
        <f>IF($X$101="x",-1,IF(AND($X$101=0,INDEX(KonZeile7,4)+INDEX(KonSpalte5,4)+INDEX(KonFeld9,4)=0),4,0))</f>
        <v>-1</v>
      </c>
      <c r="CC180" s="39">
        <f>IF($X$101="x",-1,IF(AND($X$101=0,INDEX(KonZeile7,5)+INDEX(KonSpalte5,5)+INDEX(KonFeld9,5)=0),5,0))</f>
        <v>-1</v>
      </c>
      <c r="CD180" s="41">
        <f>IF($X$101="x",-1,IF(AND($X$101=0,INDEX(KonZeile7,6)+INDEX(KonSpalte5,6)+INDEX(KonFeld9,6)=0),6,0))</f>
        <v>-1</v>
      </c>
      <c r="CE180" s="40">
        <f>IF($Y$101="x",-1,IF(AND($Y$101=0,INDEX(KonZeile7,4)+INDEX(KonSpalte6,4)+INDEX(KonFeld9,4)=0),4,0))</f>
        <v>-1</v>
      </c>
      <c r="CF180" s="39">
        <f>IF($Y$101="x",-1,IF(AND($Y$101=0,INDEX(KonZeile7,5)+INDEX(KonSpalte6,5)+INDEX(KonFeld9,5)=0),5,0))</f>
        <v>-1</v>
      </c>
      <c r="CG180" s="42">
        <f>IF($Y$101="x",-1,IF(AND($Y$101=0,INDEX(KonZeile7,6)+INDEX(KonSpalte6,6)+INDEX(KonFeld9,6)=0),6,0))</f>
        <v>-1</v>
      </c>
      <c r="CH180" s="43">
        <f>IF($Z$101="x",-1,IF(AND($Z$101=0,INDEX(KonZeile7,4)+INDEX(KonSpalte7,4)+INDEX(KonFeld9,4)=0),4,0))</f>
        <v>-1</v>
      </c>
      <c r="CI180" s="39">
        <f>IF($Z$101="x",-1,IF(AND($Z$101=0,INDEX(KonZeile7,5)+INDEX(KonSpalte7,5)+INDEX(KonFeld9,5)=0),5,0))</f>
        <v>-1</v>
      </c>
      <c r="CJ180" s="41">
        <f>IF($Z$101="x",-1,IF(AND($Z$101=0,INDEX(KonZeile7,6)+INDEX(KonSpalte7,6)+INDEX(KonFeld9,6)=0),6,0))</f>
        <v>-1</v>
      </c>
      <c r="CK180" s="40">
        <f>IF($AA$101="x",-1,IF(AND($AA$101=0,INDEX(KonZeile7,4)+INDEX(KonSpalte8,4)+INDEX(KonFeld9,4)=0),4,0))</f>
        <v>-1</v>
      </c>
      <c r="CL180" s="39">
        <f>IF($AA$101="x",-1,IF(AND($AA$101=0,INDEX(KonZeile7,5)+INDEX(KonSpalte8,5)+INDEX(KonFeld9,5)=0),5,0))</f>
        <v>-1</v>
      </c>
      <c r="CM180" s="41">
        <f>IF($AA$101="x",-1,IF(AND($AA$101=0,INDEX(KonZeile7,6)+INDEX(KonSpalte8,6)+INDEX(KonFeld9,6)=0),6,0))</f>
        <v>-1</v>
      </c>
      <c r="CN180" s="40">
        <f>IF($AB$101="x",-1,IF(AND($AB$101=0,INDEX(KonZeile7,4)+INDEX(KonSpalte9,4)+INDEX(KonFeld9,4)=0),4,0))</f>
        <v>-1</v>
      </c>
      <c r="CO180" s="39">
        <f>IF($AB$101="x",-1,IF(AND($AB$101=0,INDEX(KonZeile7,5)+INDEX(KonSpalte9,5)+INDEX(KonFeld9,5)=0),5,0))</f>
        <v>-1</v>
      </c>
      <c r="CP180" s="95">
        <f>IF($AB$101="x",-1,IF(AND($AB$101=0,INDEX(KonZeile7,6)+INDEX(KonSpalte9,6)+INDEX(KonFeld9,6)=0),6,0))</f>
        <v>-1</v>
      </c>
      <c r="CR180" s="40">
        <f>COUNTIF(N180:CP180,4)</f>
        <v>0</v>
      </c>
      <c r="CS180" s="39">
        <f>COUNTIF(N180:CP180,5)</f>
        <v>0</v>
      </c>
      <c r="CT180" s="41">
        <f>COUNTIF(N180:CP180,6)</f>
        <v>0</v>
      </c>
      <c r="CU180" s="39"/>
      <c r="CV180" s="39"/>
      <c r="CX180" s="72">
        <f t="shared" si="359"/>
        <v>0</v>
      </c>
      <c r="CY180" s="73">
        <f t="shared" si="359"/>
        <v>0</v>
      </c>
      <c r="CZ180" s="74">
        <f t="shared" si="359"/>
        <v>0</v>
      </c>
      <c r="DJ180" s="94">
        <f t="shared" si="271"/>
        <v>-1</v>
      </c>
      <c r="DK180" s="39">
        <f t="shared" si="272"/>
        <v>-1</v>
      </c>
      <c r="DL180" s="41">
        <f t="shared" si="273"/>
        <v>-1</v>
      </c>
      <c r="DM180" s="40">
        <f t="shared" si="274"/>
        <v>-1</v>
      </c>
      <c r="DN180" s="39">
        <f t="shared" si="275"/>
        <v>-1</v>
      </c>
      <c r="DO180" s="41">
        <f t="shared" si="276"/>
        <v>-1</v>
      </c>
      <c r="DP180" s="40">
        <f t="shared" si="277"/>
        <v>0</v>
      </c>
      <c r="DQ180" s="39">
        <f t="shared" si="278"/>
        <v>0</v>
      </c>
      <c r="DR180" s="42">
        <f t="shared" si="279"/>
        <v>0</v>
      </c>
      <c r="DS180" s="43">
        <f t="shared" si="280"/>
        <v>-1</v>
      </c>
      <c r="DT180" s="39">
        <f t="shared" si="281"/>
        <v>-1</v>
      </c>
      <c r="DU180" s="41">
        <f t="shared" si="282"/>
        <v>-1</v>
      </c>
      <c r="DV180" s="40">
        <f t="shared" si="283"/>
        <v>-1</v>
      </c>
      <c r="DW180" s="39">
        <f t="shared" si="284"/>
        <v>-1</v>
      </c>
      <c r="DX180" s="41">
        <f t="shared" si="285"/>
        <v>-1</v>
      </c>
      <c r="DY180" s="40">
        <f t="shared" si="286"/>
        <v>-1</v>
      </c>
      <c r="DZ180" s="39">
        <f t="shared" si="287"/>
        <v>-1</v>
      </c>
      <c r="EA180" s="42">
        <f t="shared" si="288"/>
        <v>-1</v>
      </c>
      <c r="EB180" s="43">
        <f t="shared" si="289"/>
        <v>-1</v>
      </c>
      <c r="EC180" s="39">
        <f t="shared" si="290"/>
        <v>-1</v>
      </c>
      <c r="ED180" s="41">
        <f t="shared" si="291"/>
        <v>-1</v>
      </c>
      <c r="EE180" s="40">
        <f t="shared" si="292"/>
        <v>-1</v>
      </c>
      <c r="EF180" s="39">
        <f t="shared" si="293"/>
        <v>-1</v>
      </c>
      <c r="EG180" s="41">
        <f t="shared" si="294"/>
        <v>-1</v>
      </c>
      <c r="EH180" s="40">
        <f t="shared" si="295"/>
        <v>-1</v>
      </c>
      <c r="EI180" s="39">
        <f t="shared" si="296"/>
        <v>-1</v>
      </c>
      <c r="EJ180" s="95">
        <f t="shared" si="297"/>
        <v>-1</v>
      </c>
      <c r="EK180" s="94">
        <f t="shared" si="298"/>
        <v>-1</v>
      </c>
      <c r="EL180" s="39">
        <f t="shared" si="299"/>
        <v>-1</v>
      </c>
      <c r="EM180" s="41">
        <f t="shared" si="300"/>
        <v>-1</v>
      </c>
      <c r="EN180" s="40">
        <f t="shared" si="301"/>
        <v>-1</v>
      </c>
      <c r="EO180" s="39">
        <f t="shared" si="302"/>
        <v>-1</v>
      </c>
      <c r="EP180" s="41">
        <f t="shared" si="303"/>
        <v>-1</v>
      </c>
      <c r="EQ180" s="40">
        <f t="shared" si="304"/>
        <v>-1</v>
      </c>
      <c r="ER180" s="39">
        <f t="shared" si="305"/>
        <v>-1</v>
      </c>
      <c r="ES180" s="42">
        <f t="shared" si="306"/>
        <v>-1</v>
      </c>
      <c r="ET180" s="43">
        <f t="shared" si="307"/>
        <v>-1</v>
      </c>
      <c r="EU180" s="39">
        <f t="shared" si="308"/>
        <v>-1</v>
      </c>
      <c r="EV180" s="41">
        <f t="shared" si="309"/>
        <v>-1</v>
      </c>
      <c r="EW180" s="40">
        <f t="shared" si="310"/>
        <v>-1</v>
      </c>
      <c r="EX180" s="39">
        <f t="shared" si="311"/>
        <v>-1</v>
      </c>
      <c r="EY180" s="41">
        <f t="shared" si="312"/>
        <v>-1</v>
      </c>
      <c r="EZ180" s="40">
        <f t="shared" si="313"/>
        <v>-1</v>
      </c>
      <c r="FA180" s="39">
        <f t="shared" si="314"/>
        <v>-1</v>
      </c>
      <c r="FB180" s="42">
        <f t="shared" si="315"/>
        <v>-1</v>
      </c>
      <c r="FC180" s="43">
        <f t="shared" si="316"/>
        <v>-1</v>
      </c>
      <c r="FD180" s="39">
        <f t="shared" si="317"/>
        <v>-1</v>
      </c>
      <c r="FE180" s="41">
        <f t="shared" si="318"/>
        <v>-1</v>
      </c>
      <c r="FF180" s="40">
        <f t="shared" si="319"/>
        <v>-1</v>
      </c>
      <c r="FG180" s="39">
        <f t="shared" si="320"/>
        <v>-1</v>
      </c>
      <c r="FH180" s="41">
        <f t="shared" si="321"/>
        <v>-1</v>
      </c>
      <c r="FI180" s="40">
        <f t="shared" si="322"/>
        <v>-1</v>
      </c>
      <c r="FJ180" s="39">
        <f t="shared" si="323"/>
        <v>-1</v>
      </c>
      <c r="FK180" s="95">
        <f t="shared" si="324"/>
        <v>-1</v>
      </c>
      <c r="FL180" s="94">
        <f t="shared" si="325"/>
        <v>-1</v>
      </c>
      <c r="FM180" s="39">
        <f t="shared" si="326"/>
        <v>-1</v>
      </c>
      <c r="FN180" s="41">
        <f t="shared" si="327"/>
        <v>-1</v>
      </c>
      <c r="FO180" s="40">
        <f t="shared" si="328"/>
        <v>-1</v>
      </c>
      <c r="FP180" s="39">
        <f t="shared" si="329"/>
        <v>-1</v>
      </c>
      <c r="FQ180" s="41">
        <f t="shared" si="330"/>
        <v>-1</v>
      </c>
      <c r="FR180" s="40">
        <f t="shared" si="331"/>
        <v>-1</v>
      </c>
      <c r="FS180" s="39">
        <f t="shared" si="332"/>
        <v>-1</v>
      </c>
      <c r="FT180" s="42">
        <f t="shared" si="333"/>
        <v>-1</v>
      </c>
      <c r="FU180" s="43">
        <f t="shared" si="334"/>
        <v>-1</v>
      </c>
      <c r="FV180" s="39">
        <f t="shared" si="335"/>
        <v>-1</v>
      </c>
      <c r="FW180" s="41">
        <f t="shared" si="336"/>
        <v>-1</v>
      </c>
      <c r="FX180" s="40">
        <f t="shared" si="337"/>
        <v>-1</v>
      </c>
      <c r="FY180" s="39">
        <f t="shared" si="338"/>
        <v>-1</v>
      </c>
      <c r="FZ180" s="41">
        <f t="shared" si="339"/>
        <v>-1</v>
      </c>
      <c r="GA180" s="40">
        <f t="shared" si="340"/>
        <v>-1</v>
      </c>
      <c r="GB180" s="39">
        <f t="shared" si="341"/>
        <v>-1</v>
      </c>
      <c r="GC180" s="42">
        <f t="shared" si="342"/>
        <v>-1</v>
      </c>
      <c r="GD180" s="43">
        <f t="shared" si="343"/>
        <v>0</v>
      </c>
      <c r="GE180" s="39">
        <f t="shared" si="344"/>
        <v>0</v>
      </c>
      <c r="GF180" s="41">
        <f t="shared" si="345"/>
        <v>0</v>
      </c>
      <c r="GG180" s="40">
        <f t="shared" si="346"/>
        <v>0</v>
      </c>
      <c r="GH180" s="39">
        <f t="shared" si="347"/>
        <v>0</v>
      </c>
      <c r="GI180" s="41">
        <f t="shared" si="348"/>
        <v>0</v>
      </c>
      <c r="GJ180" s="40">
        <f t="shared" si="349"/>
        <v>-1</v>
      </c>
      <c r="GK180" s="39">
        <f t="shared" si="350"/>
        <v>-1</v>
      </c>
      <c r="GL180" s="95">
        <f t="shared" si="351"/>
        <v>-1</v>
      </c>
      <c r="GN180" s="40">
        <f>COUNTIF(DJ180:GL180,4)</f>
        <v>0</v>
      </c>
      <c r="GO180" s="39">
        <f>COUNTIF(DJ180:GL180,5)</f>
        <v>0</v>
      </c>
      <c r="GP180" s="41">
        <f>COUNTIF(DJ180:GL180,6)</f>
        <v>0</v>
      </c>
      <c r="GQ180" s="39"/>
      <c r="GR180" s="39"/>
      <c r="GT180" s="72">
        <f t="shared" ref="GT180:GV180" si="366">GT153</f>
        <v>0</v>
      </c>
      <c r="GU180" s="73">
        <f t="shared" si="366"/>
        <v>0</v>
      </c>
      <c r="GV180" s="74">
        <f t="shared" si="366"/>
        <v>0</v>
      </c>
    </row>
    <row r="181" spans="9:204" ht="15" customHeight="1" thickBot="1">
      <c r="N181" s="99">
        <f>IF($B$101="x",-1,IF(AND($B$101=0,INDEX(KonZeile7,7)+INDEX(KonSpalte1,7)+INDEX(KonFeld7,7)=0),7,0))</f>
        <v>-1</v>
      </c>
      <c r="O181" s="45">
        <f>IF($B$101="x",-1,IF(AND($B$101=0,INDEX(KonZeile7,8)+INDEX(KonSpalte1,8)+INDEX(KonFeld7,8)=0),8,0))</f>
        <v>-1</v>
      </c>
      <c r="P181" s="47">
        <f>IF($B$101="x",-1,IF(AND($B$101=0,INDEX(KonZeile7,9)+INDEX(KonSpalte1,9)+INDEX(KonFeld7,9)=0),9,0))</f>
        <v>-1</v>
      </c>
      <c r="Q181" s="46">
        <f>IF($C$101="x",-1,IF(AND($C$101=0,INDEX(KonZeile7,7)+INDEX(KonSpalte2,7)+INDEX(KonFeld7,7)=0),7,0))</f>
        <v>-1</v>
      </c>
      <c r="R181" s="45">
        <f>IF($C$101="x",-1,IF(AND($C$101=0,INDEX(KonZeile7,8)+INDEX(KonSpalte2,8)+INDEX(KonFeld7,8)=0),8,0))</f>
        <v>-1</v>
      </c>
      <c r="S181" s="47">
        <f>IF($C$101="x",-1,IF(AND($C$101=0,INDEX(KonZeile7,9)+INDEX(KonSpalte2,9)+INDEX(KonFeld7,9)=0),9,0))</f>
        <v>-1</v>
      </c>
      <c r="T181" s="46">
        <f>IF($D$101="x",-1,IF(AND($D$101=0,INDEX(KonZeile7,7)+INDEX(KonSpalte3,7)+INDEX(KonFeld7,7)=0),7,0))</f>
        <v>-1</v>
      </c>
      <c r="U181" s="45">
        <f>IF($D$101="x",-1,IF(AND($D$101=0,INDEX(KonZeile7,8)+INDEX(KonSpalte3,8)+INDEX(KonFeld7,8)=0),8,0))</f>
        <v>-1</v>
      </c>
      <c r="V181" s="48">
        <f>IF($D$101="x",-1,IF(AND($D$101=0,INDEX(KonZeile7,9)+INDEX(KonSpalte3,9)+INDEX(KonFeld7,9)=0),9,0))</f>
        <v>-1</v>
      </c>
      <c r="W181" s="44">
        <f>IF($E$101="x",-1,IF(AND($E$101=0,INDEX(KonZeile7,7)+INDEX(KonSpalte4,7)+INDEX(KonFeld7,7)=0),7,0))</f>
        <v>-1</v>
      </c>
      <c r="X181" s="45">
        <f>IF($E$101="x",-1,IF(AND($E$101=0,INDEX(KonZeile7,8)+INDEX(KonSpalte4,8)+INDEX(KonFeld7,8)=0),8,0))</f>
        <v>-1</v>
      </c>
      <c r="Y181" s="47">
        <f>IF($E$101="x",-1,IF(AND($E$101=0,INDEX(KonZeile7,9)+INDEX(KonSpalte4,9)+INDEX(KonFeld7,9)=0),9,0))</f>
        <v>-1</v>
      </c>
      <c r="Z181" s="46">
        <f>IF($F$101="x",-1,IF(AND($F$101=0,INDEX(KonZeile7,7)+INDEX(KonSpalte5,7)+INDEX(KonFeld7,7)=0),7,0))</f>
        <v>-1</v>
      </c>
      <c r="AA181" s="45">
        <f>IF($F$101="x",-1,IF(AND($F$101=0,INDEX(KonZeile7,8)+INDEX(KonSpalte5,8)+INDEX(KonFeld7,8)=0),8,0))</f>
        <v>-1</v>
      </c>
      <c r="AB181" s="47">
        <f>IF($F$101="x",-1,IF(AND($F$101=0,INDEX(KonZeile7,9)+INDEX(KonSpalte5,9)+INDEX(KonFeld7,9)=0),9,0))</f>
        <v>-1</v>
      </c>
      <c r="AC181" s="46">
        <f>IF($G$101="x",-1,IF(AND($G$101=0,INDEX(KonZeile7,7)+INDEX(KonSpalte6,7)+INDEX(KonFeld7,7)=0),7,0))</f>
        <v>0</v>
      </c>
      <c r="AD181" s="45">
        <f>IF($G$101="x",-1,IF(AND($G$101=0,INDEX(KonZeile7,8)+INDEX(KonSpalte6,8)+INDEX(KonFeld7,8)=0),8,0))</f>
        <v>0</v>
      </c>
      <c r="AE181" s="48">
        <f>IF($G$101="x",-1,IF(AND($G$101=0,INDEX(KonZeile7,9)+INDEX(KonSpalte6,9)+INDEX(KonFeld7,9)=0),9,0))</f>
        <v>0</v>
      </c>
      <c r="AF181" s="44">
        <f>IF($H$101="x",-1,IF(AND($H$101=0,INDEX(KonZeile7,7)+INDEX(KonSpalte7,7)+INDEX(KonFeld7,7)=0),7,0))</f>
        <v>-1</v>
      </c>
      <c r="AG181" s="45">
        <f>IF($H$101="x",-1,IF(AND($H$101=0,INDEX(KonZeile7,8)+INDEX(KonSpalte7,8)+INDEX(KonFeld7,8)=0),8,0))</f>
        <v>-1</v>
      </c>
      <c r="AH181" s="47">
        <f>IF($H$101="x",-1,IF(AND($H$101=0,INDEX(KonZeile7,9)+INDEX(KonSpalte7,9)+INDEX(KonFeld7,9)=0),9,0))</f>
        <v>-1</v>
      </c>
      <c r="AI181" s="46">
        <f>IF($I$101="x",-1,IF(AND($I$101=0,INDEX(KonZeile7,7)+INDEX(KonSpalte8,7)+INDEX(KonFeld7,7)=0),7,0))</f>
        <v>-1</v>
      </c>
      <c r="AJ181" s="45">
        <f>IF($I$101="x",-1,IF(AND($I$101=0,INDEX(KonZeile7,8)+INDEX(KonSpalte8,8)+INDEX(KonFeld7,8)=0),8,0))</f>
        <v>-1</v>
      </c>
      <c r="AK181" s="47">
        <f>IF($I$101="x",-1,IF(AND($I$101=0,INDEX(KonZeile7,9)+INDEX(KonSpalte8,9)+INDEX(KonFeld7,9)=0),9,0))</f>
        <v>-1</v>
      </c>
      <c r="AL181" s="46">
        <f>IF($J$101="x",-1,IF(AND($J$101=0,INDEX(KonZeile7,7)+INDEX(KonSpalte9,7)+INDEX(KonFeld7,7)=0),7,0))</f>
        <v>-1</v>
      </c>
      <c r="AM181" s="45">
        <f>IF($J$101="x",-1,IF(AND($J$101=0,INDEX(KonZeile7,8)+INDEX(KonSpalte9,8)+INDEX(KonFeld7,8)=0),8,0))</f>
        <v>-1</v>
      </c>
      <c r="AN181" s="100">
        <f>IF($J$101="x",-1,IF(AND($J$101=0,INDEX(KonZeile7,9)+INDEX(KonSpalte9,9)+INDEX(KonFeld7,9)=0),9,0))</f>
        <v>-1</v>
      </c>
      <c r="AO181" s="99">
        <f>IF($K$101="x",-1,IF(AND($K$101=0,INDEX(KonZeile7,7)+INDEX(KonSpalte1,7)+INDEX(KonFeld8,7)=0),7,0))</f>
        <v>-1</v>
      </c>
      <c r="AP181" s="45">
        <f>IF($K$101="x",-1,IF(AND($K$101=0,INDEX(KonZeile7,8)+INDEX(KonSpalte1,8)+INDEX(KonFeld8,8)=0),8,0))</f>
        <v>-1</v>
      </c>
      <c r="AQ181" s="47">
        <f>IF($K$101="x",-1,IF(AND($K$101=0,INDEX(KonZeile7,9)+INDEX(KonSpalte1,9)+INDEX(KonFeld8,9)=0),9,0))</f>
        <v>-1</v>
      </c>
      <c r="AR181" s="46">
        <f>IF($L$101="x",-1,IF(AND($L$101=0,INDEX(KonZeile7,7)+INDEX(KonSpalte2,7)+INDEX(KonFeld8,7)=0),7,0))</f>
        <v>-1</v>
      </c>
      <c r="AS181" s="45">
        <f>IF($L$101="x",-1,IF(AND($L$101=0,INDEX(KonZeile7,8)+INDEX(KonSpalte2,8)+INDEX(KonFeld8,8)=0),8,0))</f>
        <v>-1</v>
      </c>
      <c r="AT181" s="47">
        <f>IF($L$101="x",-1,IF(AND($L$101=0,INDEX(KonZeile7,9)+INDEX(KonSpalte2,9)+INDEX(KonFeld8,9)=0),9,0))</f>
        <v>-1</v>
      </c>
      <c r="AU181" s="46">
        <f>IF($M$101="x",-1,IF(AND($M$101=0,INDEX(KonZeile7,7)+INDEX(KonSpalte3,7)+INDEX(KonFeld8,7)=0),7,0))</f>
        <v>-1</v>
      </c>
      <c r="AV181" s="45">
        <f>IF($M$101="x",-1,IF(AND($M$101=0,INDEX(KonZeile7,8)+INDEX(KonSpalte3,8)+INDEX(KonFeld8,8)=0),8,0))</f>
        <v>-1</v>
      </c>
      <c r="AW181" s="48">
        <f>IF($M$101="x",-1,IF(AND($M$101=0,INDEX(KonZeile7,9)+INDEX(KonSpalte3,9)+INDEX(KonFeld8,9)=0),9,0))</f>
        <v>-1</v>
      </c>
      <c r="AX181" s="44">
        <f>IF($N$101="x",-1,IF(AND($N$101=0,INDEX(KonZeile7,7)+INDEX(KonSpalte4,7)+INDEX(KonFeld8,7)=0),7,0))</f>
        <v>0</v>
      </c>
      <c r="AY181" s="45">
        <f>IF($N$101="x",-1,IF(AND($N$101=0,INDEX(KonZeile7,8)+INDEX(KonSpalte4,8)+INDEX(KonFeld8,8)=0),8,0))</f>
        <v>0</v>
      </c>
      <c r="AZ181" s="47">
        <f>IF($N$101="x",-1,IF(AND($N$101=0,INDEX(KonZeile7,9)+INDEX(KonSpalte4,9)+INDEX(KonFeld8,9)=0),9,0))</f>
        <v>0</v>
      </c>
      <c r="BA181" s="46">
        <f>IF($O$101="x",-1,IF(AND($O$101=0,INDEX(KonZeile7,7)+INDEX(KonSpalte5,7)+INDEX(KonFeld8,7)=0),7,0))</f>
        <v>0</v>
      </c>
      <c r="BB181" s="45">
        <f>IF($O$101="x",-1,IF(AND($O$101=0,INDEX(KonZeile7,8)+INDEX(KonSpalte5,8)+INDEX(KonFeld8,8)=0),8,0))</f>
        <v>0</v>
      </c>
      <c r="BC181" s="47">
        <f>IF($O$101="x",-1,IF(AND($O$101=0,INDEX(KonZeile7,9)+INDEX(KonSpalte5,9)+INDEX(KonFeld8,9)=0),9,0))</f>
        <v>0</v>
      </c>
      <c r="BD181" s="46">
        <f>IF($P$101="x",-1,IF(AND($P$101=0,INDEX(KonZeile7,7)+INDEX(KonSpalte6,7)+INDEX(KonFeld8,7)=0),7,0))</f>
        <v>-1</v>
      </c>
      <c r="BE181" s="45">
        <f>IF($P$101="x",-1,IF(AND($P$101=0,INDEX(KonZeile7,8)+INDEX(KonSpalte6,8)+INDEX(KonFeld8,8)=0),8,0))</f>
        <v>-1</v>
      </c>
      <c r="BF181" s="48">
        <f>IF($P$101="x",-1,IF(AND($P$101=0,INDEX(KonZeile7,9)+INDEX(KonSpalte6,9)+INDEX(KonFeld8,9)=0),9,0))</f>
        <v>-1</v>
      </c>
      <c r="BG181" s="44">
        <f>IF($Q$101="x",-1,IF(AND($Q$101=0,INDEX(KonZeile7,7)+INDEX(KonSpalte7,7)+INDEX(KonFeld8,7)=0),7,0))</f>
        <v>-1</v>
      </c>
      <c r="BH181" s="45">
        <f>IF($Q$101="x",-1,IF(AND($Q$101=0,INDEX(KonZeile7,8)+INDEX(KonSpalte7,8)+INDEX(KonFeld8,8)=0),8,0))</f>
        <v>-1</v>
      </c>
      <c r="BI181" s="47">
        <f>IF($Q$101="x",-1,IF(AND($Q$101=0,INDEX(KonZeile7,9)+INDEX(KonSpalte7,9)+INDEX(KonFeld8,9)=0),9,0))</f>
        <v>-1</v>
      </c>
      <c r="BJ181" s="46">
        <f>IF($R$101="x",-1,IF(AND($R$101=0,INDEX(KonZeile7,7)+INDEX(KonSpalte8,7)+INDEX(KonFeld8,7)=0),7,0))</f>
        <v>0</v>
      </c>
      <c r="BK181" s="45">
        <f>IF($R$101="x",-1,IF(AND($R$101=0,INDEX(KonZeile7,8)+INDEX(KonSpalte8,8)+INDEX(KonFeld8,8)=0),8,0))</f>
        <v>0</v>
      </c>
      <c r="BL181" s="47">
        <f>IF($R$101="x",-1,IF(AND($R$101=0,INDEX(KonZeile7,9)+INDEX(KonSpalte8,9)+INDEX(KonFeld8,9)=0),9,0))</f>
        <v>0</v>
      </c>
      <c r="BM181" s="46">
        <f>IF($S$101="x",-1,IF(AND($S$101=0,INDEX(KonZeile7,7)+INDEX(KonSpalte9,7)+INDEX(KonFeld8,7)=0),7,0))</f>
        <v>-1</v>
      </c>
      <c r="BN181" s="45">
        <f>IF($S$101="x",-1,IF(AND($S$101=0,INDEX(KonZeile7,8)+INDEX(KonSpalte9,8)+INDEX(KonFeld8,8)=0),8,0))</f>
        <v>-1</v>
      </c>
      <c r="BO181" s="100">
        <f>IF($S$101="x",-1,IF(AND($S$101=0,INDEX(KonZeile7,9)+INDEX(KonSpalte9,9)+INDEX(KonFeld8,9)=0),9,0))</f>
        <v>-1</v>
      </c>
      <c r="BP181" s="99">
        <f>IF($T$101="x",-1,IF(AND($T$101=0,INDEX(KonZeile7,7)+INDEX(KonSpalte1,7)+INDEX(KonFeld9,7)=0),7,0))</f>
        <v>-1</v>
      </c>
      <c r="BQ181" s="45">
        <f>IF($T$101="x",-1,IF(AND($T$101=0,INDEX(KonZeile7,8)+INDEX(KonSpalte1,8)+INDEX(KonFeld9,8)=0),8,0))</f>
        <v>-1</v>
      </c>
      <c r="BR181" s="47">
        <f>IF($T$101="x",-1,IF(AND($T$101=0,INDEX(KonZeile7,9)+INDEX(KonSpalte1,9)+INDEX(KonFeld9,9)=0),9,0))</f>
        <v>-1</v>
      </c>
      <c r="BS181" s="46">
        <f>IF($U$101="x",-1,IF(AND($U$101=0,INDEX(KonZeile7,7)+INDEX(KonSpalte2,7)+INDEX(KonFeld9,7)=0),7,0))</f>
        <v>-1</v>
      </c>
      <c r="BT181" s="45">
        <f>IF($U$101="x",-1,IF(AND($U$101=0,INDEX(KonZeile7,8)+INDEX(KonSpalte2,8)+INDEX(KonFeld9,8)=0),8,0))</f>
        <v>-1</v>
      </c>
      <c r="BU181" s="47">
        <f>IF($U$101="x",-1,IF(AND($U$101=0,INDEX(KonZeile7,9)+INDEX(KonSpalte2,9)+INDEX(KonFeld9,9)=0),9,0))</f>
        <v>-1</v>
      </c>
      <c r="BV181" s="46">
        <f>IF($V$101="x",-1,IF(AND($V$101=0,INDEX(KonZeile7,7)+INDEX(KonSpalte3,7)+INDEX(KonFeld9,7)=0),7,0))</f>
        <v>-1</v>
      </c>
      <c r="BW181" s="45">
        <f>IF($V$101="x",-1,IF(AND($V$101=0,INDEX(KonZeile7,8)+INDEX(KonSpalte3,8)+INDEX(KonFeld9,8)=0),8,0))</f>
        <v>-1</v>
      </c>
      <c r="BX181" s="48">
        <f>IF($V$101="x",-1,IF(AND($V$101=0,INDEX(KonZeile7,9)+INDEX(KonSpalte3,9)+INDEX(KonFeld9,9)=0),9,0))</f>
        <v>-1</v>
      </c>
      <c r="BY181" s="44">
        <f>IF($W$101="x",-1,IF(AND($W$101=0,INDEX(KonZeile7,7)+INDEX(KonSpalte4,7)+INDEX(KonFeld9,7)=0),7,0))</f>
        <v>-1</v>
      </c>
      <c r="BZ181" s="45">
        <f>IF($W$101="x",-1,IF(AND($W$101=0,INDEX(KonZeile7,8)+INDEX(KonSpalte4,8)+INDEX(KonFeld9,8)=0),8,0))</f>
        <v>-1</v>
      </c>
      <c r="CA181" s="47">
        <f>IF($W$101="x",-1,IF(AND($W$101=0,INDEX(KonZeile7,9)+INDEX(KonSpalte4,9)+INDEX(KonFeld9,9)=0),9,0))</f>
        <v>-1</v>
      </c>
      <c r="CB181" s="46">
        <f>IF($X$101="x",-1,IF(AND($X$101=0,INDEX(KonZeile7,7)+INDEX(KonSpalte5,7)+INDEX(KonFeld9,7)=0),7,0))</f>
        <v>-1</v>
      </c>
      <c r="CC181" s="45">
        <f>IF($X$101="x",-1,IF(AND($X$101=0,INDEX(KonZeile7,8)+INDEX(KonSpalte5,8)+INDEX(KonFeld9,8)=0),8,0))</f>
        <v>-1</v>
      </c>
      <c r="CD181" s="47">
        <f>IF($X$101="x",-1,IF(AND($X$101=0,INDEX(KonZeile7,9)+INDEX(KonSpalte5,9)+INDEX(KonFeld9,9)=0),9,0))</f>
        <v>-1</v>
      </c>
      <c r="CE181" s="46">
        <f>IF($Y$101="x",-1,IF(AND($Y$101=0,INDEX(KonZeile7,7)+INDEX(KonSpalte6,7)+INDEX(KonFeld9,7)=0),7,0))</f>
        <v>-1</v>
      </c>
      <c r="CF181" s="45">
        <f>IF($Y$101="x",-1,IF(AND($Y$101=0,INDEX(KonZeile7,8)+INDEX(KonSpalte6,8)+INDEX(KonFeld9,8)=0),8,0))</f>
        <v>-1</v>
      </c>
      <c r="CG181" s="48">
        <f>IF($Y$101="x",-1,IF(AND($Y$101=0,INDEX(KonZeile7,9)+INDEX(KonSpalte6,9)+INDEX(KonFeld9,9)=0),9,0))</f>
        <v>-1</v>
      </c>
      <c r="CH181" s="44">
        <f>IF($Z$101="x",-1,IF(AND($Z$101=0,INDEX(KonZeile7,7)+INDEX(KonSpalte7,7)+INDEX(KonFeld9,7)=0),7,0))</f>
        <v>-1</v>
      </c>
      <c r="CI181" s="45">
        <f>IF($Z$101="x",-1,IF(AND($Z$101=0,INDEX(KonZeile7,8)+INDEX(KonSpalte7,8)+INDEX(KonFeld9,8)=0),8,0))</f>
        <v>-1</v>
      </c>
      <c r="CJ181" s="47">
        <f>IF($Z$101="x",-1,IF(AND($Z$101=0,INDEX(KonZeile7,9)+INDEX(KonSpalte7,9)+INDEX(KonFeld9,9)=0),9,0))</f>
        <v>-1</v>
      </c>
      <c r="CK181" s="46">
        <f>IF($AA$101="x",-1,IF(AND($AA$101=0,INDEX(KonZeile7,7)+INDEX(KonSpalte8,7)+INDEX(KonFeld9,7)=0),7,0))</f>
        <v>-1</v>
      </c>
      <c r="CL181" s="45">
        <f>IF($AA$101="x",-1,IF(AND($AA$101=0,INDEX(KonZeile7,8)+INDEX(KonSpalte8,8)+INDEX(KonFeld9,8)=0),8,0))</f>
        <v>-1</v>
      </c>
      <c r="CM181" s="47">
        <f>IF($AA$101="x",-1,IF(AND($AA$101=0,INDEX(KonZeile7,9)+INDEX(KonSpalte8,9)+INDEX(KonFeld9,9)=0),9,0))</f>
        <v>-1</v>
      </c>
      <c r="CN181" s="46">
        <f>IF($AB$101="x",-1,IF(AND($AB$101=0,INDEX(KonZeile7,7)+INDEX(KonSpalte9,7)+INDEX(KonFeld9,7)=0),7,0))</f>
        <v>-1</v>
      </c>
      <c r="CO181" s="45">
        <f>IF($AB$101="x",-1,IF(AND($AB$101=0,INDEX(KonZeile7,8)+INDEX(KonSpalte9,8)+INDEX(KonFeld9,8)=0),8,0))</f>
        <v>-1</v>
      </c>
      <c r="CP181" s="100">
        <f>IF($AB$101="x",-1,IF(AND($AB$101=0,INDEX(KonZeile7,9)+INDEX(KonSpalte9,9)+INDEX(KonFeld9,9)=0),9,0))</f>
        <v>-1</v>
      </c>
      <c r="CR181" s="46">
        <f>COUNTIF(N181:CP181,7)</f>
        <v>0</v>
      </c>
      <c r="CS181" s="45">
        <f>COUNTIF(N181:CP181,8)</f>
        <v>0</v>
      </c>
      <c r="CT181" s="47">
        <f>COUNTIF(N181:CP181,9)</f>
        <v>0</v>
      </c>
      <c r="CU181" s="39"/>
      <c r="CV181" s="39"/>
      <c r="CX181" s="78">
        <f t="shared" si="359"/>
        <v>0</v>
      </c>
      <c r="CY181" s="79">
        <f t="shared" si="359"/>
        <v>0</v>
      </c>
      <c r="CZ181" s="80">
        <f t="shared" si="359"/>
        <v>0</v>
      </c>
      <c r="DJ181" s="99">
        <f t="shared" si="271"/>
        <v>-1</v>
      </c>
      <c r="DK181" s="45">
        <f t="shared" si="272"/>
        <v>-1</v>
      </c>
      <c r="DL181" s="47">
        <f t="shared" si="273"/>
        <v>-1</v>
      </c>
      <c r="DM181" s="46">
        <f t="shared" si="274"/>
        <v>-1</v>
      </c>
      <c r="DN181" s="45">
        <f t="shared" si="275"/>
        <v>-1</v>
      </c>
      <c r="DO181" s="47">
        <f t="shared" si="276"/>
        <v>-1</v>
      </c>
      <c r="DP181" s="46">
        <f t="shared" si="277"/>
        <v>0</v>
      </c>
      <c r="DQ181" s="45">
        <f t="shared" si="278"/>
        <v>0</v>
      </c>
      <c r="DR181" s="48">
        <f t="shared" si="279"/>
        <v>0</v>
      </c>
      <c r="DS181" s="44">
        <f t="shared" si="280"/>
        <v>-1</v>
      </c>
      <c r="DT181" s="45">
        <f t="shared" si="281"/>
        <v>-1</v>
      </c>
      <c r="DU181" s="47">
        <f t="shared" si="282"/>
        <v>-1</v>
      </c>
      <c r="DV181" s="46">
        <f t="shared" si="283"/>
        <v>-1</v>
      </c>
      <c r="DW181" s="45">
        <f t="shared" si="284"/>
        <v>-1</v>
      </c>
      <c r="DX181" s="47">
        <f t="shared" si="285"/>
        <v>-1</v>
      </c>
      <c r="DY181" s="46">
        <f t="shared" si="286"/>
        <v>-1</v>
      </c>
      <c r="DZ181" s="45">
        <f t="shared" si="287"/>
        <v>-1</v>
      </c>
      <c r="EA181" s="48">
        <f t="shared" si="288"/>
        <v>-1</v>
      </c>
      <c r="EB181" s="44">
        <f t="shared" si="289"/>
        <v>-1</v>
      </c>
      <c r="EC181" s="45">
        <f t="shared" si="290"/>
        <v>-1</v>
      </c>
      <c r="ED181" s="47">
        <f t="shared" si="291"/>
        <v>-1</v>
      </c>
      <c r="EE181" s="46">
        <f t="shared" si="292"/>
        <v>-1</v>
      </c>
      <c r="EF181" s="45">
        <f t="shared" si="293"/>
        <v>-1</v>
      </c>
      <c r="EG181" s="47">
        <f t="shared" si="294"/>
        <v>-1</v>
      </c>
      <c r="EH181" s="46">
        <f t="shared" si="295"/>
        <v>-1</v>
      </c>
      <c r="EI181" s="45">
        <f t="shared" si="296"/>
        <v>-1</v>
      </c>
      <c r="EJ181" s="100">
        <f t="shared" si="297"/>
        <v>-1</v>
      </c>
      <c r="EK181" s="99">
        <f t="shared" si="298"/>
        <v>-1</v>
      </c>
      <c r="EL181" s="45">
        <f t="shared" si="299"/>
        <v>-1</v>
      </c>
      <c r="EM181" s="47">
        <f t="shared" si="300"/>
        <v>-1</v>
      </c>
      <c r="EN181" s="46">
        <f t="shared" si="301"/>
        <v>-1</v>
      </c>
      <c r="EO181" s="45">
        <f t="shared" si="302"/>
        <v>-1</v>
      </c>
      <c r="EP181" s="47">
        <f t="shared" si="303"/>
        <v>-1</v>
      </c>
      <c r="EQ181" s="46">
        <f t="shared" si="304"/>
        <v>-1</v>
      </c>
      <c r="ER181" s="45">
        <f t="shared" si="305"/>
        <v>-1</v>
      </c>
      <c r="ES181" s="48">
        <f t="shared" si="306"/>
        <v>-1</v>
      </c>
      <c r="ET181" s="44">
        <f t="shared" si="307"/>
        <v>-1</v>
      </c>
      <c r="EU181" s="45">
        <f t="shared" si="308"/>
        <v>-1</v>
      </c>
      <c r="EV181" s="47">
        <f t="shared" si="309"/>
        <v>-1</v>
      </c>
      <c r="EW181" s="46">
        <f t="shared" si="310"/>
        <v>-1</v>
      </c>
      <c r="EX181" s="45">
        <f t="shared" si="311"/>
        <v>-1</v>
      </c>
      <c r="EY181" s="47">
        <f t="shared" si="312"/>
        <v>-1</v>
      </c>
      <c r="EZ181" s="46">
        <f t="shared" si="313"/>
        <v>-1</v>
      </c>
      <c r="FA181" s="45">
        <f t="shared" si="314"/>
        <v>-1</v>
      </c>
      <c r="FB181" s="48">
        <f t="shared" si="315"/>
        <v>-1</v>
      </c>
      <c r="FC181" s="44">
        <f t="shared" si="316"/>
        <v>-1</v>
      </c>
      <c r="FD181" s="45">
        <f t="shared" si="317"/>
        <v>-1</v>
      </c>
      <c r="FE181" s="47">
        <f t="shared" si="318"/>
        <v>-1</v>
      </c>
      <c r="FF181" s="46">
        <f t="shared" si="319"/>
        <v>-1</v>
      </c>
      <c r="FG181" s="45">
        <f t="shared" si="320"/>
        <v>-1</v>
      </c>
      <c r="FH181" s="47">
        <f t="shared" si="321"/>
        <v>-1</v>
      </c>
      <c r="FI181" s="46">
        <f t="shared" si="322"/>
        <v>-1</v>
      </c>
      <c r="FJ181" s="45">
        <f t="shared" si="323"/>
        <v>-1</v>
      </c>
      <c r="FK181" s="100">
        <f t="shared" si="324"/>
        <v>-1</v>
      </c>
      <c r="FL181" s="99">
        <f t="shared" si="325"/>
        <v>-1</v>
      </c>
      <c r="FM181" s="45">
        <f t="shared" si="326"/>
        <v>-1</v>
      </c>
      <c r="FN181" s="47">
        <f t="shared" si="327"/>
        <v>-1</v>
      </c>
      <c r="FO181" s="46">
        <f t="shared" si="328"/>
        <v>-1</v>
      </c>
      <c r="FP181" s="45">
        <f t="shared" si="329"/>
        <v>-1</v>
      </c>
      <c r="FQ181" s="47">
        <f t="shared" si="330"/>
        <v>-1</v>
      </c>
      <c r="FR181" s="46">
        <f t="shared" si="331"/>
        <v>-1</v>
      </c>
      <c r="FS181" s="45">
        <f t="shared" si="332"/>
        <v>-1</v>
      </c>
      <c r="FT181" s="48">
        <f t="shared" si="333"/>
        <v>-1</v>
      </c>
      <c r="FU181" s="44">
        <f t="shared" si="334"/>
        <v>-1</v>
      </c>
      <c r="FV181" s="45">
        <f t="shared" si="335"/>
        <v>-1</v>
      </c>
      <c r="FW181" s="47">
        <f t="shared" si="336"/>
        <v>-1</v>
      </c>
      <c r="FX181" s="46">
        <f t="shared" si="337"/>
        <v>-1</v>
      </c>
      <c r="FY181" s="45">
        <f t="shared" si="338"/>
        <v>-1</v>
      </c>
      <c r="FZ181" s="47">
        <f t="shared" si="339"/>
        <v>-1</v>
      </c>
      <c r="GA181" s="46">
        <f t="shared" si="340"/>
        <v>-1</v>
      </c>
      <c r="GB181" s="45">
        <f t="shared" si="341"/>
        <v>-1</v>
      </c>
      <c r="GC181" s="48">
        <f t="shared" si="342"/>
        <v>-1</v>
      </c>
      <c r="GD181" s="44">
        <f t="shared" si="343"/>
        <v>0</v>
      </c>
      <c r="GE181" s="45">
        <f t="shared" si="344"/>
        <v>0</v>
      </c>
      <c r="GF181" s="47">
        <f t="shared" si="345"/>
        <v>0</v>
      </c>
      <c r="GG181" s="46">
        <f t="shared" si="346"/>
        <v>0</v>
      </c>
      <c r="GH181" s="45">
        <f t="shared" si="347"/>
        <v>0</v>
      </c>
      <c r="GI181" s="47">
        <f t="shared" si="348"/>
        <v>0</v>
      </c>
      <c r="GJ181" s="46">
        <f t="shared" si="349"/>
        <v>-1</v>
      </c>
      <c r="GK181" s="45">
        <f t="shared" si="350"/>
        <v>-1</v>
      </c>
      <c r="GL181" s="100">
        <f t="shared" si="351"/>
        <v>-1</v>
      </c>
      <c r="GN181" s="46">
        <f>COUNTIF(DJ181:GL181,7)</f>
        <v>0</v>
      </c>
      <c r="GO181" s="45">
        <f>COUNTIF(DJ181:GL181,8)</f>
        <v>0</v>
      </c>
      <c r="GP181" s="47">
        <f>COUNTIF(DJ181:GL181,9)</f>
        <v>0</v>
      </c>
      <c r="GQ181" s="39"/>
      <c r="GR181" s="39"/>
      <c r="GT181" s="78">
        <f t="shared" ref="GT181:GV181" si="367">GT154</f>
        <v>0</v>
      </c>
      <c r="GU181" s="79">
        <f t="shared" si="367"/>
        <v>0</v>
      </c>
      <c r="GV181" s="80">
        <f t="shared" si="367"/>
        <v>0</v>
      </c>
    </row>
    <row r="182" spans="9:204" ht="15" customHeight="1">
      <c r="N182" s="104">
        <f>IF($B$102="x",-1,IF(AND($B$102=0,INDEX(KonZeile8,1)+INDEX(KonSpalte1,1)+INDEX(KonFeld7,1)=0),1,0))</f>
        <v>0</v>
      </c>
      <c r="O182" s="50">
        <f>IF($B$102="x",-1,IF(AND($B$102=0,INDEX(KonZeile8,2)+INDEX(KonSpalte1,2)+INDEX(KonFeld7,2)=0),2,0))</f>
        <v>0</v>
      </c>
      <c r="P182" s="51">
        <f>IF($B$102="x",-1,IF(AND($B$102=0,INDEX(KonZeile8,3)+INDEX(KonSpalte1,3)+INDEX(KonFeld7,3)=0),3,0))</f>
        <v>0</v>
      </c>
      <c r="Q182" s="52">
        <f>IF($C$102="x",-1,IF(AND($C$102=0,INDEX(KonZeile8,1)+INDEX(KonSpalte2,1)+INDEX(KonFeld7,1)=0),1,0))</f>
        <v>0</v>
      </c>
      <c r="R182" s="50">
        <f>IF($C$102="x",-1,IF(AND($C$102=0,INDEX(KonZeile8,2)+INDEX(KonSpalte2,2)+INDEX(KonFeld7,2)=0),2,0))</f>
        <v>0</v>
      </c>
      <c r="S182" s="51">
        <f>IF($C$102="x",-1,IF(AND($C$102=0,INDEX(KonZeile8,3)+INDEX(KonSpalte2,3)+INDEX(KonFeld7,3)=0),3,0))</f>
        <v>0</v>
      </c>
      <c r="T182" s="52">
        <f>IF($D$102="x",-1,IF(AND($D$102=0,INDEX(KonZeile8,1)+INDEX(KonSpalte3,1)+INDEX(KonFeld7,1)=0),1,0))</f>
        <v>-1</v>
      </c>
      <c r="U182" s="50">
        <f>IF($D$102="x",-1,IF(AND($D$102=0,INDEX(KonZeile8,2)+INDEX(KonSpalte3,2)+INDEX(KonFeld7,2)=0),2,0))</f>
        <v>-1</v>
      </c>
      <c r="V182" s="53">
        <f>IF($D$102="x",-1,IF(AND($D$102=0,INDEX(KonZeile8,3)+INDEX(KonSpalte3,3)+INDEX(KonFeld7,3)=0),3,0))</f>
        <v>-1</v>
      </c>
      <c r="W182" s="49">
        <f>IF($E$102="x",-1,IF(AND($E$102=0,INDEX(KonZeile8,1)+INDEX(KonSpalte4,1)+INDEX(KonFeld7,1)=0),1,0))</f>
        <v>0</v>
      </c>
      <c r="X182" s="50">
        <f>IF($E$102="x",-1,IF(AND($E$102=0,INDEX(KonZeile8,2)+INDEX(KonSpalte4,2)+INDEX(KonFeld7,2)=0),2,0))</f>
        <v>0</v>
      </c>
      <c r="Y182" s="51">
        <f>IF($E$102="x",-1,IF(AND($E$102=0,INDEX(KonZeile8,3)+INDEX(KonSpalte4,3)+INDEX(KonFeld7,3)=0),3,0))</f>
        <v>0</v>
      </c>
      <c r="Z182" s="52">
        <f>IF($F$102="x",-1,IF(AND($F$102=0,INDEX(KonZeile8,1)+INDEX(KonSpalte5,1)+INDEX(KonFeld7,1)=0),1,0))</f>
        <v>0</v>
      </c>
      <c r="AA182" s="50">
        <f>IF($F$102="x",-1,IF(AND($F$102=0,INDEX(KonZeile8,2)+INDEX(KonSpalte5,2)+INDEX(KonFeld7,2)=0),2,0))</f>
        <v>0</v>
      </c>
      <c r="AB182" s="51">
        <f>IF($F$102="x",-1,IF(AND($F$102=0,INDEX(KonZeile8,3)+INDEX(KonSpalte5,3)+INDEX(KonFeld7,3)=0),3,0))</f>
        <v>0</v>
      </c>
      <c r="AC182" s="52">
        <f>IF($G$102="x",-1,IF(AND($G$102=0,INDEX(KonZeile8,1)+INDEX(KonSpalte6,1)+INDEX(KonFeld7,1)=0),1,0))</f>
        <v>-1</v>
      </c>
      <c r="AD182" s="50">
        <f>IF($G$102="x",-1,IF(AND($G$102=0,INDEX(KonZeile8,2)+INDEX(KonSpalte6,2)+INDEX(KonFeld7,2)=0),2,0))</f>
        <v>-1</v>
      </c>
      <c r="AE182" s="53">
        <f>IF($G$102="x",-1,IF(AND($G$102=0,INDEX(KonZeile8,3)+INDEX(KonSpalte6,3)+INDEX(KonFeld7,3)=0),3,0))</f>
        <v>-1</v>
      </c>
      <c r="AF182" s="49">
        <f>IF($H$102="x",-1,IF(AND($H$102=0,INDEX(KonZeile8,1)+INDEX(KonSpalte7,1)+INDEX(KonFeld7,1)=0),1,0))</f>
        <v>-1</v>
      </c>
      <c r="AG182" s="50">
        <f>IF($H$102="x",-1,IF(AND($H$102=0,INDEX(KonZeile8,2)+INDEX(KonSpalte7,2)+INDEX(KonFeld7,2)=0),2,0))</f>
        <v>-1</v>
      </c>
      <c r="AH182" s="51">
        <f>IF($H$102="x",-1,IF(AND($H$102=0,INDEX(KonZeile8,3)+INDEX(KonSpalte7,3)+INDEX(KonFeld7,3)=0),3,0))</f>
        <v>-1</v>
      </c>
      <c r="AI182" s="52">
        <f>IF($I$102="x",-1,IF(AND($I$102=0,INDEX(KonZeile8,1)+INDEX(KonSpalte8,1)+INDEX(KonFeld7,1)=0),1,0))</f>
        <v>-1</v>
      </c>
      <c r="AJ182" s="50">
        <f>IF($I$102="x",-1,IF(AND($I$102=0,INDEX(KonZeile8,2)+INDEX(KonSpalte8,2)+INDEX(KonFeld7,2)=0),2,0))</f>
        <v>-1</v>
      </c>
      <c r="AK182" s="51">
        <f>IF($I$102="x",-1,IF(AND($I$102=0,INDEX(KonZeile8,3)+INDEX(KonSpalte8,3)+INDEX(KonFeld7,3)=0),3,0))</f>
        <v>-1</v>
      </c>
      <c r="AL182" s="52">
        <f>IF($J$102="x",-1,IF(AND($J$102=0,INDEX(KonZeile8,1)+INDEX(KonSpalte9,1)+INDEX(KonFeld7,1)=0),1,0))</f>
        <v>-1</v>
      </c>
      <c r="AM182" s="50">
        <f>IF($J$102="x",-1,IF(AND($J$102=0,INDEX(KonZeile8,2)+INDEX(KonSpalte9,2)+INDEX(KonFeld7,2)=0),2,0))</f>
        <v>-1</v>
      </c>
      <c r="AN182" s="105">
        <f>IF($J$102="x",-1,IF(AND($J$102=0,INDEX(KonZeile8,3)+INDEX(KonSpalte9,3)+INDEX(KonFeld7,3)=0),3,0))</f>
        <v>-1</v>
      </c>
      <c r="AO182" s="104">
        <f>IF($K$102="x",-1,IF(AND($K$102=0,INDEX(KonZeile8,1)+INDEX(KonSpalte1,1)+INDEX(KonFeld8,1)=0),1,0))</f>
        <v>-1</v>
      </c>
      <c r="AP182" s="50">
        <f>IF($K$102="x",-1,IF(AND($K$102=0,INDEX(KonZeile8,2)+INDEX(KonSpalte1,2)+INDEX(KonFeld8,2)=0),2,0))</f>
        <v>-1</v>
      </c>
      <c r="AQ182" s="51">
        <f>IF($K$102="x",-1,IF(AND($K$102=0,INDEX(KonZeile8,3)+INDEX(KonSpalte1,3)+INDEX(KonFeld8,3)=0),3,0))</f>
        <v>-1</v>
      </c>
      <c r="AR182" s="52">
        <f>IF($L$102="x",-1,IF(AND($L$102=0,INDEX(KonZeile8,1)+INDEX(KonSpalte2,1)+INDEX(KonFeld8,1)=0),1,0))</f>
        <v>-1</v>
      </c>
      <c r="AS182" s="50">
        <f>IF($L$102="x",-1,IF(AND($L$102=0,INDEX(KonZeile8,2)+INDEX(KonSpalte2,2)+INDEX(KonFeld8,2)=0),2,0))</f>
        <v>-1</v>
      </c>
      <c r="AT182" s="51">
        <f>IF($L$102="x",-1,IF(AND($L$102=0,INDEX(KonZeile8,3)+INDEX(KonSpalte2,3)+INDEX(KonFeld8,3)=0),3,0))</f>
        <v>-1</v>
      </c>
      <c r="AU182" s="52">
        <f>IF($M$102="x",-1,IF(AND($M$102=0,INDEX(KonZeile8,1)+INDEX(KonSpalte3,1)+INDEX(KonFeld8,1)=0),1,0))</f>
        <v>-1</v>
      </c>
      <c r="AV182" s="50">
        <f>IF($M$102="x",-1,IF(AND($M$102=0,INDEX(KonZeile8,2)+INDEX(KonSpalte3,2)+INDEX(KonFeld8,2)=0),2,0))</f>
        <v>-1</v>
      </c>
      <c r="AW182" s="53">
        <f>IF($M$102="x",-1,IF(AND($M$102=0,INDEX(KonZeile8,3)+INDEX(KonSpalte3,3)+INDEX(KonFeld8,3)=0),3,0))</f>
        <v>-1</v>
      </c>
      <c r="AX182" s="49">
        <f>IF($N$102="x",-1,IF(AND($N$102=0,INDEX(KonZeile8,1)+INDEX(KonSpalte4,1)+INDEX(KonFeld8,1)=0),1,0))</f>
        <v>-1</v>
      </c>
      <c r="AY182" s="50">
        <f>IF($N$102="x",-1,IF(AND($N$102=0,INDEX(KonZeile8,2)+INDEX(KonSpalte4,2)+INDEX(KonFeld8,2)=0),2,0))</f>
        <v>-1</v>
      </c>
      <c r="AZ182" s="51">
        <f>IF($N$102="x",-1,IF(AND($N$102=0,INDEX(KonZeile8,3)+INDEX(KonSpalte4,3)+INDEX(KonFeld8,3)=0),3,0))</f>
        <v>-1</v>
      </c>
      <c r="BA182" s="52">
        <f>IF($O$102="x",-1,IF(AND($O$102=0,INDEX(KonZeile8,1)+INDEX(KonSpalte5,1)+INDEX(KonFeld8,1)=0),1,0))</f>
        <v>-1</v>
      </c>
      <c r="BB182" s="50">
        <f>IF($O$102="x",-1,IF(AND($O$102=0,INDEX(KonZeile8,2)+INDEX(KonSpalte5,2)+INDEX(KonFeld8,2)=0),2,0))</f>
        <v>-1</v>
      </c>
      <c r="BC182" s="51">
        <f>IF($O$102="x",-1,IF(AND($O$102=0,INDEX(KonZeile8,3)+INDEX(KonSpalte5,3)+INDEX(KonFeld8,3)=0),3,0))</f>
        <v>-1</v>
      </c>
      <c r="BD182" s="52">
        <f>IF($P$102="x",-1,IF(AND($P$102=0,INDEX(KonZeile8,1)+INDEX(KonSpalte6,1)+INDEX(KonFeld8,1)=0),1,0))</f>
        <v>-1</v>
      </c>
      <c r="BE182" s="50">
        <f>IF($P$102="x",-1,IF(AND($P$102=0,INDEX(KonZeile8,2)+INDEX(KonSpalte6,2)+INDEX(KonFeld8,2)=0),2,0))</f>
        <v>-1</v>
      </c>
      <c r="BF182" s="53">
        <f>IF($P$102="x",-1,IF(AND($P$102=0,INDEX(KonZeile8,3)+INDEX(KonSpalte6,3)+INDEX(KonFeld8,3)=0),3,0))</f>
        <v>-1</v>
      </c>
      <c r="BG182" s="49">
        <f>IF($Q$102="x",-1,IF(AND($Q$102=0,INDEX(KonZeile8,1)+INDEX(KonSpalte7,1)+INDEX(KonFeld8,1)=0),1,0))</f>
        <v>-1</v>
      </c>
      <c r="BH182" s="50">
        <f>IF($Q$102="x",-1,IF(AND($Q$102=0,INDEX(KonZeile8,2)+INDEX(KonSpalte7,2)+INDEX(KonFeld8,2)=0),2,0))</f>
        <v>-1</v>
      </c>
      <c r="BI182" s="51">
        <f>IF($Q$102="x",-1,IF(AND($Q$102=0,INDEX(KonZeile8,3)+INDEX(KonSpalte7,3)+INDEX(KonFeld8,3)=0),3,0))</f>
        <v>-1</v>
      </c>
      <c r="BJ182" s="52">
        <f>IF($R$102="x",-1,IF(AND($R$102=0,INDEX(KonZeile8,1)+INDEX(KonSpalte8,1)+INDEX(KonFeld8,1)=0),1,0))</f>
        <v>-1</v>
      </c>
      <c r="BK182" s="50">
        <f>IF($R$102="x",-1,IF(AND($R$102=0,INDEX(KonZeile8,2)+INDEX(KonSpalte8,2)+INDEX(KonFeld8,2)=0),2,0))</f>
        <v>-1</v>
      </c>
      <c r="BL182" s="51">
        <f>IF($R$102="x",-1,IF(AND($R$102=0,INDEX(KonZeile8,3)+INDEX(KonSpalte8,3)+INDEX(KonFeld8,3)=0),3,0))</f>
        <v>-1</v>
      </c>
      <c r="BM182" s="52">
        <f>IF($S$102="x",-1,IF(AND($S$102=0,INDEX(KonZeile8,1)+INDEX(KonSpalte9,1)+INDEX(KonFeld8,1)=0),1,0))</f>
        <v>-1</v>
      </c>
      <c r="BN182" s="50">
        <f>IF($S$102="x",-1,IF(AND($S$102=0,INDEX(KonZeile8,2)+INDEX(KonSpalte9,2)+INDEX(KonFeld8,2)=0),2,0))</f>
        <v>-1</v>
      </c>
      <c r="BO182" s="105">
        <f>IF($S$102="x",-1,IF(AND($S$102=0,INDEX(KonZeile8,3)+INDEX(KonSpalte9,3)+INDEX(KonFeld8,3)=0),3,0))</f>
        <v>-1</v>
      </c>
      <c r="BP182" s="104">
        <f>IF($T$102="x",-1,IF(AND($T$102=0,INDEX(KonZeile8,1)+INDEX(KonSpalte1,1)+INDEX(KonFeld9,1)=0),1,0))</f>
        <v>-1</v>
      </c>
      <c r="BQ182" s="50">
        <f>IF($T$102="x",-1,IF(AND($T$102=0,INDEX(KonZeile8,2)+INDEX(KonSpalte1,2)+INDEX(KonFeld9,2)=0),2,0))</f>
        <v>-1</v>
      </c>
      <c r="BR182" s="51">
        <f>IF($T$102="x",-1,IF(AND($T$102=0,INDEX(KonZeile8,3)+INDEX(KonSpalte1,3)+INDEX(KonFeld9,3)=0),3,0))</f>
        <v>-1</v>
      </c>
      <c r="BS182" s="52">
        <f>IF($U$102="x",-1,IF(AND($U$102=0,INDEX(KonZeile8,1)+INDEX(KonSpalte2,1)+INDEX(KonFeld9,1)=0),1,0))</f>
        <v>-1</v>
      </c>
      <c r="BT182" s="50">
        <f>IF($U$102="x",-1,IF(AND($U$102=0,INDEX(KonZeile8,2)+INDEX(KonSpalte2,2)+INDEX(KonFeld9,2)=0),2,0))</f>
        <v>-1</v>
      </c>
      <c r="BU182" s="51">
        <f>IF($U$102="x",-1,IF(AND($U$102=0,INDEX(KonZeile8,3)+INDEX(KonSpalte2,3)+INDEX(KonFeld9,3)=0),3,0))</f>
        <v>-1</v>
      </c>
      <c r="BV182" s="52">
        <f>IF($V$102="x",-1,IF(AND($V$102=0,INDEX(KonZeile8,1)+INDEX(KonSpalte3,1)+INDEX(KonFeld9,1)=0),1,0))</f>
        <v>-1</v>
      </c>
      <c r="BW182" s="50">
        <f>IF($V$102="x",-1,IF(AND($V$102=0,INDEX(KonZeile8,2)+INDEX(KonSpalte3,2)+INDEX(KonFeld9,2)=0),2,0))</f>
        <v>-1</v>
      </c>
      <c r="BX182" s="53">
        <f>IF($V$102="x",-1,IF(AND($V$102=0,INDEX(KonZeile8,3)+INDEX(KonSpalte3,3)+INDEX(KonFeld9,3)=0),3,0))</f>
        <v>-1</v>
      </c>
      <c r="BY182" s="49">
        <f>IF($W$102="x",-1,IF(AND($W$102=0,INDEX(KonZeile8,1)+INDEX(KonSpalte4,1)+INDEX(KonFeld9,1)=0),1,0))</f>
        <v>-1</v>
      </c>
      <c r="BZ182" s="50">
        <f>IF($W$102="x",-1,IF(AND($W$102=0,INDEX(KonZeile8,2)+INDEX(KonSpalte4,2)+INDEX(KonFeld9,2)=0),2,0))</f>
        <v>-1</v>
      </c>
      <c r="CA182" s="51">
        <f>IF($W$102="x",-1,IF(AND($W$102=0,INDEX(KonZeile8,3)+INDEX(KonSpalte4,3)+INDEX(KonFeld9,3)=0),3,0))</f>
        <v>-1</v>
      </c>
      <c r="CB182" s="52">
        <f>IF($X$102="x",-1,IF(AND($X$102=0,INDEX(KonZeile8,1)+INDEX(KonSpalte5,1)+INDEX(KonFeld9,1)=0),1,0))</f>
        <v>-1</v>
      </c>
      <c r="CC182" s="50">
        <f>IF($X$102="x",-1,IF(AND($X$102=0,INDEX(KonZeile8,2)+INDEX(KonSpalte5,2)+INDEX(KonFeld9,2)=0),2,0))</f>
        <v>-1</v>
      </c>
      <c r="CD182" s="51">
        <f>IF($X$102="x",-1,IF(AND($X$102=0,INDEX(KonZeile8,3)+INDEX(KonSpalte5,3)+INDEX(KonFeld9,3)=0),3,0))</f>
        <v>-1</v>
      </c>
      <c r="CE182" s="52">
        <f>IF($Y$102="x",-1,IF(AND($Y$102=0,INDEX(KonZeile8,1)+INDEX(KonSpalte6,1)+INDEX(KonFeld9,1)=0),1,0))</f>
        <v>0</v>
      </c>
      <c r="CF182" s="50">
        <f>IF($Y$102="x",-1,IF(AND($Y$102=0,INDEX(KonZeile8,2)+INDEX(KonSpalte6,2)+INDEX(KonFeld9,2)=0),2,0))</f>
        <v>0</v>
      </c>
      <c r="CG182" s="53">
        <f>IF($Y$102="x",-1,IF(AND($Y$102=0,INDEX(KonZeile8,3)+INDEX(KonSpalte6,3)+INDEX(KonFeld9,3)=0),3,0))</f>
        <v>0</v>
      </c>
      <c r="CH182" s="49">
        <f>IF($Z$102="x",-1,IF(AND($Z$102=0,INDEX(KonZeile8,1)+INDEX(KonSpalte7,1)+INDEX(KonFeld9,1)=0),1,0))</f>
        <v>0</v>
      </c>
      <c r="CI182" s="50">
        <f>IF($Z$102="x",-1,IF(AND($Z$102=0,INDEX(KonZeile8,2)+INDEX(KonSpalte7,2)+INDEX(KonFeld9,2)=0),2,0))</f>
        <v>0</v>
      </c>
      <c r="CJ182" s="51">
        <f>IF($Z$102="x",-1,IF(AND($Z$102=0,INDEX(KonZeile8,3)+INDEX(KonSpalte7,3)+INDEX(KonFeld9,3)=0),3,0))</f>
        <v>0</v>
      </c>
      <c r="CK182" s="52">
        <f>IF($AA$102="x",-1,IF(AND($AA$102=0,INDEX(KonZeile8,1)+INDEX(KonSpalte8,1)+INDEX(KonFeld9,1)=0),1,0))</f>
        <v>0</v>
      </c>
      <c r="CL182" s="50">
        <f>IF($AA$102="x",-1,IF(AND($AA$102=0,INDEX(KonZeile8,2)+INDEX(KonSpalte8,2)+INDEX(KonFeld9,2)=0),2,0))</f>
        <v>0</v>
      </c>
      <c r="CM182" s="51">
        <f>IF($AA$102="x",-1,IF(AND($AA$102=0,INDEX(KonZeile8,3)+INDEX(KonSpalte8,3)+INDEX(KonFeld9,3)=0),3,0))</f>
        <v>0</v>
      </c>
      <c r="CN182" s="52">
        <f>IF($AB$102="x",-1,IF(AND($AB$102=0,INDEX(KonZeile8,1)+INDEX(KonSpalte9,1)+INDEX(KonFeld9,1)=0),1,0))</f>
        <v>0</v>
      </c>
      <c r="CO182" s="50">
        <f>IF($AB$102="x",-1,IF(AND($AB$102=0,INDEX(KonZeile8,2)+INDEX(KonSpalte9,2)+INDEX(KonFeld9,2)=0),2,0))</f>
        <v>0</v>
      </c>
      <c r="CP182" s="105">
        <f>IF($AB$102="x",-1,IF(AND($AB$102=0,INDEX(KonZeile8,3)+INDEX(KonSpalte9,3)+INDEX(KonFeld9,3)=0),3,0))</f>
        <v>0</v>
      </c>
      <c r="CR182" s="52">
        <f>COUNTIF(N182:CP182,1)</f>
        <v>0</v>
      </c>
      <c r="CS182" s="50">
        <f>COUNTIF(N182:CP182,2)</f>
        <v>0</v>
      </c>
      <c r="CT182" s="51">
        <f>COUNTIF(N182:CP182,3)</f>
        <v>0</v>
      </c>
      <c r="CU182" s="39"/>
      <c r="CV182" s="39"/>
      <c r="CX182" s="65">
        <f t="shared" si="359"/>
        <v>0</v>
      </c>
      <c r="CY182" s="66">
        <f t="shared" si="359"/>
        <v>0</v>
      </c>
      <c r="CZ182" s="67">
        <f t="shared" si="359"/>
        <v>0</v>
      </c>
      <c r="DJ182" s="104">
        <f t="shared" si="271"/>
        <v>1</v>
      </c>
      <c r="DK182" s="50">
        <f t="shared" si="272"/>
        <v>2</v>
      </c>
      <c r="DL182" s="51">
        <f t="shared" si="273"/>
        <v>0</v>
      </c>
      <c r="DM182" s="52">
        <f t="shared" si="274"/>
        <v>1</v>
      </c>
      <c r="DN182" s="50">
        <f t="shared" si="275"/>
        <v>2</v>
      </c>
      <c r="DO182" s="51">
        <f t="shared" si="276"/>
        <v>0</v>
      </c>
      <c r="DP182" s="52">
        <f t="shared" si="277"/>
        <v>0</v>
      </c>
      <c r="DQ182" s="50">
        <f t="shared" si="278"/>
        <v>0</v>
      </c>
      <c r="DR182" s="53">
        <f t="shared" si="279"/>
        <v>0</v>
      </c>
      <c r="DS182" s="49">
        <f t="shared" si="280"/>
        <v>1</v>
      </c>
      <c r="DT182" s="50">
        <f t="shared" si="281"/>
        <v>2</v>
      </c>
      <c r="DU182" s="51">
        <f t="shared" si="282"/>
        <v>0</v>
      </c>
      <c r="DV182" s="52">
        <f t="shared" si="283"/>
        <v>-1</v>
      </c>
      <c r="DW182" s="50">
        <f t="shared" si="284"/>
        <v>-1</v>
      </c>
      <c r="DX182" s="51">
        <f t="shared" si="285"/>
        <v>-1</v>
      </c>
      <c r="DY182" s="52">
        <f t="shared" si="286"/>
        <v>-1</v>
      </c>
      <c r="DZ182" s="50">
        <f t="shared" si="287"/>
        <v>-1</v>
      </c>
      <c r="EA182" s="53">
        <f t="shared" si="288"/>
        <v>-1</v>
      </c>
      <c r="EB182" s="49">
        <f t="shared" si="289"/>
        <v>-1</v>
      </c>
      <c r="EC182" s="50">
        <f t="shared" si="290"/>
        <v>-1</v>
      </c>
      <c r="ED182" s="51">
        <f t="shared" si="291"/>
        <v>-1</v>
      </c>
      <c r="EE182" s="52">
        <f t="shared" si="292"/>
        <v>-1</v>
      </c>
      <c r="EF182" s="50">
        <f t="shared" si="293"/>
        <v>-1</v>
      </c>
      <c r="EG182" s="51">
        <f t="shared" si="294"/>
        <v>-1</v>
      </c>
      <c r="EH182" s="52">
        <f t="shared" si="295"/>
        <v>-1</v>
      </c>
      <c r="EI182" s="50">
        <f t="shared" si="296"/>
        <v>-1</v>
      </c>
      <c r="EJ182" s="105">
        <f t="shared" si="297"/>
        <v>-1</v>
      </c>
      <c r="EK182" s="104">
        <f t="shared" si="298"/>
        <v>-1</v>
      </c>
      <c r="EL182" s="50">
        <f t="shared" si="299"/>
        <v>-1</v>
      </c>
      <c r="EM182" s="51">
        <f t="shared" si="300"/>
        <v>-1</v>
      </c>
      <c r="EN182" s="52">
        <f t="shared" si="301"/>
        <v>-1</v>
      </c>
      <c r="EO182" s="50">
        <f t="shared" si="302"/>
        <v>-1</v>
      </c>
      <c r="EP182" s="51">
        <f t="shared" si="303"/>
        <v>-1</v>
      </c>
      <c r="EQ182" s="52">
        <f t="shared" si="304"/>
        <v>-1</v>
      </c>
      <c r="ER182" s="50">
        <f t="shared" si="305"/>
        <v>-1</v>
      </c>
      <c r="ES182" s="53">
        <f t="shared" si="306"/>
        <v>-1</v>
      </c>
      <c r="ET182" s="49">
        <f t="shared" si="307"/>
        <v>-1</v>
      </c>
      <c r="EU182" s="50">
        <f t="shared" si="308"/>
        <v>-1</v>
      </c>
      <c r="EV182" s="51">
        <f t="shared" si="309"/>
        <v>-1</v>
      </c>
      <c r="EW182" s="52">
        <f t="shared" si="310"/>
        <v>-1</v>
      </c>
      <c r="EX182" s="50">
        <f t="shared" si="311"/>
        <v>-1</v>
      </c>
      <c r="EY182" s="51">
        <f t="shared" si="312"/>
        <v>-1</v>
      </c>
      <c r="EZ182" s="52">
        <f t="shared" si="313"/>
        <v>-1</v>
      </c>
      <c r="FA182" s="50">
        <f t="shared" si="314"/>
        <v>-1</v>
      </c>
      <c r="FB182" s="53">
        <f t="shared" si="315"/>
        <v>-1</v>
      </c>
      <c r="FC182" s="49">
        <f t="shared" si="316"/>
        <v>-1</v>
      </c>
      <c r="FD182" s="50">
        <f t="shared" si="317"/>
        <v>-1</v>
      </c>
      <c r="FE182" s="51">
        <f t="shared" si="318"/>
        <v>-1</v>
      </c>
      <c r="FF182" s="52">
        <f t="shared" si="319"/>
        <v>-1</v>
      </c>
      <c r="FG182" s="50">
        <f t="shared" si="320"/>
        <v>-1</v>
      </c>
      <c r="FH182" s="51">
        <f t="shared" si="321"/>
        <v>-1</v>
      </c>
      <c r="FI182" s="52">
        <f t="shared" si="322"/>
        <v>-1</v>
      </c>
      <c r="FJ182" s="50">
        <f t="shared" si="323"/>
        <v>-1</v>
      </c>
      <c r="FK182" s="105">
        <f t="shared" si="324"/>
        <v>-1</v>
      </c>
      <c r="FL182" s="104">
        <f t="shared" si="325"/>
        <v>-1</v>
      </c>
      <c r="FM182" s="50">
        <f t="shared" si="326"/>
        <v>-1</v>
      </c>
      <c r="FN182" s="51">
        <f t="shared" si="327"/>
        <v>-1</v>
      </c>
      <c r="FO182" s="52">
        <f t="shared" si="328"/>
        <v>-1</v>
      </c>
      <c r="FP182" s="50">
        <f t="shared" si="329"/>
        <v>-1</v>
      </c>
      <c r="FQ182" s="51">
        <f t="shared" si="330"/>
        <v>-1</v>
      </c>
      <c r="FR182" s="52">
        <f t="shared" si="331"/>
        <v>-1</v>
      </c>
      <c r="FS182" s="50">
        <f t="shared" si="332"/>
        <v>-1</v>
      </c>
      <c r="FT182" s="53">
        <f t="shared" si="333"/>
        <v>-1</v>
      </c>
      <c r="FU182" s="49">
        <f t="shared" si="334"/>
        <v>-1</v>
      </c>
      <c r="FV182" s="50">
        <f t="shared" si="335"/>
        <v>-1</v>
      </c>
      <c r="FW182" s="51">
        <f t="shared" si="336"/>
        <v>-1</v>
      </c>
      <c r="FX182" s="52">
        <f t="shared" si="337"/>
        <v>-1</v>
      </c>
      <c r="FY182" s="50">
        <f t="shared" si="338"/>
        <v>-1</v>
      </c>
      <c r="FZ182" s="51">
        <f t="shared" si="339"/>
        <v>-1</v>
      </c>
      <c r="GA182" s="52">
        <f t="shared" si="340"/>
        <v>-1</v>
      </c>
      <c r="GB182" s="50">
        <f t="shared" si="341"/>
        <v>-1</v>
      </c>
      <c r="GC182" s="53">
        <f t="shared" si="342"/>
        <v>-1</v>
      </c>
      <c r="GD182" s="49">
        <f t="shared" si="343"/>
        <v>-1</v>
      </c>
      <c r="GE182" s="50">
        <f t="shared" si="344"/>
        <v>-1</v>
      </c>
      <c r="GF182" s="51">
        <f t="shared" si="345"/>
        <v>-1</v>
      </c>
      <c r="GG182" s="52">
        <f t="shared" si="346"/>
        <v>1</v>
      </c>
      <c r="GH182" s="50">
        <f t="shared" si="347"/>
        <v>0</v>
      </c>
      <c r="GI182" s="51">
        <f t="shared" si="348"/>
        <v>0</v>
      </c>
      <c r="GJ182" s="52">
        <f t="shared" si="349"/>
        <v>-1</v>
      </c>
      <c r="GK182" s="50">
        <f t="shared" si="350"/>
        <v>-1</v>
      </c>
      <c r="GL182" s="105">
        <f t="shared" si="351"/>
        <v>-1</v>
      </c>
      <c r="GN182" s="52">
        <f>COUNTIF(DJ182:GL182,1)</f>
        <v>4</v>
      </c>
      <c r="GO182" s="50">
        <f>COUNTIF(DJ182:GL182,2)</f>
        <v>3</v>
      </c>
      <c r="GP182" s="51">
        <f>COUNTIF(DJ182:GL182,3)</f>
        <v>0</v>
      </c>
      <c r="GQ182" s="39"/>
      <c r="GR182" s="39"/>
      <c r="GT182" s="65">
        <f t="shared" ref="GT182:GV182" si="368">GT155</f>
        <v>5</v>
      </c>
      <c r="GU182" s="66">
        <f t="shared" si="368"/>
        <v>3</v>
      </c>
      <c r="GV182" s="67">
        <f t="shared" si="368"/>
        <v>2</v>
      </c>
    </row>
    <row r="183" spans="9:204" ht="15" customHeight="1">
      <c r="N183" s="94">
        <f>IF($B$102="x",-1,IF(AND($B$102=0,INDEX(KonZeile8,4)+INDEX(KonSpalte1,4)+INDEX(KonFeld7,4)=0),4,0))</f>
        <v>0</v>
      </c>
      <c r="O183" s="39">
        <f>IF($B$102="x",-1,IF(AND($B$102=0,INDEX(KonZeile8,5)+INDEX(KonSpalte1,5)+INDEX(KonFeld7,5)=0),5,0))</f>
        <v>0</v>
      </c>
      <c r="P183" s="41">
        <f>IF($B$102="x",-1,IF(AND($B$102=0,INDEX(KonZeile8,6)+INDEX(KonSpalte1,6)+INDEX(KonFeld7,6)=0),6,0))</f>
        <v>0</v>
      </c>
      <c r="Q183" s="40">
        <f>IF($C$102="x",-1,IF(AND($C$102=0,INDEX(KonZeile8,4)+INDEX(KonSpalte2,4)+INDEX(KonFeld7,4)=0),4,0))</f>
        <v>0</v>
      </c>
      <c r="R183" s="39">
        <f>IF($C$102="x",-1,IF(AND($C$102=0,INDEX(KonZeile8,5)+INDEX(KonSpalte2,5)+INDEX(KonFeld7,5)=0),5,0))</f>
        <v>0</v>
      </c>
      <c r="S183" s="41">
        <f>IF($C$102="x",-1,IF(AND($C$102=0,INDEX(KonZeile8,6)+INDEX(KonSpalte2,6)+INDEX(KonFeld7,6)=0),6,0))</f>
        <v>0</v>
      </c>
      <c r="T183" s="40">
        <f>IF($D$102="x",-1,IF(AND($D$102=0,INDEX(KonZeile8,4)+INDEX(KonSpalte3,4)+INDEX(KonFeld7,4)=0),4,0))</f>
        <v>-1</v>
      </c>
      <c r="U183" s="39">
        <f>IF($D$102="x",-1,IF(AND($D$102=0,INDEX(KonZeile8,5)+INDEX(KonSpalte3,5)+INDEX(KonFeld7,5)=0),5,0))</f>
        <v>-1</v>
      </c>
      <c r="V183" s="42">
        <f>IF($D$102="x",-1,IF(AND($D$102=0,INDEX(KonZeile8,6)+INDEX(KonSpalte3,6)+INDEX(KonFeld7,6)=0),6,0))</f>
        <v>-1</v>
      </c>
      <c r="W183" s="43">
        <f>IF($E$102="x",-1,IF(AND($E$102=0,INDEX(KonZeile8,4)+INDEX(KonSpalte4,4)+INDEX(KonFeld7,4)=0),4,0))</f>
        <v>0</v>
      </c>
      <c r="X183" s="39">
        <f>IF($E$102="x",-1,IF(AND($E$102=0,INDEX(KonZeile8,5)+INDEX(KonSpalte4,5)+INDEX(KonFeld7,5)=0),5,0))</f>
        <v>0</v>
      </c>
      <c r="Y183" s="41">
        <f>IF($E$102="x",-1,IF(AND($E$102=0,INDEX(KonZeile8,6)+INDEX(KonSpalte4,6)+INDEX(KonFeld7,6)=0),6,0))</f>
        <v>0</v>
      </c>
      <c r="Z183" s="40">
        <f>IF($F$102="x",-1,IF(AND($F$102=0,INDEX(KonZeile8,4)+INDEX(KonSpalte5,4)+INDEX(KonFeld7,4)=0),4,0))</f>
        <v>0</v>
      </c>
      <c r="AA183" s="39">
        <f>IF($F$102="x",-1,IF(AND($F$102=0,INDEX(KonZeile8,5)+INDEX(KonSpalte5,5)+INDEX(KonFeld7,5)=0),5,0))</f>
        <v>0</v>
      </c>
      <c r="AB183" s="41">
        <f>IF($F$102="x",-1,IF(AND($F$102=0,INDEX(KonZeile8,6)+INDEX(KonSpalte5,6)+INDEX(KonFeld7,6)=0),6,0))</f>
        <v>0</v>
      </c>
      <c r="AC183" s="40">
        <f>IF($G$102="x",-1,IF(AND($G$102=0,INDEX(KonZeile8,4)+INDEX(KonSpalte6,4)+INDEX(KonFeld7,4)=0),4,0))</f>
        <v>-1</v>
      </c>
      <c r="AD183" s="39">
        <f>IF($G$102="x",-1,IF(AND($G$102=0,INDEX(KonZeile8,5)+INDEX(KonSpalte6,5)+INDEX(KonFeld7,5)=0),5,0))</f>
        <v>-1</v>
      </c>
      <c r="AE183" s="42">
        <f>IF($G$102="x",-1,IF(AND($G$102=0,INDEX(KonZeile8,6)+INDEX(KonSpalte6,6)+INDEX(KonFeld7,6)=0),6,0))</f>
        <v>-1</v>
      </c>
      <c r="AF183" s="43">
        <f>IF($H$102="x",-1,IF(AND($H$102=0,INDEX(KonZeile8,4)+INDEX(KonSpalte7,4)+INDEX(KonFeld7,4)=0),4,0))</f>
        <v>-1</v>
      </c>
      <c r="AG183" s="39">
        <f>IF($H$102="x",-1,IF(AND($H$102=0,INDEX(KonZeile8,5)+INDEX(KonSpalte7,5)+INDEX(KonFeld7,5)=0),5,0))</f>
        <v>-1</v>
      </c>
      <c r="AH183" s="41">
        <f>IF($H$102="x",-1,IF(AND($H$102=0,INDEX(KonZeile8,6)+INDEX(KonSpalte7,6)+INDEX(KonFeld7,6)=0),6,0))</f>
        <v>-1</v>
      </c>
      <c r="AI183" s="40">
        <f>IF($I$102="x",-1,IF(AND($I$102=0,INDEX(KonZeile8,4)+INDEX(KonSpalte8,4)+INDEX(KonFeld7,4)=0),4,0))</f>
        <v>-1</v>
      </c>
      <c r="AJ183" s="39">
        <f>IF($I$102="x",-1,IF(AND($I$102=0,INDEX(KonZeile8,5)+INDEX(KonSpalte8,5)+INDEX(KonFeld7,5)=0),5,0))</f>
        <v>-1</v>
      </c>
      <c r="AK183" s="41">
        <f>IF($I$102="x",-1,IF(AND($I$102=0,INDEX(KonZeile8,6)+INDEX(KonSpalte8,6)+INDEX(KonFeld7,6)=0),6,0))</f>
        <v>-1</v>
      </c>
      <c r="AL183" s="40">
        <f>IF($J$102="x",-1,IF(AND($J$102=0,INDEX(KonZeile8,4)+INDEX(KonSpalte9,4)+INDEX(KonFeld7,4)=0),4,0))</f>
        <v>-1</v>
      </c>
      <c r="AM183" s="39">
        <f>IF($J$102="x",-1,IF(AND($J$102=0,INDEX(KonZeile8,5)+INDEX(KonSpalte9,5)+INDEX(KonFeld7,5)=0),5,0))</f>
        <v>-1</v>
      </c>
      <c r="AN183" s="95">
        <f>IF($J$102="x",-1,IF(AND($J$102=0,INDEX(KonZeile8,6)+INDEX(KonSpalte9,6)+INDEX(KonFeld7,6)=0),6,0))</f>
        <v>-1</v>
      </c>
      <c r="AO183" s="94">
        <f>IF($K$102="x",-1,IF(AND($K$102=0,INDEX(KonZeile8,4)+INDEX(KonSpalte1,4)+INDEX(KonFeld8,4)=0),4,0))</f>
        <v>-1</v>
      </c>
      <c r="AP183" s="39">
        <f>IF($K$102="x",-1,IF(AND($K$102=0,INDEX(KonZeile8,5)+INDEX(KonSpalte1,5)+INDEX(KonFeld8,5)=0),5,0))</f>
        <v>-1</v>
      </c>
      <c r="AQ183" s="41">
        <f>IF($K$102="x",-1,IF(AND($K$102=0,INDEX(KonZeile8,6)+INDEX(KonSpalte1,6)+INDEX(KonFeld8,6)=0),6,0))</f>
        <v>-1</v>
      </c>
      <c r="AR183" s="40">
        <f>IF($L$102="x",-1,IF(AND($L$102=0,INDEX(KonZeile8,4)+INDEX(KonSpalte2,4)+INDEX(KonFeld8,4)=0),4,0))</f>
        <v>-1</v>
      </c>
      <c r="AS183" s="39">
        <f>IF($L$102="x",-1,IF(AND($L$102=0,INDEX(KonZeile8,5)+INDEX(KonSpalte2,5)+INDEX(KonFeld8,5)=0),5,0))</f>
        <v>-1</v>
      </c>
      <c r="AT183" s="41">
        <f>IF($L$102="x",-1,IF(AND($L$102=0,INDEX(KonZeile8,6)+INDEX(KonSpalte2,6)+INDEX(KonFeld8,6)=0),6,0))</f>
        <v>-1</v>
      </c>
      <c r="AU183" s="40">
        <f>IF($M$102="x",-1,IF(AND($M$102=0,INDEX(KonZeile8,4)+INDEX(KonSpalte3,4)+INDEX(KonFeld8,4)=0),4,0))</f>
        <v>-1</v>
      </c>
      <c r="AV183" s="39">
        <f>IF($M$102="x",-1,IF(AND($M$102=0,INDEX(KonZeile8,5)+INDEX(KonSpalte3,5)+INDEX(KonFeld8,5)=0),5,0))</f>
        <v>-1</v>
      </c>
      <c r="AW183" s="42">
        <f>IF($M$102="x",-1,IF(AND($M$102=0,INDEX(KonZeile8,6)+INDEX(KonSpalte3,6)+INDEX(KonFeld8,6)=0),6,0))</f>
        <v>-1</v>
      </c>
      <c r="AX183" s="43">
        <f>IF($N$102="x",-1,IF(AND($N$102=0,INDEX(KonZeile8,4)+INDEX(KonSpalte4,4)+INDEX(KonFeld8,4)=0),4,0))</f>
        <v>-1</v>
      </c>
      <c r="AY183" s="39">
        <f>IF($N$102="x",-1,IF(AND($N$102=0,INDEX(KonZeile8,5)+INDEX(KonSpalte4,5)+INDEX(KonFeld8,5)=0),5,0))</f>
        <v>-1</v>
      </c>
      <c r="AZ183" s="41">
        <f>IF($N$102="x",-1,IF(AND($N$102=0,INDEX(KonZeile8,6)+INDEX(KonSpalte4,6)+INDEX(KonFeld8,6)=0),6,0))</f>
        <v>-1</v>
      </c>
      <c r="BA183" s="40">
        <f>IF($O$102="x",-1,IF(AND($O$102=0,INDEX(KonZeile8,4)+INDEX(KonSpalte5,4)+INDEX(KonFeld8,4)=0),4,0))</f>
        <v>-1</v>
      </c>
      <c r="BB183" s="39">
        <f>IF($O$102="x",-1,IF(AND($O$102=0,INDEX(KonZeile8,5)+INDEX(KonSpalte5,5)+INDEX(KonFeld8,5)=0),5,0))</f>
        <v>-1</v>
      </c>
      <c r="BC183" s="41">
        <f>IF($O$102="x",-1,IF(AND($O$102=0,INDEX(KonZeile8,6)+INDEX(KonSpalte5,6)+INDEX(KonFeld8,6)=0),6,0))</f>
        <v>-1</v>
      </c>
      <c r="BD183" s="40">
        <f>IF($P$102="x",-1,IF(AND($P$102=0,INDEX(KonZeile8,4)+INDEX(KonSpalte6,4)+INDEX(KonFeld8,4)=0),4,0))</f>
        <v>-1</v>
      </c>
      <c r="BE183" s="39">
        <f>IF($P$102="x",-1,IF(AND($P$102=0,INDEX(KonZeile8,5)+INDEX(KonSpalte6,5)+INDEX(KonFeld8,5)=0),5,0))</f>
        <v>-1</v>
      </c>
      <c r="BF183" s="42">
        <f>IF($P$102="x",-1,IF(AND($P$102=0,INDEX(KonZeile8,6)+INDEX(KonSpalte6,6)+INDEX(KonFeld8,6)=0),6,0))</f>
        <v>-1</v>
      </c>
      <c r="BG183" s="43">
        <f>IF($Q$102="x",-1,IF(AND($Q$102=0,INDEX(KonZeile8,4)+INDEX(KonSpalte7,4)+INDEX(KonFeld8,4)=0),4,0))</f>
        <v>-1</v>
      </c>
      <c r="BH183" s="39">
        <f>IF($Q$102="x",-1,IF(AND($Q$102=0,INDEX(KonZeile8,5)+INDEX(KonSpalte7,5)+INDEX(KonFeld8,5)=0),5,0))</f>
        <v>-1</v>
      </c>
      <c r="BI183" s="41">
        <f>IF($Q$102="x",-1,IF(AND($Q$102=0,INDEX(KonZeile8,6)+INDEX(KonSpalte7,6)+INDEX(KonFeld8,6)=0),6,0))</f>
        <v>-1</v>
      </c>
      <c r="BJ183" s="40">
        <f>IF($R$102="x",-1,IF(AND($R$102=0,INDEX(KonZeile8,4)+INDEX(KonSpalte8,4)+INDEX(KonFeld8,4)=0),4,0))</f>
        <v>-1</v>
      </c>
      <c r="BK183" s="39">
        <f>IF($R$102="x",-1,IF(AND($R$102=0,INDEX(KonZeile8,5)+INDEX(KonSpalte8,5)+INDEX(KonFeld8,5)=0),5,0))</f>
        <v>-1</v>
      </c>
      <c r="BL183" s="41">
        <f>IF($R$102="x",-1,IF(AND($R$102=0,INDEX(KonZeile8,6)+INDEX(KonSpalte8,6)+INDEX(KonFeld8,6)=0),6,0))</f>
        <v>-1</v>
      </c>
      <c r="BM183" s="40">
        <f>IF($S$102="x",-1,IF(AND($S$102=0,INDEX(KonZeile8,4)+INDEX(KonSpalte9,4)+INDEX(KonFeld8,4)=0),4,0))</f>
        <v>-1</v>
      </c>
      <c r="BN183" s="39">
        <f>IF($S$102="x",-1,IF(AND($S$102=0,INDEX(KonZeile8,5)+INDEX(KonSpalte9,5)+INDEX(KonFeld8,5)=0),5,0))</f>
        <v>-1</v>
      </c>
      <c r="BO183" s="95">
        <f>IF($S$102="x",-1,IF(AND($S$102=0,INDEX(KonZeile8,6)+INDEX(KonSpalte9,6)+INDEX(KonFeld8,6)=0),6,0))</f>
        <v>-1</v>
      </c>
      <c r="BP183" s="94">
        <f>IF($T$102="x",-1,IF(AND($T$102=0,INDEX(KonZeile8,4)+INDEX(KonSpalte1,4)+INDEX(KonFeld9,4)=0),4,0))</f>
        <v>-1</v>
      </c>
      <c r="BQ183" s="39">
        <f>IF($T$102="x",-1,IF(AND($T$102=0,INDEX(KonZeile8,5)+INDEX(KonSpalte1,5)+INDEX(KonFeld9,5)=0),5,0))</f>
        <v>-1</v>
      </c>
      <c r="BR183" s="41">
        <f>IF($T$102="x",-1,IF(AND($T$102=0,INDEX(KonZeile8,6)+INDEX(KonSpalte1,6)+INDEX(KonFeld9,6)=0),6,0))</f>
        <v>-1</v>
      </c>
      <c r="BS183" s="40">
        <f>IF($U$102="x",-1,IF(AND($U$102=0,INDEX(KonZeile8,4)+INDEX(KonSpalte2,4)+INDEX(KonFeld9,4)=0),4,0))</f>
        <v>-1</v>
      </c>
      <c r="BT183" s="39">
        <f>IF($U$102="x",-1,IF(AND($U$102=0,INDEX(KonZeile8,5)+INDEX(KonSpalte2,5)+INDEX(KonFeld9,5)=0),5,0))</f>
        <v>-1</v>
      </c>
      <c r="BU183" s="41">
        <f>IF($U$102="x",-1,IF(AND($U$102=0,INDEX(KonZeile8,6)+INDEX(KonSpalte2,6)+INDEX(KonFeld9,6)=0),6,0))</f>
        <v>-1</v>
      </c>
      <c r="BV183" s="40">
        <f>IF($V$102="x",-1,IF(AND($V$102=0,INDEX(KonZeile8,4)+INDEX(KonSpalte3,4)+INDEX(KonFeld9,4)=0),4,0))</f>
        <v>-1</v>
      </c>
      <c r="BW183" s="39">
        <f>IF($V$102="x",-1,IF(AND($V$102=0,INDEX(KonZeile8,5)+INDEX(KonSpalte3,5)+INDEX(KonFeld9,5)=0),5,0))</f>
        <v>-1</v>
      </c>
      <c r="BX183" s="42">
        <f>IF($V$102="x",-1,IF(AND($V$102=0,INDEX(KonZeile8,6)+INDEX(KonSpalte3,6)+INDEX(KonFeld9,6)=0),6,0))</f>
        <v>-1</v>
      </c>
      <c r="BY183" s="43">
        <f>IF($W$102="x",-1,IF(AND($W$102=0,INDEX(KonZeile8,4)+INDEX(KonSpalte4,4)+INDEX(KonFeld9,4)=0),4,0))</f>
        <v>-1</v>
      </c>
      <c r="BZ183" s="39">
        <f>IF($W$102="x",-1,IF(AND($W$102=0,INDEX(KonZeile8,5)+INDEX(KonSpalte4,5)+INDEX(KonFeld9,5)=0),5,0))</f>
        <v>-1</v>
      </c>
      <c r="CA183" s="41">
        <f>IF($W$102="x",-1,IF(AND($W$102=0,INDEX(KonZeile8,6)+INDEX(KonSpalte4,6)+INDEX(KonFeld9,6)=0),6,0))</f>
        <v>-1</v>
      </c>
      <c r="CB183" s="40">
        <f>IF($X$102="x",-1,IF(AND($X$102=0,INDEX(KonZeile8,4)+INDEX(KonSpalte5,4)+INDEX(KonFeld9,4)=0),4,0))</f>
        <v>-1</v>
      </c>
      <c r="CC183" s="39">
        <f>IF($X$102="x",-1,IF(AND($X$102=0,INDEX(KonZeile8,5)+INDEX(KonSpalte5,5)+INDEX(KonFeld9,5)=0),5,0))</f>
        <v>-1</v>
      </c>
      <c r="CD183" s="41">
        <f>IF($X$102="x",-1,IF(AND($X$102=0,INDEX(KonZeile8,6)+INDEX(KonSpalte5,6)+INDEX(KonFeld9,6)=0),6,0))</f>
        <v>-1</v>
      </c>
      <c r="CE183" s="40">
        <f>IF($Y$102="x",-1,IF(AND($Y$102=0,INDEX(KonZeile8,4)+INDEX(KonSpalte6,4)+INDEX(KonFeld9,4)=0),4,0))</f>
        <v>0</v>
      </c>
      <c r="CF183" s="39">
        <f>IF($Y$102="x",-1,IF(AND($Y$102=0,INDEX(KonZeile8,5)+INDEX(KonSpalte6,5)+INDEX(KonFeld9,5)=0),5,0))</f>
        <v>0</v>
      </c>
      <c r="CG183" s="42">
        <f>IF($Y$102="x",-1,IF(AND($Y$102=0,INDEX(KonZeile8,6)+INDEX(KonSpalte6,6)+INDEX(KonFeld9,6)=0),6,0))</f>
        <v>0</v>
      </c>
      <c r="CH183" s="43">
        <f>IF($Z$102="x",-1,IF(AND($Z$102=0,INDEX(KonZeile8,4)+INDEX(KonSpalte7,4)+INDEX(KonFeld9,4)=0),4,0))</f>
        <v>0</v>
      </c>
      <c r="CI183" s="39">
        <f>IF($Z$102="x",-1,IF(AND($Z$102=0,INDEX(KonZeile8,5)+INDEX(KonSpalte7,5)+INDEX(KonFeld9,5)=0),5,0))</f>
        <v>0</v>
      </c>
      <c r="CJ183" s="41">
        <f>IF($Z$102="x",-1,IF(AND($Z$102=0,INDEX(KonZeile8,6)+INDEX(KonSpalte7,6)+INDEX(KonFeld9,6)=0),6,0))</f>
        <v>0</v>
      </c>
      <c r="CK183" s="40">
        <f>IF($AA$102="x",-1,IF(AND($AA$102=0,INDEX(KonZeile8,4)+INDEX(KonSpalte8,4)+INDEX(KonFeld9,4)=0),4,0))</f>
        <v>0</v>
      </c>
      <c r="CL183" s="39">
        <f>IF($AA$102="x",-1,IF(AND($AA$102=0,INDEX(KonZeile8,5)+INDEX(KonSpalte8,5)+INDEX(KonFeld9,5)=0),5,0))</f>
        <v>0</v>
      </c>
      <c r="CM183" s="41">
        <f>IF($AA$102="x",-1,IF(AND($AA$102=0,INDEX(KonZeile8,6)+INDEX(KonSpalte8,6)+INDEX(KonFeld9,6)=0),6,0))</f>
        <v>0</v>
      </c>
      <c r="CN183" s="40">
        <f>IF($AB$102="x",-1,IF(AND($AB$102=0,INDEX(KonZeile8,4)+INDEX(KonSpalte9,4)+INDEX(KonFeld9,4)=0),4,0))</f>
        <v>0</v>
      </c>
      <c r="CO183" s="39">
        <f>IF($AB$102="x",-1,IF(AND($AB$102=0,INDEX(KonZeile8,5)+INDEX(KonSpalte9,5)+INDEX(KonFeld9,5)=0),5,0))</f>
        <v>0</v>
      </c>
      <c r="CP183" s="95">
        <f>IF($AB$102="x",-1,IF(AND($AB$102=0,INDEX(KonZeile8,6)+INDEX(KonSpalte9,6)+INDEX(KonFeld9,6)=0),6,0))</f>
        <v>0</v>
      </c>
      <c r="CR183" s="40">
        <f>COUNTIF(N183:CP183,4)</f>
        <v>0</v>
      </c>
      <c r="CS183" s="39">
        <f>COUNTIF(N183:CP183,5)</f>
        <v>0</v>
      </c>
      <c r="CT183" s="41">
        <f>COUNTIF(N183:CP183,6)</f>
        <v>0</v>
      </c>
      <c r="CU183" s="39"/>
      <c r="CV183" s="39"/>
      <c r="CX183" s="72">
        <f t="shared" si="359"/>
        <v>0</v>
      </c>
      <c r="CY183" s="73">
        <f t="shared" si="359"/>
        <v>0</v>
      </c>
      <c r="CZ183" s="74">
        <f t="shared" si="359"/>
        <v>0</v>
      </c>
      <c r="DJ183" s="94">
        <f t="shared" si="271"/>
        <v>0</v>
      </c>
      <c r="DK183" s="39">
        <f t="shared" si="272"/>
        <v>0</v>
      </c>
      <c r="DL183" s="41">
        <f t="shared" si="273"/>
        <v>0</v>
      </c>
      <c r="DM183" s="40">
        <f t="shared" si="274"/>
        <v>0</v>
      </c>
      <c r="DN183" s="39">
        <f t="shared" si="275"/>
        <v>0</v>
      </c>
      <c r="DO183" s="41">
        <f t="shared" si="276"/>
        <v>6</v>
      </c>
      <c r="DP183" s="40">
        <f t="shared" si="277"/>
        <v>0</v>
      </c>
      <c r="DQ183" s="39">
        <f t="shared" si="278"/>
        <v>5</v>
      </c>
      <c r="DR183" s="42">
        <f t="shared" si="279"/>
        <v>0</v>
      </c>
      <c r="DS183" s="43">
        <f t="shared" si="280"/>
        <v>0</v>
      </c>
      <c r="DT183" s="39">
        <f t="shared" si="281"/>
        <v>0</v>
      </c>
      <c r="DU183" s="41">
        <f t="shared" si="282"/>
        <v>6</v>
      </c>
      <c r="DV183" s="40">
        <f t="shared" si="283"/>
        <v>-1</v>
      </c>
      <c r="DW183" s="39">
        <f t="shared" si="284"/>
        <v>-1</v>
      </c>
      <c r="DX183" s="41">
        <f t="shared" si="285"/>
        <v>-1</v>
      </c>
      <c r="DY183" s="40">
        <f t="shared" si="286"/>
        <v>-1</v>
      </c>
      <c r="DZ183" s="39">
        <f t="shared" si="287"/>
        <v>-1</v>
      </c>
      <c r="EA183" s="42">
        <f t="shared" si="288"/>
        <v>-1</v>
      </c>
      <c r="EB183" s="43">
        <f t="shared" si="289"/>
        <v>-1</v>
      </c>
      <c r="EC183" s="39">
        <f t="shared" si="290"/>
        <v>-1</v>
      </c>
      <c r="ED183" s="41">
        <f t="shared" si="291"/>
        <v>-1</v>
      </c>
      <c r="EE183" s="40">
        <f t="shared" si="292"/>
        <v>-1</v>
      </c>
      <c r="EF183" s="39">
        <f t="shared" si="293"/>
        <v>-1</v>
      </c>
      <c r="EG183" s="41">
        <f t="shared" si="294"/>
        <v>-1</v>
      </c>
      <c r="EH183" s="40">
        <f t="shared" si="295"/>
        <v>-1</v>
      </c>
      <c r="EI183" s="39">
        <f t="shared" si="296"/>
        <v>-1</v>
      </c>
      <c r="EJ183" s="95">
        <f t="shared" si="297"/>
        <v>-1</v>
      </c>
      <c r="EK183" s="94">
        <f t="shared" si="298"/>
        <v>-1</v>
      </c>
      <c r="EL183" s="39">
        <f t="shared" si="299"/>
        <v>-1</v>
      </c>
      <c r="EM183" s="41">
        <f t="shared" si="300"/>
        <v>-1</v>
      </c>
      <c r="EN183" s="40">
        <f t="shared" si="301"/>
        <v>-1</v>
      </c>
      <c r="EO183" s="39">
        <f t="shared" si="302"/>
        <v>-1</v>
      </c>
      <c r="EP183" s="41">
        <f t="shared" si="303"/>
        <v>-1</v>
      </c>
      <c r="EQ183" s="40">
        <f t="shared" si="304"/>
        <v>-1</v>
      </c>
      <c r="ER183" s="39">
        <f t="shared" si="305"/>
        <v>-1</v>
      </c>
      <c r="ES183" s="42">
        <f t="shared" si="306"/>
        <v>-1</v>
      </c>
      <c r="ET183" s="43">
        <f t="shared" si="307"/>
        <v>-1</v>
      </c>
      <c r="EU183" s="39">
        <f t="shared" si="308"/>
        <v>-1</v>
      </c>
      <c r="EV183" s="41">
        <f t="shared" si="309"/>
        <v>-1</v>
      </c>
      <c r="EW183" s="40">
        <f t="shared" si="310"/>
        <v>-1</v>
      </c>
      <c r="EX183" s="39">
        <f t="shared" si="311"/>
        <v>-1</v>
      </c>
      <c r="EY183" s="41">
        <f t="shared" si="312"/>
        <v>-1</v>
      </c>
      <c r="EZ183" s="40">
        <f t="shared" si="313"/>
        <v>-1</v>
      </c>
      <c r="FA183" s="39">
        <f t="shared" si="314"/>
        <v>-1</v>
      </c>
      <c r="FB183" s="42">
        <f t="shared" si="315"/>
        <v>-1</v>
      </c>
      <c r="FC183" s="43">
        <f t="shared" si="316"/>
        <v>-1</v>
      </c>
      <c r="FD183" s="39">
        <f t="shared" si="317"/>
        <v>-1</v>
      </c>
      <c r="FE183" s="41">
        <f t="shared" si="318"/>
        <v>-1</v>
      </c>
      <c r="FF183" s="40">
        <f t="shared" si="319"/>
        <v>-1</v>
      </c>
      <c r="FG183" s="39">
        <f t="shared" si="320"/>
        <v>-1</v>
      </c>
      <c r="FH183" s="41">
        <f t="shared" si="321"/>
        <v>-1</v>
      </c>
      <c r="FI183" s="40">
        <f t="shared" si="322"/>
        <v>-1</v>
      </c>
      <c r="FJ183" s="39">
        <f t="shared" si="323"/>
        <v>-1</v>
      </c>
      <c r="FK183" s="95">
        <f t="shared" si="324"/>
        <v>-1</v>
      </c>
      <c r="FL183" s="94">
        <f t="shared" si="325"/>
        <v>-1</v>
      </c>
      <c r="FM183" s="39">
        <f t="shared" si="326"/>
        <v>-1</v>
      </c>
      <c r="FN183" s="41">
        <f t="shared" si="327"/>
        <v>-1</v>
      </c>
      <c r="FO183" s="40">
        <f t="shared" si="328"/>
        <v>-1</v>
      </c>
      <c r="FP183" s="39">
        <f t="shared" si="329"/>
        <v>-1</v>
      </c>
      <c r="FQ183" s="41">
        <f t="shared" si="330"/>
        <v>-1</v>
      </c>
      <c r="FR183" s="40">
        <f t="shared" si="331"/>
        <v>-1</v>
      </c>
      <c r="FS183" s="39">
        <f t="shared" si="332"/>
        <v>-1</v>
      </c>
      <c r="FT183" s="42">
        <f t="shared" si="333"/>
        <v>-1</v>
      </c>
      <c r="FU183" s="43">
        <f t="shared" si="334"/>
        <v>-1</v>
      </c>
      <c r="FV183" s="39">
        <f t="shared" si="335"/>
        <v>-1</v>
      </c>
      <c r="FW183" s="41">
        <f t="shared" si="336"/>
        <v>-1</v>
      </c>
      <c r="FX183" s="40">
        <f t="shared" si="337"/>
        <v>-1</v>
      </c>
      <c r="FY183" s="39">
        <f t="shared" si="338"/>
        <v>-1</v>
      </c>
      <c r="FZ183" s="41">
        <f t="shared" si="339"/>
        <v>-1</v>
      </c>
      <c r="GA183" s="40">
        <f t="shared" si="340"/>
        <v>-1</v>
      </c>
      <c r="GB183" s="39">
        <f t="shared" si="341"/>
        <v>-1</v>
      </c>
      <c r="GC183" s="42">
        <f t="shared" si="342"/>
        <v>-1</v>
      </c>
      <c r="GD183" s="43">
        <f t="shared" si="343"/>
        <v>-1</v>
      </c>
      <c r="GE183" s="39">
        <f t="shared" si="344"/>
        <v>-1</v>
      </c>
      <c r="GF183" s="41">
        <f t="shared" si="345"/>
        <v>-1</v>
      </c>
      <c r="GG183" s="40">
        <f t="shared" si="346"/>
        <v>0</v>
      </c>
      <c r="GH183" s="39">
        <f t="shared" si="347"/>
        <v>0</v>
      </c>
      <c r="GI183" s="41">
        <f t="shared" si="348"/>
        <v>0</v>
      </c>
      <c r="GJ183" s="40">
        <f t="shared" si="349"/>
        <v>-1</v>
      </c>
      <c r="GK183" s="39">
        <f t="shared" si="350"/>
        <v>-1</v>
      </c>
      <c r="GL183" s="95">
        <f t="shared" si="351"/>
        <v>-1</v>
      </c>
      <c r="GN183" s="40">
        <f>COUNTIF(DJ183:GL183,4)</f>
        <v>0</v>
      </c>
      <c r="GO183" s="39">
        <f>COUNTIF(DJ183:GL183,5)</f>
        <v>1</v>
      </c>
      <c r="GP183" s="41">
        <f>COUNTIF(DJ183:GL183,6)</f>
        <v>2</v>
      </c>
      <c r="GQ183" s="39"/>
      <c r="GR183" s="39"/>
      <c r="GT183" s="72">
        <f t="shared" ref="GT183:GV183" si="369">GT156</f>
        <v>1</v>
      </c>
      <c r="GU183" s="73">
        <f t="shared" si="369"/>
        <v>1</v>
      </c>
      <c r="GV183" s="74">
        <f t="shared" si="369"/>
        <v>2</v>
      </c>
    </row>
    <row r="184" spans="9:204" ht="15" customHeight="1" thickBot="1">
      <c r="N184" s="99">
        <f>IF($B$102="x",-1,IF(AND($B$102=0,INDEX(KonZeile8,7)+INDEX(KonSpalte1,7)+INDEX(KonFeld7,7)=0),7,0))</f>
        <v>0</v>
      </c>
      <c r="O184" s="45">
        <f>IF($B$102="x",-1,IF(AND($B$102=0,INDEX(KonZeile8,8)+INDEX(KonSpalte1,8)+INDEX(KonFeld7,8)=0),8,0))</f>
        <v>0</v>
      </c>
      <c r="P184" s="47">
        <f>IF($B$102="x",-1,IF(AND($B$102=0,INDEX(KonZeile8,9)+INDEX(KonSpalte1,9)+INDEX(KonFeld7,9)=0),9,0))</f>
        <v>0</v>
      </c>
      <c r="Q184" s="46">
        <f>IF($C$102="x",-1,IF(AND($C$102=0,INDEX(KonZeile8,7)+INDEX(KonSpalte2,7)+INDEX(KonFeld7,7)=0),7,0))</f>
        <v>0</v>
      </c>
      <c r="R184" s="45">
        <f>IF($C$102="x",-1,IF(AND($C$102=0,INDEX(KonZeile8,8)+INDEX(KonSpalte2,8)+INDEX(KonFeld7,8)=0),8,0))</f>
        <v>0</v>
      </c>
      <c r="S184" s="47">
        <f>IF($C$102="x",-1,IF(AND($C$102=0,INDEX(KonZeile8,9)+INDEX(KonSpalte2,9)+INDEX(KonFeld7,9)=0),9,0))</f>
        <v>0</v>
      </c>
      <c r="T184" s="46">
        <f>IF($D$102="x",-1,IF(AND($D$102=0,INDEX(KonZeile8,7)+INDEX(KonSpalte3,7)+INDEX(KonFeld7,7)=0),7,0))</f>
        <v>-1</v>
      </c>
      <c r="U184" s="45">
        <f>IF($D$102="x",-1,IF(AND($D$102=0,INDEX(KonZeile8,8)+INDEX(KonSpalte3,8)+INDEX(KonFeld7,8)=0),8,0))</f>
        <v>-1</v>
      </c>
      <c r="V184" s="48">
        <f>IF($D$102="x",-1,IF(AND($D$102=0,INDEX(KonZeile8,9)+INDEX(KonSpalte3,9)+INDEX(KonFeld7,9)=0),9,0))</f>
        <v>-1</v>
      </c>
      <c r="W184" s="44">
        <f>IF($E$102="x",-1,IF(AND($E$102=0,INDEX(KonZeile8,7)+INDEX(KonSpalte4,7)+INDEX(KonFeld7,7)=0),7,0))</f>
        <v>0</v>
      </c>
      <c r="X184" s="45">
        <f>IF($E$102="x",-1,IF(AND($E$102=0,INDEX(KonZeile8,8)+INDEX(KonSpalte4,8)+INDEX(KonFeld7,8)=0),8,0))</f>
        <v>0</v>
      </c>
      <c r="Y184" s="47">
        <f>IF($E$102="x",-1,IF(AND($E$102=0,INDEX(KonZeile8,9)+INDEX(KonSpalte4,9)+INDEX(KonFeld7,9)=0),9,0))</f>
        <v>0</v>
      </c>
      <c r="Z184" s="46">
        <f>IF($F$102="x",-1,IF(AND($F$102=0,INDEX(KonZeile8,7)+INDEX(KonSpalte5,7)+INDEX(KonFeld7,7)=0),7,0))</f>
        <v>0</v>
      </c>
      <c r="AA184" s="45">
        <f>IF($F$102="x",-1,IF(AND($F$102=0,INDEX(KonZeile8,8)+INDEX(KonSpalte5,8)+INDEX(KonFeld7,8)=0),8,0))</f>
        <v>0</v>
      </c>
      <c r="AB184" s="47">
        <f>IF($F$102="x",-1,IF(AND($F$102=0,INDEX(KonZeile8,9)+INDEX(KonSpalte5,9)+INDEX(KonFeld7,9)=0),9,0))</f>
        <v>0</v>
      </c>
      <c r="AC184" s="46">
        <f>IF($G$102="x",-1,IF(AND($G$102=0,INDEX(KonZeile8,7)+INDEX(KonSpalte6,7)+INDEX(KonFeld7,7)=0),7,0))</f>
        <v>-1</v>
      </c>
      <c r="AD184" s="45">
        <f>IF($G$102="x",-1,IF(AND($G$102=0,INDEX(KonZeile8,8)+INDEX(KonSpalte6,8)+INDEX(KonFeld7,8)=0),8,0))</f>
        <v>-1</v>
      </c>
      <c r="AE184" s="48">
        <f>IF($G$102="x",-1,IF(AND($G$102=0,INDEX(KonZeile8,9)+INDEX(KonSpalte6,9)+INDEX(KonFeld7,9)=0),9,0))</f>
        <v>-1</v>
      </c>
      <c r="AF184" s="44">
        <f>IF($H$102="x",-1,IF(AND($H$102=0,INDEX(KonZeile8,7)+INDEX(KonSpalte7,7)+INDEX(KonFeld7,7)=0),7,0))</f>
        <v>-1</v>
      </c>
      <c r="AG184" s="45">
        <f>IF($H$102="x",-1,IF(AND($H$102=0,INDEX(KonZeile8,8)+INDEX(KonSpalte7,8)+INDEX(KonFeld7,8)=0),8,0))</f>
        <v>-1</v>
      </c>
      <c r="AH184" s="47">
        <f>IF($H$102="x",-1,IF(AND($H$102=0,INDEX(KonZeile8,9)+INDEX(KonSpalte7,9)+INDEX(KonFeld7,9)=0),9,0))</f>
        <v>-1</v>
      </c>
      <c r="AI184" s="46">
        <f>IF($I$102="x",-1,IF(AND($I$102=0,INDEX(KonZeile8,7)+INDEX(KonSpalte8,7)+INDEX(KonFeld7,7)=0),7,0))</f>
        <v>-1</v>
      </c>
      <c r="AJ184" s="45">
        <f>IF($I$102="x",-1,IF(AND($I$102=0,INDEX(KonZeile8,8)+INDEX(KonSpalte8,8)+INDEX(KonFeld7,8)=0),8,0))</f>
        <v>-1</v>
      </c>
      <c r="AK184" s="47">
        <f>IF($I$102="x",-1,IF(AND($I$102=0,INDEX(KonZeile8,9)+INDEX(KonSpalte8,9)+INDEX(KonFeld7,9)=0),9,0))</f>
        <v>-1</v>
      </c>
      <c r="AL184" s="46">
        <f>IF($J$102="x",-1,IF(AND($J$102=0,INDEX(KonZeile8,7)+INDEX(KonSpalte9,7)+INDEX(KonFeld7,7)=0),7,0))</f>
        <v>-1</v>
      </c>
      <c r="AM184" s="45">
        <f>IF($J$102="x",-1,IF(AND($J$102=0,INDEX(KonZeile8,8)+INDEX(KonSpalte9,8)+INDEX(KonFeld7,8)=0),8,0))</f>
        <v>-1</v>
      </c>
      <c r="AN184" s="100">
        <f>IF($J$102="x",-1,IF(AND($J$102=0,INDEX(KonZeile8,9)+INDEX(KonSpalte9,9)+INDEX(KonFeld7,9)=0),9,0))</f>
        <v>-1</v>
      </c>
      <c r="AO184" s="99">
        <f>IF($K$102="x",-1,IF(AND($K$102=0,INDEX(KonZeile8,7)+INDEX(KonSpalte1,7)+INDEX(KonFeld8,7)=0),7,0))</f>
        <v>-1</v>
      </c>
      <c r="AP184" s="45">
        <f>IF($K$102="x",-1,IF(AND($K$102=0,INDEX(KonZeile8,8)+INDEX(KonSpalte1,8)+INDEX(KonFeld8,8)=0),8,0))</f>
        <v>-1</v>
      </c>
      <c r="AQ184" s="47">
        <f>IF($K$102="x",-1,IF(AND($K$102=0,INDEX(KonZeile8,9)+INDEX(KonSpalte1,9)+INDEX(KonFeld8,9)=0),9,0))</f>
        <v>-1</v>
      </c>
      <c r="AR184" s="46">
        <f>IF($L$102="x",-1,IF(AND($L$102=0,INDEX(KonZeile8,7)+INDEX(KonSpalte2,7)+INDEX(KonFeld8,7)=0),7,0))</f>
        <v>-1</v>
      </c>
      <c r="AS184" s="45">
        <f>IF($L$102="x",-1,IF(AND($L$102=0,INDEX(KonZeile8,8)+INDEX(KonSpalte2,8)+INDEX(KonFeld8,8)=0),8,0))</f>
        <v>-1</v>
      </c>
      <c r="AT184" s="47">
        <f>IF($L$102="x",-1,IF(AND($L$102=0,INDEX(KonZeile8,9)+INDEX(KonSpalte2,9)+INDEX(KonFeld8,9)=0),9,0))</f>
        <v>-1</v>
      </c>
      <c r="AU184" s="46">
        <f>IF($M$102="x",-1,IF(AND($M$102=0,INDEX(KonZeile8,7)+INDEX(KonSpalte3,7)+INDEX(KonFeld8,7)=0),7,0))</f>
        <v>-1</v>
      </c>
      <c r="AV184" s="45">
        <f>IF($M$102="x",-1,IF(AND($M$102=0,INDEX(KonZeile8,8)+INDEX(KonSpalte3,8)+INDEX(KonFeld8,8)=0),8,0))</f>
        <v>-1</v>
      </c>
      <c r="AW184" s="48">
        <f>IF($M$102="x",-1,IF(AND($M$102=0,INDEX(KonZeile8,9)+INDEX(KonSpalte3,9)+INDEX(KonFeld8,9)=0),9,0))</f>
        <v>-1</v>
      </c>
      <c r="AX184" s="44">
        <f>IF($N$102="x",-1,IF(AND($N$102=0,INDEX(KonZeile8,7)+INDEX(KonSpalte4,7)+INDEX(KonFeld8,7)=0),7,0))</f>
        <v>-1</v>
      </c>
      <c r="AY184" s="45">
        <f>IF($N$102="x",-1,IF(AND($N$102=0,INDEX(KonZeile8,8)+INDEX(KonSpalte4,8)+INDEX(KonFeld8,8)=0),8,0))</f>
        <v>-1</v>
      </c>
      <c r="AZ184" s="47">
        <f>IF($N$102="x",-1,IF(AND($N$102=0,INDEX(KonZeile8,9)+INDEX(KonSpalte4,9)+INDEX(KonFeld8,9)=0),9,0))</f>
        <v>-1</v>
      </c>
      <c r="BA184" s="46">
        <f>IF($O$102="x",-1,IF(AND($O$102=0,INDEX(KonZeile8,7)+INDEX(KonSpalte5,7)+INDEX(KonFeld8,7)=0),7,0))</f>
        <v>-1</v>
      </c>
      <c r="BB184" s="45">
        <f>IF($O$102="x",-1,IF(AND($O$102=0,INDEX(KonZeile8,8)+INDEX(KonSpalte5,8)+INDEX(KonFeld8,8)=0),8,0))</f>
        <v>-1</v>
      </c>
      <c r="BC184" s="47">
        <f>IF($O$102="x",-1,IF(AND($O$102=0,INDEX(KonZeile8,9)+INDEX(KonSpalte5,9)+INDEX(KonFeld8,9)=0),9,0))</f>
        <v>-1</v>
      </c>
      <c r="BD184" s="46">
        <f>IF($P$102="x",-1,IF(AND($P$102=0,INDEX(KonZeile8,7)+INDEX(KonSpalte6,7)+INDEX(KonFeld8,7)=0),7,0))</f>
        <v>-1</v>
      </c>
      <c r="BE184" s="45">
        <f>IF($P$102="x",-1,IF(AND($P$102=0,INDEX(KonZeile8,8)+INDEX(KonSpalte6,8)+INDEX(KonFeld8,8)=0),8,0))</f>
        <v>-1</v>
      </c>
      <c r="BF184" s="48">
        <f>IF($P$102="x",-1,IF(AND($P$102=0,INDEX(KonZeile8,9)+INDEX(KonSpalte6,9)+INDEX(KonFeld8,9)=0),9,0))</f>
        <v>-1</v>
      </c>
      <c r="BG184" s="44">
        <f>IF($Q$102="x",-1,IF(AND($Q$102=0,INDEX(KonZeile8,7)+INDEX(KonSpalte7,7)+INDEX(KonFeld8,7)=0),7,0))</f>
        <v>-1</v>
      </c>
      <c r="BH184" s="45">
        <f>IF($Q$102="x",-1,IF(AND($Q$102=0,INDEX(KonZeile8,8)+INDEX(KonSpalte7,8)+INDEX(KonFeld8,8)=0),8,0))</f>
        <v>-1</v>
      </c>
      <c r="BI184" s="47">
        <f>IF($Q$102="x",-1,IF(AND($Q$102=0,INDEX(KonZeile8,9)+INDEX(KonSpalte7,9)+INDEX(KonFeld8,9)=0),9,0))</f>
        <v>-1</v>
      </c>
      <c r="BJ184" s="46">
        <f>IF($R$102="x",-1,IF(AND($R$102=0,INDEX(KonZeile8,7)+INDEX(KonSpalte8,7)+INDEX(KonFeld8,7)=0),7,0))</f>
        <v>-1</v>
      </c>
      <c r="BK184" s="45">
        <f>IF($R$102="x",-1,IF(AND($R$102=0,INDEX(KonZeile8,8)+INDEX(KonSpalte8,8)+INDEX(KonFeld8,8)=0),8,0))</f>
        <v>-1</v>
      </c>
      <c r="BL184" s="47">
        <f>IF($R$102="x",-1,IF(AND($R$102=0,INDEX(KonZeile8,9)+INDEX(KonSpalte8,9)+INDEX(KonFeld8,9)=0),9,0))</f>
        <v>-1</v>
      </c>
      <c r="BM184" s="46">
        <f>IF($S$102="x",-1,IF(AND($S$102=0,INDEX(KonZeile8,7)+INDEX(KonSpalte9,7)+INDEX(KonFeld8,7)=0),7,0))</f>
        <v>-1</v>
      </c>
      <c r="BN184" s="45">
        <f>IF($S$102="x",-1,IF(AND($S$102=0,INDEX(KonZeile8,8)+INDEX(KonSpalte9,8)+INDEX(KonFeld8,8)=0),8,0))</f>
        <v>-1</v>
      </c>
      <c r="BO184" s="100">
        <f>IF($S$102="x",-1,IF(AND($S$102=0,INDEX(KonZeile8,9)+INDEX(KonSpalte9,9)+INDEX(KonFeld8,9)=0),9,0))</f>
        <v>-1</v>
      </c>
      <c r="BP184" s="99">
        <f>IF($T$102="x",-1,IF(AND($T$102=0,INDEX(KonZeile8,7)+INDEX(KonSpalte1,7)+INDEX(KonFeld9,7)=0),7,0))</f>
        <v>-1</v>
      </c>
      <c r="BQ184" s="45">
        <f>IF($T$102="x",-1,IF(AND($T$102=0,INDEX(KonZeile8,8)+INDEX(KonSpalte1,8)+INDEX(KonFeld9,8)=0),8,0))</f>
        <v>-1</v>
      </c>
      <c r="BR184" s="47">
        <f>IF($T$102="x",-1,IF(AND($T$102=0,INDEX(KonZeile8,9)+INDEX(KonSpalte1,9)+INDEX(KonFeld9,9)=0),9,0))</f>
        <v>-1</v>
      </c>
      <c r="BS184" s="46">
        <f>IF($U$102="x",-1,IF(AND($U$102=0,INDEX(KonZeile8,7)+INDEX(KonSpalte2,7)+INDEX(KonFeld9,7)=0),7,0))</f>
        <v>-1</v>
      </c>
      <c r="BT184" s="45">
        <f>IF($U$102="x",-1,IF(AND($U$102=0,INDEX(KonZeile8,8)+INDEX(KonSpalte2,8)+INDEX(KonFeld9,8)=0),8,0))</f>
        <v>-1</v>
      </c>
      <c r="BU184" s="47">
        <f>IF($U$102="x",-1,IF(AND($U$102=0,INDEX(KonZeile8,9)+INDEX(KonSpalte2,9)+INDEX(KonFeld9,9)=0),9,0))</f>
        <v>-1</v>
      </c>
      <c r="BV184" s="46">
        <f>IF($V$102="x",-1,IF(AND($V$102=0,INDEX(KonZeile8,7)+INDEX(KonSpalte3,7)+INDEX(KonFeld9,7)=0),7,0))</f>
        <v>-1</v>
      </c>
      <c r="BW184" s="45">
        <f>IF($V$102="x",-1,IF(AND($V$102=0,INDEX(KonZeile8,8)+INDEX(KonSpalte3,8)+INDEX(KonFeld9,8)=0),8,0))</f>
        <v>-1</v>
      </c>
      <c r="BX184" s="48">
        <f>IF($V$102="x",-1,IF(AND($V$102=0,INDEX(KonZeile8,9)+INDEX(KonSpalte3,9)+INDEX(KonFeld9,9)=0),9,0))</f>
        <v>-1</v>
      </c>
      <c r="BY184" s="44">
        <f>IF($W$102="x",-1,IF(AND($W$102=0,INDEX(KonZeile8,7)+INDEX(KonSpalte4,7)+INDEX(KonFeld9,7)=0),7,0))</f>
        <v>-1</v>
      </c>
      <c r="BZ184" s="45">
        <f>IF($W$102="x",-1,IF(AND($W$102=0,INDEX(KonZeile8,8)+INDEX(KonSpalte4,8)+INDEX(KonFeld9,8)=0),8,0))</f>
        <v>-1</v>
      </c>
      <c r="CA184" s="47">
        <f>IF($W$102="x",-1,IF(AND($W$102=0,INDEX(KonZeile8,9)+INDEX(KonSpalte4,9)+INDEX(KonFeld9,9)=0),9,0))</f>
        <v>-1</v>
      </c>
      <c r="CB184" s="46">
        <f>IF($X$102="x",-1,IF(AND($X$102=0,INDEX(KonZeile8,7)+INDEX(KonSpalte5,7)+INDEX(KonFeld9,7)=0),7,0))</f>
        <v>-1</v>
      </c>
      <c r="CC184" s="45">
        <f>IF($X$102="x",-1,IF(AND($X$102=0,INDEX(KonZeile8,8)+INDEX(KonSpalte5,8)+INDEX(KonFeld9,8)=0),8,0))</f>
        <v>-1</v>
      </c>
      <c r="CD184" s="47">
        <f>IF($X$102="x",-1,IF(AND($X$102=0,INDEX(KonZeile8,9)+INDEX(KonSpalte5,9)+INDEX(KonFeld9,9)=0),9,0))</f>
        <v>-1</v>
      </c>
      <c r="CE184" s="46">
        <f>IF($Y$102="x",-1,IF(AND($Y$102=0,INDEX(KonZeile8,7)+INDEX(KonSpalte6,7)+INDEX(KonFeld9,7)=0),7,0))</f>
        <v>0</v>
      </c>
      <c r="CF184" s="45">
        <f>IF($Y$102="x",-1,IF(AND($Y$102=0,INDEX(KonZeile8,8)+INDEX(KonSpalte6,8)+INDEX(KonFeld9,8)=0),8,0))</f>
        <v>0</v>
      </c>
      <c r="CG184" s="48">
        <f>IF($Y$102="x",-1,IF(AND($Y$102=0,INDEX(KonZeile8,9)+INDEX(KonSpalte6,9)+INDEX(KonFeld9,9)=0),9,0))</f>
        <v>0</v>
      </c>
      <c r="CH184" s="44">
        <f>IF($Z$102="x",-1,IF(AND($Z$102=0,INDEX(KonZeile8,7)+INDEX(KonSpalte7,7)+INDEX(KonFeld9,7)=0),7,0))</f>
        <v>0</v>
      </c>
      <c r="CI184" s="45">
        <f>IF($Z$102="x",-1,IF(AND($Z$102=0,INDEX(KonZeile8,8)+INDEX(KonSpalte7,8)+INDEX(KonFeld9,8)=0),8,0))</f>
        <v>0</v>
      </c>
      <c r="CJ184" s="47">
        <f>IF($Z$102="x",-1,IF(AND($Z$102=0,INDEX(KonZeile8,9)+INDEX(KonSpalte7,9)+INDEX(KonFeld9,9)=0),9,0))</f>
        <v>0</v>
      </c>
      <c r="CK184" s="46">
        <f>IF($AA$102="x",-1,IF(AND($AA$102=0,INDEX(KonZeile8,7)+INDEX(KonSpalte8,7)+INDEX(KonFeld9,7)=0),7,0))</f>
        <v>0</v>
      </c>
      <c r="CL184" s="45">
        <f>IF($AA$102="x",-1,IF(AND($AA$102=0,INDEX(KonZeile8,8)+INDEX(KonSpalte8,8)+INDEX(KonFeld9,8)=0),8,0))</f>
        <v>0</v>
      </c>
      <c r="CM184" s="47">
        <f>IF($AA$102="x",-1,IF(AND($AA$102=0,INDEX(KonZeile8,9)+INDEX(KonSpalte8,9)+INDEX(KonFeld9,9)=0),9,0))</f>
        <v>0</v>
      </c>
      <c r="CN184" s="46">
        <f>IF($AB$102="x",-1,IF(AND($AB$102=0,INDEX(KonZeile8,7)+INDEX(KonSpalte9,7)+INDEX(KonFeld9,7)=0),7,0))</f>
        <v>0</v>
      </c>
      <c r="CO184" s="45">
        <f>IF($AB$102="x",-1,IF(AND($AB$102=0,INDEX(KonZeile8,8)+INDEX(KonSpalte9,8)+INDEX(KonFeld9,8)=0),8,0))</f>
        <v>0</v>
      </c>
      <c r="CP184" s="100">
        <f>IF($AB$102="x",-1,IF(AND($AB$102=0,INDEX(KonZeile8,9)+INDEX(KonSpalte9,9)+INDEX(KonFeld9,9)=0),9,0))</f>
        <v>0</v>
      </c>
      <c r="CR184" s="46">
        <f>COUNTIF(N184:CP184,7)</f>
        <v>0</v>
      </c>
      <c r="CS184" s="45">
        <f>COUNTIF(N184:CP184,8)</f>
        <v>0</v>
      </c>
      <c r="CT184" s="47">
        <f>COUNTIF(N184:CP184,9)</f>
        <v>0</v>
      </c>
      <c r="CU184" s="39"/>
      <c r="CV184" s="39"/>
      <c r="CX184" s="78">
        <f t="shared" si="359"/>
        <v>0</v>
      </c>
      <c r="CY184" s="79">
        <f t="shared" si="359"/>
        <v>0</v>
      </c>
      <c r="CZ184" s="80">
        <f t="shared" si="359"/>
        <v>0</v>
      </c>
      <c r="DJ184" s="106">
        <f t="shared" si="271"/>
        <v>0</v>
      </c>
      <c r="DK184" s="55">
        <f t="shared" si="272"/>
        <v>0</v>
      </c>
      <c r="DL184" s="56">
        <f t="shared" si="273"/>
        <v>0</v>
      </c>
      <c r="DM184" s="57">
        <f t="shared" si="274"/>
        <v>0</v>
      </c>
      <c r="DN184" s="55">
        <f t="shared" si="275"/>
        <v>0</v>
      </c>
      <c r="DO184" s="56">
        <f t="shared" si="276"/>
        <v>0</v>
      </c>
      <c r="DP184" s="57">
        <f t="shared" si="277"/>
        <v>0</v>
      </c>
      <c r="DQ184" s="55">
        <f t="shared" si="278"/>
        <v>0</v>
      </c>
      <c r="DR184" s="58">
        <f t="shared" si="279"/>
        <v>0</v>
      </c>
      <c r="DS184" s="54">
        <f t="shared" si="280"/>
        <v>0</v>
      </c>
      <c r="DT184" s="55">
        <f t="shared" si="281"/>
        <v>0</v>
      </c>
      <c r="DU184" s="56">
        <f t="shared" si="282"/>
        <v>0</v>
      </c>
      <c r="DV184" s="57">
        <f t="shared" si="283"/>
        <v>-1</v>
      </c>
      <c r="DW184" s="55">
        <f t="shared" si="284"/>
        <v>-1</v>
      </c>
      <c r="DX184" s="56">
        <f t="shared" si="285"/>
        <v>-1</v>
      </c>
      <c r="DY184" s="57">
        <f t="shared" si="286"/>
        <v>-1</v>
      </c>
      <c r="DZ184" s="55">
        <f t="shared" si="287"/>
        <v>-1</v>
      </c>
      <c r="EA184" s="58">
        <f t="shared" si="288"/>
        <v>-1</v>
      </c>
      <c r="EB184" s="54">
        <f t="shared" si="289"/>
        <v>-1</v>
      </c>
      <c r="EC184" s="55">
        <f t="shared" si="290"/>
        <v>-1</v>
      </c>
      <c r="ED184" s="56">
        <f t="shared" si="291"/>
        <v>-1</v>
      </c>
      <c r="EE184" s="57">
        <f t="shared" si="292"/>
        <v>-1</v>
      </c>
      <c r="EF184" s="55">
        <f t="shared" si="293"/>
        <v>-1</v>
      </c>
      <c r="EG184" s="56">
        <f t="shared" si="294"/>
        <v>-1</v>
      </c>
      <c r="EH184" s="57">
        <f t="shared" si="295"/>
        <v>-1</v>
      </c>
      <c r="EI184" s="55">
        <f t="shared" si="296"/>
        <v>-1</v>
      </c>
      <c r="EJ184" s="107">
        <f t="shared" si="297"/>
        <v>-1</v>
      </c>
      <c r="EK184" s="106">
        <f t="shared" si="298"/>
        <v>-1</v>
      </c>
      <c r="EL184" s="55">
        <f t="shared" si="299"/>
        <v>-1</v>
      </c>
      <c r="EM184" s="56">
        <f t="shared" si="300"/>
        <v>-1</v>
      </c>
      <c r="EN184" s="57">
        <f t="shared" si="301"/>
        <v>-1</v>
      </c>
      <c r="EO184" s="55">
        <f t="shared" si="302"/>
        <v>-1</v>
      </c>
      <c r="EP184" s="56">
        <f t="shared" si="303"/>
        <v>-1</v>
      </c>
      <c r="EQ184" s="57">
        <f t="shared" si="304"/>
        <v>-1</v>
      </c>
      <c r="ER184" s="55">
        <f t="shared" si="305"/>
        <v>-1</v>
      </c>
      <c r="ES184" s="58">
        <f t="shared" si="306"/>
        <v>-1</v>
      </c>
      <c r="ET184" s="54">
        <f t="shared" si="307"/>
        <v>-1</v>
      </c>
      <c r="EU184" s="55">
        <f t="shared" si="308"/>
        <v>-1</v>
      </c>
      <c r="EV184" s="56">
        <f t="shared" si="309"/>
        <v>-1</v>
      </c>
      <c r="EW184" s="57">
        <f t="shared" si="310"/>
        <v>-1</v>
      </c>
      <c r="EX184" s="55">
        <f t="shared" si="311"/>
        <v>-1</v>
      </c>
      <c r="EY184" s="56">
        <f t="shared" si="312"/>
        <v>-1</v>
      </c>
      <c r="EZ184" s="57">
        <f t="shared" si="313"/>
        <v>-1</v>
      </c>
      <c r="FA184" s="55">
        <f t="shared" si="314"/>
        <v>-1</v>
      </c>
      <c r="FB184" s="58">
        <f t="shared" si="315"/>
        <v>-1</v>
      </c>
      <c r="FC184" s="54">
        <f t="shared" si="316"/>
        <v>-1</v>
      </c>
      <c r="FD184" s="55">
        <f t="shared" si="317"/>
        <v>-1</v>
      </c>
      <c r="FE184" s="56">
        <f t="shared" si="318"/>
        <v>-1</v>
      </c>
      <c r="FF184" s="57">
        <f t="shared" si="319"/>
        <v>-1</v>
      </c>
      <c r="FG184" s="55">
        <f t="shared" si="320"/>
        <v>-1</v>
      </c>
      <c r="FH184" s="56">
        <f t="shared" si="321"/>
        <v>-1</v>
      </c>
      <c r="FI184" s="57">
        <f t="shared" si="322"/>
        <v>-1</v>
      </c>
      <c r="FJ184" s="55">
        <f t="shared" si="323"/>
        <v>-1</v>
      </c>
      <c r="FK184" s="107">
        <f t="shared" si="324"/>
        <v>-1</v>
      </c>
      <c r="FL184" s="106">
        <f t="shared" si="325"/>
        <v>-1</v>
      </c>
      <c r="FM184" s="55">
        <f t="shared" si="326"/>
        <v>-1</v>
      </c>
      <c r="FN184" s="56">
        <f t="shared" si="327"/>
        <v>-1</v>
      </c>
      <c r="FO184" s="57">
        <f t="shared" si="328"/>
        <v>-1</v>
      </c>
      <c r="FP184" s="55">
        <f t="shared" si="329"/>
        <v>-1</v>
      </c>
      <c r="FQ184" s="56">
        <f t="shared" si="330"/>
        <v>-1</v>
      </c>
      <c r="FR184" s="57">
        <f t="shared" si="331"/>
        <v>-1</v>
      </c>
      <c r="FS184" s="55">
        <f t="shared" si="332"/>
        <v>-1</v>
      </c>
      <c r="FT184" s="58">
        <f t="shared" si="333"/>
        <v>-1</v>
      </c>
      <c r="FU184" s="54">
        <f t="shared" si="334"/>
        <v>-1</v>
      </c>
      <c r="FV184" s="55">
        <f t="shared" si="335"/>
        <v>-1</v>
      </c>
      <c r="FW184" s="56">
        <f t="shared" si="336"/>
        <v>-1</v>
      </c>
      <c r="FX184" s="57">
        <f t="shared" si="337"/>
        <v>-1</v>
      </c>
      <c r="FY184" s="55">
        <f t="shared" si="338"/>
        <v>-1</v>
      </c>
      <c r="FZ184" s="56">
        <f t="shared" si="339"/>
        <v>-1</v>
      </c>
      <c r="GA184" s="57">
        <f t="shared" si="340"/>
        <v>-1</v>
      </c>
      <c r="GB184" s="55">
        <f t="shared" si="341"/>
        <v>-1</v>
      </c>
      <c r="GC184" s="58">
        <f t="shared" si="342"/>
        <v>-1</v>
      </c>
      <c r="GD184" s="54">
        <f t="shared" si="343"/>
        <v>-1</v>
      </c>
      <c r="GE184" s="55">
        <f t="shared" si="344"/>
        <v>-1</v>
      </c>
      <c r="GF184" s="56">
        <f t="shared" si="345"/>
        <v>-1</v>
      </c>
      <c r="GG184" s="57">
        <f t="shared" si="346"/>
        <v>7</v>
      </c>
      <c r="GH184" s="55">
        <f t="shared" si="347"/>
        <v>0</v>
      </c>
      <c r="GI184" s="56">
        <f t="shared" si="348"/>
        <v>0</v>
      </c>
      <c r="GJ184" s="57">
        <f t="shared" si="349"/>
        <v>-1</v>
      </c>
      <c r="GK184" s="55">
        <f t="shared" si="350"/>
        <v>-1</v>
      </c>
      <c r="GL184" s="107">
        <f t="shared" si="351"/>
        <v>-1</v>
      </c>
      <c r="GN184" s="46">
        <f>COUNTIF(DJ184:GL184,7)</f>
        <v>1</v>
      </c>
      <c r="GO184" s="45">
        <f>COUNTIF(DJ184:GL184,8)</f>
        <v>0</v>
      </c>
      <c r="GP184" s="47">
        <f>COUNTIF(DJ184:GL184,9)</f>
        <v>0</v>
      </c>
      <c r="GQ184" s="39"/>
      <c r="GR184" s="39"/>
      <c r="GT184" s="78">
        <f t="shared" ref="GT184:GV184" si="370">GT157</f>
        <v>1</v>
      </c>
      <c r="GU184" s="79">
        <f t="shared" si="370"/>
        <v>2</v>
      </c>
      <c r="GV184" s="80">
        <f t="shared" si="370"/>
        <v>0</v>
      </c>
    </row>
    <row r="185" spans="9:204" ht="15" customHeight="1">
      <c r="N185" s="104">
        <f>IF($B$103="x",-1,IF(AND($B$103=0,INDEX(KonZeile9,1)+INDEX(KonSpalte1,1)+INDEX(KonFeld7,1)=0),1,0))</f>
        <v>0</v>
      </c>
      <c r="O185" s="50">
        <f>IF($B$103="x",-1,IF(AND($B$103=0,INDEX(KonZeile9,2)+INDEX(KonSpalte1,2)+INDEX(KonFeld7,2)=0),2,0))</f>
        <v>0</v>
      </c>
      <c r="P185" s="51">
        <f>IF($B$103="x",-1,IF(AND($B$103=0,INDEX(KonZeile9,3)+INDEX(KonSpalte1,3)+INDEX(KonFeld7,3)=0),3,0))</f>
        <v>0</v>
      </c>
      <c r="Q185" s="52">
        <f>IF($C$103="x",-1,IF(AND($C$103=0,INDEX(KonZeile9,1)+INDEX(KonSpalte2,1)+INDEX(KonFeld7,1)=0),1,0))</f>
        <v>0</v>
      </c>
      <c r="R185" s="50">
        <f>IF($C$103="x",-1,IF(AND($C$103=0,INDEX(KonZeile9,2)+INDEX(KonSpalte2,2)+INDEX(KonFeld7,2)=0),2,0))</f>
        <v>0</v>
      </c>
      <c r="S185" s="51">
        <f>IF($C$103="x",-1,IF(AND($C$103=0,INDEX(KonZeile9,3)+INDEX(KonSpalte2,3)+INDEX(KonFeld7,3)=0),3,0))</f>
        <v>0</v>
      </c>
      <c r="T185" s="52">
        <f>IF($D$103="x",-1,IF(AND($D$103=0,INDEX(KonZeile9,1)+INDEX(KonSpalte3,1)+INDEX(KonFeld7,1)=0),1,0))</f>
        <v>0</v>
      </c>
      <c r="U185" s="50">
        <f>IF($D$103="x",-1,IF(AND($D$103=0,INDEX(KonZeile9,2)+INDEX(KonSpalte3,2)+INDEX(KonFeld7,2)=0),2,0))</f>
        <v>0</v>
      </c>
      <c r="V185" s="53">
        <f>IF($D$103="x",-1,IF(AND($D$103=0,INDEX(KonZeile9,3)+INDEX(KonSpalte3,3)+INDEX(KonFeld7,3)=0),3,0))</f>
        <v>0</v>
      </c>
      <c r="W185" s="49">
        <f>IF($E$103="x",-1,IF(AND($E$103=0,INDEX(KonZeile9,1)+INDEX(KonSpalte4,1)+INDEX(KonFeld7,1)=0),1,0))</f>
        <v>0</v>
      </c>
      <c r="X185" s="50">
        <f>IF($E$103="x",-1,IF(AND($E$103=0,INDEX(KonZeile9,2)+INDEX(KonSpalte4,2)+INDEX(KonFeld7,2)=0),2,0))</f>
        <v>0</v>
      </c>
      <c r="Y185" s="51">
        <f>IF($E$103="x",-1,IF(AND($E$103=0,INDEX(KonZeile9,3)+INDEX(KonSpalte4,3)+INDEX(KonFeld7,3)=0),3,0))</f>
        <v>0</v>
      </c>
      <c r="Z185" s="52">
        <f>IF($F$103="x",-1,IF(AND($F$103=0,INDEX(KonZeile9,1)+INDEX(KonSpalte5,1)+INDEX(KonFeld7,1)=0),1,0))</f>
        <v>-1</v>
      </c>
      <c r="AA185" s="50">
        <f>IF($F$103="x",-1,IF(AND($F$103=0,INDEX(KonZeile9,2)+INDEX(KonSpalte5,2)+INDEX(KonFeld7,2)=0),2,0))</f>
        <v>-1</v>
      </c>
      <c r="AB185" s="51">
        <f>IF($F$103="x",-1,IF(AND($F$103=0,INDEX(KonZeile9,3)+INDEX(KonSpalte5,3)+INDEX(KonFeld7,3)=0),3,0))</f>
        <v>-1</v>
      </c>
      <c r="AC185" s="52">
        <f>IF($G$103="x",-1,IF(AND($G$103=0,INDEX(KonZeile9,1)+INDEX(KonSpalte6,1)+INDEX(KonFeld7,1)=0),1,0))</f>
        <v>-1</v>
      </c>
      <c r="AD185" s="50">
        <f>IF($G$103="x",-1,IF(AND($G$103=0,INDEX(KonZeile9,2)+INDEX(KonSpalte6,2)+INDEX(KonFeld7,2)=0),2,0))</f>
        <v>-1</v>
      </c>
      <c r="AE185" s="53">
        <f>IF($G$103="x",-1,IF(AND($G$103=0,INDEX(KonZeile9,3)+INDEX(KonSpalte6,3)+INDEX(KonFeld7,3)=0),3,0))</f>
        <v>-1</v>
      </c>
      <c r="AF185" s="49">
        <f>IF($H$103="x",-1,IF(AND($H$103=0,INDEX(KonZeile9,1)+INDEX(KonSpalte7,1)+INDEX(KonFeld7,1)=0),1,0))</f>
        <v>-1</v>
      </c>
      <c r="AG185" s="50">
        <f>IF($H$103="x",-1,IF(AND($H$103=0,INDEX(KonZeile9,2)+INDEX(KonSpalte7,2)+INDEX(KonFeld7,2)=0),2,0))</f>
        <v>-1</v>
      </c>
      <c r="AH185" s="51">
        <f>IF($H$103="x",-1,IF(AND($H$103=0,INDEX(KonZeile9,3)+INDEX(KonSpalte7,3)+INDEX(KonFeld7,3)=0),3,0))</f>
        <v>-1</v>
      </c>
      <c r="AI185" s="52">
        <f>IF($I$103="x",-1,IF(AND($I$103=0,INDEX(KonZeile9,1)+INDEX(KonSpalte8,1)+INDEX(KonFeld7,1)=0),1,0))</f>
        <v>-1</v>
      </c>
      <c r="AJ185" s="50">
        <f>IF($I$103="x",-1,IF(AND($I$103=0,INDEX(KonZeile9,2)+INDEX(KonSpalte8,2)+INDEX(KonFeld7,2)=0),2,0))</f>
        <v>-1</v>
      </c>
      <c r="AK185" s="51">
        <f>IF($I$103="x",-1,IF(AND($I$103=0,INDEX(KonZeile9,3)+INDEX(KonSpalte8,3)+INDEX(KonFeld7,3)=0),3,0))</f>
        <v>-1</v>
      </c>
      <c r="AL185" s="52">
        <f>IF($J$103="x",-1,IF(AND($J$103=0,INDEX(KonZeile9,1)+INDEX(KonSpalte9,1)+INDEX(KonFeld7,1)=0),1,0))</f>
        <v>-1</v>
      </c>
      <c r="AM185" s="50">
        <f>IF($J$103="x",-1,IF(AND($J$103=0,INDEX(KonZeile9,2)+INDEX(KonSpalte9,2)+INDEX(KonFeld7,2)=0),2,0))</f>
        <v>-1</v>
      </c>
      <c r="AN185" s="105">
        <f>IF($J$103="x",-1,IF(AND($J$103=0,INDEX(KonZeile9,3)+INDEX(KonSpalte9,3)+INDEX(KonFeld7,3)=0),3,0))</f>
        <v>-1</v>
      </c>
      <c r="AO185" s="104">
        <f>IF($K$103="x",-1,IF(AND($K$103=0,INDEX(KonZeile9,1)+INDEX(KonSpalte1,1)+INDEX(KonFeld8,1)=0),1,0))</f>
        <v>-1</v>
      </c>
      <c r="AP185" s="50">
        <f>IF($K$103="x",-1,IF(AND($K$103=0,INDEX(KonZeile9,2)+INDEX(KonSpalte1,2)+INDEX(KonFeld8,2)=0),2,0))</f>
        <v>-1</v>
      </c>
      <c r="AQ185" s="51">
        <f>IF($K$103="x",-1,IF(AND($K$103=0,INDEX(KonZeile9,3)+INDEX(KonSpalte1,3)+INDEX(KonFeld8,3)=0),3,0))</f>
        <v>-1</v>
      </c>
      <c r="AR185" s="52">
        <f>IF($L$103="x",-1,IF(AND($L$103=0,INDEX(KonZeile9,1)+INDEX(KonSpalte2,1)+INDEX(KonFeld8,1)=0),1,0))</f>
        <v>-1</v>
      </c>
      <c r="AS185" s="50">
        <f>IF($L$103="x",-1,IF(AND($L$103=0,INDEX(KonZeile9,2)+INDEX(KonSpalte2,2)+INDEX(KonFeld8,2)=0),2,0))</f>
        <v>-1</v>
      </c>
      <c r="AT185" s="51">
        <f>IF($L$103="x",-1,IF(AND($L$103=0,INDEX(KonZeile9,3)+INDEX(KonSpalte2,3)+INDEX(KonFeld8,3)=0),3,0))</f>
        <v>-1</v>
      </c>
      <c r="AU185" s="52">
        <f>IF($M$103="x",-1,IF(AND($M$103=0,INDEX(KonZeile9,1)+INDEX(KonSpalte3,1)+INDEX(KonFeld8,1)=0),1,0))</f>
        <v>-1</v>
      </c>
      <c r="AV185" s="50">
        <f>IF($M$103="x",-1,IF(AND($M$103=0,INDEX(KonZeile9,2)+INDEX(KonSpalte3,2)+INDEX(KonFeld8,2)=0),2,0))</f>
        <v>-1</v>
      </c>
      <c r="AW185" s="53">
        <f>IF($M$103="x",-1,IF(AND($M$103=0,INDEX(KonZeile9,3)+INDEX(KonSpalte3,3)+INDEX(KonFeld8,3)=0),3,0))</f>
        <v>-1</v>
      </c>
      <c r="AX185" s="49">
        <f>IF($N$103="x",-1,IF(AND($N$103=0,INDEX(KonZeile9,1)+INDEX(KonSpalte4,1)+INDEX(KonFeld8,1)=0),1,0))</f>
        <v>-1</v>
      </c>
      <c r="AY185" s="50">
        <f>IF($N$103="x",-1,IF(AND($N$103=0,INDEX(KonZeile9,2)+INDEX(KonSpalte4,2)+INDEX(KonFeld8,2)=0),2,0))</f>
        <v>-1</v>
      </c>
      <c r="AZ185" s="51">
        <f>IF($N$103="x",-1,IF(AND($N$103=0,INDEX(KonZeile9,3)+INDEX(KonSpalte4,3)+INDEX(KonFeld8,3)=0),3,0))</f>
        <v>-1</v>
      </c>
      <c r="BA185" s="52">
        <f>IF($O$103="x",-1,IF(AND($O$103=0,INDEX(KonZeile9,1)+INDEX(KonSpalte5,1)+INDEX(KonFeld8,1)=0),1,0))</f>
        <v>-1</v>
      </c>
      <c r="BB185" s="50">
        <f>IF($O$103="x",-1,IF(AND($O$103=0,INDEX(KonZeile9,2)+INDEX(KonSpalte5,2)+INDEX(KonFeld8,2)=0),2,0))</f>
        <v>-1</v>
      </c>
      <c r="BC185" s="51">
        <f>IF($O$103="x",-1,IF(AND($O$103=0,INDEX(KonZeile9,3)+INDEX(KonSpalte5,3)+INDEX(KonFeld8,3)=0),3,0))</f>
        <v>-1</v>
      </c>
      <c r="BD185" s="52">
        <f>IF($P$103="x",-1,IF(AND($P$103=0,INDEX(KonZeile9,1)+INDEX(KonSpalte6,1)+INDEX(KonFeld8,1)=0),1,0))</f>
        <v>-1</v>
      </c>
      <c r="BE185" s="50">
        <f>IF($P$103="x",-1,IF(AND($P$103=0,INDEX(KonZeile9,2)+INDEX(KonSpalte6,2)+INDEX(KonFeld8,2)=0),2,0))</f>
        <v>-1</v>
      </c>
      <c r="BF185" s="53">
        <f>IF($P$103="x",-1,IF(AND($P$103=0,INDEX(KonZeile9,3)+INDEX(KonSpalte6,3)+INDEX(KonFeld8,3)=0),3,0))</f>
        <v>-1</v>
      </c>
      <c r="BG185" s="49">
        <f>IF($Q$103="x",-1,IF(AND($Q$103=0,INDEX(KonZeile9,1)+INDEX(KonSpalte7,1)+INDEX(KonFeld8,1)=0),1,0))</f>
        <v>-1</v>
      </c>
      <c r="BH185" s="50">
        <f>IF($Q$103="x",-1,IF(AND($Q$103=0,INDEX(KonZeile9,2)+INDEX(KonSpalte7,2)+INDEX(KonFeld8,2)=0),2,0))</f>
        <v>-1</v>
      </c>
      <c r="BI185" s="51">
        <f>IF($Q$103="x",-1,IF(AND($Q$103=0,INDEX(KonZeile9,3)+INDEX(KonSpalte7,3)+INDEX(KonFeld8,3)=0),3,0))</f>
        <v>-1</v>
      </c>
      <c r="BJ185" s="52">
        <f>IF($R$103="x",-1,IF(AND($R$103=0,INDEX(KonZeile9,1)+INDEX(KonSpalte8,1)+INDEX(KonFeld8,1)=0),1,0))</f>
        <v>-1</v>
      </c>
      <c r="BK185" s="50">
        <f>IF($R$103="x",-1,IF(AND($R$103=0,INDEX(KonZeile9,2)+INDEX(KonSpalte8,2)+INDEX(KonFeld8,2)=0),2,0))</f>
        <v>-1</v>
      </c>
      <c r="BL185" s="51">
        <f>IF($R$103="x",-1,IF(AND($R$103=0,INDEX(KonZeile9,3)+INDEX(KonSpalte8,3)+INDEX(KonFeld8,3)=0),3,0))</f>
        <v>-1</v>
      </c>
      <c r="BM185" s="52">
        <f>IF($S$103="x",-1,IF(AND($S$103=0,INDEX(KonZeile9,1)+INDEX(KonSpalte9,1)+INDEX(KonFeld8,1)=0),1,0))</f>
        <v>-1</v>
      </c>
      <c r="BN185" s="50">
        <f>IF($S$103="x",-1,IF(AND($S$103=0,INDEX(KonZeile9,2)+INDEX(KonSpalte9,2)+INDEX(KonFeld8,2)=0),2,0))</f>
        <v>-1</v>
      </c>
      <c r="BO185" s="105">
        <f>IF($S$103="x",-1,IF(AND($S$103=0,INDEX(KonZeile9,3)+INDEX(KonSpalte9,3)+INDEX(KonFeld8,3)=0),3,0))</f>
        <v>-1</v>
      </c>
      <c r="BP185" s="104">
        <f>IF($T$103="x",-1,IF(AND($T$103=0,INDEX(KonZeile9,1)+INDEX(KonSpalte1,1)+INDEX(KonFeld9,1)=0),1,0))</f>
        <v>-1</v>
      </c>
      <c r="BQ185" s="50">
        <f>IF($T$103="x",-1,IF(AND($T$103=0,INDEX(KonZeile9,2)+INDEX(KonSpalte1,2)+INDEX(KonFeld9,2)=0),2,0))</f>
        <v>-1</v>
      </c>
      <c r="BR185" s="51">
        <f>IF($T$103="x",-1,IF(AND($T$103=0,INDEX(KonZeile9,3)+INDEX(KonSpalte1,3)+INDEX(KonFeld9,3)=0),3,0))</f>
        <v>-1</v>
      </c>
      <c r="BS185" s="52">
        <f>IF($U$103="x",-1,IF(AND($U$103=0,INDEX(KonZeile9,1)+INDEX(KonSpalte2,1)+INDEX(KonFeld9,1)=0),1,0))</f>
        <v>-1</v>
      </c>
      <c r="BT185" s="50">
        <f>IF($U$103="x",-1,IF(AND($U$103=0,INDEX(KonZeile9,2)+INDEX(KonSpalte2,2)+INDEX(KonFeld9,2)=0),2,0))</f>
        <v>-1</v>
      </c>
      <c r="BU185" s="51">
        <f>IF($U$103="x",-1,IF(AND($U$103=0,INDEX(KonZeile9,3)+INDEX(KonSpalte2,3)+INDEX(KonFeld9,3)=0),3,0))</f>
        <v>-1</v>
      </c>
      <c r="BV185" s="52">
        <f>IF($V$103="x",-1,IF(AND($V$103=0,INDEX(KonZeile9,1)+INDEX(KonSpalte3,1)+INDEX(KonFeld9,1)=0),1,0))</f>
        <v>-1</v>
      </c>
      <c r="BW185" s="50">
        <f>IF($V$103="x",-1,IF(AND($V$103=0,INDEX(KonZeile9,2)+INDEX(KonSpalte3,2)+INDEX(KonFeld9,2)=0),2,0))</f>
        <v>-1</v>
      </c>
      <c r="BX185" s="53">
        <f>IF($V$103="x",-1,IF(AND($V$103=0,INDEX(KonZeile9,3)+INDEX(KonSpalte3,3)+INDEX(KonFeld9,3)=0),3,0))</f>
        <v>-1</v>
      </c>
      <c r="BY185" s="49">
        <f>IF($W$103="x",-1,IF(AND($W$103=0,INDEX(KonZeile9,1)+INDEX(KonSpalte4,1)+INDEX(KonFeld9,1)=0),1,0))</f>
        <v>-1</v>
      </c>
      <c r="BZ185" s="50">
        <f>IF($W$103="x",-1,IF(AND($W$103=0,INDEX(KonZeile9,2)+INDEX(KonSpalte4,2)+INDEX(KonFeld9,2)=0),2,0))</f>
        <v>-1</v>
      </c>
      <c r="CA185" s="51">
        <f>IF($W$103="x",-1,IF(AND($W$103=0,INDEX(KonZeile9,3)+INDEX(KonSpalte4,3)+INDEX(KonFeld9,3)=0),3,0))</f>
        <v>-1</v>
      </c>
      <c r="CB185" s="52">
        <f>IF($X$103="x",-1,IF(AND($X$103=0,INDEX(KonZeile9,1)+INDEX(KonSpalte5,1)+INDEX(KonFeld9,1)=0),1,0))</f>
        <v>0</v>
      </c>
      <c r="CC185" s="50">
        <f>IF($X$103="x",-1,IF(AND($X$103=0,INDEX(KonZeile9,2)+INDEX(KonSpalte5,2)+INDEX(KonFeld9,2)=0),2,0))</f>
        <v>0</v>
      </c>
      <c r="CD185" s="51">
        <f>IF($X$103="x",-1,IF(AND($X$103=0,INDEX(KonZeile9,3)+INDEX(KonSpalte5,3)+INDEX(KonFeld9,3)=0),3,0))</f>
        <v>0</v>
      </c>
      <c r="CE185" s="52">
        <f>IF($Y$103="x",-1,IF(AND($Y$103=0,INDEX(KonZeile9,1)+INDEX(KonSpalte6,1)+INDEX(KonFeld9,1)=0),1,0))</f>
        <v>0</v>
      </c>
      <c r="CF185" s="50">
        <f>IF($Y$103="x",-1,IF(AND($Y$103=0,INDEX(KonZeile9,2)+INDEX(KonSpalte6,2)+INDEX(KonFeld9,2)=0),2,0))</f>
        <v>0</v>
      </c>
      <c r="CG185" s="53">
        <f>IF($Y$103="x",-1,IF(AND($Y$103=0,INDEX(KonZeile9,3)+INDEX(KonSpalte6,3)+INDEX(KonFeld9,3)=0),3,0))</f>
        <v>0</v>
      </c>
      <c r="CH185" s="49">
        <f>IF($Z$103="x",-1,IF(AND($Z$103=0,INDEX(KonZeile9,1)+INDEX(KonSpalte7,1)+INDEX(KonFeld9,1)=0),1,0))</f>
        <v>0</v>
      </c>
      <c r="CI185" s="50">
        <f>IF($Z$103="x",-1,IF(AND($Z$103=0,INDEX(KonZeile9,2)+INDEX(KonSpalte7,2)+INDEX(KonFeld9,2)=0),2,0))</f>
        <v>0</v>
      </c>
      <c r="CJ185" s="51">
        <f>IF($Z$103="x",-1,IF(AND($Z$103=0,INDEX(KonZeile9,3)+INDEX(KonSpalte7,3)+INDEX(KonFeld9,3)=0),3,0))</f>
        <v>0</v>
      </c>
      <c r="CK185" s="52">
        <f>IF($AA$103="x",-1,IF(AND($AA$103=0,INDEX(KonZeile9,1)+INDEX(KonSpalte8,1)+INDEX(KonFeld9,1)=0),1,0))</f>
        <v>0</v>
      </c>
      <c r="CL185" s="50">
        <f>IF($AA$103="x",-1,IF(AND($AA$103=0,INDEX(KonZeile9,2)+INDEX(KonSpalte8,2)+INDEX(KonFeld9,2)=0),2,0))</f>
        <v>0</v>
      </c>
      <c r="CM185" s="51">
        <f>IF($AA$103="x",-1,IF(AND($AA$103=0,INDEX(KonZeile9,3)+INDEX(KonSpalte8,3)+INDEX(KonFeld9,3)=0),3,0))</f>
        <v>0</v>
      </c>
      <c r="CN185" s="52">
        <f>IF($AB$103="x",-1,IF(AND($AB$103=0,INDEX(KonZeile9,1)+INDEX(KonSpalte9,1)+INDEX(KonFeld9,1)=0),1,0))</f>
        <v>0</v>
      </c>
      <c r="CO185" s="50">
        <f>IF($AB$103="x",-1,IF(AND($AB$103=0,INDEX(KonZeile9,2)+INDEX(KonSpalte9,2)+INDEX(KonFeld9,2)=0),2,0))</f>
        <v>0</v>
      </c>
      <c r="CP185" s="105">
        <f>IF($AB$103="x",-1,IF(AND($AB$103=0,INDEX(KonZeile9,3)+INDEX(KonSpalte9,3)+INDEX(KonFeld9,3)=0),3,0))</f>
        <v>0</v>
      </c>
      <c r="CR185" s="52">
        <f>COUNTIF(N185:CP185,1)</f>
        <v>0</v>
      </c>
      <c r="CS185" s="50">
        <f>COUNTIF(N185:CP185,2)</f>
        <v>0</v>
      </c>
      <c r="CT185" s="51">
        <f>COUNTIF(N185:CP185,3)</f>
        <v>0</v>
      </c>
      <c r="CU185" s="39"/>
      <c r="CV185" s="39"/>
      <c r="CX185" s="65">
        <f t="shared" si="359"/>
        <v>0</v>
      </c>
      <c r="CY185" s="66">
        <f t="shared" si="359"/>
        <v>0</v>
      </c>
      <c r="CZ185" s="67">
        <f t="shared" si="359"/>
        <v>0</v>
      </c>
      <c r="DJ185" s="108">
        <f t="shared" si="271"/>
        <v>1</v>
      </c>
      <c r="DK185" s="37">
        <f t="shared" si="272"/>
        <v>0</v>
      </c>
      <c r="DL185" s="35">
        <f t="shared" si="273"/>
        <v>0</v>
      </c>
      <c r="DM185" s="36">
        <f t="shared" si="274"/>
        <v>1</v>
      </c>
      <c r="DN185" s="37">
        <f t="shared" si="275"/>
        <v>0</v>
      </c>
      <c r="DO185" s="35">
        <f t="shared" si="276"/>
        <v>0</v>
      </c>
      <c r="DP185" s="36">
        <f t="shared" si="277"/>
        <v>0</v>
      </c>
      <c r="DQ185" s="37">
        <f t="shared" si="278"/>
        <v>0</v>
      </c>
      <c r="DR185" s="38">
        <f t="shared" si="279"/>
        <v>3</v>
      </c>
      <c r="DS185" s="416">
        <f t="shared" si="280"/>
        <v>-1</v>
      </c>
      <c r="DT185" s="37">
        <f t="shared" si="281"/>
        <v>-1</v>
      </c>
      <c r="DU185" s="35">
        <f t="shared" si="282"/>
        <v>-1</v>
      </c>
      <c r="DV185" s="36">
        <f t="shared" si="283"/>
        <v>-1</v>
      </c>
      <c r="DW185" s="37">
        <f t="shared" si="284"/>
        <v>-1</v>
      </c>
      <c r="DX185" s="35">
        <f t="shared" si="285"/>
        <v>-1</v>
      </c>
      <c r="DY185" s="36">
        <f t="shared" si="286"/>
        <v>-1</v>
      </c>
      <c r="DZ185" s="37">
        <f t="shared" si="287"/>
        <v>-1</v>
      </c>
      <c r="EA185" s="38">
        <f t="shared" si="288"/>
        <v>-1</v>
      </c>
      <c r="EB185" s="416">
        <f t="shared" si="289"/>
        <v>-1</v>
      </c>
      <c r="EC185" s="37">
        <f t="shared" si="290"/>
        <v>-1</v>
      </c>
      <c r="ED185" s="35">
        <f t="shared" si="291"/>
        <v>-1</v>
      </c>
      <c r="EE185" s="36">
        <f t="shared" si="292"/>
        <v>-1</v>
      </c>
      <c r="EF185" s="37">
        <f t="shared" si="293"/>
        <v>-1</v>
      </c>
      <c r="EG185" s="35">
        <f t="shared" si="294"/>
        <v>-1</v>
      </c>
      <c r="EH185" s="36">
        <f t="shared" si="295"/>
        <v>-1</v>
      </c>
      <c r="EI185" s="37">
        <f t="shared" si="296"/>
        <v>-1</v>
      </c>
      <c r="EJ185" s="109">
        <f t="shared" si="297"/>
        <v>-1</v>
      </c>
      <c r="EK185" s="108">
        <f t="shared" si="298"/>
        <v>-1</v>
      </c>
      <c r="EL185" s="37">
        <f t="shared" si="299"/>
        <v>-1</v>
      </c>
      <c r="EM185" s="35">
        <f t="shared" si="300"/>
        <v>-1</v>
      </c>
      <c r="EN185" s="36">
        <f t="shared" si="301"/>
        <v>-1</v>
      </c>
      <c r="EO185" s="37">
        <f t="shared" si="302"/>
        <v>-1</v>
      </c>
      <c r="EP185" s="35">
        <f t="shared" si="303"/>
        <v>-1</v>
      </c>
      <c r="EQ185" s="36">
        <f t="shared" si="304"/>
        <v>-1</v>
      </c>
      <c r="ER185" s="37">
        <f t="shared" si="305"/>
        <v>-1</v>
      </c>
      <c r="ES185" s="38">
        <f t="shared" si="306"/>
        <v>-1</v>
      </c>
      <c r="ET185" s="416">
        <f t="shared" si="307"/>
        <v>-1</v>
      </c>
      <c r="EU185" s="37">
        <f t="shared" si="308"/>
        <v>-1</v>
      </c>
      <c r="EV185" s="35">
        <f t="shared" si="309"/>
        <v>-1</v>
      </c>
      <c r="EW185" s="36">
        <f t="shared" si="310"/>
        <v>-1</v>
      </c>
      <c r="EX185" s="37">
        <f t="shared" si="311"/>
        <v>-1</v>
      </c>
      <c r="EY185" s="35">
        <f t="shared" si="312"/>
        <v>-1</v>
      </c>
      <c r="EZ185" s="36">
        <f t="shared" si="313"/>
        <v>-1</v>
      </c>
      <c r="FA185" s="37">
        <f t="shared" si="314"/>
        <v>-1</v>
      </c>
      <c r="FB185" s="38">
        <f t="shared" si="315"/>
        <v>-1</v>
      </c>
      <c r="FC185" s="416">
        <f t="shared" si="316"/>
        <v>-1</v>
      </c>
      <c r="FD185" s="37">
        <f t="shared" si="317"/>
        <v>-1</v>
      </c>
      <c r="FE185" s="35">
        <f t="shared" si="318"/>
        <v>-1</v>
      </c>
      <c r="FF185" s="36">
        <f t="shared" si="319"/>
        <v>-1</v>
      </c>
      <c r="FG185" s="37">
        <f t="shared" si="320"/>
        <v>-1</v>
      </c>
      <c r="FH185" s="35">
        <f t="shared" si="321"/>
        <v>-1</v>
      </c>
      <c r="FI185" s="36">
        <f t="shared" si="322"/>
        <v>-1</v>
      </c>
      <c r="FJ185" s="37">
        <f t="shared" si="323"/>
        <v>-1</v>
      </c>
      <c r="FK185" s="109">
        <f t="shared" si="324"/>
        <v>-1</v>
      </c>
      <c r="FL185" s="108">
        <f t="shared" si="325"/>
        <v>-1</v>
      </c>
      <c r="FM185" s="37">
        <f t="shared" si="326"/>
        <v>-1</v>
      </c>
      <c r="FN185" s="35">
        <f t="shared" si="327"/>
        <v>-1</v>
      </c>
      <c r="FO185" s="36">
        <f t="shared" si="328"/>
        <v>-1</v>
      </c>
      <c r="FP185" s="37">
        <f t="shared" si="329"/>
        <v>-1</v>
      </c>
      <c r="FQ185" s="35">
        <f t="shared" si="330"/>
        <v>-1</v>
      </c>
      <c r="FR185" s="36">
        <f t="shared" si="331"/>
        <v>-1</v>
      </c>
      <c r="FS185" s="37">
        <f t="shared" si="332"/>
        <v>-1</v>
      </c>
      <c r="FT185" s="38">
        <f t="shared" si="333"/>
        <v>-1</v>
      </c>
      <c r="FU185" s="416">
        <f t="shared" si="334"/>
        <v>-1</v>
      </c>
      <c r="FV185" s="37">
        <f t="shared" si="335"/>
        <v>-1</v>
      </c>
      <c r="FW185" s="35">
        <f t="shared" si="336"/>
        <v>-1</v>
      </c>
      <c r="FX185" s="36">
        <f t="shared" si="337"/>
        <v>-1</v>
      </c>
      <c r="FY185" s="37">
        <f t="shared" si="338"/>
        <v>-1</v>
      </c>
      <c r="FZ185" s="35">
        <f t="shared" si="339"/>
        <v>-1</v>
      </c>
      <c r="GA185" s="36">
        <f t="shared" si="340"/>
        <v>-1</v>
      </c>
      <c r="GB185" s="37">
        <f t="shared" si="341"/>
        <v>-1</v>
      </c>
      <c r="GC185" s="38">
        <f t="shared" si="342"/>
        <v>-1</v>
      </c>
      <c r="GD185" s="416">
        <f t="shared" si="343"/>
        <v>1</v>
      </c>
      <c r="GE185" s="37">
        <f t="shared" si="344"/>
        <v>0</v>
      </c>
      <c r="GF185" s="35">
        <f t="shared" si="345"/>
        <v>0</v>
      </c>
      <c r="GG185" s="36">
        <f t="shared" si="346"/>
        <v>-1</v>
      </c>
      <c r="GH185" s="37">
        <f t="shared" si="347"/>
        <v>-1</v>
      </c>
      <c r="GI185" s="35">
        <f t="shared" si="348"/>
        <v>-1</v>
      </c>
      <c r="GJ185" s="36">
        <f t="shared" si="349"/>
        <v>-1</v>
      </c>
      <c r="GK185" s="37">
        <f t="shared" si="350"/>
        <v>-1</v>
      </c>
      <c r="GL185" s="109">
        <f t="shared" si="351"/>
        <v>-1</v>
      </c>
      <c r="GN185" s="52">
        <f>COUNTIF(DJ185:GL185,1)</f>
        <v>3</v>
      </c>
      <c r="GO185" s="50">
        <f>COUNTIF(DJ185:GL185,2)</f>
        <v>0</v>
      </c>
      <c r="GP185" s="51">
        <f>COUNTIF(DJ185:GL185,3)</f>
        <v>1</v>
      </c>
      <c r="GQ185" s="39"/>
      <c r="GR185" s="39"/>
      <c r="GT185" s="65">
        <f t="shared" ref="GT185:GV185" si="371">GT158</f>
        <v>3</v>
      </c>
      <c r="GU185" s="66">
        <f t="shared" si="371"/>
        <v>0</v>
      </c>
      <c r="GV185" s="67">
        <f t="shared" si="371"/>
        <v>1</v>
      </c>
    </row>
    <row r="186" spans="9:204" ht="15" customHeight="1">
      <c r="N186" s="94">
        <f>IF($B$103="x",-1,IF(AND($B$103=0,INDEX(KonZeile9,4)+INDEX(KonSpalte1,4)+INDEX(KonFeld7,4)=0),4,0))</f>
        <v>0</v>
      </c>
      <c r="O186" s="39">
        <f>IF($B$103="x",-1,IF(AND($B$103=0,INDEX(KonZeile9,5)+INDEX(KonSpalte1,5)+INDEX(KonFeld7,5)=0),5,0))</f>
        <v>0</v>
      </c>
      <c r="P186" s="41">
        <f>IF($B$103="x",-1,IF(AND($B$103=0,INDEX(KonZeile9,6)+INDEX(KonSpalte1,6)+INDEX(KonFeld7,6)=0),6,0))</f>
        <v>0</v>
      </c>
      <c r="Q186" s="40">
        <f>IF($C$103="x",-1,IF(AND($C$103=0,INDEX(KonZeile9,4)+INDEX(KonSpalte2,4)+INDEX(KonFeld7,4)=0),4,0))</f>
        <v>0</v>
      </c>
      <c r="R186" s="39">
        <f>IF($C$103="x",-1,IF(AND($C$103=0,INDEX(KonZeile9,5)+INDEX(KonSpalte2,5)+INDEX(KonFeld7,5)=0),5,0))</f>
        <v>0</v>
      </c>
      <c r="S186" s="41">
        <f>IF($C$103="x",-1,IF(AND($C$103=0,INDEX(KonZeile9,6)+INDEX(KonSpalte2,6)+INDEX(KonFeld7,6)=0),6,0))</f>
        <v>0</v>
      </c>
      <c r="T186" s="40">
        <f>IF($D$103="x",-1,IF(AND($D$103=0,INDEX(KonZeile9,4)+INDEX(KonSpalte3,4)+INDEX(KonFeld7,4)=0),4,0))</f>
        <v>0</v>
      </c>
      <c r="U186" s="39">
        <f>IF($D$103="x",-1,IF(AND($D$103=0,INDEX(KonZeile9,5)+INDEX(KonSpalte3,5)+INDEX(KonFeld7,5)=0),5,0))</f>
        <v>0</v>
      </c>
      <c r="V186" s="42">
        <f>IF($D$103="x",-1,IF(AND($D$103=0,INDEX(KonZeile9,6)+INDEX(KonSpalte3,6)+INDEX(KonFeld7,6)=0),6,0))</f>
        <v>0</v>
      </c>
      <c r="W186" s="43">
        <f>IF($E$103="x",-1,IF(AND($E$103=0,INDEX(KonZeile9,4)+INDEX(KonSpalte4,4)+INDEX(KonFeld7,4)=0),4,0))</f>
        <v>0</v>
      </c>
      <c r="X186" s="39">
        <f>IF($E$103="x",-1,IF(AND($E$103=0,INDEX(KonZeile9,5)+INDEX(KonSpalte4,5)+INDEX(KonFeld7,5)=0),5,0))</f>
        <v>0</v>
      </c>
      <c r="Y186" s="41">
        <f>IF($E$103="x",-1,IF(AND($E$103=0,INDEX(KonZeile9,6)+INDEX(KonSpalte4,6)+INDEX(KonFeld7,6)=0),6,0))</f>
        <v>0</v>
      </c>
      <c r="Z186" s="40">
        <f>IF($F$103="x",-1,IF(AND($F$103=0,INDEX(KonZeile9,4)+INDEX(KonSpalte5,4)+INDEX(KonFeld7,4)=0),4,0))</f>
        <v>-1</v>
      </c>
      <c r="AA186" s="39">
        <f>IF($F$103="x",-1,IF(AND($F$103=0,INDEX(KonZeile9,5)+INDEX(KonSpalte5,5)+INDEX(KonFeld7,5)=0),5,0))</f>
        <v>-1</v>
      </c>
      <c r="AB186" s="41">
        <f>IF($F$103="x",-1,IF(AND($F$103=0,INDEX(KonZeile9,6)+INDEX(KonSpalte5,6)+INDEX(KonFeld7,6)=0),6,0))</f>
        <v>-1</v>
      </c>
      <c r="AC186" s="40">
        <f>IF($G$103="x",-1,IF(AND($G$103=0,INDEX(KonZeile9,4)+INDEX(KonSpalte6,4)+INDEX(KonFeld7,4)=0),4,0))</f>
        <v>-1</v>
      </c>
      <c r="AD186" s="39">
        <f>IF($G$103="x",-1,IF(AND($G$103=0,INDEX(KonZeile9,5)+INDEX(KonSpalte6,5)+INDEX(KonFeld7,5)=0),5,0))</f>
        <v>-1</v>
      </c>
      <c r="AE186" s="42">
        <f>IF($G$103="x",-1,IF(AND($G$103=0,INDEX(KonZeile9,6)+INDEX(KonSpalte6,6)+INDEX(KonFeld7,6)=0),6,0))</f>
        <v>-1</v>
      </c>
      <c r="AF186" s="43">
        <f>IF($H$103="x",-1,IF(AND($H$103=0,INDEX(KonZeile9,4)+INDEX(KonSpalte7,4)+INDEX(KonFeld7,4)=0),4,0))</f>
        <v>-1</v>
      </c>
      <c r="AG186" s="39">
        <f>IF($H$103="x",-1,IF(AND($H$103=0,INDEX(KonZeile9,5)+INDEX(KonSpalte7,5)+INDEX(KonFeld7,5)=0),5,0))</f>
        <v>-1</v>
      </c>
      <c r="AH186" s="41">
        <f>IF($H$103="x",-1,IF(AND($H$103=0,INDEX(KonZeile9,6)+INDEX(KonSpalte7,6)+INDEX(KonFeld7,6)=0),6,0))</f>
        <v>-1</v>
      </c>
      <c r="AI186" s="40">
        <f>IF($I$103="x",-1,IF(AND($I$103=0,INDEX(KonZeile9,4)+INDEX(KonSpalte8,4)+INDEX(KonFeld7,4)=0),4,0))</f>
        <v>-1</v>
      </c>
      <c r="AJ186" s="39">
        <f>IF($I$103="x",-1,IF(AND($I$103=0,INDEX(KonZeile9,5)+INDEX(KonSpalte8,5)+INDEX(KonFeld7,5)=0),5,0))</f>
        <v>-1</v>
      </c>
      <c r="AK186" s="41">
        <f>IF($I$103="x",-1,IF(AND($I$103=0,INDEX(KonZeile9,6)+INDEX(KonSpalte8,6)+INDEX(KonFeld7,6)=0),6,0))</f>
        <v>-1</v>
      </c>
      <c r="AL186" s="40">
        <f>IF($J$103="x",-1,IF(AND($J$103=0,INDEX(KonZeile9,4)+INDEX(KonSpalte9,4)+INDEX(KonFeld7,4)=0),4,0))</f>
        <v>-1</v>
      </c>
      <c r="AM186" s="39">
        <f>IF($J$103="x",-1,IF(AND($J$103=0,INDEX(KonZeile9,5)+INDEX(KonSpalte9,5)+INDEX(KonFeld7,5)=0),5,0))</f>
        <v>-1</v>
      </c>
      <c r="AN186" s="95">
        <f>IF($J$103="x",-1,IF(AND($J$103=0,INDEX(KonZeile9,6)+INDEX(KonSpalte9,6)+INDEX(KonFeld7,6)=0),6,0))</f>
        <v>-1</v>
      </c>
      <c r="AO186" s="94">
        <f>IF($K$103="x",-1,IF(AND($K$103=0,INDEX(KonZeile9,4)+INDEX(KonSpalte1,4)+INDEX(KonFeld8,4)=0),4,0))</f>
        <v>-1</v>
      </c>
      <c r="AP186" s="39">
        <f>IF($K$103="x",-1,IF(AND($K$103=0,INDEX(KonZeile9,5)+INDEX(KonSpalte1,5)+INDEX(KonFeld8,5)=0),5,0))</f>
        <v>-1</v>
      </c>
      <c r="AQ186" s="41">
        <f>IF($K$103="x",-1,IF(AND($K$103=0,INDEX(KonZeile9,6)+INDEX(KonSpalte1,6)+INDEX(KonFeld8,6)=0),6,0))</f>
        <v>-1</v>
      </c>
      <c r="AR186" s="40">
        <f>IF($L$103="x",-1,IF(AND($L$103=0,INDEX(KonZeile9,4)+INDEX(KonSpalte2,4)+INDEX(KonFeld8,4)=0),4,0))</f>
        <v>-1</v>
      </c>
      <c r="AS186" s="39">
        <f>IF($L$103="x",-1,IF(AND($L$103=0,INDEX(KonZeile9,5)+INDEX(KonSpalte2,5)+INDEX(KonFeld8,5)=0),5,0))</f>
        <v>-1</v>
      </c>
      <c r="AT186" s="41">
        <f>IF($L$103="x",-1,IF(AND($L$103=0,INDEX(KonZeile9,6)+INDEX(KonSpalte2,6)+INDEX(KonFeld8,6)=0),6,0))</f>
        <v>-1</v>
      </c>
      <c r="AU186" s="40">
        <f>IF($M$103="x",-1,IF(AND($M$103=0,INDEX(KonZeile9,4)+INDEX(KonSpalte3,4)+INDEX(KonFeld8,4)=0),4,0))</f>
        <v>-1</v>
      </c>
      <c r="AV186" s="39">
        <f>IF($M$103="x",-1,IF(AND($M$103=0,INDEX(KonZeile9,5)+INDEX(KonSpalte3,5)+INDEX(KonFeld8,5)=0),5,0))</f>
        <v>-1</v>
      </c>
      <c r="AW186" s="42">
        <f>IF($M$103="x",-1,IF(AND($M$103=0,INDEX(KonZeile9,6)+INDEX(KonSpalte3,6)+INDEX(KonFeld8,6)=0),6,0))</f>
        <v>-1</v>
      </c>
      <c r="AX186" s="43">
        <f>IF($N$103="x",-1,IF(AND($N$103=0,INDEX(KonZeile9,4)+INDEX(KonSpalte4,4)+INDEX(KonFeld8,4)=0),4,0))</f>
        <v>-1</v>
      </c>
      <c r="AY186" s="39">
        <f>IF($N$103="x",-1,IF(AND($N$103=0,INDEX(KonZeile9,5)+INDEX(KonSpalte4,5)+INDEX(KonFeld8,5)=0),5,0))</f>
        <v>-1</v>
      </c>
      <c r="AZ186" s="41">
        <f>IF($N$103="x",-1,IF(AND($N$103=0,INDEX(KonZeile9,6)+INDEX(KonSpalte4,6)+INDEX(KonFeld8,6)=0),6,0))</f>
        <v>-1</v>
      </c>
      <c r="BA186" s="40">
        <f>IF($O$103="x",-1,IF(AND($O$103=0,INDEX(KonZeile9,4)+INDEX(KonSpalte5,4)+INDEX(KonFeld8,4)=0),4,0))</f>
        <v>-1</v>
      </c>
      <c r="BB186" s="39">
        <f>IF($O$103="x",-1,IF(AND($O$103=0,INDEX(KonZeile9,5)+INDEX(KonSpalte5,5)+INDEX(KonFeld8,5)=0),5,0))</f>
        <v>-1</v>
      </c>
      <c r="BC186" s="41">
        <f>IF($O$103="x",-1,IF(AND($O$103=0,INDEX(KonZeile9,6)+INDEX(KonSpalte5,6)+INDEX(KonFeld8,6)=0),6,0))</f>
        <v>-1</v>
      </c>
      <c r="BD186" s="40">
        <f>IF($P$103="x",-1,IF(AND($P$103=0,INDEX(KonZeile9,4)+INDEX(KonSpalte6,4)+INDEX(KonFeld8,4)=0),4,0))</f>
        <v>-1</v>
      </c>
      <c r="BE186" s="39">
        <f>IF($P$103="x",-1,IF(AND($P$103=0,INDEX(KonZeile9,5)+INDEX(KonSpalte6,5)+INDEX(KonFeld8,5)=0),5,0))</f>
        <v>-1</v>
      </c>
      <c r="BF186" s="42">
        <f>IF($P$103="x",-1,IF(AND($P$103=0,INDEX(KonZeile9,6)+INDEX(KonSpalte6,6)+INDEX(KonFeld8,6)=0),6,0))</f>
        <v>-1</v>
      </c>
      <c r="BG186" s="43">
        <f>IF($Q$103="x",-1,IF(AND($Q$103=0,INDEX(KonZeile9,4)+INDEX(KonSpalte7,4)+INDEX(KonFeld8,4)=0),4,0))</f>
        <v>-1</v>
      </c>
      <c r="BH186" s="39">
        <f>IF($Q$103="x",-1,IF(AND($Q$103=0,INDEX(KonZeile9,5)+INDEX(KonSpalte7,5)+INDEX(KonFeld8,5)=0),5,0))</f>
        <v>-1</v>
      </c>
      <c r="BI186" s="41">
        <f>IF($Q$103="x",-1,IF(AND($Q$103=0,INDEX(KonZeile9,6)+INDEX(KonSpalte7,6)+INDEX(KonFeld8,6)=0),6,0))</f>
        <v>-1</v>
      </c>
      <c r="BJ186" s="40">
        <f>IF($R$103="x",-1,IF(AND($R$103=0,INDEX(KonZeile9,4)+INDEX(KonSpalte8,4)+INDEX(KonFeld8,4)=0),4,0))</f>
        <v>-1</v>
      </c>
      <c r="BK186" s="39">
        <f>IF($R$103="x",-1,IF(AND($R$103=0,INDEX(KonZeile9,5)+INDEX(KonSpalte8,5)+INDEX(KonFeld8,5)=0),5,0))</f>
        <v>-1</v>
      </c>
      <c r="BL186" s="41">
        <f>IF($R$103="x",-1,IF(AND($R$103=0,INDEX(KonZeile9,6)+INDEX(KonSpalte8,6)+INDEX(KonFeld8,6)=0),6,0))</f>
        <v>-1</v>
      </c>
      <c r="BM186" s="40">
        <f>IF($S$103="x",-1,IF(AND($S$103=0,INDEX(KonZeile9,4)+INDEX(KonSpalte9,4)+INDEX(KonFeld8,4)=0),4,0))</f>
        <v>-1</v>
      </c>
      <c r="BN186" s="39">
        <f>IF($S$103="x",-1,IF(AND($S$103=0,INDEX(KonZeile9,5)+INDEX(KonSpalte9,5)+INDEX(KonFeld8,5)=0),5,0))</f>
        <v>-1</v>
      </c>
      <c r="BO186" s="95">
        <f>IF($S$103="x",-1,IF(AND($S$103=0,INDEX(KonZeile9,6)+INDEX(KonSpalte9,6)+INDEX(KonFeld8,6)=0),6,0))</f>
        <v>-1</v>
      </c>
      <c r="BP186" s="94">
        <f>IF($T$103="x",-1,IF(AND($T$103=0,INDEX(KonZeile9,4)+INDEX(KonSpalte1,4)+INDEX(KonFeld9,4)=0),4,0))</f>
        <v>-1</v>
      </c>
      <c r="BQ186" s="39">
        <f>IF($T$103="x",-1,IF(AND($T$103=0,INDEX(KonZeile9,5)+INDEX(KonSpalte1,5)+INDEX(KonFeld9,5)=0),5,0))</f>
        <v>-1</v>
      </c>
      <c r="BR186" s="41">
        <f>IF($T$103="x",-1,IF(AND($T$103=0,INDEX(KonZeile9,6)+INDEX(KonSpalte1,6)+INDEX(KonFeld9,6)=0),6,0))</f>
        <v>-1</v>
      </c>
      <c r="BS186" s="40">
        <f>IF($U$103="x",-1,IF(AND($U$103=0,INDEX(KonZeile9,4)+INDEX(KonSpalte2,4)+INDEX(KonFeld9,4)=0),4,0))</f>
        <v>-1</v>
      </c>
      <c r="BT186" s="39">
        <f>IF($U$103="x",-1,IF(AND($U$103=0,INDEX(KonZeile9,5)+INDEX(KonSpalte2,5)+INDEX(KonFeld9,5)=0),5,0))</f>
        <v>-1</v>
      </c>
      <c r="BU186" s="41">
        <f>IF($U$103="x",-1,IF(AND($U$103=0,INDEX(KonZeile9,6)+INDEX(KonSpalte2,6)+INDEX(KonFeld9,6)=0),6,0))</f>
        <v>-1</v>
      </c>
      <c r="BV186" s="40">
        <f>IF($V$103="x",-1,IF(AND($V$103=0,INDEX(KonZeile9,4)+INDEX(KonSpalte3,4)+INDEX(KonFeld9,4)=0),4,0))</f>
        <v>-1</v>
      </c>
      <c r="BW186" s="39">
        <f>IF($V$103="x",-1,IF(AND($V$103=0,INDEX(KonZeile9,5)+INDEX(KonSpalte3,5)+INDEX(KonFeld9,5)=0),5,0))</f>
        <v>-1</v>
      </c>
      <c r="BX186" s="42">
        <f>IF($V$103="x",-1,IF(AND($V$103=0,INDEX(KonZeile9,6)+INDEX(KonSpalte3,6)+INDEX(KonFeld9,6)=0),6,0))</f>
        <v>-1</v>
      </c>
      <c r="BY186" s="43">
        <f>IF($W$103="x",-1,IF(AND($W$103=0,INDEX(KonZeile9,4)+INDEX(KonSpalte4,4)+INDEX(KonFeld9,4)=0),4,0))</f>
        <v>-1</v>
      </c>
      <c r="BZ186" s="39">
        <f>IF($W$103="x",-1,IF(AND($W$103=0,INDEX(KonZeile9,5)+INDEX(KonSpalte4,5)+INDEX(KonFeld9,5)=0),5,0))</f>
        <v>-1</v>
      </c>
      <c r="CA186" s="41">
        <f>IF($W$103="x",-1,IF(AND($W$103=0,INDEX(KonZeile9,6)+INDEX(KonSpalte4,6)+INDEX(KonFeld9,6)=0),6,0))</f>
        <v>-1</v>
      </c>
      <c r="CB186" s="40">
        <f>IF($X$103="x",-1,IF(AND($X$103=0,INDEX(KonZeile9,4)+INDEX(KonSpalte5,4)+INDEX(KonFeld9,4)=0),4,0))</f>
        <v>0</v>
      </c>
      <c r="CC186" s="39">
        <f>IF($X$103="x",-1,IF(AND($X$103=0,INDEX(KonZeile9,5)+INDEX(KonSpalte5,5)+INDEX(KonFeld9,5)=0),5,0))</f>
        <v>0</v>
      </c>
      <c r="CD186" s="41">
        <f>IF($X$103="x",-1,IF(AND($X$103=0,INDEX(KonZeile9,6)+INDEX(KonSpalte5,6)+INDEX(KonFeld9,6)=0),6,0))</f>
        <v>0</v>
      </c>
      <c r="CE186" s="40">
        <f>IF($Y$103="x",-1,IF(AND($Y$103=0,INDEX(KonZeile9,4)+INDEX(KonSpalte6,4)+INDEX(KonFeld9,4)=0),4,0))</f>
        <v>0</v>
      </c>
      <c r="CF186" s="39">
        <f>IF($Y$103="x",-1,IF(AND($Y$103=0,INDEX(KonZeile9,5)+INDEX(KonSpalte6,5)+INDEX(KonFeld9,5)=0),5,0))</f>
        <v>0</v>
      </c>
      <c r="CG186" s="42">
        <f>IF($Y$103="x",-1,IF(AND($Y$103=0,INDEX(KonZeile9,6)+INDEX(KonSpalte6,6)+INDEX(KonFeld9,6)=0),6,0))</f>
        <v>0</v>
      </c>
      <c r="CH186" s="43">
        <f>IF($Z$103="x",-1,IF(AND($Z$103=0,INDEX(KonZeile9,4)+INDEX(KonSpalte7,4)+INDEX(KonFeld9,4)=0),4,0))</f>
        <v>0</v>
      </c>
      <c r="CI186" s="39">
        <f>IF($Z$103="x",-1,IF(AND($Z$103=0,INDEX(KonZeile9,5)+INDEX(KonSpalte7,5)+INDEX(KonFeld9,5)=0),5,0))</f>
        <v>0</v>
      </c>
      <c r="CJ186" s="41">
        <f>IF($Z$103="x",-1,IF(AND($Z$103=0,INDEX(KonZeile9,6)+INDEX(KonSpalte7,6)+INDEX(KonFeld9,6)=0),6,0))</f>
        <v>0</v>
      </c>
      <c r="CK186" s="40">
        <f>IF($AA$103="x",-1,IF(AND($AA$103=0,INDEX(KonZeile9,4)+INDEX(KonSpalte8,4)+INDEX(KonFeld9,4)=0),4,0))</f>
        <v>0</v>
      </c>
      <c r="CL186" s="39">
        <f>IF($AA$103="x",-1,IF(AND($AA$103=0,INDEX(KonZeile9,5)+INDEX(KonSpalte8,5)+INDEX(KonFeld9,5)=0),5,0))</f>
        <v>0</v>
      </c>
      <c r="CM186" s="41">
        <f>IF($AA$103="x",-1,IF(AND($AA$103=0,INDEX(KonZeile9,6)+INDEX(KonSpalte8,6)+INDEX(KonFeld9,6)=0),6,0))</f>
        <v>0</v>
      </c>
      <c r="CN186" s="40">
        <f>IF($AB$103="x",-1,IF(AND($AB$103=0,INDEX(KonZeile9,4)+INDEX(KonSpalte9,4)+INDEX(KonFeld9,4)=0),4,0))</f>
        <v>0</v>
      </c>
      <c r="CO186" s="39">
        <f>IF($AB$103="x",-1,IF(AND($AB$103=0,INDEX(KonZeile9,5)+INDEX(KonSpalte9,5)+INDEX(KonFeld9,5)=0),5,0))</f>
        <v>0</v>
      </c>
      <c r="CP186" s="95">
        <f>IF($AB$103="x",-1,IF(AND($AB$103=0,INDEX(KonZeile9,6)+INDEX(KonSpalte9,6)+INDEX(KonFeld9,6)=0),6,0))</f>
        <v>0</v>
      </c>
      <c r="CR186" s="40">
        <f>COUNTIF(N186:CP186,4)</f>
        <v>0</v>
      </c>
      <c r="CS186" s="39">
        <f>COUNTIF(N186:CP186,5)</f>
        <v>0</v>
      </c>
      <c r="CT186" s="41">
        <f>COUNTIF(N186:CP186,6)</f>
        <v>0</v>
      </c>
      <c r="CU186" s="39"/>
      <c r="CV186" s="39"/>
      <c r="CX186" s="72">
        <f t="shared" si="359"/>
        <v>0</v>
      </c>
      <c r="CY186" s="73">
        <f t="shared" si="359"/>
        <v>0</v>
      </c>
      <c r="CZ186" s="74">
        <f t="shared" si="359"/>
        <v>0</v>
      </c>
      <c r="DJ186" s="94">
        <f t="shared" si="271"/>
        <v>4</v>
      </c>
      <c r="DK186" s="39">
        <f t="shared" si="272"/>
        <v>0</v>
      </c>
      <c r="DL186" s="41">
        <f t="shared" si="273"/>
        <v>0</v>
      </c>
      <c r="DM186" s="40">
        <f t="shared" si="274"/>
        <v>4</v>
      </c>
      <c r="DN186" s="39">
        <f t="shared" si="275"/>
        <v>0</v>
      </c>
      <c r="DO186" s="41">
        <f t="shared" si="276"/>
        <v>0</v>
      </c>
      <c r="DP186" s="40">
        <f t="shared" si="277"/>
        <v>0</v>
      </c>
      <c r="DQ186" s="39">
        <f t="shared" si="278"/>
        <v>0</v>
      </c>
      <c r="DR186" s="42">
        <f t="shared" si="279"/>
        <v>0</v>
      </c>
      <c r="DS186" s="43">
        <f t="shared" si="280"/>
        <v>-1</v>
      </c>
      <c r="DT186" s="39">
        <f t="shared" si="281"/>
        <v>-1</v>
      </c>
      <c r="DU186" s="41">
        <f t="shared" si="282"/>
        <v>-1</v>
      </c>
      <c r="DV186" s="40">
        <f t="shared" si="283"/>
        <v>-1</v>
      </c>
      <c r="DW186" s="39">
        <f t="shared" si="284"/>
        <v>-1</v>
      </c>
      <c r="DX186" s="41">
        <f t="shared" si="285"/>
        <v>-1</v>
      </c>
      <c r="DY186" s="40">
        <f t="shared" si="286"/>
        <v>-1</v>
      </c>
      <c r="DZ186" s="39">
        <f t="shared" si="287"/>
        <v>-1</v>
      </c>
      <c r="EA186" s="42">
        <f t="shared" si="288"/>
        <v>-1</v>
      </c>
      <c r="EB186" s="43">
        <f t="shared" si="289"/>
        <v>-1</v>
      </c>
      <c r="EC186" s="39">
        <f t="shared" si="290"/>
        <v>-1</v>
      </c>
      <c r="ED186" s="41">
        <f t="shared" si="291"/>
        <v>-1</v>
      </c>
      <c r="EE186" s="40">
        <f t="shared" si="292"/>
        <v>-1</v>
      </c>
      <c r="EF186" s="39">
        <f t="shared" si="293"/>
        <v>-1</v>
      </c>
      <c r="EG186" s="41">
        <f t="shared" si="294"/>
        <v>-1</v>
      </c>
      <c r="EH186" s="40">
        <f t="shared" si="295"/>
        <v>-1</v>
      </c>
      <c r="EI186" s="39">
        <f t="shared" si="296"/>
        <v>-1</v>
      </c>
      <c r="EJ186" s="95">
        <f t="shared" si="297"/>
        <v>-1</v>
      </c>
      <c r="EK186" s="94">
        <f t="shared" si="298"/>
        <v>-1</v>
      </c>
      <c r="EL186" s="39">
        <f t="shared" si="299"/>
        <v>-1</v>
      </c>
      <c r="EM186" s="41">
        <f t="shared" si="300"/>
        <v>-1</v>
      </c>
      <c r="EN186" s="40">
        <f t="shared" si="301"/>
        <v>-1</v>
      </c>
      <c r="EO186" s="39">
        <f t="shared" si="302"/>
        <v>-1</v>
      </c>
      <c r="EP186" s="41">
        <f t="shared" si="303"/>
        <v>-1</v>
      </c>
      <c r="EQ186" s="40">
        <f t="shared" si="304"/>
        <v>-1</v>
      </c>
      <c r="ER186" s="39">
        <f t="shared" si="305"/>
        <v>-1</v>
      </c>
      <c r="ES186" s="42">
        <f t="shared" si="306"/>
        <v>-1</v>
      </c>
      <c r="ET186" s="43">
        <f t="shared" si="307"/>
        <v>-1</v>
      </c>
      <c r="EU186" s="39">
        <f t="shared" si="308"/>
        <v>-1</v>
      </c>
      <c r="EV186" s="41">
        <f t="shared" si="309"/>
        <v>-1</v>
      </c>
      <c r="EW186" s="40">
        <f t="shared" si="310"/>
        <v>-1</v>
      </c>
      <c r="EX186" s="39">
        <f t="shared" si="311"/>
        <v>-1</v>
      </c>
      <c r="EY186" s="41">
        <f t="shared" si="312"/>
        <v>-1</v>
      </c>
      <c r="EZ186" s="40">
        <f t="shared" si="313"/>
        <v>-1</v>
      </c>
      <c r="FA186" s="39">
        <f t="shared" si="314"/>
        <v>-1</v>
      </c>
      <c r="FB186" s="42">
        <f t="shared" si="315"/>
        <v>-1</v>
      </c>
      <c r="FC186" s="43">
        <f t="shared" si="316"/>
        <v>-1</v>
      </c>
      <c r="FD186" s="39">
        <f t="shared" si="317"/>
        <v>-1</v>
      </c>
      <c r="FE186" s="41">
        <f t="shared" si="318"/>
        <v>-1</v>
      </c>
      <c r="FF186" s="40">
        <f t="shared" si="319"/>
        <v>-1</v>
      </c>
      <c r="FG186" s="39">
        <f t="shared" si="320"/>
        <v>-1</v>
      </c>
      <c r="FH186" s="41">
        <f t="shared" si="321"/>
        <v>-1</v>
      </c>
      <c r="FI186" s="40">
        <f t="shared" si="322"/>
        <v>-1</v>
      </c>
      <c r="FJ186" s="39">
        <f t="shared" si="323"/>
        <v>-1</v>
      </c>
      <c r="FK186" s="95">
        <f t="shared" si="324"/>
        <v>-1</v>
      </c>
      <c r="FL186" s="94">
        <f t="shared" si="325"/>
        <v>-1</v>
      </c>
      <c r="FM186" s="39">
        <f t="shared" si="326"/>
        <v>-1</v>
      </c>
      <c r="FN186" s="41">
        <f t="shared" si="327"/>
        <v>-1</v>
      </c>
      <c r="FO186" s="40">
        <f t="shared" si="328"/>
        <v>-1</v>
      </c>
      <c r="FP186" s="39">
        <f t="shared" si="329"/>
        <v>-1</v>
      </c>
      <c r="FQ186" s="41">
        <f t="shared" si="330"/>
        <v>-1</v>
      </c>
      <c r="FR186" s="40">
        <f t="shared" si="331"/>
        <v>-1</v>
      </c>
      <c r="FS186" s="39">
        <f t="shared" si="332"/>
        <v>-1</v>
      </c>
      <c r="FT186" s="42">
        <f t="shared" si="333"/>
        <v>-1</v>
      </c>
      <c r="FU186" s="43">
        <f t="shared" si="334"/>
        <v>-1</v>
      </c>
      <c r="FV186" s="39">
        <f t="shared" si="335"/>
        <v>-1</v>
      </c>
      <c r="FW186" s="41">
        <f t="shared" si="336"/>
        <v>-1</v>
      </c>
      <c r="FX186" s="40">
        <f t="shared" si="337"/>
        <v>-1</v>
      </c>
      <c r="FY186" s="39">
        <f t="shared" si="338"/>
        <v>-1</v>
      </c>
      <c r="FZ186" s="41">
        <f t="shared" si="339"/>
        <v>-1</v>
      </c>
      <c r="GA186" s="40">
        <f t="shared" si="340"/>
        <v>-1</v>
      </c>
      <c r="GB186" s="39">
        <f t="shared" si="341"/>
        <v>-1</v>
      </c>
      <c r="GC186" s="42">
        <f t="shared" si="342"/>
        <v>-1</v>
      </c>
      <c r="GD186" s="43">
        <f t="shared" si="343"/>
        <v>0</v>
      </c>
      <c r="GE186" s="39">
        <f t="shared" si="344"/>
        <v>0</v>
      </c>
      <c r="GF186" s="41">
        <f t="shared" si="345"/>
        <v>0</v>
      </c>
      <c r="GG186" s="40">
        <f t="shared" si="346"/>
        <v>-1</v>
      </c>
      <c r="GH186" s="39">
        <f t="shared" si="347"/>
        <v>-1</v>
      </c>
      <c r="GI186" s="41">
        <f t="shared" si="348"/>
        <v>-1</v>
      </c>
      <c r="GJ186" s="40">
        <f t="shared" si="349"/>
        <v>-1</v>
      </c>
      <c r="GK186" s="39">
        <f t="shared" si="350"/>
        <v>-1</v>
      </c>
      <c r="GL186" s="95">
        <f t="shared" si="351"/>
        <v>-1</v>
      </c>
      <c r="GN186" s="40">
        <f>COUNTIF(DJ186:GL186,4)</f>
        <v>2</v>
      </c>
      <c r="GO186" s="39">
        <f>COUNTIF(DJ186:GL186,5)</f>
        <v>0</v>
      </c>
      <c r="GP186" s="41">
        <f>COUNTIF(DJ186:GL186,6)</f>
        <v>0</v>
      </c>
      <c r="GQ186" s="39"/>
      <c r="GR186" s="39"/>
      <c r="GT186" s="72">
        <f t="shared" ref="GT186:GV186" si="372">GT159</f>
        <v>2</v>
      </c>
      <c r="GU186" s="73">
        <f t="shared" si="372"/>
        <v>0</v>
      </c>
      <c r="GV186" s="74">
        <f t="shared" si="372"/>
        <v>0</v>
      </c>
    </row>
    <row r="187" spans="9:204" ht="15" customHeight="1" thickBot="1">
      <c r="N187" s="110">
        <f>IF($B$103="x",-1,IF(AND($B$103=0,INDEX(KonZeile9,7)+INDEX(KonSpalte1,7)+INDEX(KonFeld7,7)=0),7,0))</f>
        <v>0</v>
      </c>
      <c r="O187" s="83">
        <f>IF($B$103="x",-1,IF(AND($B$103=0,INDEX(KonZeile9,8)+INDEX(KonSpalte1,8)+INDEX(KonFeld7,8)=0),8,0))</f>
        <v>0</v>
      </c>
      <c r="P187" s="111">
        <f>IF($B$103="x",-1,IF(AND($B$103=0,INDEX(KonZeile9,9)+INDEX(KonSpalte1,9)+INDEX(KonFeld7,9)=0),9,0))</f>
        <v>0</v>
      </c>
      <c r="Q187" s="112">
        <f>IF($C$103="x",-1,IF(AND($C$103=0,INDEX(KonZeile9,7)+INDEX(KonSpalte2,7)+INDEX(KonFeld7,7)=0),7,0))</f>
        <v>0</v>
      </c>
      <c r="R187" s="83">
        <f>IF($C$103="x",-1,IF(AND($C$103=0,INDEX(KonZeile9,8)+INDEX(KonSpalte2,8)+INDEX(KonFeld7,8)=0),8,0))</f>
        <v>0</v>
      </c>
      <c r="S187" s="111">
        <f>IF($C$103="x",-1,IF(AND($C$103=0,INDEX(KonZeile9,9)+INDEX(KonSpalte2,9)+INDEX(KonFeld7,9)=0),9,0))</f>
        <v>0</v>
      </c>
      <c r="T187" s="112">
        <f>IF($D$103="x",-1,IF(AND($D$103=0,INDEX(KonZeile9,7)+INDEX(KonSpalte3,7)+INDEX(KonFeld7,7)=0),7,0))</f>
        <v>0</v>
      </c>
      <c r="U187" s="83">
        <f>IF($D$103="x",-1,IF(AND($D$103=0,INDEX(KonZeile9,8)+INDEX(KonSpalte3,8)+INDEX(KonFeld7,8)=0),8,0))</f>
        <v>0</v>
      </c>
      <c r="V187" s="113">
        <f>IF($D$103="x",-1,IF(AND($D$103=0,INDEX(KonZeile9,9)+INDEX(KonSpalte3,9)+INDEX(KonFeld7,9)=0),9,0))</f>
        <v>0</v>
      </c>
      <c r="W187" s="114">
        <f>IF($E$103="x",-1,IF(AND($E$103=0,INDEX(KonZeile9,7)+INDEX(KonSpalte4,7)+INDEX(KonFeld7,7)=0),7,0))</f>
        <v>0</v>
      </c>
      <c r="X187" s="83">
        <f>IF($E$103="x",-1,IF(AND($E$103=0,INDEX(KonZeile9,8)+INDEX(KonSpalte4,8)+INDEX(KonFeld7,8)=0),8,0))</f>
        <v>0</v>
      </c>
      <c r="Y187" s="111">
        <f>IF($E$103="x",-1,IF(AND($E$103=0,INDEX(KonZeile9,9)+INDEX(KonSpalte4,9)+INDEX(KonFeld7,9)=0),9,0))</f>
        <v>0</v>
      </c>
      <c r="Z187" s="112">
        <f>IF($F$103="x",-1,IF(AND($F$103=0,INDEX(KonZeile9,7)+INDEX(KonSpalte5,7)+INDEX(KonFeld7,7)=0),7,0))</f>
        <v>-1</v>
      </c>
      <c r="AA187" s="83">
        <f>IF($F$103="x",-1,IF(AND($F$103=0,INDEX(KonZeile9,8)+INDEX(KonSpalte5,8)+INDEX(KonFeld7,8)=0),8,0))</f>
        <v>-1</v>
      </c>
      <c r="AB187" s="111">
        <f>IF($F$103="x",-1,IF(AND($F$103=0,INDEX(KonZeile9,9)+INDEX(KonSpalte5,9)+INDEX(KonFeld7,9)=0),9,0))</f>
        <v>-1</v>
      </c>
      <c r="AC187" s="112">
        <f>IF($G$103="x",-1,IF(AND($G$103=0,INDEX(KonZeile9,7)+INDEX(KonSpalte6,7)+INDEX(KonFeld7,7)=0),7,0))</f>
        <v>-1</v>
      </c>
      <c r="AD187" s="83">
        <f>IF($G$103="x",-1,IF(AND($G$103=0,INDEX(KonZeile9,8)+INDEX(KonSpalte6,8)+INDEX(KonFeld7,8)=0),8,0))</f>
        <v>-1</v>
      </c>
      <c r="AE187" s="113">
        <f>IF($G$103="x",-1,IF(AND($G$103=0,INDEX(KonZeile9,9)+INDEX(KonSpalte6,9)+INDEX(KonFeld7,9)=0),9,0))</f>
        <v>-1</v>
      </c>
      <c r="AF187" s="114">
        <f>IF($H$103="x",-1,IF(AND($H$103=0,INDEX(KonZeile9,7)+INDEX(KonSpalte7,7)+INDEX(KonFeld7,7)=0),7,0))</f>
        <v>-1</v>
      </c>
      <c r="AG187" s="83">
        <f>IF($H$103="x",-1,IF(AND($H$103=0,INDEX(KonZeile9,8)+INDEX(KonSpalte7,8)+INDEX(KonFeld7,8)=0),8,0))</f>
        <v>-1</v>
      </c>
      <c r="AH187" s="111">
        <f>IF($H$103="x",-1,IF(AND($H$103=0,INDEX(KonZeile9,9)+INDEX(KonSpalte7,9)+INDEX(KonFeld7,9)=0),9,0))</f>
        <v>-1</v>
      </c>
      <c r="AI187" s="112">
        <f>IF($I$103="x",-1,IF(AND($I$103=0,INDEX(KonZeile9,7)+INDEX(KonSpalte8,7)+INDEX(KonFeld7,7)=0),7,0))</f>
        <v>-1</v>
      </c>
      <c r="AJ187" s="83">
        <f>IF($I$103="x",-1,IF(AND($I$103=0,INDEX(KonZeile9,8)+INDEX(KonSpalte8,8)+INDEX(KonFeld7,8)=0),8,0))</f>
        <v>-1</v>
      </c>
      <c r="AK187" s="111">
        <f>IF($I$103="x",-1,IF(AND($I$103=0,INDEX(KonZeile9,9)+INDEX(KonSpalte8,9)+INDEX(KonFeld7,9)=0),9,0))</f>
        <v>-1</v>
      </c>
      <c r="AL187" s="112">
        <f>IF($J$103="x",-1,IF(AND($J$103=0,INDEX(KonZeile9,7)+INDEX(KonSpalte9,7)+INDEX(KonFeld7,7)=0),7,0))</f>
        <v>-1</v>
      </c>
      <c r="AM187" s="83">
        <f>IF($J$103="x",-1,IF(AND($J$103=0,INDEX(KonZeile9,8)+INDEX(KonSpalte9,8)+INDEX(KonFeld7,8)=0),8,0))</f>
        <v>-1</v>
      </c>
      <c r="AN187" s="115">
        <f>IF($J$103="x",-1,IF(AND($J$103=0,INDEX(KonZeile9,9)+INDEX(KonSpalte9,9)+INDEX(KonFeld7,9)=0),9,0))</f>
        <v>-1</v>
      </c>
      <c r="AO187" s="110">
        <f>IF($K$103="x",-1,IF(AND($K$103=0,INDEX(KonZeile9,7)+INDEX(KonSpalte1,7)+INDEX(KonFeld8,7)=0),7,0))</f>
        <v>-1</v>
      </c>
      <c r="AP187" s="83">
        <f>IF($K$103="x",-1,IF(AND($K$103=0,INDEX(KonZeile9,8)+INDEX(KonSpalte1,8)+INDEX(KonFeld8,8)=0),8,0))</f>
        <v>-1</v>
      </c>
      <c r="AQ187" s="111">
        <f>IF($K$103="x",-1,IF(AND($K$103=0,INDEX(KonZeile9,9)+INDEX(KonSpalte1,9)+INDEX(KonFeld8,9)=0),9,0))</f>
        <v>-1</v>
      </c>
      <c r="AR187" s="112">
        <f>IF($L$103="x",-1,IF(AND($L$103=0,INDEX(KonZeile9,7)+INDEX(KonSpalte2,7)+INDEX(KonFeld8,7)=0),7,0))</f>
        <v>-1</v>
      </c>
      <c r="AS187" s="83">
        <f>IF($L$103="x",-1,IF(AND($L$103=0,INDEX(KonZeile9,8)+INDEX(KonSpalte2,8)+INDEX(KonFeld8,8)=0),8,0))</f>
        <v>-1</v>
      </c>
      <c r="AT187" s="111">
        <f>IF($L$103="x",-1,IF(AND($L$103=0,INDEX(KonZeile9,9)+INDEX(KonSpalte2,9)+INDEX(KonFeld8,9)=0),9,0))</f>
        <v>-1</v>
      </c>
      <c r="AU187" s="112">
        <f>IF($M$103="x",-1,IF(AND($M$103=0,INDEX(KonZeile9,7)+INDEX(KonSpalte3,7)+INDEX(KonFeld8,7)=0),7,0))</f>
        <v>-1</v>
      </c>
      <c r="AV187" s="83">
        <f>IF($M$103="x",-1,IF(AND($M$103=0,INDEX(KonZeile9,8)+INDEX(KonSpalte3,8)+INDEX(KonFeld8,8)=0),8,0))</f>
        <v>-1</v>
      </c>
      <c r="AW187" s="113">
        <f>IF($M$103="x",-1,IF(AND($M$103=0,INDEX(KonZeile9,9)+INDEX(KonSpalte3,9)+INDEX(KonFeld8,9)=0),9,0))</f>
        <v>-1</v>
      </c>
      <c r="AX187" s="114">
        <f>IF($N$103="x",-1,IF(AND($N$103=0,INDEX(KonZeile9,7)+INDEX(KonSpalte4,7)+INDEX(KonFeld8,7)=0),7,0))</f>
        <v>-1</v>
      </c>
      <c r="AY187" s="83">
        <f>IF($N$103="x",-1,IF(AND($N$103=0,INDEX(KonZeile9,8)+INDEX(KonSpalte4,8)+INDEX(KonFeld8,8)=0),8,0))</f>
        <v>-1</v>
      </c>
      <c r="AZ187" s="111">
        <f>IF($N$103="x",-1,IF(AND($N$103=0,INDEX(KonZeile9,9)+INDEX(KonSpalte4,9)+INDEX(KonFeld8,9)=0),9,0))</f>
        <v>-1</v>
      </c>
      <c r="BA187" s="112">
        <f>IF($O$103="x",-1,IF(AND($O$103=0,INDEX(KonZeile9,7)+INDEX(KonSpalte5,7)+INDEX(KonFeld8,7)=0),7,0))</f>
        <v>-1</v>
      </c>
      <c r="BB187" s="83">
        <f>IF($O$103="x",-1,IF(AND($O$103=0,INDEX(KonZeile9,8)+INDEX(KonSpalte5,8)+INDEX(KonFeld8,8)=0),8,0))</f>
        <v>-1</v>
      </c>
      <c r="BC187" s="111">
        <f>IF($O$103="x",-1,IF(AND($O$103=0,INDEX(KonZeile9,9)+INDEX(KonSpalte5,9)+INDEX(KonFeld8,9)=0),9,0))</f>
        <v>-1</v>
      </c>
      <c r="BD187" s="112">
        <f>IF($P$103="x",-1,IF(AND($P$103=0,INDEX(KonZeile9,7)+INDEX(KonSpalte6,7)+INDEX(KonFeld8,7)=0),7,0))</f>
        <v>-1</v>
      </c>
      <c r="BE187" s="83">
        <f>IF($P$103="x",-1,IF(AND($P$103=0,INDEX(KonZeile9,8)+INDEX(KonSpalte6,8)+INDEX(KonFeld8,8)=0),8,0))</f>
        <v>-1</v>
      </c>
      <c r="BF187" s="113">
        <f>IF($P$103="x",-1,IF(AND($P$103=0,INDEX(KonZeile9,9)+INDEX(KonSpalte6,9)+INDEX(KonFeld8,9)=0),9,0))</f>
        <v>-1</v>
      </c>
      <c r="BG187" s="114">
        <f>IF($Q$103="x",-1,IF(AND($Q$103=0,INDEX(KonZeile9,7)+INDEX(KonSpalte7,7)+INDEX(KonFeld8,7)=0),7,0))</f>
        <v>-1</v>
      </c>
      <c r="BH187" s="83">
        <f>IF($Q$103="x",-1,IF(AND($Q$103=0,INDEX(KonZeile9,8)+INDEX(KonSpalte7,8)+INDEX(KonFeld8,8)=0),8,0))</f>
        <v>-1</v>
      </c>
      <c r="BI187" s="111">
        <f>IF($Q$103="x",-1,IF(AND($Q$103=0,INDEX(KonZeile9,9)+INDEX(KonSpalte7,9)+INDEX(KonFeld8,9)=0),9,0))</f>
        <v>-1</v>
      </c>
      <c r="BJ187" s="112">
        <f>IF($R$103="x",-1,IF(AND($R$103=0,INDEX(KonZeile9,7)+INDEX(KonSpalte8,7)+INDEX(KonFeld8,7)=0),7,0))</f>
        <v>-1</v>
      </c>
      <c r="BK187" s="83">
        <f>IF($R$103="x",-1,IF(AND($R$103=0,INDEX(KonZeile9,8)+INDEX(KonSpalte8,8)+INDEX(KonFeld8,8)=0),8,0))</f>
        <v>-1</v>
      </c>
      <c r="BL187" s="111">
        <f>IF($R$103="x",-1,IF(AND($R$103=0,INDEX(KonZeile9,9)+INDEX(KonSpalte8,9)+INDEX(KonFeld8,9)=0),9,0))</f>
        <v>-1</v>
      </c>
      <c r="BM187" s="112">
        <f>IF($S$103="x",-1,IF(AND($S$103=0,INDEX(KonZeile9,7)+INDEX(KonSpalte9,7)+INDEX(KonFeld8,7)=0),7,0))</f>
        <v>-1</v>
      </c>
      <c r="BN187" s="83">
        <f>IF($S$103="x",-1,IF(AND($S$103=0,INDEX(KonZeile9,8)+INDEX(KonSpalte9,8)+INDEX(KonFeld8,8)=0),8,0))</f>
        <v>-1</v>
      </c>
      <c r="BO187" s="115">
        <f>IF($S$103="x",-1,IF(AND($S$103=0,INDEX(KonZeile9,9)+INDEX(KonSpalte9,9)+INDEX(KonFeld8,9)=0),9,0))</f>
        <v>-1</v>
      </c>
      <c r="BP187" s="110">
        <f>IF($T$103="x",-1,IF(AND($T$103=0,INDEX(KonZeile9,7)+INDEX(KonSpalte1,7)+INDEX(KonFeld9,7)=0),7,0))</f>
        <v>-1</v>
      </c>
      <c r="BQ187" s="83">
        <f>IF($T$103="x",-1,IF(AND($T$103=0,INDEX(KonZeile9,8)+INDEX(KonSpalte1,8)+INDEX(KonFeld9,8)=0),8,0))</f>
        <v>-1</v>
      </c>
      <c r="BR187" s="111">
        <f>IF($T$103="x",-1,IF(AND($T$103=0,INDEX(KonZeile9,9)+INDEX(KonSpalte1,9)+INDEX(KonFeld9,9)=0),9,0))</f>
        <v>-1</v>
      </c>
      <c r="BS187" s="112">
        <f>IF($U$103="x",-1,IF(AND($U$103=0,INDEX(KonZeile9,7)+INDEX(KonSpalte2,7)+INDEX(KonFeld9,7)=0),7,0))</f>
        <v>-1</v>
      </c>
      <c r="BT187" s="83">
        <f>IF($U$103="x",-1,IF(AND($U$103=0,INDEX(KonZeile9,8)+INDEX(KonSpalte2,8)+INDEX(KonFeld9,8)=0),8,0))</f>
        <v>-1</v>
      </c>
      <c r="BU187" s="111">
        <f>IF($U$103="x",-1,IF(AND($U$103=0,INDEX(KonZeile9,9)+INDEX(KonSpalte2,9)+INDEX(KonFeld9,9)=0),9,0))</f>
        <v>-1</v>
      </c>
      <c r="BV187" s="112">
        <f>IF($V$103="x",-1,IF(AND($V$103=0,INDEX(KonZeile9,7)+INDEX(KonSpalte3,7)+INDEX(KonFeld9,7)=0),7,0))</f>
        <v>-1</v>
      </c>
      <c r="BW187" s="83">
        <f>IF($V$103="x",-1,IF(AND($V$103=0,INDEX(KonZeile9,8)+INDEX(KonSpalte3,8)+INDEX(KonFeld9,8)=0),8,0))</f>
        <v>-1</v>
      </c>
      <c r="BX187" s="113">
        <f>IF($V$103="x",-1,IF(AND($V$103=0,INDEX(KonZeile9,9)+INDEX(KonSpalte3,9)+INDEX(KonFeld9,9)=0),9,0))</f>
        <v>-1</v>
      </c>
      <c r="BY187" s="114">
        <f>IF($W$103="x",-1,IF(AND($W$103=0,INDEX(KonZeile9,7)+INDEX(KonSpalte4,7)+INDEX(KonFeld9,7)=0),7,0))</f>
        <v>-1</v>
      </c>
      <c r="BZ187" s="83">
        <f>IF($W$103="x",-1,IF(AND($W$103=0,INDEX(KonZeile9,8)+INDEX(KonSpalte4,8)+INDEX(KonFeld9,8)=0),8,0))</f>
        <v>-1</v>
      </c>
      <c r="CA187" s="111">
        <f>IF($W$103="x",-1,IF(AND($W$103=0,INDEX(KonZeile9,9)+INDEX(KonSpalte4,9)+INDEX(KonFeld9,9)=0),9,0))</f>
        <v>-1</v>
      </c>
      <c r="CB187" s="112">
        <f>IF($X$103="x",-1,IF(AND($X$103=0,INDEX(KonZeile9,7)+INDEX(KonSpalte5,7)+INDEX(KonFeld9,7)=0),7,0))</f>
        <v>0</v>
      </c>
      <c r="CC187" s="83">
        <f>IF($X$103="x",-1,IF(AND($X$103=0,INDEX(KonZeile9,8)+INDEX(KonSpalte5,8)+INDEX(KonFeld9,8)=0),8,0))</f>
        <v>0</v>
      </c>
      <c r="CD187" s="111">
        <f>IF($X$103="x",-1,IF(AND($X$103=0,INDEX(KonZeile9,9)+INDEX(KonSpalte5,9)+INDEX(KonFeld9,9)=0),9,0))</f>
        <v>0</v>
      </c>
      <c r="CE187" s="112">
        <f>IF($Y$103="x",-1,IF(AND($Y$103=0,INDEX(KonZeile9,7)+INDEX(KonSpalte6,7)+INDEX(KonFeld9,7)=0),7,0))</f>
        <v>0</v>
      </c>
      <c r="CF187" s="83">
        <f>IF($Y$103="x",-1,IF(AND($Y$103=0,INDEX(KonZeile9,8)+INDEX(KonSpalte6,8)+INDEX(KonFeld9,8)=0),8,0))</f>
        <v>0</v>
      </c>
      <c r="CG187" s="113">
        <f>IF($Y$103="x",-1,IF(AND($Y$103=0,INDEX(KonZeile9,9)+INDEX(KonSpalte6,9)+INDEX(KonFeld9,9)=0),9,0))</f>
        <v>0</v>
      </c>
      <c r="CH187" s="114">
        <f>IF($Z$103="x",-1,IF(AND($Z$103=0,INDEX(KonZeile9,7)+INDEX(KonSpalte7,7)+INDEX(KonFeld9,7)=0),7,0))</f>
        <v>0</v>
      </c>
      <c r="CI187" s="83">
        <f>IF($Z$103="x",-1,IF(AND($Z$103=0,INDEX(KonZeile9,8)+INDEX(KonSpalte7,8)+INDEX(KonFeld9,8)=0),8,0))</f>
        <v>0</v>
      </c>
      <c r="CJ187" s="111">
        <f>IF($Z$103="x",-1,IF(AND($Z$103=0,INDEX(KonZeile9,9)+INDEX(KonSpalte7,9)+INDEX(KonFeld9,9)=0),9,0))</f>
        <v>0</v>
      </c>
      <c r="CK187" s="112">
        <f>IF($AA$103="x",-1,IF(AND($AA$103=0,INDEX(KonZeile9,7)+INDEX(KonSpalte8,7)+INDEX(KonFeld9,7)=0),7,0))</f>
        <v>0</v>
      </c>
      <c r="CL187" s="83">
        <f>IF($AA$103="x",-1,IF(AND($AA$103=0,INDEX(KonZeile9,8)+INDEX(KonSpalte8,8)+INDEX(KonFeld9,8)=0),8,0))</f>
        <v>0</v>
      </c>
      <c r="CM187" s="111">
        <f>IF($AA$103="x",-1,IF(AND($AA$103=0,INDEX(KonZeile9,9)+INDEX(KonSpalte8,9)+INDEX(KonFeld9,9)=0),9,0))</f>
        <v>0</v>
      </c>
      <c r="CN187" s="112">
        <f>IF($AB$103="x",-1,IF(AND($AB$103=0,INDEX(KonZeile9,7)+INDEX(KonSpalte9,7)+INDEX(KonFeld9,7)=0),7,0))</f>
        <v>0</v>
      </c>
      <c r="CO187" s="83">
        <f>IF($AB$103="x",-1,IF(AND($AB$103=0,INDEX(KonZeile9,8)+INDEX(KonSpalte9,8)+INDEX(KonFeld9,8)=0),8,0))</f>
        <v>0</v>
      </c>
      <c r="CP187" s="115">
        <f>IF($AB$103="x",-1,IF(AND($AB$103=0,INDEX(KonZeile9,9)+INDEX(KonSpalte9,9)+INDEX(KonFeld9,9)=0),9,0))</f>
        <v>0</v>
      </c>
      <c r="CR187" s="46">
        <f>COUNTIF(N187:CP187,7)</f>
        <v>0</v>
      </c>
      <c r="CS187" s="45">
        <f>COUNTIF(N187:CP187,8)</f>
        <v>0</v>
      </c>
      <c r="CT187" s="47">
        <f>COUNTIF(N187:CP187,9)</f>
        <v>0</v>
      </c>
      <c r="CU187" s="39"/>
      <c r="CV187" s="39"/>
      <c r="CX187" s="78">
        <f t="shared" si="359"/>
        <v>0</v>
      </c>
      <c r="CY187" s="79">
        <f t="shared" si="359"/>
        <v>0</v>
      </c>
      <c r="CZ187" s="80">
        <f t="shared" si="359"/>
        <v>0</v>
      </c>
      <c r="DJ187" s="99">
        <f t="shared" si="271"/>
        <v>0</v>
      </c>
      <c r="DK187" s="45">
        <f t="shared" si="272"/>
        <v>0</v>
      </c>
      <c r="DL187" s="47">
        <f t="shared" si="273"/>
        <v>0</v>
      </c>
      <c r="DM187" s="46">
        <f t="shared" si="274"/>
        <v>0</v>
      </c>
      <c r="DN187" s="45">
        <f t="shared" si="275"/>
        <v>8</v>
      </c>
      <c r="DO187" s="47">
        <f t="shared" si="276"/>
        <v>0</v>
      </c>
      <c r="DP187" s="46">
        <f t="shared" si="277"/>
        <v>0</v>
      </c>
      <c r="DQ187" s="45">
        <f t="shared" si="278"/>
        <v>0</v>
      </c>
      <c r="DR187" s="48">
        <f t="shared" si="279"/>
        <v>0</v>
      </c>
      <c r="DS187" s="44">
        <f t="shared" si="280"/>
        <v>-1</v>
      </c>
      <c r="DT187" s="45">
        <f t="shared" si="281"/>
        <v>-1</v>
      </c>
      <c r="DU187" s="47">
        <f t="shared" si="282"/>
        <v>-1</v>
      </c>
      <c r="DV187" s="46">
        <f t="shared" si="283"/>
        <v>-1</v>
      </c>
      <c r="DW187" s="45">
        <f t="shared" si="284"/>
        <v>-1</v>
      </c>
      <c r="DX187" s="47">
        <f t="shared" si="285"/>
        <v>-1</v>
      </c>
      <c r="DY187" s="46">
        <f t="shared" si="286"/>
        <v>-1</v>
      </c>
      <c r="DZ187" s="45">
        <f t="shared" si="287"/>
        <v>-1</v>
      </c>
      <c r="EA187" s="48">
        <f t="shared" si="288"/>
        <v>-1</v>
      </c>
      <c r="EB187" s="44">
        <f t="shared" si="289"/>
        <v>-1</v>
      </c>
      <c r="EC187" s="45">
        <f t="shared" si="290"/>
        <v>-1</v>
      </c>
      <c r="ED187" s="47">
        <f t="shared" si="291"/>
        <v>-1</v>
      </c>
      <c r="EE187" s="46">
        <f t="shared" si="292"/>
        <v>-1</v>
      </c>
      <c r="EF187" s="45">
        <f t="shared" si="293"/>
        <v>-1</v>
      </c>
      <c r="EG187" s="47">
        <f t="shared" si="294"/>
        <v>-1</v>
      </c>
      <c r="EH187" s="46">
        <f t="shared" si="295"/>
        <v>-1</v>
      </c>
      <c r="EI187" s="45">
        <f t="shared" si="296"/>
        <v>-1</v>
      </c>
      <c r="EJ187" s="100">
        <f t="shared" si="297"/>
        <v>-1</v>
      </c>
      <c r="EK187" s="99">
        <f t="shared" si="298"/>
        <v>-1</v>
      </c>
      <c r="EL187" s="45">
        <f t="shared" si="299"/>
        <v>-1</v>
      </c>
      <c r="EM187" s="47">
        <f t="shared" si="300"/>
        <v>-1</v>
      </c>
      <c r="EN187" s="46">
        <f t="shared" si="301"/>
        <v>-1</v>
      </c>
      <c r="EO187" s="45">
        <f t="shared" si="302"/>
        <v>-1</v>
      </c>
      <c r="EP187" s="47">
        <f t="shared" si="303"/>
        <v>-1</v>
      </c>
      <c r="EQ187" s="46">
        <f t="shared" si="304"/>
        <v>-1</v>
      </c>
      <c r="ER187" s="45">
        <f t="shared" si="305"/>
        <v>-1</v>
      </c>
      <c r="ES187" s="48">
        <f t="shared" si="306"/>
        <v>-1</v>
      </c>
      <c r="ET187" s="44">
        <f t="shared" si="307"/>
        <v>-1</v>
      </c>
      <c r="EU187" s="45">
        <f t="shared" si="308"/>
        <v>-1</v>
      </c>
      <c r="EV187" s="47">
        <f t="shared" si="309"/>
        <v>-1</v>
      </c>
      <c r="EW187" s="46">
        <f t="shared" si="310"/>
        <v>-1</v>
      </c>
      <c r="EX187" s="45">
        <f t="shared" si="311"/>
        <v>-1</v>
      </c>
      <c r="EY187" s="47">
        <f t="shared" si="312"/>
        <v>-1</v>
      </c>
      <c r="EZ187" s="46">
        <f t="shared" si="313"/>
        <v>-1</v>
      </c>
      <c r="FA187" s="45">
        <f t="shared" si="314"/>
        <v>-1</v>
      </c>
      <c r="FB187" s="48">
        <f t="shared" si="315"/>
        <v>-1</v>
      </c>
      <c r="FC187" s="44">
        <f t="shared" si="316"/>
        <v>-1</v>
      </c>
      <c r="FD187" s="45">
        <f t="shared" si="317"/>
        <v>-1</v>
      </c>
      <c r="FE187" s="47">
        <f t="shared" si="318"/>
        <v>-1</v>
      </c>
      <c r="FF187" s="46">
        <f t="shared" si="319"/>
        <v>-1</v>
      </c>
      <c r="FG187" s="45">
        <f t="shared" si="320"/>
        <v>-1</v>
      </c>
      <c r="FH187" s="47">
        <f t="shared" si="321"/>
        <v>-1</v>
      </c>
      <c r="FI187" s="46">
        <f t="shared" si="322"/>
        <v>-1</v>
      </c>
      <c r="FJ187" s="45">
        <f t="shared" si="323"/>
        <v>-1</v>
      </c>
      <c r="FK187" s="100">
        <f t="shared" si="324"/>
        <v>-1</v>
      </c>
      <c r="FL187" s="99">
        <f t="shared" si="325"/>
        <v>-1</v>
      </c>
      <c r="FM187" s="45">
        <f t="shared" si="326"/>
        <v>-1</v>
      </c>
      <c r="FN187" s="47">
        <f t="shared" si="327"/>
        <v>-1</v>
      </c>
      <c r="FO187" s="46">
        <f t="shared" si="328"/>
        <v>-1</v>
      </c>
      <c r="FP187" s="45">
        <f t="shared" si="329"/>
        <v>-1</v>
      </c>
      <c r="FQ187" s="47">
        <f t="shared" si="330"/>
        <v>-1</v>
      </c>
      <c r="FR187" s="46">
        <f t="shared" si="331"/>
        <v>-1</v>
      </c>
      <c r="FS187" s="45">
        <f t="shared" si="332"/>
        <v>-1</v>
      </c>
      <c r="FT187" s="48">
        <f t="shared" si="333"/>
        <v>-1</v>
      </c>
      <c r="FU187" s="44">
        <f t="shared" si="334"/>
        <v>-1</v>
      </c>
      <c r="FV187" s="45">
        <f t="shared" si="335"/>
        <v>-1</v>
      </c>
      <c r="FW187" s="47">
        <f t="shared" si="336"/>
        <v>-1</v>
      </c>
      <c r="FX187" s="46">
        <f t="shared" si="337"/>
        <v>-1</v>
      </c>
      <c r="FY187" s="45">
        <f t="shared" si="338"/>
        <v>-1</v>
      </c>
      <c r="FZ187" s="47">
        <f t="shared" si="339"/>
        <v>-1</v>
      </c>
      <c r="GA187" s="46">
        <f t="shared" si="340"/>
        <v>-1</v>
      </c>
      <c r="GB187" s="45">
        <f t="shared" si="341"/>
        <v>-1</v>
      </c>
      <c r="GC187" s="48">
        <f t="shared" si="342"/>
        <v>-1</v>
      </c>
      <c r="GD187" s="44">
        <f t="shared" si="343"/>
        <v>0</v>
      </c>
      <c r="GE187" s="45">
        <f t="shared" si="344"/>
        <v>0</v>
      </c>
      <c r="GF187" s="47">
        <f t="shared" si="345"/>
        <v>0</v>
      </c>
      <c r="GG187" s="46">
        <f t="shared" si="346"/>
        <v>-1</v>
      </c>
      <c r="GH187" s="45">
        <f t="shared" si="347"/>
        <v>-1</v>
      </c>
      <c r="GI187" s="47">
        <f t="shared" si="348"/>
        <v>-1</v>
      </c>
      <c r="GJ187" s="46">
        <f t="shared" si="349"/>
        <v>-1</v>
      </c>
      <c r="GK187" s="45">
        <f t="shared" si="350"/>
        <v>-1</v>
      </c>
      <c r="GL187" s="100">
        <f t="shared" si="351"/>
        <v>-1</v>
      </c>
      <c r="GN187" s="46">
        <f>COUNTIF(DJ187:GL187,7)</f>
        <v>0</v>
      </c>
      <c r="GO187" s="45">
        <f>COUNTIF(DJ187:GL187,8)</f>
        <v>1</v>
      </c>
      <c r="GP187" s="47">
        <f>COUNTIF(DJ187:GL187,9)</f>
        <v>0</v>
      </c>
      <c r="GQ187" s="39"/>
      <c r="GR187" s="39"/>
      <c r="GT187" s="78">
        <f t="shared" ref="GT187:GV187" si="373">GT160</f>
        <v>0</v>
      </c>
      <c r="GU187" s="79">
        <f t="shared" si="373"/>
        <v>1</v>
      </c>
      <c r="GV187" s="80">
        <f t="shared" si="373"/>
        <v>0</v>
      </c>
    </row>
    <row r="188" spans="9:204" ht="15" customHeight="1" thickTop="1">
      <c r="DJ188" s="104">
        <f t="shared" si="271"/>
        <v>-1</v>
      </c>
      <c r="DK188" s="50">
        <f t="shared" si="272"/>
        <v>-1</v>
      </c>
      <c r="DL188" s="51">
        <f t="shared" si="273"/>
        <v>-1</v>
      </c>
      <c r="DM188" s="52">
        <f t="shared" si="274"/>
        <v>-1</v>
      </c>
      <c r="DN188" s="50">
        <f t="shared" si="275"/>
        <v>-1</v>
      </c>
      <c r="DO188" s="51">
        <f t="shared" si="276"/>
        <v>-1</v>
      </c>
      <c r="DP188" s="52">
        <f t="shared" si="277"/>
        <v>0</v>
      </c>
      <c r="DQ188" s="50">
        <f t="shared" si="278"/>
        <v>0</v>
      </c>
      <c r="DR188" s="53">
        <f t="shared" si="279"/>
        <v>0</v>
      </c>
      <c r="DS188" s="49">
        <f t="shared" si="280"/>
        <v>-1</v>
      </c>
      <c r="DT188" s="50">
        <f t="shared" si="281"/>
        <v>-1</v>
      </c>
      <c r="DU188" s="51">
        <f t="shared" si="282"/>
        <v>-1</v>
      </c>
      <c r="DV188" s="52">
        <f t="shared" si="283"/>
        <v>-1</v>
      </c>
      <c r="DW188" s="50">
        <f t="shared" si="284"/>
        <v>-1</v>
      </c>
      <c r="DX188" s="51">
        <f t="shared" si="285"/>
        <v>-1</v>
      </c>
      <c r="DY188" s="52">
        <f t="shared" si="286"/>
        <v>-1</v>
      </c>
      <c r="DZ188" s="50">
        <f t="shared" si="287"/>
        <v>-1</v>
      </c>
      <c r="EA188" s="53">
        <f t="shared" si="288"/>
        <v>-1</v>
      </c>
      <c r="EB188" s="49">
        <f t="shared" si="289"/>
        <v>-1</v>
      </c>
      <c r="EC188" s="50">
        <f t="shared" si="290"/>
        <v>-1</v>
      </c>
      <c r="ED188" s="51">
        <f t="shared" si="291"/>
        <v>-1</v>
      </c>
      <c r="EE188" s="52">
        <f t="shared" si="292"/>
        <v>-1</v>
      </c>
      <c r="EF188" s="50">
        <f t="shared" si="293"/>
        <v>-1</v>
      </c>
      <c r="EG188" s="51">
        <f t="shared" si="294"/>
        <v>-1</v>
      </c>
      <c r="EH188" s="52">
        <f t="shared" si="295"/>
        <v>-1</v>
      </c>
      <c r="EI188" s="50">
        <f t="shared" si="296"/>
        <v>-1</v>
      </c>
      <c r="EJ188" s="105">
        <f t="shared" si="297"/>
        <v>-1</v>
      </c>
      <c r="EK188" s="104">
        <f t="shared" si="298"/>
        <v>-1</v>
      </c>
      <c r="EL188" s="50">
        <f t="shared" si="299"/>
        <v>-1</v>
      </c>
      <c r="EM188" s="51">
        <f t="shared" si="300"/>
        <v>-1</v>
      </c>
      <c r="EN188" s="52">
        <f t="shared" si="301"/>
        <v>-1</v>
      </c>
      <c r="EO188" s="50">
        <f t="shared" si="302"/>
        <v>-1</v>
      </c>
      <c r="EP188" s="51">
        <f t="shared" si="303"/>
        <v>-1</v>
      </c>
      <c r="EQ188" s="52">
        <f t="shared" si="304"/>
        <v>-1</v>
      </c>
      <c r="ER188" s="50">
        <f t="shared" si="305"/>
        <v>-1</v>
      </c>
      <c r="ES188" s="53">
        <f t="shared" si="306"/>
        <v>-1</v>
      </c>
      <c r="ET188" s="49">
        <f t="shared" si="307"/>
        <v>-1</v>
      </c>
      <c r="EU188" s="50">
        <f t="shared" si="308"/>
        <v>-1</v>
      </c>
      <c r="EV188" s="51">
        <f t="shared" si="309"/>
        <v>-1</v>
      </c>
      <c r="EW188" s="52">
        <f t="shared" si="310"/>
        <v>-1</v>
      </c>
      <c r="EX188" s="50">
        <f t="shared" si="311"/>
        <v>-1</v>
      </c>
      <c r="EY188" s="51">
        <f t="shared" si="312"/>
        <v>-1</v>
      </c>
      <c r="EZ188" s="52">
        <f t="shared" si="313"/>
        <v>-1</v>
      </c>
      <c r="FA188" s="50">
        <f t="shared" si="314"/>
        <v>-1</v>
      </c>
      <c r="FB188" s="53">
        <f t="shared" si="315"/>
        <v>-1</v>
      </c>
      <c r="FC188" s="49">
        <f t="shared" si="316"/>
        <v>-1</v>
      </c>
      <c r="FD188" s="50">
        <f t="shared" si="317"/>
        <v>-1</v>
      </c>
      <c r="FE188" s="51">
        <f t="shared" si="318"/>
        <v>-1</v>
      </c>
      <c r="FF188" s="52">
        <f t="shared" si="319"/>
        <v>-1</v>
      </c>
      <c r="FG188" s="50">
        <f t="shared" si="320"/>
        <v>-1</v>
      </c>
      <c r="FH188" s="51">
        <f t="shared" si="321"/>
        <v>-1</v>
      </c>
      <c r="FI188" s="52">
        <f t="shared" si="322"/>
        <v>-1</v>
      </c>
      <c r="FJ188" s="50">
        <f t="shared" si="323"/>
        <v>-1</v>
      </c>
      <c r="FK188" s="105">
        <f t="shared" si="324"/>
        <v>-1</v>
      </c>
      <c r="FL188" s="104">
        <f t="shared" si="325"/>
        <v>-1</v>
      </c>
      <c r="FM188" s="50">
        <f t="shared" si="326"/>
        <v>-1</v>
      </c>
      <c r="FN188" s="51">
        <f t="shared" si="327"/>
        <v>-1</v>
      </c>
      <c r="FO188" s="52">
        <f t="shared" si="328"/>
        <v>-1</v>
      </c>
      <c r="FP188" s="50">
        <f t="shared" si="329"/>
        <v>-1</v>
      </c>
      <c r="FQ188" s="51">
        <f t="shared" si="330"/>
        <v>-1</v>
      </c>
      <c r="FR188" s="52">
        <f t="shared" si="331"/>
        <v>-1</v>
      </c>
      <c r="FS188" s="50">
        <f t="shared" si="332"/>
        <v>-1</v>
      </c>
      <c r="FT188" s="53">
        <f t="shared" si="333"/>
        <v>-1</v>
      </c>
      <c r="FU188" s="49">
        <f t="shared" si="334"/>
        <v>-1</v>
      </c>
      <c r="FV188" s="50">
        <f t="shared" si="335"/>
        <v>-1</v>
      </c>
      <c r="FW188" s="51">
        <f t="shared" si="336"/>
        <v>-1</v>
      </c>
      <c r="FX188" s="52">
        <f t="shared" si="337"/>
        <v>-1</v>
      </c>
      <c r="FY188" s="50">
        <f t="shared" si="338"/>
        <v>-1</v>
      </c>
      <c r="FZ188" s="51">
        <f t="shared" si="339"/>
        <v>-1</v>
      </c>
      <c r="GA188" s="52">
        <f t="shared" si="340"/>
        <v>-1</v>
      </c>
      <c r="GB188" s="50">
        <f t="shared" si="341"/>
        <v>-1</v>
      </c>
      <c r="GC188" s="53">
        <f t="shared" si="342"/>
        <v>-1</v>
      </c>
      <c r="GD188" s="49">
        <f t="shared" si="343"/>
        <v>-1</v>
      </c>
      <c r="GE188" s="50">
        <f t="shared" si="344"/>
        <v>-1</v>
      </c>
      <c r="GF188" s="51">
        <f t="shared" si="345"/>
        <v>-1</v>
      </c>
      <c r="GG188" s="52">
        <f t="shared" si="346"/>
        <v>-1</v>
      </c>
      <c r="GH188" s="50">
        <f t="shared" si="347"/>
        <v>-1</v>
      </c>
      <c r="GI188" s="51">
        <f t="shared" si="348"/>
        <v>-1</v>
      </c>
      <c r="GJ188" s="52">
        <f t="shared" si="349"/>
        <v>-1</v>
      </c>
      <c r="GK188" s="50">
        <f t="shared" si="350"/>
        <v>-1</v>
      </c>
      <c r="GL188" s="105">
        <f t="shared" si="351"/>
        <v>-1</v>
      </c>
      <c r="GN188" s="52">
        <f>COUNTIF(DJ188:GL188,1)</f>
        <v>0</v>
      </c>
      <c r="GO188" s="50">
        <f>COUNTIF(DJ188:GL188,2)</f>
        <v>0</v>
      </c>
      <c r="GP188" s="51">
        <f>COUNTIF(DJ188:GL188,3)</f>
        <v>0</v>
      </c>
      <c r="GQ188" s="39"/>
      <c r="GR188" s="39"/>
      <c r="GT188" s="65">
        <f t="shared" ref="GT188:GV188" si="374">GT161</f>
        <v>6</v>
      </c>
      <c r="GU188" s="66">
        <f t="shared" si="374"/>
        <v>3</v>
      </c>
      <c r="GV188" s="67">
        <f t="shared" si="374"/>
        <v>5</v>
      </c>
    </row>
    <row r="189" spans="9:204" ht="15" customHeight="1">
      <c r="I189" s="28" t="s">
        <v>5</v>
      </c>
      <c r="N189" s="52">
        <f>COUNTIF(N107:N187,1)</f>
        <v>0</v>
      </c>
      <c r="O189" s="50">
        <f>COUNTIF(O107:O187,2)</f>
        <v>0</v>
      </c>
      <c r="P189" s="51">
        <f>COUNTIF(P107:P187,3)</f>
        <v>0</v>
      </c>
      <c r="Q189" s="52">
        <f>COUNTIF(Q107:Q187,1)</f>
        <v>0</v>
      </c>
      <c r="R189" s="50">
        <f>COUNTIF(R107:R187,2)</f>
        <v>0</v>
      </c>
      <c r="S189" s="51">
        <f>COUNTIF(S107:S187,3)</f>
        <v>0</v>
      </c>
      <c r="T189" s="52">
        <f>COUNTIF(T107:T187,1)</f>
        <v>0</v>
      </c>
      <c r="U189" s="50">
        <f>COUNTIF(U107:U187,2)</f>
        <v>0</v>
      </c>
      <c r="V189" s="51">
        <f>COUNTIF(V107:V187,3)</f>
        <v>0</v>
      </c>
      <c r="W189" s="52">
        <f>COUNTIF(W107:W187,1)</f>
        <v>0</v>
      </c>
      <c r="X189" s="50">
        <f>COUNTIF(X107:X187,2)</f>
        <v>0</v>
      </c>
      <c r="Y189" s="51">
        <f>COUNTIF(Y107:Y187,3)</f>
        <v>0</v>
      </c>
      <c r="Z189" s="52">
        <f>COUNTIF(Z107:Z187,1)</f>
        <v>0</v>
      </c>
      <c r="AA189" s="50">
        <f>COUNTIF(AA107:AA187,2)</f>
        <v>0</v>
      </c>
      <c r="AB189" s="51">
        <f>COUNTIF(AB107:AB187,3)</f>
        <v>0</v>
      </c>
      <c r="AC189" s="52">
        <f>COUNTIF(AC107:AC187,1)</f>
        <v>0</v>
      </c>
      <c r="AD189" s="50">
        <f>COUNTIF(AD107:AD187,2)</f>
        <v>0</v>
      </c>
      <c r="AE189" s="51">
        <f>COUNTIF(AE107:AE187,3)</f>
        <v>0</v>
      </c>
      <c r="AF189" s="52">
        <f>COUNTIF(AF107:AF187,1)</f>
        <v>0</v>
      </c>
      <c r="AG189" s="50">
        <f>COUNTIF(AG107:AG187,2)</f>
        <v>0</v>
      </c>
      <c r="AH189" s="51">
        <f>COUNTIF(AH107:AH187,3)</f>
        <v>0</v>
      </c>
      <c r="AI189" s="52">
        <f>COUNTIF(AI107:AI187,1)</f>
        <v>0</v>
      </c>
      <c r="AJ189" s="50">
        <f>COUNTIF(AJ107:AJ187,2)</f>
        <v>0</v>
      </c>
      <c r="AK189" s="51">
        <f>COUNTIF(AK107:AK187,3)</f>
        <v>0</v>
      </c>
      <c r="AL189" s="52">
        <f>COUNTIF(AL107:AL187,1)</f>
        <v>0</v>
      </c>
      <c r="AM189" s="50">
        <f>COUNTIF(AM107:AM187,2)</f>
        <v>0</v>
      </c>
      <c r="AN189" s="51">
        <f>COUNTIF(AN107:AN187,3)</f>
        <v>0</v>
      </c>
      <c r="AO189" s="52">
        <f>COUNTIF(AO107:AO187,1)</f>
        <v>0</v>
      </c>
      <c r="AP189" s="50">
        <f>COUNTIF(AP107:AP187,2)</f>
        <v>0</v>
      </c>
      <c r="AQ189" s="51">
        <f>COUNTIF(AQ107:AQ187,3)</f>
        <v>0</v>
      </c>
      <c r="AR189" s="52">
        <f>COUNTIF(AR107:AR187,1)</f>
        <v>0</v>
      </c>
      <c r="AS189" s="50">
        <f>COUNTIF(AS107:AS187,2)</f>
        <v>0</v>
      </c>
      <c r="AT189" s="51">
        <f>COUNTIF(AT107:AT187,3)</f>
        <v>0</v>
      </c>
      <c r="AU189" s="52">
        <f>COUNTIF(AU107:AU187,1)</f>
        <v>0</v>
      </c>
      <c r="AV189" s="50">
        <f>COUNTIF(AV107:AV187,2)</f>
        <v>0</v>
      </c>
      <c r="AW189" s="51">
        <f>COUNTIF(AW107:AW187,3)</f>
        <v>0</v>
      </c>
      <c r="AX189" s="52">
        <f>COUNTIF(AX107:AX187,1)</f>
        <v>0</v>
      </c>
      <c r="AY189" s="50">
        <f>COUNTIF(AY107:AY187,2)</f>
        <v>0</v>
      </c>
      <c r="AZ189" s="51">
        <f>COUNTIF(AZ107:AZ187,3)</f>
        <v>0</v>
      </c>
      <c r="BA189" s="52">
        <f>COUNTIF(BA107:BA187,1)</f>
        <v>0</v>
      </c>
      <c r="BB189" s="50">
        <f>COUNTIF(BB107:BB187,2)</f>
        <v>0</v>
      </c>
      <c r="BC189" s="51">
        <f>COUNTIF(BC107:BC187,3)</f>
        <v>0</v>
      </c>
      <c r="BD189" s="52">
        <f>COUNTIF(BD107:BD187,1)</f>
        <v>0</v>
      </c>
      <c r="BE189" s="50">
        <f>COUNTIF(BE107:BE187,2)</f>
        <v>0</v>
      </c>
      <c r="BF189" s="51">
        <f>COUNTIF(BF107:BF187,3)</f>
        <v>0</v>
      </c>
      <c r="BG189" s="52">
        <f>COUNTIF(BG107:BG187,1)</f>
        <v>0</v>
      </c>
      <c r="BH189" s="50">
        <f>COUNTIF(BH107:BH187,2)</f>
        <v>0</v>
      </c>
      <c r="BI189" s="51">
        <f>COUNTIF(BI107:BI187,3)</f>
        <v>0</v>
      </c>
      <c r="BJ189" s="52">
        <f>COUNTIF(BJ107:BJ187,1)</f>
        <v>0</v>
      </c>
      <c r="BK189" s="50">
        <f>COUNTIF(BK107:BK187,2)</f>
        <v>0</v>
      </c>
      <c r="BL189" s="51">
        <f>COUNTIF(BL107:BL187,3)</f>
        <v>0</v>
      </c>
      <c r="BM189" s="52">
        <f>COUNTIF(BM107:BM187,1)</f>
        <v>0</v>
      </c>
      <c r="BN189" s="50">
        <f>COUNTIF(BN107:BN187,2)</f>
        <v>0</v>
      </c>
      <c r="BO189" s="51">
        <f>COUNTIF(BO107:BO187,3)</f>
        <v>0</v>
      </c>
      <c r="BP189" s="52">
        <f>COUNTIF(BP107:BP187,1)</f>
        <v>0</v>
      </c>
      <c r="BQ189" s="50">
        <f>COUNTIF(BQ107:BQ187,2)</f>
        <v>0</v>
      </c>
      <c r="BR189" s="51">
        <f>COUNTIF(BR107:BR187,3)</f>
        <v>0</v>
      </c>
      <c r="BS189" s="52">
        <f>COUNTIF(BS107:BS187,1)</f>
        <v>0</v>
      </c>
      <c r="BT189" s="50">
        <f>COUNTIF(BT107:BT187,2)</f>
        <v>0</v>
      </c>
      <c r="BU189" s="51">
        <f>COUNTIF(BU107:BU187,3)</f>
        <v>0</v>
      </c>
      <c r="BV189" s="52">
        <f>COUNTIF(BV107:BV187,1)</f>
        <v>0</v>
      </c>
      <c r="BW189" s="50">
        <f>COUNTIF(BW107:BW187,2)</f>
        <v>0</v>
      </c>
      <c r="BX189" s="51">
        <f>COUNTIF(BX107:BX187,3)</f>
        <v>0</v>
      </c>
      <c r="BY189" s="52">
        <f>COUNTIF(BY107:BY187,1)</f>
        <v>0</v>
      </c>
      <c r="BZ189" s="50">
        <f>COUNTIF(BZ107:BZ187,2)</f>
        <v>0</v>
      </c>
      <c r="CA189" s="51">
        <f>COUNTIF(CA107:CA187,3)</f>
        <v>0</v>
      </c>
      <c r="CB189" s="52">
        <f>COUNTIF(CB107:CB187,1)</f>
        <v>0</v>
      </c>
      <c r="CC189" s="50">
        <f>COUNTIF(CC107:CC187,2)</f>
        <v>0</v>
      </c>
      <c r="CD189" s="51">
        <f>COUNTIF(CD107:CD187,3)</f>
        <v>0</v>
      </c>
      <c r="CE189" s="52">
        <f>COUNTIF(CE107:CE187,1)</f>
        <v>0</v>
      </c>
      <c r="CF189" s="50">
        <f>COUNTIF(CF107:CF187,2)</f>
        <v>0</v>
      </c>
      <c r="CG189" s="51">
        <f>COUNTIF(CG107:CG187,3)</f>
        <v>0</v>
      </c>
      <c r="CH189" s="52">
        <f>COUNTIF(CH107:CH187,1)</f>
        <v>0</v>
      </c>
      <c r="CI189" s="50">
        <f>COUNTIF(CI107:CI187,2)</f>
        <v>0</v>
      </c>
      <c r="CJ189" s="51">
        <f>COUNTIF(CJ107:CJ187,3)</f>
        <v>0</v>
      </c>
      <c r="CK189" s="52">
        <f>COUNTIF(CK107:CK187,1)</f>
        <v>0</v>
      </c>
      <c r="CL189" s="50">
        <f>COUNTIF(CL107:CL187,2)</f>
        <v>0</v>
      </c>
      <c r="CM189" s="51">
        <f>COUNTIF(CM107:CM187,3)</f>
        <v>0</v>
      </c>
      <c r="CN189" s="52">
        <f>COUNTIF(CN107:CN187,1)</f>
        <v>0</v>
      </c>
      <c r="CO189" s="50">
        <f>COUNTIF(CO107:CO187,2)</f>
        <v>0</v>
      </c>
      <c r="CP189" s="51">
        <f>COUNTIF(CP107:CP187,3)</f>
        <v>0</v>
      </c>
      <c r="DJ189" s="94">
        <f t="shared" si="271"/>
        <v>-1</v>
      </c>
      <c r="DK189" s="39">
        <f t="shared" si="272"/>
        <v>-1</v>
      </c>
      <c r="DL189" s="41">
        <f t="shared" si="273"/>
        <v>-1</v>
      </c>
      <c r="DM189" s="40">
        <f t="shared" si="274"/>
        <v>-1</v>
      </c>
      <c r="DN189" s="39">
        <f t="shared" si="275"/>
        <v>-1</v>
      </c>
      <c r="DO189" s="41">
        <f t="shared" si="276"/>
        <v>-1</v>
      </c>
      <c r="DP189" s="40">
        <f t="shared" si="277"/>
        <v>0</v>
      </c>
      <c r="DQ189" s="39">
        <f t="shared" si="278"/>
        <v>0</v>
      </c>
      <c r="DR189" s="42">
        <f t="shared" si="279"/>
        <v>0</v>
      </c>
      <c r="DS189" s="43">
        <f t="shared" si="280"/>
        <v>-1</v>
      </c>
      <c r="DT189" s="39">
        <f t="shared" si="281"/>
        <v>-1</v>
      </c>
      <c r="DU189" s="41">
        <f t="shared" si="282"/>
        <v>-1</v>
      </c>
      <c r="DV189" s="40">
        <f t="shared" si="283"/>
        <v>-1</v>
      </c>
      <c r="DW189" s="39">
        <f t="shared" si="284"/>
        <v>-1</v>
      </c>
      <c r="DX189" s="41">
        <f t="shared" si="285"/>
        <v>-1</v>
      </c>
      <c r="DY189" s="40">
        <f t="shared" si="286"/>
        <v>-1</v>
      </c>
      <c r="DZ189" s="39">
        <f t="shared" si="287"/>
        <v>-1</v>
      </c>
      <c r="EA189" s="42">
        <f t="shared" si="288"/>
        <v>-1</v>
      </c>
      <c r="EB189" s="43">
        <f t="shared" si="289"/>
        <v>-1</v>
      </c>
      <c r="EC189" s="39">
        <f t="shared" si="290"/>
        <v>-1</v>
      </c>
      <c r="ED189" s="41">
        <f t="shared" si="291"/>
        <v>-1</v>
      </c>
      <c r="EE189" s="40">
        <f t="shared" si="292"/>
        <v>-1</v>
      </c>
      <c r="EF189" s="39">
        <f t="shared" si="293"/>
        <v>-1</v>
      </c>
      <c r="EG189" s="41">
        <f t="shared" si="294"/>
        <v>-1</v>
      </c>
      <c r="EH189" s="40">
        <f t="shared" si="295"/>
        <v>-1</v>
      </c>
      <c r="EI189" s="39">
        <f t="shared" si="296"/>
        <v>-1</v>
      </c>
      <c r="EJ189" s="95">
        <f t="shared" si="297"/>
        <v>-1</v>
      </c>
      <c r="EK189" s="94">
        <f t="shared" si="298"/>
        <v>-1</v>
      </c>
      <c r="EL189" s="39">
        <f t="shared" si="299"/>
        <v>-1</v>
      </c>
      <c r="EM189" s="41">
        <f t="shared" si="300"/>
        <v>-1</v>
      </c>
      <c r="EN189" s="40">
        <f t="shared" si="301"/>
        <v>-1</v>
      </c>
      <c r="EO189" s="39">
        <f t="shared" si="302"/>
        <v>-1</v>
      </c>
      <c r="EP189" s="41">
        <f t="shared" si="303"/>
        <v>-1</v>
      </c>
      <c r="EQ189" s="40">
        <f t="shared" si="304"/>
        <v>-1</v>
      </c>
      <c r="ER189" s="39">
        <f t="shared" si="305"/>
        <v>-1</v>
      </c>
      <c r="ES189" s="42">
        <f t="shared" si="306"/>
        <v>-1</v>
      </c>
      <c r="ET189" s="43">
        <f t="shared" si="307"/>
        <v>-1</v>
      </c>
      <c r="EU189" s="39">
        <f t="shared" si="308"/>
        <v>-1</v>
      </c>
      <c r="EV189" s="41">
        <f t="shared" si="309"/>
        <v>-1</v>
      </c>
      <c r="EW189" s="40">
        <f t="shared" si="310"/>
        <v>-1</v>
      </c>
      <c r="EX189" s="39">
        <f t="shared" si="311"/>
        <v>-1</v>
      </c>
      <c r="EY189" s="41">
        <f t="shared" si="312"/>
        <v>-1</v>
      </c>
      <c r="EZ189" s="40">
        <f t="shared" si="313"/>
        <v>-1</v>
      </c>
      <c r="FA189" s="39">
        <f t="shared" si="314"/>
        <v>-1</v>
      </c>
      <c r="FB189" s="42">
        <f t="shared" si="315"/>
        <v>-1</v>
      </c>
      <c r="FC189" s="43">
        <f t="shared" si="316"/>
        <v>-1</v>
      </c>
      <c r="FD189" s="39">
        <f t="shared" si="317"/>
        <v>-1</v>
      </c>
      <c r="FE189" s="41">
        <f t="shared" si="318"/>
        <v>-1</v>
      </c>
      <c r="FF189" s="40">
        <f t="shared" si="319"/>
        <v>-1</v>
      </c>
      <c r="FG189" s="39">
        <f t="shared" si="320"/>
        <v>-1</v>
      </c>
      <c r="FH189" s="41">
        <f t="shared" si="321"/>
        <v>-1</v>
      </c>
      <c r="FI189" s="40">
        <f t="shared" si="322"/>
        <v>-1</v>
      </c>
      <c r="FJ189" s="39">
        <f t="shared" si="323"/>
        <v>-1</v>
      </c>
      <c r="FK189" s="95">
        <f t="shared" si="324"/>
        <v>-1</v>
      </c>
      <c r="FL189" s="94">
        <f t="shared" si="325"/>
        <v>-1</v>
      </c>
      <c r="FM189" s="39">
        <f t="shared" si="326"/>
        <v>-1</v>
      </c>
      <c r="FN189" s="41">
        <f t="shared" si="327"/>
        <v>-1</v>
      </c>
      <c r="FO189" s="40">
        <f t="shared" si="328"/>
        <v>-1</v>
      </c>
      <c r="FP189" s="39">
        <f t="shared" si="329"/>
        <v>-1</v>
      </c>
      <c r="FQ189" s="41">
        <f t="shared" si="330"/>
        <v>-1</v>
      </c>
      <c r="FR189" s="40">
        <f t="shared" si="331"/>
        <v>-1</v>
      </c>
      <c r="FS189" s="39">
        <f t="shared" si="332"/>
        <v>-1</v>
      </c>
      <c r="FT189" s="42">
        <f t="shared" si="333"/>
        <v>-1</v>
      </c>
      <c r="FU189" s="43">
        <f t="shared" si="334"/>
        <v>-1</v>
      </c>
      <c r="FV189" s="39">
        <f t="shared" si="335"/>
        <v>-1</v>
      </c>
      <c r="FW189" s="41">
        <f t="shared" si="336"/>
        <v>-1</v>
      </c>
      <c r="FX189" s="40">
        <f t="shared" si="337"/>
        <v>-1</v>
      </c>
      <c r="FY189" s="39">
        <f t="shared" si="338"/>
        <v>-1</v>
      </c>
      <c r="FZ189" s="41">
        <f t="shared" si="339"/>
        <v>-1</v>
      </c>
      <c r="GA189" s="40">
        <f t="shared" si="340"/>
        <v>-1</v>
      </c>
      <c r="GB189" s="39">
        <f t="shared" si="341"/>
        <v>-1</v>
      </c>
      <c r="GC189" s="42">
        <f t="shared" si="342"/>
        <v>-1</v>
      </c>
      <c r="GD189" s="43">
        <f t="shared" si="343"/>
        <v>-1</v>
      </c>
      <c r="GE189" s="39">
        <f t="shared" si="344"/>
        <v>-1</v>
      </c>
      <c r="GF189" s="41">
        <f t="shared" si="345"/>
        <v>-1</v>
      </c>
      <c r="GG189" s="40">
        <f t="shared" si="346"/>
        <v>-1</v>
      </c>
      <c r="GH189" s="39">
        <f t="shared" si="347"/>
        <v>-1</v>
      </c>
      <c r="GI189" s="41">
        <f t="shared" si="348"/>
        <v>-1</v>
      </c>
      <c r="GJ189" s="40">
        <f t="shared" si="349"/>
        <v>-1</v>
      </c>
      <c r="GK189" s="39">
        <f t="shared" si="350"/>
        <v>-1</v>
      </c>
      <c r="GL189" s="95">
        <f t="shared" si="351"/>
        <v>-1</v>
      </c>
      <c r="GN189" s="40">
        <f>COUNTIF(DJ189:GL189,4)</f>
        <v>0</v>
      </c>
      <c r="GO189" s="39">
        <f>COUNTIF(DJ189:GL189,5)</f>
        <v>0</v>
      </c>
      <c r="GP189" s="41">
        <f>COUNTIF(DJ189:GL189,6)</f>
        <v>0</v>
      </c>
      <c r="GQ189" s="39"/>
      <c r="GR189" s="39"/>
      <c r="GT189" s="72">
        <f t="shared" ref="GT189:GV189" si="375">GT162</f>
        <v>4</v>
      </c>
      <c r="GU189" s="73">
        <f t="shared" si="375"/>
        <v>1</v>
      </c>
      <c r="GV189" s="74">
        <f t="shared" si="375"/>
        <v>3</v>
      </c>
    </row>
    <row r="190" spans="9:204" ht="15" customHeight="1" thickBot="1">
      <c r="I190" s="28" t="s">
        <v>7</v>
      </c>
      <c r="N190" s="40">
        <f>COUNTIF(N107:N187,4)</f>
        <v>0</v>
      </c>
      <c r="O190" s="39">
        <f>COUNTIF(O107:O187,5)</f>
        <v>0</v>
      </c>
      <c r="P190" s="41">
        <f>COUNTIF(P107:P187,6)</f>
        <v>0</v>
      </c>
      <c r="Q190" s="40">
        <f>COUNTIF(Q107:Q187,4)</f>
        <v>0</v>
      </c>
      <c r="R190" s="39">
        <f>COUNTIF(R107:R187,5)</f>
        <v>0</v>
      </c>
      <c r="S190" s="41">
        <f>COUNTIF(S107:S187,6)</f>
        <v>0</v>
      </c>
      <c r="T190" s="40">
        <f>COUNTIF(T107:T187,4)</f>
        <v>0</v>
      </c>
      <c r="U190" s="39">
        <f>COUNTIF(U107:U187,5)</f>
        <v>0</v>
      </c>
      <c r="V190" s="41">
        <f>COUNTIF(V107:V187,6)</f>
        <v>0</v>
      </c>
      <c r="W190" s="40">
        <f>COUNTIF(W107:W187,4)</f>
        <v>0</v>
      </c>
      <c r="X190" s="39">
        <f>COUNTIF(X107:X187,5)</f>
        <v>0</v>
      </c>
      <c r="Y190" s="41">
        <f>COUNTIF(Y107:Y187,6)</f>
        <v>0</v>
      </c>
      <c r="Z190" s="40">
        <f>COUNTIF(Z107:Z187,4)</f>
        <v>0</v>
      </c>
      <c r="AA190" s="39">
        <f>COUNTIF(AA107:AA187,5)</f>
        <v>0</v>
      </c>
      <c r="AB190" s="41">
        <f>COUNTIF(AB107:AB187,6)</f>
        <v>0</v>
      </c>
      <c r="AC190" s="40">
        <f>COUNTIF(AC107:AC187,4)</f>
        <v>0</v>
      </c>
      <c r="AD190" s="39">
        <f>COUNTIF(AD107:AD187,5)</f>
        <v>0</v>
      </c>
      <c r="AE190" s="41">
        <f>COUNTIF(AE107:AE187,6)</f>
        <v>0</v>
      </c>
      <c r="AF190" s="40">
        <f>COUNTIF(AF107:AF187,4)</f>
        <v>0</v>
      </c>
      <c r="AG190" s="39">
        <f>COUNTIF(AG107:AG187,5)</f>
        <v>0</v>
      </c>
      <c r="AH190" s="41">
        <f>COUNTIF(AH107:AH187,6)</f>
        <v>0</v>
      </c>
      <c r="AI190" s="40">
        <f>COUNTIF(AI107:AI187,4)</f>
        <v>0</v>
      </c>
      <c r="AJ190" s="39">
        <f>COUNTIF(AJ107:AJ187,5)</f>
        <v>0</v>
      </c>
      <c r="AK190" s="41">
        <f>COUNTIF(AK107:AK187,6)</f>
        <v>0</v>
      </c>
      <c r="AL190" s="40">
        <f>COUNTIF(AL107:AL187,4)</f>
        <v>0</v>
      </c>
      <c r="AM190" s="39">
        <f>COUNTIF(AM107:AM187,5)</f>
        <v>0</v>
      </c>
      <c r="AN190" s="41">
        <f>COUNTIF(AN107:AN187,6)</f>
        <v>0</v>
      </c>
      <c r="AO190" s="40">
        <f>COUNTIF(AO107:AO187,4)</f>
        <v>0</v>
      </c>
      <c r="AP190" s="39">
        <f>COUNTIF(AP107:AP187,5)</f>
        <v>0</v>
      </c>
      <c r="AQ190" s="41">
        <f>COUNTIF(AQ107:AQ187,6)</f>
        <v>0</v>
      </c>
      <c r="AR190" s="40">
        <f>COUNTIF(AR107:AR187,4)</f>
        <v>0</v>
      </c>
      <c r="AS190" s="39">
        <f>COUNTIF(AS107:AS187,5)</f>
        <v>0</v>
      </c>
      <c r="AT190" s="41">
        <f>COUNTIF(AT107:AT187,6)</f>
        <v>0</v>
      </c>
      <c r="AU190" s="40">
        <f>COUNTIF(AU107:AU187,4)</f>
        <v>0</v>
      </c>
      <c r="AV190" s="39">
        <f>COUNTIF(AV107:AV187,5)</f>
        <v>0</v>
      </c>
      <c r="AW190" s="41">
        <f>COUNTIF(AW107:AW187,6)</f>
        <v>0</v>
      </c>
      <c r="AX190" s="40">
        <f>COUNTIF(AX107:AX187,4)</f>
        <v>0</v>
      </c>
      <c r="AY190" s="39">
        <f>COUNTIF(AY107:AY187,5)</f>
        <v>0</v>
      </c>
      <c r="AZ190" s="41">
        <f>COUNTIF(AZ107:AZ187,6)</f>
        <v>0</v>
      </c>
      <c r="BA190" s="40">
        <f>COUNTIF(BA107:BA187,4)</f>
        <v>0</v>
      </c>
      <c r="BB190" s="39">
        <f>COUNTIF(BB107:BB187,5)</f>
        <v>0</v>
      </c>
      <c r="BC190" s="41">
        <f>COUNTIF(BC107:BC187,6)</f>
        <v>0</v>
      </c>
      <c r="BD190" s="40">
        <f>COUNTIF(BD107:BD187,4)</f>
        <v>0</v>
      </c>
      <c r="BE190" s="39">
        <f>COUNTIF(BE107:BE187,5)</f>
        <v>0</v>
      </c>
      <c r="BF190" s="41">
        <f>COUNTIF(BF107:BF187,6)</f>
        <v>0</v>
      </c>
      <c r="BG190" s="40">
        <f>COUNTIF(BG107:BG187,4)</f>
        <v>0</v>
      </c>
      <c r="BH190" s="39">
        <f>COUNTIF(BH107:BH187,5)</f>
        <v>0</v>
      </c>
      <c r="BI190" s="41">
        <f>COUNTIF(BI107:BI187,6)</f>
        <v>0</v>
      </c>
      <c r="BJ190" s="40">
        <f>COUNTIF(BJ107:BJ187,4)</f>
        <v>0</v>
      </c>
      <c r="BK190" s="39">
        <f>COUNTIF(BK107:BK187,5)</f>
        <v>0</v>
      </c>
      <c r="BL190" s="41">
        <f>COUNTIF(BL107:BL187,6)</f>
        <v>0</v>
      </c>
      <c r="BM190" s="40">
        <f>COUNTIF(BM107:BM187,4)</f>
        <v>0</v>
      </c>
      <c r="BN190" s="39">
        <f>COUNTIF(BN107:BN187,5)</f>
        <v>0</v>
      </c>
      <c r="BO190" s="41">
        <f>COUNTIF(BO107:BO187,6)</f>
        <v>0</v>
      </c>
      <c r="BP190" s="40">
        <f>COUNTIF(BP107:BP187,4)</f>
        <v>0</v>
      </c>
      <c r="BQ190" s="39">
        <f>COUNTIF(BQ107:BQ187,5)</f>
        <v>0</v>
      </c>
      <c r="BR190" s="41">
        <f>COUNTIF(BR107:BR187,6)</f>
        <v>0</v>
      </c>
      <c r="BS190" s="40">
        <f>COUNTIF(BS107:BS187,4)</f>
        <v>0</v>
      </c>
      <c r="BT190" s="39">
        <f>COUNTIF(BT107:BT187,5)</f>
        <v>0</v>
      </c>
      <c r="BU190" s="41">
        <f>COUNTIF(BU107:BU187,6)</f>
        <v>0</v>
      </c>
      <c r="BV190" s="40">
        <f>COUNTIF(BV107:BV187,4)</f>
        <v>0</v>
      </c>
      <c r="BW190" s="39">
        <f>COUNTIF(BW107:BW187,5)</f>
        <v>0</v>
      </c>
      <c r="BX190" s="41">
        <f>COUNTIF(BX107:BX187,6)</f>
        <v>0</v>
      </c>
      <c r="BY190" s="40">
        <f>COUNTIF(BY107:BY187,4)</f>
        <v>0</v>
      </c>
      <c r="BZ190" s="39">
        <f>COUNTIF(BZ107:BZ187,5)</f>
        <v>0</v>
      </c>
      <c r="CA190" s="41">
        <f>COUNTIF(CA107:CA187,6)</f>
        <v>0</v>
      </c>
      <c r="CB190" s="40">
        <f>COUNTIF(CB107:CB187,4)</f>
        <v>0</v>
      </c>
      <c r="CC190" s="39">
        <f>COUNTIF(CC107:CC187,5)</f>
        <v>0</v>
      </c>
      <c r="CD190" s="41">
        <f>COUNTIF(CD107:CD187,6)</f>
        <v>0</v>
      </c>
      <c r="CE190" s="40">
        <f>COUNTIF(CE107:CE187,4)</f>
        <v>0</v>
      </c>
      <c r="CF190" s="39">
        <f>COUNTIF(CF107:CF187,5)</f>
        <v>0</v>
      </c>
      <c r="CG190" s="41">
        <f>COUNTIF(CG107:CG187,6)</f>
        <v>0</v>
      </c>
      <c r="CH190" s="40">
        <f>COUNTIF(CH107:CH187,4)</f>
        <v>0</v>
      </c>
      <c r="CI190" s="39">
        <f>COUNTIF(CI107:CI187,5)</f>
        <v>0</v>
      </c>
      <c r="CJ190" s="41">
        <f>COUNTIF(CJ107:CJ187,6)</f>
        <v>0</v>
      </c>
      <c r="CK190" s="40">
        <f>COUNTIF(CK107:CK187,4)</f>
        <v>0</v>
      </c>
      <c r="CL190" s="39">
        <f>COUNTIF(CL107:CL187,5)</f>
        <v>0</v>
      </c>
      <c r="CM190" s="41">
        <f>COUNTIF(CM107:CM187,6)</f>
        <v>0</v>
      </c>
      <c r="CN190" s="40">
        <f>COUNTIF(CN107:CN187,4)</f>
        <v>0</v>
      </c>
      <c r="CO190" s="39">
        <f>COUNTIF(CO107:CO187,5)</f>
        <v>0</v>
      </c>
      <c r="CP190" s="41">
        <f>COUNTIF(CP107:CP187,6)</f>
        <v>0</v>
      </c>
      <c r="DJ190" s="99">
        <f t="shared" si="271"/>
        <v>-1</v>
      </c>
      <c r="DK190" s="45">
        <f t="shared" si="272"/>
        <v>-1</v>
      </c>
      <c r="DL190" s="47">
        <f t="shared" si="273"/>
        <v>-1</v>
      </c>
      <c r="DM190" s="46">
        <f t="shared" si="274"/>
        <v>-1</v>
      </c>
      <c r="DN190" s="45">
        <f t="shared" si="275"/>
        <v>-1</v>
      </c>
      <c r="DO190" s="47">
        <f t="shared" si="276"/>
        <v>-1</v>
      </c>
      <c r="DP190" s="46">
        <f t="shared" si="277"/>
        <v>0</v>
      </c>
      <c r="DQ190" s="45">
        <f t="shared" si="278"/>
        <v>0</v>
      </c>
      <c r="DR190" s="48">
        <f t="shared" si="279"/>
        <v>0</v>
      </c>
      <c r="DS190" s="44">
        <f t="shared" si="280"/>
        <v>-1</v>
      </c>
      <c r="DT190" s="45">
        <f t="shared" si="281"/>
        <v>-1</v>
      </c>
      <c r="DU190" s="47">
        <f t="shared" si="282"/>
        <v>-1</v>
      </c>
      <c r="DV190" s="46">
        <f t="shared" si="283"/>
        <v>-1</v>
      </c>
      <c r="DW190" s="45">
        <f t="shared" si="284"/>
        <v>-1</v>
      </c>
      <c r="DX190" s="47">
        <f t="shared" si="285"/>
        <v>-1</v>
      </c>
      <c r="DY190" s="46">
        <f t="shared" si="286"/>
        <v>-1</v>
      </c>
      <c r="DZ190" s="45">
        <f t="shared" si="287"/>
        <v>-1</v>
      </c>
      <c r="EA190" s="48">
        <f t="shared" si="288"/>
        <v>-1</v>
      </c>
      <c r="EB190" s="44">
        <f t="shared" si="289"/>
        <v>-1</v>
      </c>
      <c r="EC190" s="45">
        <f t="shared" si="290"/>
        <v>-1</v>
      </c>
      <c r="ED190" s="47">
        <f t="shared" si="291"/>
        <v>-1</v>
      </c>
      <c r="EE190" s="46">
        <f t="shared" si="292"/>
        <v>-1</v>
      </c>
      <c r="EF190" s="45">
        <f t="shared" si="293"/>
        <v>-1</v>
      </c>
      <c r="EG190" s="47">
        <f t="shared" si="294"/>
        <v>-1</v>
      </c>
      <c r="EH190" s="46">
        <f t="shared" si="295"/>
        <v>-1</v>
      </c>
      <c r="EI190" s="45">
        <f t="shared" si="296"/>
        <v>-1</v>
      </c>
      <c r="EJ190" s="100">
        <f t="shared" si="297"/>
        <v>-1</v>
      </c>
      <c r="EK190" s="99">
        <f t="shared" si="298"/>
        <v>-1</v>
      </c>
      <c r="EL190" s="45">
        <f t="shared" si="299"/>
        <v>-1</v>
      </c>
      <c r="EM190" s="47">
        <f t="shared" si="300"/>
        <v>-1</v>
      </c>
      <c r="EN190" s="46">
        <f t="shared" si="301"/>
        <v>-1</v>
      </c>
      <c r="EO190" s="45">
        <f t="shared" si="302"/>
        <v>-1</v>
      </c>
      <c r="EP190" s="47">
        <f t="shared" si="303"/>
        <v>-1</v>
      </c>
      <c r="EQ190" s="46">
        <f t="shared" si="304"/>
        <v>-1</v>
      </c>
      <c r="ER190" s="45">
        <f t="shared" si="305"/>
        <v>-1</v>
      </c>
      <c r="ES190" s="48">
        <f t="shared" si="306"/>
        <v>-1</v>
      </c>
      <c r="ET190" s="44">
        <f t="shared" si="307"/>
        <v>-1</v>
      </c>
      <c r="EU190" s="45">
        <f t="shared" si="308"/>
        <v>-1</v>
      </c>
      <c r="EV190" s="47">
        <f t="shared" si="309"/>
        <v>-1</v>
      </c>
      <c r="EW190" s="46">
        <f t="shared" si="310"/>
        <v>-1</v>
      </c>
      <c r="EX190" s="45">
        <f t="shared" si="311"/>
        <v>-1</v>
      </c>
      <c r="EY190" s="47">
        <f t="shared" si="312"/>
        <v>-1</v>
      </c>
      <c r="EZ190" s="46">
        <f t="shared" si="313"/>
        <v>-1</v>
      </c>
      <c r="FA190" s="45">
        <f t="shared" si="314"/>
        <v>-1</v>
      </c>
      <c r="FB190" s="48">
        <f t="shared" si="315"/>
        <v>-1</v>
      </c>
      <c r="FC190" s="44">
        <f t="shared" si="316"/>
        <v>-1</v>
      </c>
      <c r="FD190" s="45">
        <f t="shared" si="317"/>
        <v>-1</v>
      </c>
      <c r="FE190" s="47">
        <f t="shared" si="318"/>
        <v>-1</v>
      </c>
      <c r="FF190" s="46">
        <f t="shared" si="319"/>
        <v>-1</v>
      </c>
      <c r="FG190" s="45">
        <f t="shared" si="320"/>
        <v>-1</v>
      </c>
      <c r="FH190" s="47">
        <f t="shared" si="321"/>
        <v>-1</v>
      </c>
      <c r="FI190" s="46">
        <f t="shared" si="322"/>
        <v>-1</v>
      </c>
      <c r="FJ190" s="45">
        <f t="shared" si="323"/>
        <v>-1</v>
      </c>
      <c r="FK190" s="100">
        <f t="shared" si="324"/>
        <v>-1</v>
      </c>
      <c r="FL190" s="99">
        <f t="shared" si="325"/>
        <v>-1</v>
      </c>
      <c r="FM190" s="45">
        <f t="shared" si="326"/>
        <v>-1</v>
      </c>
      <c r="FN190" s="47">
        <f t="shared" si="327"/>
        <v>-1</v>
      </c>
      <c r="FO190" s="46">
        <f t="shared" si="328"/>
        <v>-1</v>
      </c>
      <c r="FP190" s="45">
        <f t="shared" si="329"/>
        <v>-1</v>
      </c>
      <c r="FQ190" s="47">
        <f t="shared" si="330"/>
        <v>-1</v>
      </c>
      <c r="FR190" s="46">
        <f t="shared" si="331"/>
        <v>-1</v>
      </c>
      <c r="FS190" s="45">
        <f t="shared" si="332"/>
        <v>-1</v>
      </c>
      <c r="FT190" s="48">
        <f t="shared" si="333"/>
        <v>-1</v>
      </c>
      <c r="FU190" s="44">
        <f t="shared" si="334"/>
        <v>-1</v>
      </c>
      <c r="FV190" s="45">
        <f t="shared" si="335"/>
        <v>-1</v>
      </c>
      <c r="FW190" s="47">
        <f t="shared" si="336"/>
        <v>-1</v>
      </c>
      <c r="FX190" s="46">
        <f t="shared" si="337"/>
        <v>-1</v>
      </c>
      <c r="FY190" s="45">
        <f t="shared" si="338"/>
        <v>-1</v>
      </c>
      <c r="FZ190" s="47">
        <f t="shared" si="339"/>
        <v>-1</v>
      </c>
      <c r="GA190" s="46">
        <f t="shared" si="340"/>
        <v>-1</v>
      </c>
      <c r="GB190" s="45">
        <f t="shared" si="341"/>
        <v>-1</v>
      </c>
      <c r="GC190" s="48">
        <f t="shared" si="342"/>
        <v>-1</v>
      </c>
      <c r="GD190" s="44">
        <f t="shared" si="343"/>
        <v>-1</v>
      </c>
      <c r="GE190" s="45">
        <f t="shared" si="344"/>
        <v>-1</v>
      </c>
      <c r="GF190" s="47">
        <f t="shared" si="345"/>
        <v>-1</v>
      </c>
      <c r="GG190" s="46">
        <f t="shared" si="346"/>
        <v>-1</v>
      </c>
      <c r="GH190" s="45">
        <f t="shared" si="347"/>
        <v>-1</v>
      </c>
      <c r="GI190" s="47">
        <f t="shared" si="348"/>
        <v>-1</v>
      </c>
      <c r="GJ190" s="46">
        <f t="shared" si="349"/>
        <v>-1</v>
      </c>
      <c r="GK190" s="45">
        <f t="shared" si="350"/>
        <v>-1</v>
      </c>
      <c r="GL190" s="100">
        <f t="shared" si="351"/>
        <v>-1</v>
      </c>
      <c r="GN190" s="46">
        <f>COUNTIF(DJ190:GL190,7)</f>
        <v>0</v>
      </c>
      <c r="GO190" s="45">
        <f>COUNTIF(DJ190:GL190,8)</f>
        <v>0</v>
      </c>
      <c r="GP190" s="47">
        <f>COUNTIF(DJ190:GL190,9)</f>
        <v>0</v>
      </c>
      <c r="GQ190" s="39"/>
      <c r="GR190" s="39"/>
      <c r="GT190" s="78">
        <f t="shared" ref="GT190:GV190" si="376">GT163</f>
        <v>0</v>
      </c>
      <c r="GU190" s="79">
        <f t="shared" si="376"/>
        <v>5</v>
      </c>
      <c r="GV190" s="80">
        <f t="shared" si="376"/>
        <v>0</v>
      </c>
    </row>
    <row r="191" spans="9:204" ht="15" customHeight="1">
      <c r="N191" s="46">
        <f>COUNTIF(N107:N187,7)</f>
        <v>0</v>
      </c>
      <c r="O191" s="45">
        <f>COUNTIF(O107:O187,8)</f>
        <v>0</v>
      </c>
      <c r="P191" s="47">
        <f>COUNTIF(P107:P187,9)</f>
        <v>0</v>
      </c>
      <c r="Q191" s="46">
        <f>COUNTIF(Q107:Q187,7)</f>
        <v>0</v>
      </c>
      <c r="R191" s="45">
        <f>COUNTIF(R107:R187,8)</f>
        <v>0</v>
      </c>
      <c r="S191" s="47">
        <f>COUNTIF(S107:S187,9)</f>
        <v>0</v>
      </c>
      <c r="T191" s="46">
        <f>COUNTIF(T107:T187,7)</f>
        <v>0</v>
      </c>
      <c r="U191" s="45">
        <f>COUNTIF(U107:U187,8)</f>
        <v>0</v>
      </c>
      <c r="V191" s="47">
        <f>COUNTIF(V107:V187,9)</f>
        <v>0</v>
      </c>
      <c r="W191" s="46">
        <f>COUNTIF(W107:W187,7)</f>
        <v>0</v>
      </c>
      <c r="X191" s="45">
        <f>COUNTIF(X107:X187,8)</f>
        <v>0</v>
      </c>
      <c r="Y191" s="47">
        <f>COUNTIF(Y107:Y187,9)</f>
        <v>0</v>
      </c>
      <c r="Z191" s="46">
        <f>COUNTIF(Z107:Z187,7)</f>
        <v>0</v>
      </c>
      <c r="AA191" s="45">
        <f>COUNTIF(AA107:AA187,8)</f>
        <v>0</v>
      </c>
      <c r="AB191" s="47">
        <f>COUNTIF(AB107:AB187,9)</f>
        <v>0</v>
      </c>
      <c r="AC191" s="46">
        <f>COUNTIF(AC107:AC187,7)</f>
        <v>0</v>
      </c>
      <c r="AD191" s="45">
        <f>COUNTIF(AD107:AD187,8)</f>
        <v>0</v>
      </c>
      <c r="AE191" s="47">
        <f>COUNTIF(AE107:AE187,9)</f>
        <v>0</v>
      </c>
      <c r="AF191" s="46">
        <f>COUNTIF(AF107:AF187,7)</f>
        <v>0</v>
      </c>
      <c r="AG191" s="45">
        <f>COUNTIF(AG107:AG187,8)</f>
        <v>0</v>
      </c>
      <c r="AH191" s="47">
        <f>COUNTIF(AH107:AH187,9)</f>
        <v>0</v>
      </c>
      <c r="AI191" s="46">
        <f>COUNTIF(AI107:AI187,7)</f>
        <v>0</v>
      </c>
      <c r="AJ191" s="45">
        <f>COUNTIF(AJ107:AJ187,8)</f>
        <v>0</v>
      </c>
      <c r="AK191" s="47">
        <f>COUNTIF(AK107:AK187,9)</f>
        <v>0</v>
      </c>
      <c r="AL191" s="46">
        <f>COUNTIF(AL107:AL187,7)</f>
        <v>0</v>
      </c>
      <c r="AM191" s="45">
        <f>COUNTIF(AM107:AM187,8)</f>
        <v>0</v>
      </c>
      <c r="AN191" s="47">
        <f>COUNTIF(AN107:AN187,9)</f>
        <v>0</v>
      </c>
      <c r="AO191" s="46">
        <f>COUNTIF(AO107:AO187,7)</f>
        <v>0</v>
      </c>
      <c r="AP191" s="45">
        <f>COUNTIF(AP107:AP187,8)</f>
        <v>0</v>
      </c>
      <c r="AQ191" s="47">
        <f>COUNTIF(AQ107:AQ187,9)</f>
        <v>0</v>
      </c>
      <c r="AR191" s="46">
        <f>COUNTIF(AR107:AR187,7)</f>
        <v>0</v>
      </c>
      <c r="AS191" s="45">
        <f>COUNTIF(AS107:AS187,8)</f>
        <v>0</v>
      </c>
      <c r="AT191" s="47">
        <f>COUNTIF(AT107:AT187,9)</f>
        <v>0</v>
      </c>
      <c r="AU191" s="46">
        <f>COUNTIF(AU107:AU187,7)</f>
        <v>0</v>
      </c>
      <c r="AV191" s="45">
        <f>COUNTIF(AV107:AV187,8)</f>
        <v>0</v>
      </c>
      <c r="AW191" s="47">
        <f>COUNTIF(AW107:AW187,9)</f>
        <v>0</v>
      </c>
      <c r="AX191" s="46">
        <f>COUNTIF(AX107:AX187,7)</f>
        <v>0</v>
      </c>
      <c r="AY191" s="45">
        <f>COUNTIF(AY107:AY187,8)</f>
        <v>0</v>
      </c>
      <c r="AZ191" s="47">
        <f>COUNTIF(AZ107:AZ187,9)</f>
        <v>0</v>
      </c>
      <c r="BA191" s="46">
        <f>COUNTIF(BA107:BA187,7)</f>
        <v>0</v>
      </c>
      <c r="BB191" s="45">
        <f>COUNTIF(BB107:BB187,8)</f>
        <v>0</v>
      </c>
      <c r="BC191" s="47">
        <f>COUNTIF(BC107:BC187,9)</f>
        <v>0</v>
      </c>
      <c r="BD191" s="46">
        <f>COUNTIF(BD107:BD187,7)</f>
        <v>0</v>
      </c>
      <c r="BE191" s="45">
        <f>COUNTIF(BE107:BE187,8)</f>
        <v>0</v>
      </c>
      <c r="BF191" s="47">
        <f>COUNTIF(BF107:BF187,9)</f>
        <v>0</v>
      </c>
      <c r="BG191" s="46">
        <f>COUNTIF(BG107:BG187,7)</f>
        <v>0</v>
      </c>
      <c r="BH191" s="45">
        <f>COUNTIF(BH107:BH187,8)</f>
        <v>0</v>
      </c>
      <c r="BI191" s="47">
        <f>COUNTIF(BI107:BI187,9)</f>
        <v>0</v>
      </c>
      <c r="BJ191" s="46">
        <f>COUNTIF(BJ107:BJ187,7)</f>
        <v>0</v>
      </c>
      <c r="BK191" s="45">
        <f>COUNTIF(BK107:BK187,8)</f>
        <v>0</v>
      </c>
      <c r="BL191" s="47">
        <f>COUNTIF(BL107:BL187,9)</f>
        <v>0</v>
      </c>
      <c r="BM191" s="46">
        <f>COUNTIF(BM107:BM187,7)</f>
        <v>0</v>
      </c>
      <c r="BN191" s="45">
        <f>COUNTIF(BN107:BN187,8)</f>
        <v>0</v>
      </c>
      <c r="BO191" s="47">
        <f>COUNTIF(BO107:BO187,9)</f>
        <v>0</v>
      </c>
      <c r="BP191" s="46">
        <f>COUNTIF(BP107:BP187,7)</f>
        <v>0</v>
      </c>
      <c r="BQ191" s="45">
        <f>COUNTIF(BQ107:BQ187,8)</f>
        <v>0</v>
      </c>
      <c r="BR191" s="47">
        <f>COUNTIF(BR107:BR187,9)</f>
        <v>0</v>
      </c>
      <c r="BS191" s="46">
        <f>COUNTIF(BS107:BS187,7)</f>
        <v>0</v>
      </c>
      <c r="BT191" s="45">
        <f>COUNTIF(BT107:BT187,8)</f>
        <v>0</v>
      </c>
      <c r="BU191" s="47">
        <f>COUNTIF(BU107:BU187,9)</f>
        <v>0</v>
      </c>
      <c r="BV191" s="46">
        <f>COUNTIF(BV107:BV187,7)</f>
        <v>0</v>
      </c>
      <c r="BW191" s="45">
        <f>COUNTIF(BW107:BW187,8)</f>
        <v>0</v>
      </c>
      <c r="BX191" s="47">
        <f>COUNTIF(BX107:BX187,9)</f>
        <v>0</v>
      </c>
      <c r="BY191" s="46">
        <f>COUNTIF(BY107:BY187,7)</f>
        <v>0</v>
      </c>
      <c r="BZ191" s="45">
        <f>COUNTIF(BZ107:BZ187,8)</f>
        <v>0</v>
      </c>
      <c r="CA191" s="47">
        <f>COUNTIF(CA107:CA187,9)</f>
        <v>0</v>
      </c>
      <c r="CB191" s="46">
        <f>COUNTIF(CB107:CB187,7)</f>
        <v>0</v>
      </c>
      <c r="CC191" s="45">
        <f>COUNTIF(CC107:CC187,8)</f>
        <v>0</v>
      </c>
      <c r="CD191" s="47">
        <f>COUNTIF(CD107:CD187,9)</f>
        <v>0</v>
      </c>
      <c r="CE191" s="46">
        <f>COUNTIF(CE107:CE187,7)</f>
        <v>0</v>
      </c>
      <c r="CF191" s="45">
        <f>COUNTIF(CF107:CF187,8)</f>
        <v>0</v>
      </c>
      <c r="CG191" s="47">
        <f>COUNTIF(CG107:CG187,9)</f>
        <v>0</v>
      </c>
      <c r="CH191" s="46">
        <f>COUNTIF(CH107:CH187,7)</f>
        <v>0</v>
      </c>
      <c r="CI191" s="45">
        <f>COUNTIF(CI107:CI187,8)</f>
        <v>0</v>
      </c>
      <c r="CJ191" s="47">
        <f>COUNTIF(CJ107:CJ187,9)</f>
        <v>0</v>
      </c>
      <c r="CK191" s="46">
        <f>COUNTIF(CK107:CK187,7)</f>
        <v>0</v>
      </c>
      <c r="CL191" s="45">
        <f>COUNTIF(CL107:CL187,8)</f>
        <v>0</v>
      </c>
      <c r="CM191" s="47">
        <f>COUNTIF(CM107:CM187,9)</f>
        <v>0</v>
      </c>
      <c r="CN191" s="46">
        <f>COUNTIF(CN107:CN187,7)</f>
        <v>0</v>
      </c>
      <c r="CO191" s="45">
        <f>COUNTIF(CO107:CO187,8)</f>
        <v>0</v>
      </c>
      <c r="CP191" s="47">
        <f>COUNTIF(CP107:CP187,9)</f>
        <v>0</v>
      </c>
      <c r="DJ191" s="104">
        <f t="shared" si="271"/>
        <v>-1</v>
      </c>
      <c r="DK191" s="50">
        <f t="shared" si="272"/>
        <v>-1</v>
      </c>
      <c r="DL191" s="51">
        <f t="shared" si="273"/>
        <v>-1</v>
      </c>
      <c r="DM191" s="52">
        <f t="shared" si="274"/>
        <v>-1</v>
      </c>
      <c r="DN191" s="50">
        <f t="shared" si="275"/>
        <v>-1</v>
      </c>
      <c r="DO191" s="51">
        <f t="shared" si="276"/>
        <v>-1</v>
      </c>
      <c r="DP191" s="52">
        <f t="shared" si="277"/>
        <v>-1</v>
      </c>
      <c r="DQ191" s="50">
        <f t="shared" si="278"/>
        <v>-1</v>
      </c>
      <c r="DR191" s="53">
        <f t="shared" si="279"/>
        <v>-1</v>
      </c>
      <c r="DS191" s="49">
        <f t="shared" si="280"/>
        <v>-1</v>
      </c>
      <c r="DT191" s="50">
        <f t="shared" si="281"/>
        <v>-1</v>
      </c>
      <c r="DU191" s="51">
        <f t="shared" si="282"/>
        <v>-1</v>
      </c>
      <c r="DV191" s="52">
        <f t="shared" si="283"/>
        <v>-1</v>
      </c>
      <c r="DW191" s="50">
        <f t="shared" si="284"/>
        <v>-1</v>
      </c>
      <c r="DX191" s="51">
        <f t="shared" si="285"/>
        <v>-1</v>
      </c>
      <c r="DY191" s="52">
        <f t="shared" si="286"/>
        <v>-1</v>
      </c>
      <c r="DZ191" s="50">
        <f t="shared" si="287"/>
        <v>-1</v>
      </c>
      <c r="EA191" s="53">
        <f t="shared" si="288"/>
        <v>-1</v>
      </c>
      <c r="EB191" s="49">
        <f t="shared" si="289"/>
        <v>-1</v>
      </c>
      <c r="EC191" s="50">
        <f t="shared" si="290"/>
        <v>-1</v>
      </c>
      <c r="ED191" s="51">
        <f t="shared" si="291"/>
        <v>-1</v>
      </c>
      <c r="EE191" s="52">
        <f t="shared" si="292"/>
        <v>-1</v>
      </c>
      <c r="EF191" s="50">
        <f t="shared" si="293"/>
        <v>-1</v>
      </c>
      <c r="EG191" s="51">
        <f t="shared" si="294"/>
        <v>-1</v>
      </c>
      <c r="EH191" s="52">
        <f t="shared" si="295"/>
        <v>-1</v>
      </c>
      <c r="EI191" s="50">
        <f t="shared" si="296"/>
        <v>-1</v>
      </c>
      <c r="EJ191" s="105">
        <f t="shared" si="297"/>
        <v>-1</v>
      </c>
      <c r="EK191" s="104">
        <f t="shared" si="298"/>
        <v>-1</v>
      </c>
      <c r="EL191" s="50">
        <f t="shared" si="299"/>
        <v>-1</v>
      </c>
      <c r="EM191" s="51">
        <f t="shared" si="300"/>
        <v>-1</v>
      </c>
      <c r="EN191" s="52">
        <f t="shared" si="301"/>
        <v>-1</v>
      </c>
      <c r="EO191" s="50">
        <f t="shared" si="302"/>
        <v>-1</v>
      </c>
      <c r="EP191" s="51">
        <f t="shared" si="303"/>
        <v>-1</v>
      </c>
      <c r="EQ191" s="52">
        <f t="shared" si="304"/>
        <v>-1</v>
      </c>
      <c r="ER191" s="50">
        <f t="shared" si="305"/>
        <v>-1</v>
      </c>
      <c r="ES191" s="53">
        <f t="shared" si="306"/>
        <v>-1</v>
      </c>
      <c r="ET191" s="49">
        <f t="shared" si="307"/>
        <v>-1</v>
      </c>
      <c r="EU191" s="50">
        <f t="shared" si="308"/>
        <v>-1</v>
      </c>
      <c r="EV191" s="51">
        <f t="shared" si="309"/>
        <v>-1</v>
      </c>
      <c r="EW191" s="52">
        <f t="shared" si="310"/>
        <v>-1</v>
      </c>
      <c r="EX191" s="50">
        <f t="shared" si="311"/>
        <v>-1</v>
      </c>
      <c r="EY191" s="51">
        <f t="shared" si="312"/>
        <v>-1</v>
      </c>
      <c r="EZ191" s="52">
        <f t="shared" si="313"/>
        <v>-1</v>
      </c>
      <c r="FA191" s="50">
        <f t="shared" si="314"/>
        <v>-1</v>
      </c>
      <c r="FB191" s="53">
        <f t="shared" si="315"/>
        <v>-1</v>
      </c>
      <c r="FC191" s="49">
        <f t="shared" si="316"/>
        <v>-1</v>
      </c>
      <c r="FD191" s="50">
        <f t="shared" si="317"/>
        <v>-1</v>
      </c>
      <c r="FE191" s="51">
        <f t="shared" si="318"/>
        <v>-1</v>
      </c>
      <c r="FF191" s="52">
        <f t="shared" si="319"/>
        <v>-1</v>
      </c>
      <c r="FG191" s="50">
        <f t="shared" si="320"/>
        <v>-1</v>
      </c>
      <c r="FH191" s="51">
        <f t="shared" si="321"/>
        <v>-1</v>
      </c>
      <c r="FI191" s="52">
        <f t="shared" si="322"/>
        <v>-1</v>
      </c>
      <c r="FJ191" s="50">
        <f t="shared" si="323"/>
        <v>-1</v>
      </c>
      <c r="FK191" s="105">
        <f t="shared" si="324"/>
        <v>-1</v>
      </c>
      <c r="FL191" s="104">
        <f t="shared" si="325"/>
        <v>-1</v>
      </c>
      <c r="FM191" s="50">
        <f t="shared" si="326"/>
        <v>-1</v>
      </c>
      <c r="FN191" s="51">
        <f t="shared" si="327"/>
        <v>-1</v>
      </c>
      <c r="FO191" s="52">
        <f t="shared" si="328"/>
        <v>-1</v>
      </c>
      <c r="FP191" s="50">
        <f t="shared" si="329"/>
        <v>-1</v>
      </c>
      <c r="FQ191" s="51">
        <f t="shared" si="330"/>
        <v>-1</v>
      </c>
      <c r="FR191" s="52">
        <f t="shared" si="331"/>
        <v>-1</v>
      </c>
      <c r="FS191" s="50">
        <f t="shared" si="332"/>
        <v>-1</v>
      </c>
      <c r="FT191" s="53">
        <f t="shared" si="333"/>
        <v>-1</v>
      </c>
      <c r="FU191" s="49">
        <f t="shared" si="334"/>
        <v>-1</v>
      </c>
      <c r="FV191" s="50">
        <f t="shared" si="335"/>
        <v>-1</v>
      </c>
      <c r="FW191" s="51">
        <f t="shared" si="336"/>
        <v>-1</v>
      </c>
      <c r="FX191" s="52">
        <f t="shared" si="337"/>
        <v>-1</v>
      </c>
      <c r="FY191" s="50">
        <f t="shared" si="338"/>
        <v>-1</v>
      </c>
      <c r="FZ191" s="51">
        <f t="shared" si="339"/>
        <v>-1</v>
      </c>
      <c r="GA191" s="52">
        <f t="shared" si="340"/>
        <v>-1</v>
      </c>
      <c r="GB191" s="50">
        <f t="shared" si="341"/>
        <v>-1</v>
      </c>
      <c r="GC191" s="53">
        <f t="shared" si="342"/>
        <v>-1</v>
      </c>
      <c r="GD191" s="49">
        <f t="shared" si="343"/>
        <v>-1</v>
      </c>
      <c r="GE191" s="50">
        <f t="shared" si="344"/>
        <v>-1</v>
      </c>
      <c r="GF191" s="51">
        <f t="shared" si="345"/>
        <v>-1</v>
      </c>
      <c r="GG191" s="52">
        <f t="shared" si="346"/>
        <v>-1</v>
      </c>
      <c r="GH191" s="50">
        <f t="shared" si="347"/>
        <v>-1</v>
      </c>
      <c r="GI191" s="51">
        <f t="shared" si="348"/>
        <v>-1</v>
      </c>
      <c r="GJ191" s="52">
        <f t="shared" si="349"/>
        <v>-1</v>
      </c>
      <c r="GK191" s="50">
        <f t="shared" si="350"/>
        <v>-1</v>
      </c>
      <c r="GL191" s="105">
        <f t="shared" si="351"/>
        <v>-1</v>
      </c>
      <c r="GN191" s="52">
        <f>COUNTIF(DJ191:GL191,1)</f>
        <v>0</v>
      </c>
      <c r="GO191" s="50">
        <f>COUNTIF(DJ191:GL191,2)</f>
        <v>0</v>
      </c>
      <c r="GP191" s="51">
        <f>COUNTIF(DJ191:GL191,3)</f>
        <v>0</v>
      </c>
      <c r="GQ191" s="39"/>
      <c r="GR191" s="39"/>
      <c r="GT191" s="65">
        <f t="shared" ref="GT191:GV191" si="377">GT164</f>
        <v>5</v>
      </c>
      <c r="GU191" s="66">
        <f t="shared" si="377"/>
        <v>0</v>
      </c>
      <c r="GV191" s="67">
        <f t="shared" si="377"/>
        <v>4</v>
      </c>
    </row>
    <row r="192" spans="9:204" ht="15" customHeight="1">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DJ192" s="94">
        <f t="shared" si="271"/>
        <v>-1</v>
      </c>
      <c r="DK192" s="39">
        <f t="shared" si="272"/>
        <v>-1</v>
      </c>
      <c r="DL192" s="41">
        <f t="shared" si="273"/>
        <v>-1</v>
      </c>
      <c r="DM192" s="40">
        <f t="shared" si="274"/>
        <v>-1</v>
      </c>
      <c r="DN192" s="39">
        <f t="shared" si="275"/>
        <v>-1</v>
      </c>
      <c r="DO192" s="41">
        <f t="shared" si="276"/>
        <v>-1</v>
      </c>
      <c r="DP192" s="40">
        <f t="shared" si="277"/>
        <v>-1</v>
      </c>
      <c r="DQ192" s="39">
        <f t="shared" si="278"/>
        <v>-1</v>
      </c>
      <c r="DR192" s="42">
        <f t="shared" si="279"/>
        <v>-1</v>
      </c>
      <c r="DS192" s="43">
        <f t="shared" si="280"/>
        <v>-1</v>
      </c>
      <c r="DT192" s="39">
        <f t="shared" si="281"/>
        <v>-1</v>
      </c>
      <c r="DU192" s="41">
        <f t="shared" si="282"/>
        <v>-1</v>
      </c>
      <c r="DV192" s="40">
        <f t="shared" si="283"/>
        <v>-1</v>
      </c>
      <c r="DW192" s="39">
        <f t="shared" si="284"/>
        <v>-1</v>
      </c>
      <c r="DX192" s="41">
        <f t="shared" si="285"/>
        <v>-1</v>
      </c>
      <c r="DY192" s="40">
        <f t="shared" si="286"/>
        <v>-1</v>
      </c>
      <c r="DZ192" s="39">
        <f t="shared" si="287"/>
        <v>-1</v>
      </c>
      <c r="EA192" s="42">
        <f t="shared" si="288"/>
        <v>-1</v>
      </c>
      <c r="EB192" s="43">
        <f t="shared" si="289"/>
        <v>-1</v>
      </c>
      <c r="EC192" s="39">
        <f t="shared" si="290"/>
        <v>-1</v>
      </c>
      <c r="ED192" s="41">
        <f t="shared" si="291"/>
        <v>-1</v>
      </c>
      <c r="EE192" s="40">
        <f t="shared" si="292"/>
        <v>-1</v>
      </c>
      <c r="EF192" s="39">
        <f t="shared" si="293"/>
        <v>-1</v>
      </c>
      <c r="EG192" s="41">
        <f t="shared" si="294"/>
        <v>-1</v>
      </c>
      <c r="EH192" s="40">
        <f t="shared" si="295"/>
        <v>-1</v>
      </c>
      <c r="EI192" s="39">
        <f t="shared" si="296"/>
        <v>-1</v>
      </c>
      <c r="EJ192" s="95">
        <f t="shared" si="297"/>
        <v>-1</v>
      </c>
      <c r="EK192" s="94">
        <f t="shared" si="298"/>
        <v>-1</v>
      </c>
      <c r="EL192" s="39">
        <f t="shared" si="299"/>
        <v>-1</v>
      </c>
      <c r="EM192" s="41">
        <f t="shared" si="300"/>
        <v>-1</v>
      </c>
      <c r="EN192" s="40">
        <f t="shared" si="301"/>
        <v>-1</v>
      </c>
      <c r="EO192" s="39">
        <f t="shared" si="302"/>
        <v>-1</v>
      </c>
      <c r="EP192" s="41">
        <f t="shared" si="303"/>
        <v>-1</v>
      </c>
      <c r="EQ192" s="40">
        <f t="shared" si="304"/>
        <v>-1</v>
      </c>
      <c r="ER192" s="39">
        <f t="shared" si="305"/>
        <v>-1</v>
      </c>
      <c r="ES192" s="42">
        <f t="shared" si="306"/>
        <v>-1</v>
      </c>
      <c r="ET192" s="43">
        <f t="shared" si="307"/>
        <v>-1</v>
      </c>
      <c r="EU192" s="39">
        <f t="shared" si="308"/>
        <v>-1</v>
      </c>
      <c r="EV192" s="41">
        <f t="shared" si="309"/>
        <v>-1</v>
      </c>
      <c r="EW192" s="40">
        <f t="shared" si="310"/>
        <v>-1</v>
      </c>
      <c r="EX192" s="39">
        <f t="shared" si="311"/>
        <v>-1</v>
      </c>
      <c r="EY192" s="41">
        <f t="shared" si="312"/>
        <v>-1</v>
      </c>
      <c r="EZ192" s="40">
        <f t="shared" si="313"/>
        <v>-1</v>
      </c>
      <c r="FA192" s="39">
        <f t="shared" si="314"/>
        <v>-1</v>
      </c>
      <c r="FB192" s="42">
        <f t="shared" si="315"/>
        <v>-1</v>
      </c>
      <c r="FC192" s="43">
        <f t="shared" si="316"/>
        <v>-1</v>
      </c>
      <c r="FD192" s="39">
        <f t="shared" si="317"/>
        <v>-1</v>
      </c>
      <c r="FE192" s="41">
        <f t="shared" si="318"/>
        <v>-1</v>
      </c>
      <c r="FF192" s="40">
        <f t="shared" si="319"/>
        <v>-1</v>
      </c>
      <c r="FG192" s="39">
        <f t="shared" si="320"/>
        <v>-1</v>
      </c>
      <c r="FH192" s="41">
        <f t="shared" si="321"/>
        <v>-1</v>
      </c>
      <c r="FI192" s="40">
        <f t="shared" si="322"/>
        <v>-1</v>
      </c>
      <c r="FJ192" s="39">
        <f t="shared" si="323"/>
        <v>-1</v>
      </c>
      <c r="FK192" s="95">
        <f t="shared" si="324"/>
        <v>-1</v>
      </c>
      <c r="FL192" s="94">
        <f t="shared" si="325"/>
        <v>-1</v>
      </c>
      <c r="FM192" s="39">
        <f t="shared" si="326"/>
        <v>-1</v>
      </c>
      <c r="FN192" s="41">
        <f t="shared" si="327"/>
        <v>-1</v>
      </c>
      <c r="FO192" s="40">
        <f t="shared" si="328"/>
        <v>-1</v>
      </c>
      <c r="FP192" s="39">
        <f t="shared" si="329"/>
        <v>-1</v>
      </c>
      <c r="FQ192" s="41">
        <f t="shared" si="330"/>
        <v>-1</v>
      </c>
      <c r="FR192" s="40">
        <f t="shared" si="331"/>
        <v>-1</v>
      </c>
      <c r="FS192" s="39">
        <f t="shared" si="332"/>
        <v>-1</v>
      </c>
      <c r="FT192" s="42">
        <f t="shared" si="333"/>
        <v>-1</v>
      </c>
      <c r="FU192" s="43">
        <f t="shared" si="334"/>
        <v>-1</v>
      </c>
      <c r="FV192" s="39">
        <f t="shared" si="335"/>
        <v>-1</v>
      </c>
      <c r="FW192" s="41">
        <f t="shared" si="336"/>
        <v>-1</v>
      </c>
      <c r="FX192" s="40">
        <f t="shared" si="337"/>
        <v>-1</v>
      </c>
      <c r="FY192" s="39">
        <f t="shared" si="338"/>
        <v>-1</v>
      </c>
      <c r="FZ192" s="41">
        <f t="shared" si="339"/>
        <v>-1</v>
      </c>
      <c r="GA192" s="40">
        <f t="shared" si="340"/>
        <v>-1</v>
      </c>
      <c r="GB192" s="39">
        <f t="shared" si="341"/>
        <v>-1</v>
      </c>
      <c r="GC192" s="42">
        <f t="shared" si="342"/>
        <v>-1</v>
      </c>
      <c r="GD192" s="43">
        <f t="shared" si="343"/>
        <v>-1</v>
      </c>
      <c r="GE192" s="39">
        <f t="shared" si="344"/>
        <v>-1</v>
      </c>
      <c r="GF192" s="41">
        <f t="shared" si="345"/>
        <v>-1</v>
      </c>
      <c r="GG192" s="40">
        <f t="shared" si="346"/>
        <v>-1</v>
      </c>
      <c r="GH192" s="39">
        <f t="shared" si="347"/>
        <v>-1</v>
      </c>
      <c r="GI192" s="41">
        <f t="shared" si="348"/>
        <v>-1</v>
      </c>
      <c r="GJ192" s="40">
        <f t="shared" si="349"/>
        <v>-1</v>
      </c>
      <c r="GK192" s="39">
        <f t="shared" si="350"/>
        <v>-1</v>
      </c>
      <c r="GL192" s="95">
        <f t="shared" si="351"/>
        <v>-1</v>
      </c>
      <c r="GN192" s="40">
        <f>COUNTIF(DJ192:GL192,4)</f>
        <v>0</v>
      </c>
      <c r="GO192" s="39">
        <f>COUNTIF(DJ192:GL192,5)</f>
        <v>0</v>
      </c>
      <c r="GP192" s="41">
        <f>COUNTIF(DJ192:GL192,6)</f>
        <v>0</v>
      </c>
      <c r="GQ192" s="39"/>
      <c r="GR192" s="39"/>
      <c r="GT192" s="72">
        <f t="shared" ref="GT192:GV192" si="378">GT165</f>
        <v>4</v>
      </c>
      <c r="GU192" s="73">
        <f t="shared" si="378"/>
        <v>0</v>
      </c>
      <c r="GV192" s="74">
        <f t="shared" si="378"/>
        <v>3</v>
      </c>
    </row>
    <row r="193" spans="9:204" ht="15" customHeight="1" thickBot="1">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DJ193" s="110">
        <f t="shared" si="271"/>
        <v>-1</v>
      </c>
      <c r="DK193" s="83">
        <f t="shared" si="272"/>
        <v>-1</v>
      </c>
      <c r="DL193" s="111">
        <f t="shared" si="273"/>
        <v>-1</v>
      </c>
      <c r="DM193" s="112">
        <f t="shared" si="274"/>
        <v>-1</v>
      </c>
      <c r="DN193" s="83">
        <f t="shared" si="275"/>
        <v>-1</v>
      </c>
      <c r="DO193" s="111">
        <f t="shared" si="276"/>
        <v>-1</v>
      </c>
      <c r="DP193" s="112">
        <f t="shared" si="277"/>
        <v>-1</v>
      </c>
      <c r="DQ193" s="83">
        <f t="shared" si="278"/>
        <v>-1</v>
      </c>
      <c r="DR193" s="113">
        <f t="shared" si="279"/>
        <v>-1</v>
      </c>
      <c r="DS193" s="114">
        <f t="shared" si="280"/>
        <v>-1</v>
      </c>
      <c r="DT193" s="83">
        <f t="shared" si="281"/>
        <v>-1</v>
      </c>
      <c r="DU193" s="111">
        <f t="shared" si="282"/>
        <v>-1</v>
      </c>
      <c r="DV193" s="112">
        <f t="shared" si="283"/>
        <v>-1</v>
      </c>
      <c r="DW193" s="83">
        <f t="shared" si="284"/>
        <v>-1</v>
      </c>
      <c r="DX193" s="111">
        <f t="shared" si="285"/>
        <v>-1</v>
      </c>
      <c r="DY193" s="112">
        <f t="shared" si="286"/>
        <v>-1</v>
      </c>
      <c r="DZ193" s="83">
        <f t="shared" si="287"/>
        <v>-1</v>
      </c>
      <c r="EA193" s="113">
        <f t="shared" si="288"/>
        <v>-1</v>
      </c>
      <c r="EB193" s="114">
        <f t="shared" si="289"/>
        <v>-1</v>
      </c>
      <c r="EC193" s="83">
        <f t="shared" si="290"/>
        <v>-1</v>
      </c>
      <c r="ED193" s="111">
        <f t="shared" si="291"/>
        <v>-1</v>
      </c>
      <c r="EE193" s="112">
        <f t="shared" si="292"/>
        <v>-1</v>
      </c>
      <c r="EF193" s="83">
        <f t="shared" si="293"/>
        <v>-1</v>
      </c>
      <c r="EG193" s="111">
        <f t="shared" si="294"/>
        <v>-1</v>
      </c>
      <c r="EH193" s="112">
        <f t="shared" si="295"/>
        <v>-1</v>
      </c>
      <c r="EI193" s="83">
        <f t="shared" si="296"/>
        <v>-1</v>
      </c>
      <c r="EJ193" s="115">
        <f t="shared" si="297"/>
        <v>-1</v>
      </c>
      <c r="EK193" s="110">
        <f t="shared" si="298"/>
        <v>-1</v>
      </c>
      <c r="EL193" s="83">
        <f t="shared" si="299"/>
        <v>-1</v>
      </c>
      <c r="EM193" s="111">
        <f t="shared" si="300"/>
        <v>-1</v>
      </c>
      <c r="EN193" s="112">
        <f t="shared" si="301"/>
        <v>-1</v>
      </c>
      <c r="EO193" s="83">
        <f t="shared" si="302"/>
        <v>-1</v>
      </c>
      <c r="EP193" s="111">
        <f t="shared" si="303"/>
        <v>-1</v>
      </c>
      <c r="EQ193" s="112">
        <f t="shared" si="304"/>
        <v>-1</v>
      </c>
      <c r="ER193" s="83">
        <f t="shared" si="305"/>
        <v>-1</v>
      </c>
      <c r="ES193" s="113">
        <f t="shared" si="306"/>
        <v>-1</v>
      </c>
      <c r="ET193" s="114">
        <f t="shared" si="307"/>
        <v>-1</v>
      </c>
      <c r="EU193" s="83">
        <f t="shared" si="308"/>
        <v>-1</v>
      </c>
      <c r="EV193" s="111">
        <f t="shared" si="309"/>
        <v>-1</v>
      </c>
      <c r="EW193" s="112">
        <f t="shared" si="310"/>
        <v>-1</v>
      </c>
      <c r="EX193" s="83">
        <f t="shared" si="311"/>
        <v>-1</v>
      </c>
      <c r="EY193" s="111">
        <f t="shared" si="312"/>
        <v>-1</v>
      </c>
      <c r="EZ193" s="112">
        <f t="shared" si="313"/>
        <v>-1</v>
      </c>
      <c r="FA193" s="83">
        <f t="shared" si="314"/>
        <v>-1</v>
      </c>
      <c r="FB193" s="113">
        <f t="shared" si="315"/>
        <v>-1</v>
      </c>
      <c r="FC193" s="114">
        <f t="shared" si="316"/>
        <v>-1</v>
      </c>
      <c r="FD193" s="83">
        <f t="shared" si="317"/>
        <v>-1</v>
      </c>
      <c r="FE193" s="111">
        <f t="shared" si="318"/>
        <v>-1</v>
      </c>
      <c r="FF193" s="112">
        <f t="shared" si="319"/>
        <v>-1</v>
      </c>
      <c r="FG193" s="83">
        <f t="shared" si="320"/>
        <v>-1</v>
      </c>
      <c r="FH193" s="111">
        <f t="shared" si="321"/>
        <v>-1</v>
      </c>
      <c r="FI193" s="112">
        <f t="shared" si="322"/>
        <v>-1</v>
      </c>
      <c r="FJ193" s="83">
        <f t="shared" si="323"/>
        <v>-1</v>
      </c>
      <c r="FK193" s="115">
        <f t="shared" si="324"/>
        <v>-1</v>
      </c>
      <c r="FL193" s="110">
        <f t="shared" si="325"/>
        <v>-1</v>
      </c>
      <c r="FM193" s="83">
        <f t="shared" si="326"/>
        <v>-1</v>
      </c>
      <c r="FN193" s="111">
        <f t="shared" si="327"/>
        <v>-1</v>
      </c>
      <c r="FO193" s="112">
        <f t="shared" si="328"/>
        <v>-1</v>
      </c>
      <c r="FP193" s="83">
        <f t="shared" si="329"/>
        <v>-1</v>
      </c>
      <c r="FQ193" s="111">
        <f t="shared" si="330"/>
        <v>-1</v>
      </c>
      <c r="FR193" s="112">
        <f t="shared" si="331"/>
        <v>-1</v>
      </c>
      <c r="FS193" s="83">
        <f t="shared" si="332"/>
        <v>-1</v>
      </c>
      <c r="FT193" s="113">
        <f t="shared" si="333"/>
        <v>-1</v>
      </c>
      <c r="FU193" s="114">
        <f t="shared" si="334"/>
        <v>-1</v>
      </c>
      <c r="FV193" s="83">
        <f t="shared" si="335"/>
        <v>-1</v>
      </c>
      <c r="FW193" s="111">
        <f t="shared" si="336"/>
        <v>-1</v>
      </c>
      <c r="FX193" s="112">
        <f t="shared" si="337"/>
        <v>-1</v>
      </c>
      <c r="FY193" s="83">
        <f t="shared" si="338"/>
        <v>-1</v>
      </c>
      <c r="FZ193" s="111">
        <f t="shared" si="339"/>
        <v>-1</v>
      </c>
      <c r="GA193" s="112">
        <f t="shared" si="340"/>
        <v>-1</v>
      </c>
      <c r="GB193" s="83">
        <f t="shared" si="341"/>
        <v>-1</v>
      </c>
      <c r="GC193" s="113">
        <f t="shared" si="342"/>
        <v>-1</v>
      </c>
      <c r="GD193" s="114">
        <f t="shared" si="343"/>
        <v>-1</v>
      </c>
      <c r="GE193" s="83">
        <f t="shared" si="344"/>
        <v>-1</v>
      </c>
      <c r="GF193" s="111">
        <f t="shared" si="345"/>
        <v>-1</v>
      </c>
      <c r="GG193" s="112">
        <f t="shared" si="346"/>
        <v>-1</v>
      </c>
      <c r="GH193" s="83">
        <f t="shared" si="347"/>
        <v>-1</v>
      </c>
      <c r="GI193" s="111">
        <f t="shared" si="348"/>
        <v>-1</v>
      </c>
      <c r="GJ193" s="112">
        <f t="shared" si="349"/>
        <v>-1</v>
      </c>
      <c r="GK193" s="83">
        <f t="shared" si="350"/>
        <v>-1</v>
      </c>
      <c r="GL193" s="115">
        <f t="shared" si="351"/>
        <v>-1</v>
      </c>
      <c r="GN193" s="46">
        <f>COUNTIF(DJ193:GL193,7)</f>
        <v>0</v>
      </c>
      <c r="GO193" s="45">
        <f>COUNTIF(DJ193:GL193,8)</f>
        <v>0</v>
      </c>
      <c r="GP193" s="47">
        <f>COUNTIF(DJ193:GL193,9)</f>
        <v>0</v>
      </c>
      <c r="GQ193" s="39"/>
      <c r="GR193" s="39"/>
      <c r="GT193" s="78">
        <f t="shared" ref="GT193:GV193" si="379">GT166</f>
        <v>1</v>
      </c>
      <c r="GU193" s="79">
        <f t="shared" si="379"/>
        <v>4</v>
      </c>
      <c r="GV193" s="80">
        <f t="shared" si="379"/>
        <v>0</v>
      </c>
    </row>
    <row r="194" spans="9:204" ht="15" customHeight="1" thickTop="1" thickBot="1">
      <c r="DJ194" s="84">
        <f t="shared" ref="DJ194:DJ220" si="380">IF(N161&lt;&gt;-1,EI107,-1)</f>
        <v>-1</v>
      </c>
      <c r="DK194" s="85">
        <f t="shared" ref="DK194:DK220" si="381">IF(O161&lt;&gt;-1,EJ107,-1)</f>
        <v>-1</v>
      </c>
      <c r="DL194" s="87">
        <f t="shared" ref="DL194:DL220" si="382">IF(P161&lt;&gt;-1,EK107,-1)</f>
        <v>-1</v>
      </c>
      <c r="DM194" s="86">
        <f t="shared" ref="DM194:DM220" si="383">IF(Q161&lt;&gt;-1,EL107,-1)</f>
        <v>-1</v>
      </c>
      <c r="DN194" s="85">
        <f t="shared" ref="DN194:DN220" si="384">IF(R161&lt;&gt;-1,EM107,-1)</f>
        <v>-1</v>
      </c>
      <c r="DO194" s="87">
        <f t="shared" ref="DO194:DO220" si="385">IF(S161&lt;&gt;-1,EN107,-1)</f>
        <v>-1</v>
      </c>
      <c r="DP194" s="86">
        <f t="shared" ref="DP194:DP220" si="386">IF(T161&lt;&gt;-1,EO107,-1)</f>
        <v>-1</v>
      </c>
      <c r="DQ194" s="85">
        <f t="shared" ref="DQ194:DQ220" si="387">IF(U161&lt;&gt;-1,EP107,-1)</f>
        <v>-1</v>
      </c>
      <c r="DR194" s="88">
        <f t="shared" ref="DR194:DR220" si="388">IF(V161&lt;&gt;-1,EQ107,-1)</f>
        <v>-1</v>
      </c>
      <c r="DS194" s="89">
        <f t="shared" ref="DS194:DS220" si="389">IF(W161&lt;&gt;-1,ER107,-1)</f>
        <v>-1</v>
      </c>
      <c r="DT194" s="85">
        <f t="shared" ref="DT194:DT220" si="390">IF(X161&lt;&gt;-1,ES107,-1)</f>
        <v>-1</v>
      </c>
      <c r="DU194" s="87">
        <f t="shared" ref="DU194:DU220" si="391">IF(Y161&lt;&gt;-1,ET107,-1)</f>
        <v>-1</v>
      </c>
      <c r="DV194" s="86">
        <f t="shared" ref="DV194:DV220" si="392">IF(Z161&lt;&gt;-1,EU107,-1)</f>
        <v>-1</v>
      </c>
      <c r="DW194" s="85">
        <f t="shared" ref="DW194:DW220" si="393">IF(AA161&lt;&gt;-1,EV107,-1)</f>
        <v>-1</v>
      </c>
      <c r="DX194" s="87">
        <f t="shared" ref="DX194:DX220" si="394">IF(AB161&lt;&gt;-1,EW107,-1)</f>
        <v>-1</v>
      </c>
      <c r="DY194" s="86">
        <f t="shared" ref="DY194:DY220" si="395">IF(AC161&lt;&gt;-1,EX107,-1)</f>
        <v>-1</v>
      </c>
      <c r="DZ194" s="85">
        <f t="shared" ref="DZ194:DZ220" si="396">IF(AD161&lt;&gt;-1,EY107,-1)</f>
        <v>-1</v>
      </c>
      <c r="EA194" s="88">
        <f t="shared" ref="EA194:EA220" si="397">IF(AE161&lt;&gt;-1,EZ107,-1)</f>
        <v>-1</v>
      </c>
      <c r="EB194" s="89">
        <f t="shared" ref="EB194:EB220" si="398">IF(AF161&lt;&gt;-1,FA107,-1)</f>
        <v>-1</v>
      </c>
      <c r="EC194" s="85">
        <f t="shared" ref="EC194:EC220" si="399">IF(AG161&lt;&gt;-1,FB107,-1)</f>
        <v>-1</v>
      </c>
      <c r="ED194" s="87">
        <f t="shared" ref="ED194:ED220" si="400">IF(AH161&lt;&gt;-1,FC107,-1)</f>
        <v>-1</v>
      </c>
      <c r="EE194" s="86">
        <f t="shared" ref="EE194:EE220" si="401">IF(AI161&lt;&gt;-1,FD107,-1)</f>
        <v>-1</v>
      </c>
      <c r="EF194" s="85">
        <f t="shared" ref="EF194:EF220" si="402">IF(AJ161&lt;&gt;-1,FE107,-1)</f>
        <v>-1</v>
      </c>
      <c r="EG194" s="87">
        <f t="shared" ref="EG194:EG220" si="403">IF(AK161&lt;&gt;-1,FF107,-1)</f>
        <v>-1</v>
      </c>
      <c r="EH194" s="86">
        <f t="shared" ref="EH194:EH220" si="404">IF(AL161&lt;&gt;-1,FG107,-1)</f>
        <v>-1</v>
      </c>
      <c r="EI194" s="85">
        <f t="shared" ref="EI194:EI220" si="405">IF(AM161&lt;&gt;-1,FH107,-1)</f>
        <v>-1</v>
      </c>
      <c r="EJ194" s="90">
        <f t="shared" ref="EJ194:EJ220" si="406">IF(AN161&lt;&gt;-1,FI107,-1)</f>
        <v>-1</v>
      </c>
      <c r="EK194" s="84">
        <f t="shared" ref="EK194:EK220" si="407">IF(AO161&lt;&gt;-1,EI107,-1)</f>
        <v>-1</v>
      </c>
      <c r="EL194" s="85">
        <f t="shared" ref="EL194:EL220" si="408">IF(AP161&lt;&gt;-1,EJ107,-1)</f>
        <v>-1</v>
      </c>
      <c r="EM194" s="87">
        <f t="shared" ref="EM194:EM220" si="409">IF(AQ161&lt;&gt;-1,EK107,-1)</f>
        <v>-1</v>
      </c>
      <c r="EN194" s="86">
        <f t="shared" ref="EN194:EN220" si="410">IF(AR161&lt;&gt;-1,EL107,-1)</f>
        <v>-1</v>
      </c>
      <c r="EO194" s="85">
        <f t="shared" ref="EO194:EO220" si="411">IF(AS161&lt;&gt;-1,EM107,-1)</f>
        <v>-1</v>
      </c>
      <c r="EP194" s="87">
        <f t="shared" ref="EP194:EP220" si="412">IF(AT161&lt;&gt;-1,EN107,-1)</f>
        <v>-1</v>
      </c>
      <c r="EQ194" s="86">
        <f t="shared" ref="EQ194:EQ220" si="413">IF(AU161&lt;&gt;-1,EO107,-1)</f>
        <v>-1</v>
      </c>
      <c r="ER194" s="85">
        <f t="shared" ref="ER194:ER220" si="414">IF(AV161&lt;&gt;-1,EP107,-1)</f>
        <v>-1</v>
      </c>
      <c r="ES194" s="88">
        <f t="shared" ref="ES194:ES220" si="415">IF(AW161&lt;&gt;-1,EQ107,-1)</f>
        <v>-1</v>
      </c>
      <c r="ET194" s="89">
        <f t="shared" ref="ET194:ET220" si="416">IF(AX161&lt;&gt;-1,ER107,-1)</f>
        <v>-1</v>
      </c>
      <c r="EU194" s="85">
        <f t="shared" ref="EU194:EU220" si="417">IF(AY161&lt;&gt;-1,ES107,-1)</f>
        <v>-1</v>
      </c>
      <c r="EV194" s="87">
        <f t="shared" ref="EV194:EV220" si="418">IF(AZ161&lt;&gt;-1,ET107,-1)</f>
        <v>-1</v>
      </c>
      <c r="EW194" s="86">
        <f t="shared" ref="EW194:EW220" si="419">IF(BA161&lt;&gt;-1,EU107,-1)</f>
        <v>-1</v>
      </c>
      <c r="EX194" s="85">
        <f t="shared" ref="EX194:EX220" si="420">IF(BB161&lt;&gt;-1,EV107,-1)</f>
        <v>-1</v>
      </c>
      <c r="EY194" s="87">
        <f t="shared" ref="EY194:EY220" si="421">IF(BC161&lt;&gt;-1,EW107,-1)</f>
        <v>-1</v>
      </c>
      <c r="EZ194" s="86">
        <f t="shared" ref="EZ194:EZ220" si="422">IF(BD161&lt;&gt;-1,EX107,-1)</f>
        <v>-1</v>
      </c>
      <c r="FA194" s="85">
        <f t="shared" ref="FA194:FA220" si="423">IF(BE161&lt;&gt;-1,EY107,-1)</f>
        <v>-1</v>
      </c>
      <c r="FB194" s="88">
        <f t="shared" ref="FB194:FB220" si="424">IF(BF161&lt;&gt;-1,EZ107,-1)</f>
        <v>-1</v>
      </c>
      <c r="FC194" s="89">
        <f t="shared" ref="FC194:FC220" si="425">IF(BG161&lt;&gt;-1,FA107,-1)</f>
        <v>-1</v>
      </c>
      <c r="FD194" s="85">
        <f t="shared" ref="FD194:FD220" si="426">IF(BH161&lt;&gt;-1,FB107,-1)</f>
        <v>-1</v>
      </c>
      <c r="FE194" s="87">
        <f t="shared" ref="FE194:FE220" si="427">IF(BI161&lt;&gt;-1,FC107,-1)</f>
        <v>-1</v>
      </c>
      <c r="FF194" s="86">
        <f t="shared" ref="FF194:FF220" si="428">IF(BJ161&lt;&gt;-1,FD107,-1)</f>
        <v>-1</v>
      </c>
      <c r="FG194" s="85">
        <f t="shared" ref="FG194:FG220" si="429">IF(BK161&lt;&gt;-1,FE107,-1)</f>
        <v>-1</v>
      </c>
      <c r="FH194" s="87">
        <f t="shared" ref="FH194:FH220" si="430">IF(BL161&lt;&gt;-1,FF107,-1)</f>
        <v>-1</v>
      </c>
      <c r="FI194" s="86">
        <f t="shared" ref="FI194:FI220" si="431">IF(BM161&lt;&gt;-1,FG107,-1)</f>
        <v>-1</v>
      </c>
      <c r="FJ194" s="85">
        <f t="shared" ref="FJ194:FJ220" si="432">IF(BN161&lt;&gt;-1,FH107,-1)</f>
        <v>-1</v>
      </c>
      <c r="FK194" s="90">
        <f t="shared" ref="FK194:FK220" si="433">IF(BO161&lt;&gt;-1,FI107,-1)</f>
        <v>-1</v>
      </c>
      <c r="FL194" s="84">
        <f t="shared" ref="FL194:FL220" si="434">IF(BP161&lt;&gt;-1,EI107,-1)</f>
        <v>-1</v>
      </c>
      <c r="FM194" s="85">
        <f t="shared" ref="FM194:FM220" si="435">IF(BQ161&lt;&gt;-1,EJ107,-1)</f>
        <v>-1</v>
      </c>
      <c r="FN194" s="87">
        <f t="shared" ref="FN194:FN220" si="436">IF(BR161&lt;&gt;-1,EK107,-1)</f>
        <v>-1</v>
      </c>
      <c r="FO194" s="86">
        <f t="shared" ref="FO194:FO220" si="437">IF(BS161&lt;&gt;-1,EL107,-1)</f>
        <v>-1</v>
      </c>
      <c r="FP194" s="85">
        <f t="shared" ref="FP194:FP220" si="438">IF(BT161&lt;&gt;-1,EM107,-1)</f>
        <v>-1</v>
      </c>
      <c r="FQ194" s="87">
        <f t="shared" ref="FQ194:FQ220" si="439">IF(BU161&lt;&gt;-1,EN107,-1)</f>
        <v>-1</v>
      </c>
      <c r="FR194" s="86">
        <f t="shared" ref="FR194:FR220" si="440">IF(BV161&lt;&gt;-1,EO107,-1)</f>
        <v>-1</v>
      </c>
      <c r="FS194" s="85">
        <f t="shared" ref="FS194:FS220" si="441">IF(BW161&lt;&gt;-1,EP107,-1)</f>
        <v>-1</v>
      </c>
      <c r="FT194" s="88">
        <f t="shared" ref="FT194:FT220" si="442">IF(BX161&lt;&gt;-1,EQ107,-1)</f>
        <v>-1</v>
      </c>
      <c r="FU194" s="89">
        <f t="shared" ref="FU194:FU220" si="443">IF(BY161&lt;&gt;-1,ER107,-1)</f>
        <v>-1</v>
      </c>
      <c r="FV194" s="85">
        <f t="shared" ref="FV194:FV220" si="444">IF(BZ161&lt;&gt;-1,ES107,-1)</f>
        <v>-1</v>
      </c>
      <c r="FW194" s="87">
        <f t="shared" ref="FW194:FW220" si="445">IF(CA161&lt;&gt;-1,ET107,-1)</f>
        <v>-1</v>
      </c>
      <c r="FX194" s="86">
        <f t="shared" ref="FX194:FX220" si="446">IF(CB161&lt;&gt;-1,EU107,-1)</f>
        <v>-1</v>
      </c>
      <c r="FY194" s="85">
        <f t="shared" ref="FY194:FY220" si="447">IF(CC161&lt;&gt;-1,EV107,-1)</f>
        <v>-1</v>
      </c>
      <c r="FZ194" s="87">
        <f t="shared" ref="FZ194:FZ220" si="448">IF(CD161&lt;&gt;-1,EW107,-1)</f>
        <v>-1</v>
      </c>
      <c r="GA194" s="86">
        <f t="shared" ref="GA194:GA220" si="449">IF(CE161&lt;&gt;-1,EX107,-1)</f>
        <v>-1</v>
      </c>
      <c r="GB194" s="85">
        <f t="shared" ref="GB194:GB220" si="450">IF(CF161&lt;&gt;-1,EY107,-1)</f>
        <v>-1</v>
      </c>
      <c r="GC194" s="88">
        <f t="shared" ref="GC194:GC220" si="451">IF(CG161&lt;&gt;-1,EZ107,-1)</f>
        <v>-1</v>
      </c>
      <c r="GD194" s="89">
        <f t="shared" ref="GD194:GD220" si="452">IF(CH161&lt;&gt;-1,FA107,-1)</f>
        <v>-1</v>
      </c>
      <c r="GE194" s="85">
        <f t="shared" ref="GE194:GE220" si="453">IF(CI161&lt;&gt;-1,FB107,-1)</f>
        <v>-1</v>
      </c>
      <c r="GF194" s="87">
        <f t="shared" ref="GF194:GF220" si="454">IF(CJ161&lt;&gt;-1,FC107,-1)</f>
        <v>-1</v>
      </c>
      <c r="GG194" s="86">
        <f t="shared" ref="GG194:GG220" si="455">IF(CK161&lt;&gt;-1,FD107,-1)</f>
        <v>-1</v>
      </c>
      <c r="GH194" s="85">
        <f t="shared" ref="GH194:GH220" si="456">IF(CL161&lt;&gt;-1,FE107,-1)</f>
        <v>-1</v>
      </c>
      <c r="GI194" s="87">
        <f t="shared" ref="GI194:GI220" si="457">IF(CM161&lt;&gt;-1,FF107,-1)</f>
        <v>-1</v>
      </c>
      <c r="GJ194" s="86">
        <f t="shared" ref="GJ194:GJ220" si="458">IF(CN161&lt;&gt;-1,FG107,-1)</f>
        <v>-1</v>
      </c>
      <c r="GK194" s="85">
        <f t="shared" ref="GK194:GK220" si="459">IF(CO161&lt;&gt;-1,FH107,-1)</f>
        <v>-1</v>
      </c>
      <c r="GL194" s="90">
        <f t="shared" ref="GL194:GL220" si="460">IF(CP161&lt;&gt;-1,FI107,-1)</f>
        <v>-1</v>
      </c>
      <c r="GN194" s="52">
        <f>COUNTIF(DJ194:GL194,1)</f>
        <v>0</v>
      </c>
      <c r="GO194" s="50">
        <f>COUNTIF(DJ194:GL194,2)</f>
        <v>0</v>
      </c>
      <c r="GP194" s="51">
        <f>COUNTIF(DJ194:GL194,3)</f>
        <v>0</v>
      </c>
      <c r="GQ194" s="39"/>
      <c r="GR194" s="39"/>
      <c r="GT194" s="65">
        <f t="shared" ref="GT194:GV194" si="461">GT167</f>
        <v>5</v>
      </c>
      <c r="GU194" s="66">
        <f t="shared" si="461"/>
        <v>5</v>
      </c>
      <c r="GV194" s="67">
        <f t="shared" si="461"/>
        <v>3</v>
      </c>
    </row>
    <row r="195" spans="9:204" ht="15" customHeight="1">
      <c r="I195" s="28" t="s">
        <v>6</v>
      </c>
      <c r="N195" s="91">
        <f>N189+AO189+BP189</f>
        <v>0</v>
      </c>
      <c r="O195" s="92">
        <f t="shared" ref="O195:AN195" si="462">O189+AP189+BQ189</f>
        <v>0</v>
      </c>
      <c r="P195" s="93">
        <f t="shared" si="462"/>
        <v>0</v>
      </c>
      <c r="Q195" s="91">
        <f t="shared" si="462"/>
        <v>0</v>
      </c>
      <c r="R195" s="92">
        <f t="shared" si="462"/>
        <v>0</v>
      </c>
      <c r="S195" s="93">
        <f t="shared" si="462"/>
        <v>0</v>
      </c>
      <c r="T195" s="91">
        <f t="shared" si="462"/>
        <v>0</v>
      </c>
      <c r="U195" s="92">
        <f t="shared" si="462"/>
        <v>0</v>
      </c>
      <c r="V195" s="93">
        <f t="shared" si="462"/>
        <v>0</v>
      </c>
      <c r="W195" s="91">
        <f t="shared" si="462"/>
        <v>0</v>
      </c>
      <c r="X195" s="92">
        <f t="shared" si="462"/>
        <v>0</v>
      </c>
      <c r="Y195" s="93">
        <f t="shared" si="462"/>
        <v>0</v>
      </c>
      <c r="Z195" s="91">
        <f t="shared" si="462"/>
        <v>0</v>
      </c>
      <c r="AA195" s="92">
        <f t="shared" si="462"/>
        <v>0</v>
      </c>
      <c r="AB195" s="93">
        <f t="shared" si="462"/>
        <v>0</v>
      </c>
      <c r="AC195" s="91">
        <f t="shared" si="462"/>
        <v>0</v>
      </c>
      <c r="AD195" s="92">
        <f t="shared" si="462"/>
        <v>0</v>
      </c>
      <c r="AE195" s="93">
        <f t="shared" si="462"/>
        <v>0</v>
      </c>
      <c r="AF195" s="91">
        <f t="shared" si="462"/>
        <v>0</v>
      </c>
      <c r="AG195" s="92">
        <f t="shared" si="462"/>
        <v>0</v>
      </c>
      <c r="AH195" s="93">
        <f t="shared" si="462"/>
        <v>0</v>
      </c>
      <c r="AI195" s="91">
        <f t="shared" si="462"/>
        <v>0</v>
      </c>
      <c r="AJ195" s="92">
        <f t="shared" si="462"/>
        <v>0</v>
      </c>
      <c r="AK195" s="93">
        <f t="shared" si="462"/>
        <v>0</v>
      </c>
      <c r="AL195" s="91">
        <f t="shared" si="462"/>
        <v>0</v>
      </c>
      <c r="AM195" s="92">
        <f t="shared" si="462"/>
        <v>0</v>
      </c>
      <c r="AN195" s="93">
        <f t="shared" si="462"/>
        <v>0</v>
      </c>
      <c r="AO195" s="65">
        <f>N195</f>
        <v>0</v>
      </c>
      <c r="AP195" s="66">
        <f t="shared" ref="AP195:CP195" si="463">O195</f>
        <v>0</v>
      </c>
      <c r="AQ195" s="67">
        <f t="shared" si="463"/>
        <v>0</v>
      </c>
      <c r="AR195" s="65">
        <f t="shared" si="463"/>
        <v>0</v>
      </c>
      <c r="AS195" s="66">
        <f t="shared" si="463"/>
        <v>0</v>
      </c>
      <c r="AT195" s="67">
        <f t="shared" si="463"/>
        <v>0</v>
      </c>
      <c r="AU195" s="65">
        <f t="shared" si="463"/>
        <v>0</v>
      </c>
      <c r="AV195" s="66">
        <f t="shared" si="463"/>
        <v>0</v>
      </c>
      <c r="AW195" s="67">
        <f t="shared" si="463"/>
        <v>0</v>
      </c>
      <c r="AX195" s="65">
        <f t="shared" si="463"/>
        <v>0</v>
      </c>
      <c r="AY195" s="66">
        <f t="shared" si="463"/>
        <v>0</v>
      </c>
      <c r="AZ195" s="67">
        <f t="shared" si="463"/>
        <v>0</v>
      </c>
      <c r="BA195" s="65">
        <f t="shared" si="463"/>
        <v>0</v>
      </c>
      <c r="BB195" s="66">
        <f t="shared" si="463"/>
        <v>0</v>
      </c>
      <c r="BC195" s="67">
        <f t="shared" si="463"/>
        <v>0</v>
      </c>
      <c r="BD195" s="65">
        <f t="shared" si="463"/>
        <v>0</v>
      </c>
      <c r="BE195" s="66">
        <f t="shared" si="463"/>
        <v>0</v>
      </c>
      <c r="BF195" s="67">
        <f t="shared" si="463"/>
        <v>0</v>
      </c>
      <c r="BG195" s="65">
        <f t="shared" si="463"/>
        <v>0</v>
      </c>
      <c r="BH195" s="66">
        <f t="shared" si="463"/>
        <v>0</v>
      </c>
      <c r="BI195" s="67">
        <f t="shared" si="463"/>
        <v>0</v>
      </c>
      <c r="BJ195" s="65">
        <f t="shared" si="463"/>
        <v>0</v>
      </c>
      <c r="BK195" s="66">
        <f t="shared" si="463"/>
        <v>0</v>
      </c>
      <c r="BL195" s="67">
        <f t="shared" si="463"/>
        <v>0</v>
      </c>
      <c r="BM195" s="65">
        <f t="shared" si="463"/>
        <v>0</v>
      </c>
      <c r="BN195" s="66">
        <f t="shared" si="463"/>
        <v>0</v>
      </c>
      <c r="BO195" s="67">
        <f t="shared" si="463"/>
        <v>0</v>
      </c>
      <c r="BP195" s="65">
        <f t="shared" si="463"/>
        <v>0</v>
      </c>
      <c r="BQ195" s="66">
        <f t="shared" si="463"/>
        <v>0</v>
      </c>
      <c r="BR195" s="67">
        <f t="shared" si="463"/>
        <v>0</v>
      </c>
      <c r="BS195" s="65">
        <f t="shared" si="463"/>
        <v>0</v>
      </c>
      <c r="BT195" s="66">
        <f t="shared" si="463"/>
        <v>0</v>
      </c>
      <c r="BU195" s="67">
        <f t="shared" si="463"/>
        <v>0</v>
      </c>
      <c r="BV195" s="65">
        <f t="shared" si="463"/>
        <v>0</v>
      </c>
      <c r="BW195" s="66">
        <f t="shared" si="463"/>
        <v>0</v>
      </c>
      <c r="BX195" s="67">
        <f t="shared" si="463"/>
        <v>0</v>
      </c>
      <c r="BY195" s="65">
        <f t="shared" si="463"/>
        <v>0</v>
      </c>
      <c r="BZ195" s="66">
        <f t="shared" si="463"/>
        <v>0</v>
      </c>
      <c r="CA195" s="67">
        <f t="shared" si="463"/>
        <v>0</v>
      </c>
      <c r="CB195" s="65">
        <f t="shared" si="463"/>
        <v>0</v>
      </c>
      <c r="CC195" s="66">
        <f t="shared" si="463"/>
        <v>0</v>
      </c>
      <c r="CD195" s="67">
        <f t="shared" si="463"/>
        <v>0</v>
      </c>
      <c r="CE195" s="65">
        <f t="shared" si="463"/>
        <v>0</v>
      </c>
      <c r="CF195" s="66">
        <f t="shared" si="463"/>
        <v>0</v>
      </c>
      <c r="CG195" s="67">
        <f t="shared" si="463"/>
        <v>0</v>
      </c>
      <c r="CH195" s="65">
        <f t="shared" si="463"/>
        <v>0</v>
      </c>
      <c r="CI195" s="66">
        <f t="shared" si="463"/>
        <v>0</v>
      </c>
      <c r="CJ195" s="67">
        <f t="shared" si="463"/>
        <v>0</v>
      </c>
      <c r="CK195" s="65">
        <f t="shared" si="463"/>
        <v>0</v>
      </c>
      <c r="CL195" s="66">
        <f t="shared" si="463"/>
        <v>0</v>
      </c>
      <c r="CM195" s="67">
        <f t="shared" si="463"/>
        <v>0</v>
      </c>
      <c r="CN195" s="65">
        <f t="shared" si="463"/>
        <v>0</v>
      </c>
      <c r="CO195" s="66">
        <f t="shared" si="463"/>
        <v>0</v>
      </c>
      <c r="CP195" s="67">
        <f t="shared" si="463"/>
        <v>0</v>
      </c>
      <c r="DJ195" s="94">
        <f t="shared" si="380"/>
        <v>-1</v>
      </c>
      <c r="DK195" s="39">
        <f t="shared" si="381"/>
        <v>-1</v>
      </c>
      <c r="DL195" s="41">
        <f t="shared" si="382"/>
        <v>-1</v>
      </c>
      <c r="DM195" s="40">
        <f t="shared" si="383"/>
        <v>-1</v>
      </c>
      <c r="DN195" s="39">
        <f t="shared" si="384"/>
        <v>-1</v>
      </c>
      <c r="DO195" s="41">
        <f t="shared" si="385"/>
        <v>-1</v>
      </c>
      <c r="DP195" s="40">
        <f t="shared" si="386"/>
        <v>-1</v>
      </c>
      <c r="DQ195" s="39">
        <f t="shared" si="387"/>
        <v>-1</v>
      </c>
      <c r="DR195" s="42">
        <f t="shared" si="388"/>
        <v>-1</v>
      </c>
      <c r="DS195" s="43">
        <f t="shared" si="389"/>
        <v>-1</v>
      </c>
      <c r="DT195" s="39">
        <f t="shared" si="390"/>
        <v>-1</v>
      </c>
      <c r="DU195" s="41">
        <f t="shared" si="391"/>
        <v>-1</v>
      </c>
      <c r="DV195" s="40">
        <f t="shared" si="392"/>
        <v>-1</v>
      </c>
      <c r="DW195" s="39">
        <f t="shared" si="393"/>
        <v>-1</v>
      </c>
      <c r="DX195" s="41">
        <f t="shared" si="394"/>
        <v>-1</v>
      </c>
      <c r="DY195" s="40">
        <f t="shared" si="395"/>
        <v>-1</v>
      </c>
      <c r="DZ195" s="39">
        <f t="shared" si="396"/>
        <v>-1</v>
      </c>
      <c r="EA195" s="42">
        <f t="shared" si="397"/>
        <v>-1</v>
      </c>
      <c r="EB195" s="43">
        <f t="shared" si="398"/>
        <v>-1</v>
      </c>
      <c r="EC195" s="39">
        <f t="shared" si="399"/>
        <v>-1</v>
      </c>
      <c r="ED195" s="41">
        <f t="shared" si="400"/>
        <v>-1</v>
      </c>
      <c r="EE195" s="40">
        <f t="shared" si="401"/>
        <v>-1</v>
      </c>
      <c r="EF195" s="39">
        <f t="shared" si="402"/>
        <v>-1</v>
      </c>
      <c r="EG195" s="41">
        <f t="shared" si="403"/>
        <v>-1</v>
      </c>
      <c r="EH195" s="40">
        <f t="shared" si="404"/>
        <v>-1</v>
      </c>
      <c r="EI195" s="39">
        <f t="shared" si="405"/>
        <v>-1</v>
      </c>
      <c r="EJ195" s="95">
        <f t="shared" si="406"/>
        <v>-1</v>
      </c>
      <c r="EK195" s="94">
        <f t="shared" si="407"/>
        <v>-1</v>
      </c>
      <c r="EL195" s="39">
        <f t="shared" si="408"/>
        <v>-1</v>
      </c>
      <c r="EM195" s="41">
        <f t="shared" si="409"/>
        <v>-1</v>
      </c>
      <c r="EN195" s="40">
        <f t="shared" si="410"/>
        <v>-1</v>
      </c>
      <c r="EO195" s="39">
        <f t="shared" si="411"/>
        <v>-1</v>
      </c>
      <c r="EP195" s="41">
        <f t="shared" si="412"/>
        <v>-1</v>
      </c>
      <c r="EQ195" s="40">
        <f t="shared" si="413"/>
        <v>-1</v>
      </c>
      <c r="ER195" s="39">
        <f t="shared" si="414"/>
        <v>-1</v>
      </c>
      <c r="ES195" s="42">
        <f t="shared" si="415"/>
        <v>-1</v>
      </c>
      <c r="ET195" s="43">
        <f t="shared" si="416"/>
        <v>-1</v>
      </c>
      <c r="EU195" s="39">
        <f t="shared" si="417"/>
        <v>-1</v>
      </c>
      <c r="EV195" s="41">
        <f t="shared" si="418"/>
        <v>-1</v>
      </c>
      <c r="EW195" s="40">
        <f t="shared" si="419"/>
        <v>-1</v>
      </c>
      <c r="EX195" s="39">
        <f t="shared" si="420"/>
        <v>-1</v>
      </c>
      <c r="EY195" s="41">
        <f t="shared" si="421"/>
        <v>-1</v>
      </c>
      <c r="EZ195" s="40">
        <f t="shared" si="422"/>
        <v>-1</v>
      </c>
      <c r="FA195" s="39">
        <f t="shared" si="423"/>
        <v>-1</v>
      </c>
      <c r="FB195" s="42">
        <f t="shared" si="424"/>
        <v>-1</v>
      </c>
      <c r="FC195" s="43">
        <f t="shared" si="425"/>
        <v>-1</v>
      </c>
      <c r="FD195" s="39">
        <f t="shared" si="426"/>
        <v>-1</v>
      </c>
      <c r="FE195" s="41">
        <f t="shared" si="427"/>
        <v>-1</v>
      </c>
      <c r="FF195" s="40">
        <f t="shared" si="428"/>
        <v>-1</v>
      </c>
      <c r="FG195" s="39">
        <f t="shared" si="429"/>
        <v>-1</v>
      </c>
      <c r="FH195" s="41">
        <f t="shared" si="430"/>
        <v>-1</v>
      </c>
      <c r="FI195" s="40">
        <f t="shared" si="431"/>
        <v>-1</v>
      </c>
      <c r="FJ195" s="39">
        <f t="shared" si="432"/>
        <v>-1</v>
      </c>
      <c r="FK195" s="95">
        <f t="shared" si="433"/>
        <v>-1</v>
      </c>
      <c r="FL195" s="94">
        <f t="shared" si="434"/>
        <v>-1</v>
      </c>
      <c r="FM195" s="39">
        <f t="shared" si="435"/>
        <v>-1</v>
      </c>
      <c r="FN195" s="41">
        <f t="shared" si="436"/>
        <v>-1</v>
      </c>
      <c r="FO195" s="40">
        <f t="shared" si="437"/>
        <v>-1</v>
      </c>
      <c r="FP195" s="39">
        <f t="shared" si="438"/>
        <v>-1</v>
      </c>
      <c r="FQ195" s="41">
        <f t="shared" si="439"/>
        <v>-1</v>
      </c>
      <c r="FR195" s="40">
        <f t="shared" si="440"/>
        <v>-1</v>
      </c>
      <c r="FS195" s="39">
        <f t="shared" si="441"/>
        <v>-1</v>
      </c>
      <c r="FT195" s="42">
        <f t="shared" si="442"/>
        <v>-1</v>
      </c>
      <c r="FU195" s="43">
        <f t="shared" si="443"/>
        <v>-1</v>
      </c>
      <c r="FV195" s="39">
        <f t="shared" si="444"/>
        <v>-1</v>
      </c>
      <c r="FW195" s="41">
        <f t="shared" si="445"/>
        <v>-1</v>
      </c>
      <c r="FX195" s="40">
        <f t="shared" si="446"/>
        <v>-1</v>
      </c>
      <c r="FY195" s="39">
        <f t="shared" si="447"/>
        <v>-1</v>
      </c>
      <c r="FZ195" s="41">
        <f t="shared" si="448"/>
        <v>-1</v>
      </c>
      <c r="GA195" s="40">
        <f t="shared" si="449"/>
        <v>-1</v>
      </c>
      <c r="GB195" s="39">
        <f t="shared" si="450"/>
        <v>-1</v>
      </c>
      <c r="GC195" s="42">
        <f t="shared" si="451"/>
        <v>-1</v>
      </c>
      <c r="GD195" s="43">
        <f t="shared" si="452"/>
        <v>-1</v>
      </c>
      <c r="GE195" s="39">
        <f t="shared" si="453"/>
        <v>-1</v>
      </c>
      <c r="GF195" s="41">
        <f t="shared" si="454"/>
        <v>-1</v>
      </c>
      <c r="GG195" s="40">
        <f t="shared" si="455"/>
        <v>-1</v>
      </c>
      <c r="GH195" s="39">
        <f t="shared" si="456"/>
        <v>-1</v>
      </c>
      <c r="GI195" s="41">
        <f t="shared" si="457"/>
        <v>-1</v>
      </c>
      <c r="GJ195" s="40">
        <f t="shared" si="458"/>
        <v>-1</v>
      </c>
      <c r="GK195" s="39">
        <f t="shared" si="459"/>
        <v>-1</v>
      </c>
      <c r="GL195" s="95">
        <f t="shared" si="460"/>
        <v>-1</v>
      </c>
      <c r="GN195" s="40">
        <f>COUNTIF(DJ195:GL195,4)</f>
        <v>0</v>
      </c>
      <c r="GO195" s="39">
        <f>COUNTIF(DJ195:GL195,5)</f>
        <v>0</v>
      </c>
      <c r="GP195" s="41">
        <f>COUNTIF(DJ195:GL195,6)</f>
        <v>0</v>
      </c>
      <c r="GQ195" s="39"/>
      <c r="GR195" s="39"/>
      <c r="GT195" s="72">
        <f t="shared" ref="GT195:GV195" si="464">GT168</f>
        <v>5</v>
      </c>
      <c r="GU195" s="73">
        <f t="shared" si="464"/>
        <v>1</v>
      </c>
      <c r="GV195" s="74">
        <f t="shared" si="464"/>
        <v>0</v>
      </c>
    </row>
    <row r="196" spans="9:204" ht="15" customHeight="1" thickBot="1">
      <c r="I196" s="28" t="s">
        <v>7</v>
      </c>
      <c r="N196" s="96">
        <f>N190+AO190+BP190</f>
        <v>0</v>
      </c>
      <c r="O196" s="97">
        <f t="shared" ref="O196:X197" si="465">O190+AP190+BQ190</f>
        <v>0</v>
      </c>
      <c r="P196" s="98">
        <f t="shared" si="465"/>
        <v>0</v>
      </c>
      <c r="Q196" s="96">
        <f t="shared" si="465"/>
        <v>0</v>
      </c>
      <c r="R196" s="97">
        <f t="shared" si="465"/>
        <v>0</v>
      </c>
      <c r="S196" s="98">
        <f t="shared" si="465"/>
        <v>0</v>
      </c>
      <c r="T196" s="96">
        <f t="shared" si="465"/>
        <v>0</v>
      </c>
      <c r="U196" s="97">
        <f t="shared" si="465"/>
        <v>0</v>
      </c>
      <c r="V196" s="98">
        <f t="shared" si="465"/>
        <v>0</v>
      </c>
      <c r="W196" s="96">
        <f t="shared" si="465"/>
        <v>0</v>
      </c>
      <c r="X196" s="97">
        <f t="shared" si="465"/>
        <v>0</v>
      </c>
      <c r="Y196" s="98">
        <f t="shared" ref="Y196:AH197" si="466">Y190+AZ190+CA190</f>
        <v>0</v>
      </c>
      <c r="Z196" s="96">
        <f t="shared" si="466"/>
        <v>0</v>
      </c>
      <c r="AA196" s="97">
        <f t="shared" si="466"/>
        <v>0</v>
      </c>
      <c r="AB196" s="98">
        <f t="shared" si="466"/>
        <v>0</v>
      </c>
      <c r="AC196" s="96">
        <f t="shared" si="466"/>
        <v>0</v>
      </c>
      <c r="AD196" s="97">
        <f t="shared" si="466"/>
        <v>0</v>
      </c>
      <c r="AE196" s="98">
        <f t="shared" si="466"/>
        <v>0</v>
      </c>
      <c r="AF196" s="96">
        <f t="shared" si="466"/>
        <v>0</v>
      </c>
      <c r="AG196" s="97">
        <f t="shared" si="466"/>
        <v>0</v>
      </c>
      <c r="AH196" s="98">
        <f t="shared" si="466"/>
        <v>0</v>
      </c>
      <c r="AI196" s="96">
        <f t="shared" ref="AI196:AN197" si="467">AI190+BJ190+CK190</f>
        <v>0</v>
      </c>
      <c r="AJ196" s="97">
        <f t="shared" si="467"/>
        <v>0</v>
      </c>
      <c r="AK196" s="98">
        <f t="shared" si="467"/>
        <v>0</v>
      </c>
      <c r="AL196" s="96">
        <f t="shared" si="467"/>
        <v>0</v>
      </c>
      <c r="AM196" s="97">
        <f t="shared" si="467"/>
        <v>0</v>
      </c>
      <c r="AN196" s="98">
        <f t="shared" si="467"/>
        <v>0</v>
      </c>
      <c r="AO196" s="72">
        <f>N196</f>
        <v>0</v>
      </c>
      <c r="AP196" s="73">
        <f t="shared" ref="AP196:AY197" si="468">O196</f>
        <v>0</v>
      </c>
      <c r="AQ196" s="74">
        <f t="shared" si="468"/>
        <v>0</v>
      </c>
      <c r="AR196" s="72">
        <f t="shared" si="468"/>
        <v>0</v>
      </c>
      <c r="AS196" s="73">
        <f t="shared" si="468"/>
        <v>0</v>
      </c>
      <c r="AT196" s="74">
        <f t="shared" si="468"/>
        <v>0</v>
      </c>
      <c r="AU196" s="72">
        <f t="shared" si="468"/>
        <v>0</v>
      </c>
      <c r="AV196" s="73">
        <f t="shared" si="468"/>
        <v>0</v>
      </c>
      <c r="AW196" s="74">
        <f t="shared" si="468"/>
        <v>0</v>
      </c>
      <c r="AX196" s="72">
        <f t="shared" si="468"/>
        <v>0</v>
      </c>
      <c r="AY196" s="73">
        <f t="shared" si="468"/>
        <v>0</v>
      </c>
      <c r="AZ196" s="74">
        <f t="shared" ref="AZ196:BI197" si="469">Y196</f>
        <v>0</v>
      </c>
      <c r="BA196" s="72">
        <f t="shared" si="469"/>
        <v>0</v>
      </c>
      <c r="BB196" s="73">
        <f t="shared" si="469"/>
        <v>0</v>
      </c>
      <c r="BC196" s="74">
        <f t="shared" si="469"/>
        <v>0</v>
      </c>
      <c r="BD196" s="72">
        <f t="shared" si="469"/>
        <v>0</v>
      </c>
      <c r="BE196" s="73">
        <f t="shared" si="469"/>
        <v>0</v>
      </c>
      <c r="BF196" s="74">
        <f t="shared" si="469"/>
        <v>0</v>
      </c>
      <c r="BG196" s="72">
        <f t="shared" si="469"/>
        <v>0</v>
      </c>
      <c r="BH196" s="73">
        <f t="shared" si="469"/>
        <v>0</v>
      </c>
      <c r="BI196" s="74">
        <f t="shared" si="469"/>
        <v>0</v>
      </c>
      <c r="BJ196" s="72">
        <f t="shared" ref="BJ196:BS197" si="470">AI196</f>
        <v>0</v>
      </c>
      <c r="BK196" s="73">
        <f t="shared" si="470"/>
        <v>0</v>
      </c>
      <c r="BL196" s="74">
        <f t="shared" si="470"/>
        <v>0</v>
      </c>
      <c r="BM196" s="72">
        <f t="shared" si="470"/>
        <v>0</v>
      </c>
      <c r="BN196" s="73">
        <f t="shared" si="470"/>
        <v>0</v>
      </c>
      <c r="BO196" s="74">
        <f t="shared" si="470"/>
        <v>0</v>
      </c>
      <c r="BP196" s="72">
        <f t="shared" si="470"/>
        <v>0</v>
      </c>
      <c r="BQ196" s="73">
        <f t="shared" si="470"/>
        <v>0</v>
      </c>
      <c r="BR196" s="74">
        <f t="shared" si="470"/>
        <v>0</v>
      </c>
      <c r="BS196" s="72">
        <f t="shared" si="470"/>
        <v>0</v>
      </c>
      <c r="BT196" s="73">
        <f t="shared" ref="BT196:CC197" si="471">AS196</f>
        <v>0</v>
      </c>
      <c r="BU196" s="74">
        <f t="shared" si="471"/>
        <v>0</v>
      </c>
      <c r="BV196" s="72">
        <f t="shared" si="471"/>
        <v>0</v>
      </c>
      <c r="BW196" s="73">
        <f t="shared" si="471"/>
        <v>0</v>
      </c>
      <c r="BX196" s="74">
        <f t="shared" si="471"/>
        <v>0</v>
      </c>
      <c r="BY196" s="72">
        <f t="shared" si="471"/>
        <v>0</v>
      </c>
      <c r="BZ196" s="73">
        <f t="shared" si="471"/>
        <v>0</v>
      </c>
      <c r="CA196" s="74">
        <f t="shared" si="471"/>
        <v>0</v>
      </c>
      <c r="CB196" s="72">
        <f t="shared" si="471"/>
        <v>0</v>
      </c>
      <c r="CC196" s="73">
        <f t="shared" si="471"/>
        <v>0</v>
      </c>
      <c r="CD196" s="74">
        <f t="shared" ref="CD196:CM197" si="472">BC196</f>
        <v>0</v>
      </c>
      <c r="CE196" s="72">
        <f t="shared" si="472"/>
        <v>0</v>
      </c>
      <c r="CF196" s="73">
        <f t="shared" si="472"/>
        <v>0</v>
      </c>
      <c r="CG196" s="74">
        <f t="shared" si="472"/>
        <v>0</v>
      </c>
      <c r="CH196" s="72">
        <f t="shared" si="472"/>
        <v>0</v>
      </c>
      <c r="CI196" s="73">
        <f t="shared" si="472"/>
        <v>0</v>
      </c>
      <c r="CJ196" s="74">
        <f t="shared" si="472"/>
        <v>0</v>
      </c>
      <c r="CK196" s="72">
        <f t="shared" si="472"/>
        <v>0</v>
      </c>
      <c r="CL196" s="73">
        <f t="shared" si="472"/>
        <v>0</v>
      </c>
      <c r="CM196" s="74">
        <f t="shared" si="472"/>
        <v>0</v>
      </c>
      <c r="CN196" s="72">
        <f t="shared" ref="CN196:CP197" si="473">BM196</f>
        <v>0</v>
      </c>
      <c r="CO196" s="73">
        <f t="shared" si="473"/>
        <v>0</v>
      </c>
      <c r="CP196" s="74">
        <f t="shared" si="473"/>
        <v>0</v>
      </c>
      <c r="DJ196" s="99">
        <f t="shared" si="380"/>
        <v>-1</v>
      </c>
      <c r="DK196" s="45">
        <f t="shared" si="381"/>
        <v>-1</v>
      </c>
      <c r="DL196" s="47">
        <f t="shared" si="382"/>
        <v>-1</v>
      </c>
      <c r="DM196" s="46">
        <f t="shared" si="383"/>
        <v>-1</v>
      </c>
      <c r="DN196" s="45">
        <f t="shared" si="384"/>
        <v>-1</v>
      </c>
      <c r="DO196" s="47">
        <f t="shared" si="385"/>
        <v>-1</v>
      </c>
      <c r="DP196" s="46">
        <f t="shared" si="386"/>
        <v>-1</v>
      </c>
      <c r="DQ196" s="45">
        <f t="shared" si="387"/>
        <v>-1</v>
      </c>
      <c r="DR196" s="48">
        <f t="shared" si="388"/>
        <v>-1</v>
      </c>
      <c r="DS196" s="44">
        <f t="shared" si="389"/>
        <v>-1</v>
      </c>
      <c r="DT196" s="45">
        <f t="shared" si="390"/>
        <v>-1</v>
      </c>
      <c r="DU196" s="47">
        <f t="shared" si="391"/>
        <v>-1</v>
      </c>
      <c r="DV196" s="46">
        <f t="shared" si="392"/>
        <v>-1</v>
      </c>
      <c r="DW196" s="45">
        <f t="shared" si="393"/>
        <v>-1</v>
      </c>
      <c r="DX196" s="47">
        <f t="shared" si="394"/>
        <v>-1</v>
      </c>
      <c r="DY196" s="46">
        <f t="shared" si="395"/>
        <v>-1</v>
      </c>
      <c r="DZ196" s="45">
        <f t="shared" si="396"/>
        <v>-1</v>
      </c>
      <c r="EA196" s="48">
        <f t="shared" si="397"/>
        <v>-1</v>
      </c>
      <c r="EB196" s="44">
        <f t="shared" si="398"/>
        <v>-1</v>
      </c>
      <c r="EC196" s="45">
        <f t="shared" si="399"/>
        <v>-1</v>
      </c>
      <c r="ED196" s="47">
        <f t="shared" si="400"/>
        <v>-1</v>
      </c>
      <c r="EE196" s="46">
        <f t="shared" si="401"/>
        <v>-1</v>
      </c>
      <c r="EF196" s="45">
        <f t="shared" si="402"/>
        <v>-1</v>
      </c>
      <c r="EG196" s="47">
        <f t="shared" si="403"/>
        <v>-1</v>
      </c>
      <c r="EH196" s="46">
        <f t="shared" si="404"/>
        <v>-1</v>
      </c>
      <c r="EI196" s="45">
        <f t="shared" si="405"/>
        <v>-1</v>
      </c>
      <c r="EJ196" s="100">
        <f t="shared" si="406"/>
        <v>-1</v>
      </c>
      <c r="EK196" s="99">
        <f t="shared" si="407"/>
        <v>-1</v>
      </c>
      <c r="EL196" s="45">
        <f t="shared" si="408"/>
        <v>-1</v>
      </c>
      <c r="EM196" s="47">
        <f t="shared" si="409"/>
        <v>-1</v>
      </c>
      <c r="EN196" s="46">
        <f t="shared" si="410"/>
        <v>-1</v>
      </c>
      <c r="EO196" s="45">
        <f t="shared" si="411"/>
        <v>-1</v>
      </c>
      <c r="EP196" s="47">
        <f t="shared" si="412"/>
        <v>-1</v>
      </c>
      <c r="EQ196" s="46">
        <f t="shared" si="413"/>
        <v>-1</v>
      </c>
      <c r="ER196" s="45">
        <f t="shared" si="414"/>
        <v>-1</v>
      </c>
      <c r="ES196" s="48">
        <f t="shared" si="415"/>
        <v>-1</v>
      </c>
      <c r="ET196" s="44">
        <f t="shared" si="416"/>
        <v>-1</v>
      </c>
      <c r="EU196" s="45">
        <f t="shared" si="417"/>
        <v>-1</v>
      </c>
      <c r="EV196" s="47">
        <f t="shared" si="418"/>
        <v>-1</v>
      </c>
      <c r="EW196" s="46">
        <f t="shared" si="419"/>
        <v>-1</v>
      </c>
      <c r="EX196" s="45">
        <f t="shared" si="420"/>
        <v>-1</v>
      </c>
      <c r="EY196" s="47">
        <f t="shared" si="421"/>
        <v>-1</v>
      </c>
      <c r="EZ196" s="46">
        <f t="shared" si="422"/>
        <v>-1</v>
      </c>
      <c r="FA196" s="45">
        <f t="shared" si="423"/>
        <v>-1</v>
      </c>
      <c r="FB196" s="48">
        <f t="shared" si="424"/>
        <v>-1</v>
      </c>
      <c r="FC196" s="44">
        <f t="shared" si="425"/>
        <v>-1</v>
      </c>
      <c r="FD196" s="45">
        <f t="shared" si="426"/>
        <v>-1</v>
      </c>
      <c r="FE196" s="47">
        <f t="shared" si="427"/>
        <v>-1</v>
      </c>
      <c r="FF196" s="46">
        <f t="shared" si="428"/>
        <v>-1</v>
      </c>
      <c r="FG196" s="45">
        <f t="shared" si="429"/>
        <v>-1</v>
      </c>
      <c r="FH196" s="47">
        <f t="shared" si="430"/>
        <v>-1</v>
      </c>
      <c r="FI196" s="46">
        <f t="shared" si="431"/>
        <v>-1</v>
      </c>
      <c r="FJ196" s="45">
        <f t="shared" si="432"/>
        <v>-1</v>
      </c>
      <c r="FK196" s="100">
        <f t="shared" si="433"/>
        <v>-1</v>
      </c>
      <c r="FL196" s="99">
        <f t="shared" si="434"/>
        <v>-1</v>
      </c>
      <c r="FM196" s="45">
        <f t="shared" si="435"/>
        <v>-1</v>
      </c>
      <c r="FN196" s="47">
        <f t="shared" si="436"/>
        <v>-1</v>
      </c>
      <c r="FO196" s="46">
        <f t="shared" si="437"/>
        <v>-1</v>
      </c>
      <c r="FP196" s="45">
        <f t="shared" si="438"/>
        <v>-1</v>
      </c>
      <c r="FQ196" s="47">
        <f t="shared" si="439"/>
        <v>-1</v>
      </c>
      <c r="FR196" s="46">
        <f t="shared" si="440"/>
        <v>-1</v>
      </c>
      <c r="FS196" s="45">
        <f t="shared" si="441"/>
        <v>-1</v>
      </c>
      <c r="FT196" s="48">
        <f t="shared" si="442"/>
        <v>-1</v>
      </c>
      <c r="FU196" s="44">
        <f t="shared" si="443"/>
        <v>-1</v>
      </c>
      <c r="FV196" s="45">
        <f t="shared" si="444"/>
        <v>-1</v>
      </c>
      <c r="FW196" s="47">
        <f t="shared" si="445"/>
        <v>-1</v>
      </c>
      <c r="FX196" s="46">
        <f t="shared" si="446"/>
        <v>-1</v>
      </c>
      <c r="FY196" s="45">
        <f t="shared" si="447"/>
        <v>-1</v>
      </c>
      <c r="FZ196" s="47">
        <f t="shared" si="448"/>
        <v>-1</v>
      </c>
      <c r="GA196" s="46">
        <f t="shared" si="449"/>
        <v>-1</v>
      </c>
      <c r="GB196" s="45">
        <f t="shared" si="450"/>
        <v>-1</v>
      </c>
      <c r="GC196" s="48">
        <f t="shared" si="451"/>
        <v>-1</v>
      </c>
      <c r="GD196" s="44">
        <f t="shared" si="452"/>
        <v>-1</v>
      </c>
      <c r="GE196" s="45">
        <f t="shared" si="453"/>
        <v>-1</v>
      </c>
      <c r="GF196" s="47">
        <f t="shared" si="454"/>
        <v>-1</v>
      </c>
      <c r="GG196" s="46">
        <f t="shared" si="455"/>
        <v>-1</v>
      </c>
      <c r="GH196" s="45">
        <f t="shared" si="456"/>
        <v>-1</v>
      </c>
      <c r="GI196" s="47">
        <f t="shared" si="457"/>
        <v>-1</v>
      </c>
      <c r="GJ196" s="46">
        <f t="shared" si="458"/>
        <v>-1</v>
      </c>
      <c r="GK196" s="45">
        <f t="shared" si="459"/>
        <v>-1</v>
      </c>
      <c r="GL196" s="100">
        <f t="shared" si="460"/>
        <v>-1</v>
      </c>
      <c r="GN196" s="46">
        <f>COUNTIF(DJ196:GL196,7)</f>
        <v>0</v>
      </c>
      <c r="GO196" s="45">
        <f>COUNTIF(DJ196:GL196,8)</f>
        <v>0</v>
      </c>
      <c r="GP196" s="47">
        <f>COUNTIF(DJ196:GL196,9)</f>
        <v>0</v>
      </c>
      <c r="GQ196" s="39"/>
      <c r="GR196" s="39"/>
      <c r="GT196" s="78">
        <f t="shared" ref="GT196:GV196" si="474">GT169</f>
        <v>1</v>
      </c>
      <c r="GU196" s="79">
        <f t="shared" si="474"/>
        <v>2</v>
      </c>
      <c r="GV196" s="80">
        <f t="shared" si="474"/>
        <v>0</v>
      </c>
    </row>
    <row r="197" spans="9:204" ht="15" customHeight="1" thickBot="1">
      <c r="I197" s="28" t="s">
        <v>11</v>
      </c>
      <c r="N197" s="101">
        <f>N191+AO191+BP191</f>
        <v>0</v>
      </c>
      <c r="O197" s="102">
        <f t="shared" si="465"/>
        <v>0</v>
      </c>
      <c r="P197" s="103">
        <f t="shared" si="465"/>
        <v>0</v>
      </c>
      <c r="Q197" s="101">
        <f t="shared" si="465"/>
        <v>0</v>
      </c>
      <c r="R197" s="102">
        <f t="shared" si="465"/>
        <v>0</v>
      </c>
      <c r="S197" s="103">
        <f t="shared" si="465"/>
        <v>0</v>
      </c>
      <c r="T197" s="101">
        <f t="shared" si="465"/>
        <v>0</v>
      </c>
      <c r="U197" s="102">
        <f t="shared" si="465"/>
        <v>0</v>
      </c>
      <c r="V197" s="103">
        <f t="shared" si="465"/>
        <v>0</v>
      </c>
      <c r="W197" s="101">
        <f t="shared" si="465"/>
        <v>0</v>
      </c>
      <c r="X197" s="102">
        <f t="shared" si="465"/>
        <v>0</v>
      </c>
      <c r="Y197" s="103">
        <f t="shared" si="466"/>
        <v>0</v>
      </c>
      <c r="Z197" s="101">
        <f t="shared" si="466"/>
        <v>0</v>
      </c>
      <c r="AA197" s="102">
        <f t="shared" si="466"/>
        <v>0</v>
      </c>
      <c r="AB197" s="103">
        <f t="shared" si="466"/>
        <v>0</v>
      </c>
      <c r="AC197" s="101">
        <f t="shared" si="466"/>
        <v>0</v>
      </c>
      <c r="AD197" s="102">
        <f t="shared" si="466"/>
        <v>0</v>
      </c>
      <c r="AE197" s="103">
        <f t="shared" si="466"/>
        <v>0</v>
      </c>
      <c r="AF197" s="101">
        <f t="shared" si="466"/>
        <v>0</v>
      </c>
      <c r="AG197" s="102">
        <f t="shared" si="466"/>
        <v>0</v>
      </c>
      <c r="AH197" s="103">
        <f t="shared" si="466"/>
        <v>0</v>
      </c>
      <c r="AI197" s="101">
        <f t="shared" si="467"/>
        <v>0</v>
      </c>
      <c r="AJ197" s="102">
        <f t="shared" si="467"/>
        <v>0</v>
      </c>
      <c r="AK197" s="103">
        <f t="shared" si="467"/>
        <v>0</v>
      </c>
      <c r="AL197" s="101">
        <f t="shared" si="467"/>
        <v>0</v>
      </c>
      <c r="AM197" s="102">
        <f t="shared" si="467"/>
        <v>0</v>
      </c>
      <c r="AN197" s="103">
        <f t="shared" si="467"/>
        <v>0</v>
      </c>
      <c r="AO197" s="78">
        <f>N197</f>
        <v>0</v>
      </c>
      <c r="AP197" s="79">
        <f t="shared" si="468"/>
        <v>0</v>
      </c>
      <c r="AQ197" s="80">
        <f t="shared" si="468"/>
        <v>0</v>
      </c>
      <c r="AR197" s="78">
        <f t="shared" si="468"/>
        <v>0</v>
      </c>
      <c r="AS197" s="79">
        <f t="shared" si="468"/>
        <v>0</v>
      </c>
      <c r="AT197" s="80">
        <f t="shared" si="468"/>
        <v>0</v>
      </c>
      <c r="AU197" s="78">
        <f t="shared" si="468"/>
        <v>0</v>
      </c>
      <c r="AV197" s="79">
        <f t="shared" si="468"/>
        <v>0</v>
      </c>
      <c r="AW197" s="80">
        <f t="shared" si="468"/>
        <v>0</v>
      </c>
      <c r="AX197" s="78">
        <f t="shared" si="468"/>
        <v>0</v>
      </c>
      <c r="AY197" s="79">
        <f t="shared" si="468"/>
        <v>0</v>
      </c>
      <c r="AZ197" s="80">
        <f t="shared" si="469"/>
        <v>0</v>
      </c>
      <c r="BA197" s="78">
        <f t="shared" si="469"/>
        <v>0</v>
      </c>
      <c r="BB197" s="79">
        <f t="shared" si="469"/>
        <v>0</v>
      </c>
      <c r="BC197" s="80">
        <f t="shared" si="469"/>
        <v>0</v>
      </c>
      <c r="BD197" s="78">
        <f t="shared" si="469"/>
        <v>0</v>
      </c>
      <c r="BE197" s="79">
        <f t="shared" si="469"/>
        <v>0</v>
      </c>
      <c r="BF197" s="80">
        <f t="shared" si="469"/>
        <v>0</v>
      </c>
      <c r="BG197" s="78">
        <f t="shared" si="469"/>
        <v>0</v>
      </c>
      <c r="BH197" s="79">
        <f t="shared" si="469"/>
        <v>0</v>
      </c>
      <c r="BI197" s="80">
        <f t="shared" si="469"/>
        <v>0</v>
      </c>
      <c r="BJ197" s="78">
        <f t="shared" si="470"/>
        <v>0</v>
      </c>
      <c r="BK197" s="79">
        <f t="shared" si="470"/>
        <v>0</v>
      </c>
      <c r="BL197" s="80">
        <f t="shared" si="470"/>
        <v>0</v>
      </c>
      <c r="BM197" s="78">
        <f t="shared" si="470"/>
        <v>0</v>
      </c>
      <c r="BN197" s="79">
        <f t="shared" si="470"/>
        <v>0</v>
      </c>
      <c r="BO197" s="80">
        <f t="shared" si="470"/>
        <v>0</v>
      </c>
      <c r="BP197" s="78">
        <f t="shared" si="470"/>
        <v>0</v>
      </c>
      <c r="BQ197" s="79">
        <f t="shared" si="470"/>
        <v>0</v>
      </c>
      <c r="BR197" s="80">
        <f t="shared" si="470"/>
        <v>0</v>
      </c>
      <c r="BS197" s="78">
        <f t="shared" si="470"/>
        <v>0</v>
      </c>
      <c r="BT197" s="79">
        <f t="shared" si="471"/>
        <v>0</v>
      </c>
      <c r="BU197" s="80">
        <f t="shared" si="471"/>
        <v>0</v>
      </c>
      <c r="BV197" s="78">
        <f t="shared" si="471"/>
        <v>0</v>
      </c>
      <c r="BW197" s="79">
        <f t="shared" si="471"/>
        <v>0</v>
      </c>
      <c r="BX197" s="80">
        <f t="shared" si="471"/>
        <v>0</v>
      </c>
      <c r="BY197" s="78">
        <f t="shared" si="471"/>
        <v>0</v>
      </c>
      <c r="BZ197" s="79">
        <f t="shared" si="471"/>
        <v>0</v>
      </c>
      <c r="CA197" s="80">
        <f t="shared" si="471"/>
        <v>0</v>
      </c>
      <c r="CB197" s="78">
        <f t="shared" si="471"/>
        <v>0</v>
      </c>
      <c r="CC197" s="79">
        <f t="shared" si="471"/>
        <v>0</v>
      </c>
      <c r="CD197" s="80">
        <f t="shared" si="472"/>
        <v>0</v>
      </c>
      <c r="CE197" s="78">
        <f t="shared" si="472"/>
        <v>0</v>
      </c>
      <c r="CF197" s="79">
        <f t="shared" si="472"/>
        <v>0</v>
      </c>
      <c r="CG197" s="80">
        <f t="shared" si="472"/>
        <v>0</v>
      </c>
      <c r="CH197" s="78">
        <f t="shared" si="472"/>
        <v>0</v>
      </c>
      <c r="CI197" s="79">
        <f t="shared" si="472"/>
        <v>0</v>
      </c>
      <c r="CJ197" s="80">
        <f t="shared" si="472"/>
        <v>0</v>
      </c>
      <c r="CK197" s="78">
        <f t="shared" si="472"/>
        <v>0</v>
      </c>
      <c r="CL197" s="79">
        <f t="shared" si="472"/>
        <v>0</v>
      </c>
      <c r="CM197" s="80">
        <f t="shared" si="472"/>
        <v>0</v>
      </c>
      <c r="CN197" s="78">
        <f t="shared" si="473"/>
        <v>0</v>
      </c>
      <c r="CO197" s="79">
        <f t="shared" si="473"/>
        <v>0</v>
      </c>
      <c r="CP197" s="80">
        <f t="shared" si="473"/>
        <v>0</v>
      </c>
      <c r="DJ197" s="104">
        <f t="shared" si="380"/>
        <v>-1</v>
      </c>
      <c r="DK197" s="50">
        <f t="shared" si="381"/>
        <v>-1</v>
      </c>
      <c r="DL197" s="51">
        <f t="shared" si="382"/>
        <v>-1</v>
      </c>
      <c r="DM197" s="52">
        <f t="shared" si="383"/>
        <v>-1</v>
      </c>
      <c r="DN197" s="50">
        <f t="shared" si="384"/>
        <v>-1</v>
      </c>
      <c r="DO197" s="51">
        <f t="shared" si="385"/>
        <v>-1</v>
      </c>
      <c r="DP197" s="52">
        <f t="shared" si="386"/>
        <v>-1</v>
      </c>
      <c r="DQ197" s="50">
        <f t="shared" si="387"/>
        <v>-1</v>
      </c>
      <c r="DR197" s="53">
        <f t="shared" si="388"/>
        <v>-1</v>
      </c>
      <c r="DS197" s="49">
        <f t="shared" si="389"/>
        <v>-1</v>
      </c>
      <c r="DT197" s="50">
        <f t="shared" si="390"/>
        <v>-1</v>
      </c>
      <c r="DU197" s="51">
        <f t="shared" si="391"/>
        <v>-1</v>
      </c>
      <c r="DV197" s="52">
        <f t="shared" si="392"/>
        <v>-1</v>
      </c>
      <c r="DW197" s="50">
        <f t="shared" si="393"/>
        <v>-1</v>
      </c>
      <c r="DX197" s="51">
        <f t="shared" si="394"/>
        <v>-1</v>
      </c>
      <c r="DY197" s="52">
        <f t="shared" si="395"/>
        <v>-1</v>
      </c>
      <c r="DZ197" s="50">
        <f t="shared" si="396"/>
        <v>-1</v>
      </c>
      <c r="EA197" s="53">
        <f t="shared" si="397"/>
        <v>-1</v>
      </c>
      <c r="EB197" s="49">
        <f t="shared" si="398"/>
        <v>-1</v>
      </c>
      <c r="EC197" s="50">
        <f t="shared" si="399"/>
        <v>-1</v>
      </c>
      <c r="ED197" s="51">
        <f t="shared" si="400"/>
        <v>-1</v>
      </c>
      <c r="EE197" s="52">
        <f t="shared" si="401"/>
        <v>-1</v>
      </c>
      <c r="EF197" s="50">
        <f t="shared" si="402"/>
        <v>-1</v>
      </c>
      <c r="EG197" s="51">
        <f t="shared" si="403"/>
        <v>-1</v>
      </c>
      <c r="EH197" s="52">
        <f t="shared" si="404"/>
        <v>-1</v>
      </c>
      <c r="EI197" s="50">
        <f t="shared" si="405"/>
        <v>-1</v>
      </c>
      <c r="EJ197" s="105">
        <f t="shared" si="406"/>
        <v>-1</v>
      </c>
      <c r="EK197" s="104">
        <f t="shared" si="407"/>
        <v>-1</v>
      </c>
      <c r="EL197" s="50">
        <f t="shared" si="408"/>
        <v>-1</v>
      </c>
      <c r="EM197" s="51">
        <f t="shared" si="409"/>
        <v>-1</v>
      </c>
      <c r="EN197" s="52">
        <f t="shared" si="410"/>
        <v>-1</v>
      </c>
      <c r="EO197" s="50">
        <f t="shared" si="411"/>
        <v>-1</v>
      </c>
      <c r="EP197" s="51">
        <f t="shared" si="412"/>
        <v>-1</v>
      </c>
      <c r="EQ197" s="52">
        <f t="shared" si="413"/>
        <v>-1</v>
      </c>
      <c r="ER197" s="50">
        <f t="shared" si="414"/>
        <v>-1</v>
      </c>
      <c r="ES197" s="53">
        <f t="shared" si="415"/>
        <v>-1</v>
      </c>
      <c r="ET197" s="49">
        <f t="shared" si="416"/>
        <v>-1</v>
      </c>
      <c r="EU197" s="50">
        <f t="shared" si="417"/>
        <v>-1</v>
      </c>
      <c r="EV197" s="51">
        <f t="shared" si="418"/>
        <v>-1</v>
      </c>
      <c r="EW197" s="52">
        <f t="shared" si="419"/>
        <v>-1</v>
      </c>
      <c r="EX197" s="50">
        <f t="shared" si="420"/>
        <v>-1</v>
      </c>
      <c r="EY197" s="51">
        <f t="shared" si="421"/>
        <v>-1</v>
      </c>
      <c r="EZ197" s="52">
        <f t="shared" si="422"/>
        <v>-1</v>
      </c>
      <c r="FA197" s="50">
        <f t="shared" si="423"/>
        <v>-1</v>
      </c>
      <c r="FB197" s="53">
        <f t="shared" si="424"/>
        <v>-1</v>
      </c>
      <c r="FC197" s="49">
        <f t="shared" si="425"/>
        <v>-1</v>
      </c>
      <c r="FD197" s="50">
        <f t="shared" si="426"/>
        <v>-1</v>
      </c>
      <c r="FE197" s="51">
        <f t="shared" si="427"/>
        <v>-1</v>
      </c>
      <c r="FF197" s="52">
        <f t="shared" si="428"/>
        <v>-1</v>
      </c>
      <c r="FG197" s="50">
        <f t="shared" si="429"/>
        <v>-1</v>
      </c>
      <c r="FH197" s="51">
        <f t="shared" si="430"/>
        <v>-1</v>
      </c>
      <c r="FI197" s="52">
        <f t="shared" si="431"/>
        <v>-1</v>
      </c>
      <c r="FJ197" s="50">
        <f t="shared" si="432"/>
        <v>-1</v>
      </c>
      <c r="FK197" s="105">
        <f t="shared" si="433"/>
        <v>-1</v>
      </c>
      <c r="FL197" s="104">
        <f t="shared" si="434"/>
        <v>-1</v>
      </c>
      <c r="FM197" s="50">
        <f t="shared" si="435"/>
        <v>-1</v>
      </c>
      <c r="FN197" s="51">
        <f t="shared" si="436"/>
        <v>-1</v>
      </c>
      <c r="FO197" s="52">
        <f t="shared" si="437"/>
        <v>-1</v>
      </c>
      <c r="FP197" s="50">
        <f t="shared" si="438"/>
        <v>-1</v>
      </c>
      <c r="FQ197" s="51">
        <f t="shared" si="439"/>
        <v>-1</v>
      </c>
      <c r="FR197" s="52">
        <f t="shared" si="440"/>
        <v>-1</v>
      </c>
      <c r="FS197" s="50">
        <f t="shared" si="441"/>
        <v>-1</v>
      </c>
      <c r="FT197" s="53">
        <f t="shared" si="442"/>
        <v>-1</v>
      </c>
      <c r="FU197" s="49">
        <f t="shared" si="443"/>
        <v>-1</v>
      </c>
      <c r="FV197" s="50">
        <f t="shared" si="444"/>
        <v>-1</v>
      </c>
      <c r="FW197" s="51">
        <f t="shared" si="445"/>
        <v>-1</v>
      </c>
      <c r="FX197" s="52">
        <f t="shared" si="446"/>
        <v>-1</v>
      </c>
      <c r="FY197" s="50">
        <f t="shared" si="447"/>
        <v>-1</v>
      </c>
      <c r="FZ197" s="51">
        <f t="shared" si="448"/>
        <v>-1</v>
      </c>
      <c r="GA197" s="52">
        <f t="shared" si="449"/>
        <v>-1</v>
      </c>
      <c r="GB197" s="50">
        <f t="shared" si="450"/>
        <v>-1</v>
      </c>
      <c r="GC197" s="53">
        <f t="shared" si="451"/>
        <v>-1</v>
      </c>
      <c r="GD197" s="49">
        <f t="shared" si="452"/>
        <v>-1</v>
      </c>
      <c r="GE197" s="50">
        <f t="shared" si="453"/>
        <v>-1</v>
      </c>
      <c r="GF197" s="51">
        <f t="shared" si="454"/>
        <v>-1</v>
      </c>
      <c r="GG197" s="52">
        <f t="shared" si="455"/>
        <v>-1</v>
      </c>
      <c r="GH197" s="50">
        <f t="shared" si="456"/>
        <v>-1</v>
      </c>
      <c r="GI197" s="51">
        <f t="shared" si="457"/>
        <v>-1</v>
      </c>
      <c r="GJ197" s="52">
        <f t="shared" si="458"/>
        <v>-1</v>
      </c>
      <c r="GK197" s="50">
        <f t="shared" si="459"/>
        <v>-1</v>
      </c>
      <c r="GL197" s="105">
        <f t="shared" si="460"/>
        <v>-1</v>
      </c>
      <c r="GN197" s="52">
        <f>COUNTIF(DJ197:GL197,1)</f>
        <v>0</v>
      </c>
      <c r="GO197" s="50">
        <f>COUNTIF(DJ197:GL197,2)</f>
        <v>0</v>
      </c>
      <c r="GP197" s="51">
        <f>COUNTIF(DJ197:GL197,3)</f>
        <v>0</v>
      </c>
      <c r="GQ197" s="39"/>
      <c r="GR197" s="39"/>
      <c r="GT197" s="65">
        <f t="shared" ref="GT197:GV197" si="475">GT170</f>
        <v>5</v>
      </c>
      <c r="GU197" s="66">
        <f t="shared" si="475"/>
        <v>5</v>
      </c>
      <c r="GV197" s="67">
        <f t="shared" si="475"/>
        <v>3</v>
      </c>
    </row>
    <row r="198" spans="9:204" ht="15" customHeight="1">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DJ198" s="94">
        <f t="shared" si="380"/>
        <v>-1</v>
      </c>
      <c r="DK198" s="39">
        <f t="shared" si="381"/>
        <v>-1</v>
      </c>
      <c r="DL198" s="41">
        <f t="shared" si="382"/>
        <v>-1</v>
      </c>
      <c r="DM198" s="40">
        <f t="shared" si="383"/>
        <v>-1</v>
      </c>
      <c r="DN198" s="39">
        <f t="shared" si="384"/>
        <v>-1</v>
      </c>
      <c r="DO198" s="41">
        <f t="shared" si="385"/>
        <v>-1</v>
      </c>
      <c r="DP198" s="40">
        <f t="shared" si="386"/>
        <v>-1</v>
      </c>
      <c r="DQ198" s="39">
        <f t="shared" si="387"/>
        <v>-1</v>
      </c>
      <c r="DR198" s="42">
        <f t="shared" si="388"/>
        <v>-1</v>
      </c>
      <c r="DS198" s="43">
        <f t="shared" si="389"/>
        <v>-1</v>
      </c>
      <c r="DT198" s="39">
        <f t="shared" si="390"/>
        <v>-1</v>
      </c>
      <c r="DU198" s="41">
        <f t="shared" si="391"/>
        <v>-1</v>
      </c>
      <c r="DV198" s="40">
        <f t="shared" si="392"/>
        <v>-1</v>
      </c>
      <c r="DW198" s="39">
        <f t="shared" si="393"/>
        <v>-1</v>
      </c>
      <c r="DX198" s="41">
        <f t="shared" si="394"/>
        <v>-1</v>
      </c>
      <c r="DY198" s="40">
        <f t="shared" si="395"/>
        <v>-1</v>
      </c>
      <c r="DZ198" s="39">
        <f t="shared" si="396"/>
        <v>-1</v>
      </c>
      <c r="EA198" s="42">
        <f t="shared" si="397"/>
        <v>-1</v>
      </c>
      <c r="EB198" s="43">
        <f t="shared" si="398"/>
        <v>-1</v>
      </c>
      <c r="EC198" s="39">
        <f t="shared" si="399"/>
        <v>-1</v>
      </c>
      <c r="ED198" s="41">
        <f t="shared" si="400"/>
        <v>-1</v>
      </c>
      <c r="EE198" s="40">
        <f t="shared" si="401"/>
        <v>-1</v>
      </c>
      <c r="EF198" s="39">
        <f t="shared" si="402"/>
        <v>-1</v>
      </c>
      <c r="EG198" s="41">
        <f t="shared" si="403"/>
        <v>-1</v>
      </c>
      <c r="EH198" s="40">
        <f t="shared" si="404"/>
        <v>-1</v>
      </c>
      <c r="EI198" s="39">
        <f t="shared" si="405"/>
        <v>-1</v>
      </c>
      <c r="EJ198" s="95">
        <f t="shared" si="406"/>
        <v>-1</v>
      </c>
      <c r="EK198" s="94">
        <f t="shared" si="407"/>
        <v>-1</v>
      </c>
      <c r="EL198" s="39">
        <f t="shared" si="408"/>
        <v>-1</v>
      </c>
      <c r="EM198" s="41">
        <f t="shared" si="409"/>
        <v>-1</v>
      </c>
      <c r="EN198" s="40">
        <f t="shared" si="410"/>
        <v>-1</v>
      </c>
      <c r="EO198" s="39">
        <f t="shared" si="411"/>
        <v>-1</v>
      </c>
      <c r="EP198" s="41">
        <f t="shared" si="412"/>
        <v>-1</v>
      </c>
      <c r="EQ198" s="40">
        <f t="shared" si="413"/>
        <v>-1</v>
      </c>
      <c r="ER198" s="39">
        <f t="shared" si="414"/>
        <v>-1</v>
      </c>
      <c r="ES198" s="42">
        <f t="shared" si="415"/>
        <v>-1</v>
      </c>
      <c r="ET198" s="43">
        <f t="shared" si="416"/>
        <v>-1</v>
      </c>
      <c r="EU198" s="39">
        <f t="shared" si="417"/>
        <v>-1</v>
      </c>
      <c r="EV198" s="41">
        <f t="shared" si="418"/>
        <v>-1</v>
      </c>
      <c r="EW198" s="40">
        <f t="shared" si="419"/>
        <v>-1</v>
      </c>
      <c r="EX198" s="39">
        <f t="shared" si="420"/>
        <v>-1</v>
      </c>
      <c r="EY198" s="41">
        <f t="shared" si="421"/>
        <v>-1</v>
      </c>
      <c r="EZ198" s="40">
        <f t="shared" si="422"/>
        <v>-1</v>
      </c>
      <c r="FA198" s="39">
        <f t="shared" si="423"/>
        <v>-1</v>
      </c>
      <c r="FB198" s="42">
        <f t="shared" si="424"/>
        <v>-1</v>
      </c>
      <c r="FC198" s="43">
        <f t="shared" si="425"/>
        <v>-1</v>
      </c>
      <c r="FD198" s="39">
        <f t="shared" si="426"/>
        <v>-1</v>
      </c>
      <c r="FE198" s="41">
        <f t="shared" si="427"/>
        <v>-1</v>
      </c>
      <c r="FF198" s="40">
        <f t="shared" si="428"/>
        <v>-1</v>
      </c>
      <c r="FG198" s="39">
        <f t="shared" si="429"/>
        <v>-1</v>
      </c>
      <c r="FH198" s="41">
        <f t="shared" si="430"/>
        <v>-1</v>
      </c>
      <c r="FI198" s="40">
        <f t="shared" si="431"/>
        <v>-1</v>
      </c>
      <c r="FJ198" s="39">
        <f t="shared" si="432"/>
        <v>-1</v>
      </c>
      <c r="FK198" s="95">
        <f t="shared" si="433"/>
        <v>-1</v>
      </c>
      <c r="FL198" s="94">
        <f t="shared" si="434"/>
        <v>-1</v>
      </c>
      <c r="FM198" s="39">
        <f t="shared" si="435"/>
        <v>-1</v>
      </c>
      <c r="FN198" s="41">
        <f t="shared" si="436"/>
        <v>-1</v>
      </c>
      <c r="FO198" s="40">
        <f t="shared" si="437"/>
        <v>-1</v>
      </c>
      <c r="FP198" s="39">
        <f t="shared" si="438"/>
        <v>-1</v>
      </c>
      <c r="FQ198" s="41">
        <f t="shared" si="439"/>
        <v>-1</v>
      </c>
      <c r="FR198" s="40">
        <f t="shared" si="440"/>
        <v>-1</v>
      </c>
      <c r="FS198" s="39">
        <f t="shared" si="441"/>
        <v>-1</v>
      </c>
      <c r="FT198" s="42">
        <f t="shared" si="442"/>
        <v>-1</v>
      </c>
      <c r="FU198" s="43">
        <f t="shared" si="443"/>
        <v>-1</v>
      </c>
      <c r="FV198" s="39">
        <f t="shared" si="444"/>
        <v>-1</v>
      </c>
      <c r="FW198" s="41">
        <f t="shared" si="445"/>
        <v>-1</v>
      </c>
      <c r="FX198" s="40">
        <f t="shared" si="446"/>
        <v>-1</v>
      </c>
      <c r="FY198" s="39">
        <f t="shared" si="447"/>
        <v>-1</v>
      </c>
      <c r="FZ198" s="41">
        <f t="shared" si="448"/>
        <v>-1</v>
      </c>
      <c r="GA198" s="40">
        <f t="shared" si="449"/>
        <v>-1</v>
      </c>
      <c r="GB198" s="39">
        <f t="shared" si="450"/>
        <v>-1</v>
      </c>
      <c r="GC198" s="42">
        <f t="shared" si="451"/>
        <v>-1</v>
      </c>
      <c r="GD198" s="43">
        <f t="shared" si="452"/>
        <v>-1</v>
      </c>
      <c r="GE198" s="39">
        <f t="shared" si="453"/>
        <v>-1</v>
      </c>
      <c r="GF198" s="41">
        <f t="shared" si="454"/>
        <v>-1</v>
      </c>
      <c r="GG198" s="40">
        <f t="shared" si="455"/>
        <v>-1</v>
      </c>
      <c r="GH198" s="39">
        <f t="shared" si="456"/>
        <v>-1</v>
      </c>
      <c r="GI198" s="41">
        <f t="shared" si="457"/>
        <v>-1</v>
      </c>
      <c r="GJ198" s="40">
        <f t="shared" si="458"/>
        <v>-1</v>
      </c>
      <c r="GK198" s="39">
        <f t="shared" si="459"/>
        <v>-1</v>
      </c>
      <c r="GL198" s="95">
        <f t="shared" si="460"/>
        <v>-1</v>
      </c>
      <c r="GN198" s="40">
        <f>COUNTIF(DJ198:GL198,4)</f>
        <v>0</v>
      </c>
      <c r="GO198" s="39">
        <f>COUNTIF(DJ198:GL198,5)</f>
        <v>0</v>
      </c>
      <c r="GP198" s="41">
        <f>COUNTIF(DJ198:GL198,6)</f>
        <v>0</v>
      </c>
      <c r="GQ198" s="39"/>
      <c r="GR198" s="39"/>
      <c r="GT198" s="72">
        <f t="shared" ref="GT198:GV198" si="476">GT171</f>
        <v>5</v>
      </c>
      <c r="GU198" s="73">
        <f t="shared" si="476"/>
        <v>0</v>
      </c>
      <c r="GV198" s="74">
        <f t="shared" si="476"/>
        <v>2</v>
      </c>
    </row>
    <row r="199" spans="9:204" ht="15" customHeight="1" thickBot="1">
      <c r="N199" s="33"/>
      <c r="O199" s="33"/>
      <c r="P199" s="33"/>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DJ199" s="99">
        <f t="shared" si="380"/>
        <v>-1</v>
      </c>
      <c r="DK199" s="45">
        <f t="shared" si="381"/>
        <v>-1</v>
      </c>
      <c r="DL199" s="47">
        <f t="shared" si="382"/>
        <v>-1</v>
      </c>
      <c r="DM199" s="46">
        <f t="shared" si="383"/>
        <v>-1</v>
      </c>
      <c r="DN199" s="45">
        <f t="shared" si="384"/>
        <v>-1</v>
      </c>
      <c r="DO199" s="47">
        <f t="shared" si="385"/>
        <v>-1</v>
      </c>
      <c r="DP199" s="46">
        <f t="shared" si="386"/>
        <v>-1</v>
      </c>
      <c r="DQ199" s="45">
        <f t="shared" si="387"/>
        <v>-1</v>
      </c>
      <c r="DR199" s="48">
        <f t="shared" si="388"/>
        <v>-1</v>
      </c>
      <c r="DS199" s="44">
        <f t="shared" si="389"/>
        <v>-1</v>
      </c>
      <c r="DT199" s="45">
        <f t="shared" si="390"/>
        <v>-1</v>
      </c>
      <c r="DU199" s="47">
        <f t="shared" si="391"/>
        <v>-1</v>
      </c>
      <c r="DV199" s="46">
        <f t="shared" si="392"/>
        <v>-1</v>
      </c>
      <c r="DW199" s="45">
        <f t="shared" si="393"/>
        <v>-1</v>
      </c>
      <c r="DX199" s="47">
        <f t="shared" si="394"/>
        <v>-1</v>
      </c>
      <c r="DY199" s="46">
        <f t="shared" si="395"/>
        <v>-1</v>
      </c>
      <c r="DZ199" s="45">
        <f t="shared" si="396"/>
        <v>-1</v>
      </c>
      <c r="EA199" s="48">
        <f t="shared" si="397"/>
        <v>-1</v>
      </c>
      <c r="EB199" s="44">
        <f t="shared" si="398"/>
        <v>-1</v>
      </c>
      <c r="EC199" s="45">
        <f t="shared" si="399"/>
        <v>-1</v>
      </c>
      <c r="ED199" s="47">
        <f t="shared" si="400"/>
        <v>-1</v>
      </c>
      <c r="EE199" s="46">
        <f t="shared" si="401"/>
        <v>-1</v>
      </c>
      <c r="EF199" s="45">
        <f t="shared" si="402"/>
        <v>-1</v>
      </c>
      <c r="EG199" s="47">
        <f t="shared" si="403"/>
        <v>-1</v>
      </c>
      <c r="EH199" s="46">
        <f t="shared" si="404"/>
        <v>-1</v>
      </c>
      <c r="EI199" s="45">
        <f t="shared" si="405"/>
        <v>-1</v>
      </c>
      <c r="EJ199" s="100">
        <f t="shared" si="406"/>
        <v>-1</v>
      </c>
      <c r="EK199" s="99">
        <f t="shared" si="407"/>
        <v>-1</v>
      </c>
      <c r="EL199" s="45">
        <f t="shared" si="408"/>
        <v>-1</v>
      </c>
      <c r="EM199" s="47">
        <f t="shared" si="409"/>
        <v>-1</v>
      </c>
      <c r="EN199" s="46">
        <f t="shared" si="410"/>
        <v>-1</v>
      </c>
      <c r="EO199" s="45">
        <f t="shared" si="411"/>
        <v>-1</v>
      </c>
      <c r="EP199" s="47">
        <f t="shared" si="412"/>
        <v>-1</v>
      </c>
      <c r="EQ199" s="46">
        <f t="shared" si="413"/>
        <v>-1</v>
      </c>
      <c r="ER199" s="45">
        <f t="shared" si="414"/>
        <v>-1</v>
      </c>
      <c r="ES199" s="48">
        <f t="shared" si="415"/>
        <v>-1</v>
      </c>
      <c r="ET199" s="44">
        <f t="shared" si="416"/>
        <v>-1</v>
      </c>
      <c r="EU199" s="45">
        <f t="shared" si="417"/>
        <v>-1</v>
      </c>
      <c r="EV199" s="47">
        <f t="shared" si="418"/>
        <v>-1</v>
      </c>
      <c r="EW199" s="46">
        <f t="shared" si="419"/>
        <v>-1</v>
      </c>
      <c r="EX199" s="45">
        <f t="shared" si="420"/>
        <v>-1</v>
      </c>
      <c r="EY199" s="47">
        <f t="shared" si="421"/>
        <v>-1</v>
      </c>
      <c r="EZ199" s="46">
        <f t="shared" si="422"/>
        <v>-1</v>
      </c>
      <c r="FA199" s="45">
        <f t="shared" si="423"/>
        <v>-1</v>
      </c>
      <c r="FB199" s="48">
        <f t="shared" si="424"/>
        <v>-1</v>
      </c>
      <c r="FC199" s="44">
        <f t="shared" si="425"/>
        <v>-1</v>
      </c>
      <c r="FD199" s="45">
        <f t="shared" si="426"/>
        <v>-1</v>
      </c>
      <c r="FE199" s="47">
        <f t="shared" si="427"/>
        <v>-1</v>
      </c>
      <c r="FF199" s="46">
        <f t="shared" si="428"/>
        <v>-1</v>
      </c>
      <c r="FG199" s="45">
        <f t="shared" si="429"/>
        <v>-1</v>
      </c>
      <c r="FH199" s="47">
        <f t="shared" si="430"/>
        <v>-1</v>
      </c>
      <c r="FI199" s="46">
        <f t="shared" si="431"/>
        <v>-1</v>
      </c>
      <c r="FJ199" s="45">
        <f t="shared" si="432"/>
        <v>-1</v>
      </c>
      <c r="FK199" s="100">
        <f t="shared" si="433"/>
        <v>-1</v>
      </c>
      <c r="FL199" s="99">
        <f t="shared" si="434"/>
        <v>-1</v>
      </c>
      <c r="FM199" s="45">
        <f t="shared" si="435"/>
        <v>-1</v>
      </c>
      <c r="FN199" s="47">
        <f t="shared" si="436"/>
        <v>-1</v>
      </c>
      <c r="FO199" s="46">
        <f t="shared" si="437"/>
        <v>-1</v>
      </c>
      <c r="FP199" s="45">
        <f t="shared" si="438"/>
        <v>-1</v>
      </c>
      <c r="FQ199" s="47">
        <f t="shared" si="439"/>
        <v>-1</v>
      </c>
      <c r="FR199" s="46">
        <f t="shared" si="440"/>
        <v>-1</v>
      </c>
      <c r="FS199" s="45">
        <f t="shared" si="441"/>
        <v>-1</v>
      </c>
      <c r="FT199" s="48">
        <f t="shared" si="442"/>
        <v>-1</v>
      </c>
      <c r="FU199" s="44">
        <f t="shared" si="443"/>
        <v>-1</v>
      </c>
      <c r="FV199" s="45">
        <f t="shared" si="444"/>
        <v>-1</v>
      </c>
      <c r="FW199" s="47">
        <f t="shared" si="445"/>
        <v>-1</v>
      </c>
      <c r="FX199" s="46">
        <f t="shared" si="446"/>
        <v>-1</v>
      </c>
      <c r="FY199" s="45">
        <f t="shared" si="447"/>
        <v>-1</v>
      </c>
      <c r="FZ199" s="47">
        <f t="shared" si="448"/>
        <v>-1</v>
      </c>
      <c r="GA199" s="46">
        <f t="shared" si="449"/>
        <v>-1</v>
      </c>
      <c r="GB199" s="45">
        <f t="shared" si="450"/>
        <v>-1</v>
      </c>
      <c r="GC199" s="48">
        <f t="shared" si="451"/>
        <v>-1</v>
      </c>
      <c r="GD199" s="44">
        <f t="shared" si="452"/>
        <v>-1</v>
      </c>
      <c r="GE199" s="45">
        <f t="shared" si="453"/>
        <v>-1</v>
      </c>
      <c r="GF199" s="47">
        <f t="shared" si="454"/>
        <v>-1</v>
      </c>
      <c r="GG199" s="46">
        <f t="shared" si="455"/>
        <v>-1</v>
      </c>
      <c r="GH199" s="45">
        <f t="shared" si="456"/>
        <v>-1</v>
      </c>
      <c r="GI199" s="47">
        <f t="shared" si="457"/>
        <v>-1</v>
      </c>
      <c r="GJ199" s="46">
        <f t="shared" si="458"/>
        <v>-1</v>
      </c>
      <c r="GK199" s="45">
        <f t="shared" si="459"/>
        <v>-1</v>
      </c>
      <c r="GL199" s="100">
        <f t="shared" si="460"/>
        <v>-1</v>
      </c>
      <c r="GN199" s="46">
        <f>COUNTIF(DJ199:GL199,7)</f>
        <v>0</v>
      </c>
      <c r="GO199" s="45">
        <f>COUNTIF(DJ199:GL199,8)</f>
        <v>0</v>
      </c>
      <c r="GP199" s="47">
        <f>COUNTIF(DJ199:GL199,9)</f>
        <v>0</v>
      </c>
      <c r="GQ199" s="39"/>
      <c r="GR199" s="39"/>
      <c r="GT199" s="78">
        <f t="shared" ref="GT199:GV199" si="477">GT172</f>
        <v>1</v>
      </c>
      <c r="GU199" s="79">
        <f t="shared" si="477"/>
        <v>3</v>
      </c>
      <c r="GV199" s="80">
        <f t="shared" si="477"/>
        <v>0</v>
      </c>
    </row>
    <row r="200" spans="9:204" ht="15" customHeight="1">
      <c r="DJ200" s="104">
        <f t="shared" si="380"/>
        <v>-1</v>
      </c>
      <c r="DK200" s="50">
        <f t="shared" si="381"/>
        <v>-1</v>
      </c>
      <c r="DL200" s="51">
        <f t="shared" si="382"/>
        <v>-1</v>
      </c>
      <c r="DM200" s="52">
        <f t="shared" si="383"/>
        <v>-1</v>
      </c>
      <c r="DN200" s="50">
        <f t="shared" si="384"/>
        <v>-1</v>
      </c>
      <c r="DO200" s="51">
        <f t="shared" si="385"/>
        <v>-1</v>
      </c>
      <c r="DP200" s="52">
        <f t="shared" si="386"/>
        <v>-1</v>
      </c>
      <c r="DQ200" s="50">
        <f t="shared" si="387"/>
        <v>-1</v>
      </c>
      <c r="DR200" s="53">
        <f t="shared" si="388"/>
        <v>-1</v>
      </c>
      <c r="DS200" s="49">
        <f t="shared" si="389"/>
        <v>-1</v>
      </c>
      <c r="DT200" s="50">
        <f t="shared" si="390"/>
        <v>-1</v>
      </c>
      <c r="DU200" s="51">
        <f t="shared" si="391"/>
        <v>-1</v>
      </c>
      <c r="DV200" s="52">
        <f t="shared" si="392"/>
        <v>-1</v>
      </c>
      <c r="DW200" s="50">
        <f t="shared" si="393"/>
        <v>-1</v>
      </c>
      <c r="DX200" s="51">
        <f t="shared" si="394"/>
        <v>-1</v>
      </c>
      <c r="DY200" s="52">
        <f t="shared" si="395"/>
        <v>-1</v>
      </c>
      <c r="DZ200" s="50">
        <f t="shared" si="396"/>
        <v>-1</v>
      </c>
      <c r="EA200" s="53">
        <f t="shared" si="397"/>
        <v>-1</v>
      </c>
      <c r="EB200" s="49">
        <f t="shared" si="398"/>
        <v>-1</v>
      </c>
      <c r="EC200" s="50">
        <f t="shared" si="399"/>
        <v>-1</v>
      </c>
      <c r="ED200" s="51">
        <f t="shared" si="400"/>
        <v>-1</v>
      </c>
      <c r="EE200" s="52">
        <f t="shared" si="401"/>
        <v>-1</v>
      </c>
      <c r="EF200" s="50">
        <f t="shared" si="402"/>
        <v>-1</v>
      </c>
      <c r="EG200" s="51">
        <f t="shared" si="403"/>
        <v>-1</v>
      </c>
      <c r="EH200" s="52">
        <f t="shared" si="404"/>
        <v>-1</v>
      </c>
      <c r="EI200" s="50">
        <f t="shared" si="405"/>
        <v>-1</v>
      </c>
      <c r="EJ200" s="105">
        <f t="shared" si="406"/>
        <v>-1</v>
      </c>
      <c r="EK200" s="104">
        <f t="shared" si="407"/>
        <v>-1</v>
      </c>
      <c r="EL200" s="50">
        <f t="shared" si="408"/>
        <v>-1</v>
      </c>
      <c r="EM200" s="51">
        <f t="shared" si="409"/>
        <v>-1</v>
      </c>
      <c r="EN200" s="52">
        <f t="shared" si="410"/>
        <v>-1</v>
      </c>
      <c r="EO200" s="50">
        <f t="shared" si="411"/>
        <v>-1</v>
      </c>
      <c r="EP200" s="51">
        <f t="shared" si="412"/>
        <v>-1</v>
      </c>
      <c r="EQ200" s="52">
        <f t="shared" si="413"/>
        <v>-1</v>
      </c>
      <c r="ER200" s="50">
        <f t="shared" si="414"/>
        <v>-1</v>
      </c>
      <c r="ES200" s="53">
        <f t="shared" si="415"/>
        <v>-1</v>
      </c>
      <c r="ET200" s="49">
        <f t="shared" si="416"/>
        <v>-1</v>
      </c>
      <c r="EU200" s="50">
        <f t="shared" si="417"/>
        <v>-1</v>
      </c>
      <c r="EV200" s="51">
        <f t="shared" si="418"/>
        <v>-1</v>
      </c>
      <c r="EW200" s="52">
        <f t="shared" si="419"/>
        <v>-1</v>
      </c>
      <c r="EX200" s="50">
        <f t="shared" si="420"/>
        <v>-1</v>
      </c>
      <c r="EY200" s="51">
        <f t="shared" si="421"/>
        <v>-1</v>
      </c>
      <c r="EZ200" s="52">
        <f t="shared" si="422"/>
        <v>0</v>
      </c>
      <c r="FA200" s="50">
        <f t="shared" si="423"/>
        <v>0</v>
      </c>
      <c r="FB200" s="53">
        <f t="shared" si="424"/>
        <v>0</v>
      </c>
      <c r="FC200" s="49">
        <f t="shared" si="425"/>
        <v>-1</v>
      </c>
      <c r="FD200" s="50">
        <f t="shared" si="426"/>
        <v>-1</v>
      </c>
      <c r="FE200" s="51">
        <f t="shared" si="427"/>
        <v>-1</v>
      </c>
      <c r="FF200" s="52">
        <f t="shared" si="428"/>
        <v>-1</v>
      </c>
      <c r="FG200" s="50">
        <f t="shared" si="429"/>
        <v>-1</v>
      </c>
      <c r="FH200" s="51">
        <f t="shared" si="430"/>
        <v>-1</v>
      </c>
      <c r="FI200" s="52">
        <f t="shared" si="431"/>
        <v>-1</v>
      </c>
      <c r="FJ200" s="50">
        <f t="shared" si="432"/>
        <v>-1</v>
      </c>
      <c r="FK200" s="105">
        <f t="shared" si="433"/>
        <v>-1</v>
      </c>
      <c r="FL200" s="104">
        <f t="shared" si="434"/>
        <v>-1</v>
      </c>
      <c r="FM200" s="50">
        <f t="shared" si="435"/>
        <v>-1</v>
      </c>
      <c r="FN200" s="51">
        <f t="shared" si="436"/>
        <v>-1</v>
      </c>
      <c r="FO200" s="52">
        <f t="shared" si="437"/>
        <v>-1</v>
      </c>
      <c r="FP200" s="50">
        <f t="shared" si="438"/>
        <v>-1</v>
      </c>
      <c r="FQ200" s="51">
        <f t="shared" si="439"/>
        <v>-1</v>
      </c>
      <c r="FR200" s="52">
        <f t="shared" si="440"/>
        <v>-1</v>
      </c>
      <c r="FS200" s="50">
        <f t="shared" si="441"/>
        <v>-1</v>
      </c>
      <c r="FT200" s="53">
        <f t="shared" si="442"/>
        <v>-1</v>
      </c>
      <c r="FU200" s="49">
        <f t="shared" si="443"/>
        <v>-1</v>
      </c>
      <c r="FV200" s="50">
        <f t="shared" si="444"/>
        <v>-1</v>
      </c>
      <c r="FW200" s="51">
        <f t="shared" si="445"/>
        <v>-1</v>
      </c>
      <c r="FX200" s="52">
        <f t="shared" si="446"/>
        <v>-1</v>
      </c>
      <c r="FY200" s="50">
        <f t="shared" si="447"/>
        <v>-1</v>
      </c>
      <c r="FZ200" s="51">
        <f t="shared" si="448"/>
        <v>-1</v>
      </c>
      <c r="GA200" s="52">
        <f t="shared" si="449"/>
        <v>-1</v>
      </c>
      <c r="GB200" s="50">
        <f t="shared" si="450"/>
        <v>-1</v>
      </c>
      <c r="GC200" s="53">
        <f t="shared" si="451"/>
        <v>-1</v>
      </c>
      <c r="GD200" s="49">
        <f t="shared" si="452"/>
        <v>-1</v>
      </c>
      <c r="GE200" s="50">
        <f t="shared" si="453"/>
        <v>-1</v>
      </c>
      <c r="GF200" s="51">
        <f t="shared" si="454"/>
        <v>-1</v>
      </c>
      <c r="GG200" s="52">
        <f t="shared" si="455"/>
        <v>-1</v>
      </c>
      <c r="GH200" s="50">
        <f t="shared" si="456"/>
        <v>-1</v>
      </c>
      <c r="GI200" s="51">
        <f t="shared" si="457"/>
        <v>-1</v>
      </c>
      <c r="GJ200" s="52">
        <f t="shared" si="458"/>
        <v>-1</v>
      </c>
      <c r="GK200" s="50">
        <f t="shared" si="459"/>
        <v>-1</v>
      </c>
      <c r="GL200" s="105">
        <f t="shared" si="460"/>
        <v>-1</v>
      </c>
      <c r="GN200" s="52">
        <f>COUNTIF(DJ200:GL200,1)</f>
        <v>0</v>
      </c>
      <c r="GO200" s="50">
        <f>COUNTIF(DJ200:GL200,2)</f>
        <v>0</v>
      </c>
      <c r="GP200" s="51">
        <f>COUNTIF(DJ200:GL200,3)</f>
        <v>0</v>
      </c>
      <c r="GQ200" s="39"/>
      <c r="GR200" s="39"/>
      <c r="GT200" s="65">
        <f t="shared" ref="GT200:GV200" si="478">GT173</f>
        <v>3</v>
      </c>
      <c r="GU200" s="66">
        <f t="shared" si="478"/>
        <v>3</v>
      </c>
      <c r="GV200" s="67">
        <f t="shared" si="478"/>
        <v>0</v>
      </c>
    </row>
    <row r="201" spans="9:204" ht="15" customHeight="1">
      <c r="DJ201" s="94">
        <f t="shared" si="380"/>
        <v>-1</v>
      </c>
      <c r="DK201" s="39">
        <f t="shared" si="381"/>
        <v>-1</v>
      </c>
      <c r="DL201" s="41">
        <f t="shared" si="382"/>
        <v>-1</v>
      </c>
      <c r="DM201" s="40">
        <f t="shared" si="383"/>
        <v>-1</v>
      </c>
      <c r="DN201" s="39">
        <f t="shared" si="384"/>
        <v>-1</v>
      </c>
      <c r="DO201" s="41">
        <f t="shared" si="385"/>
        <v>-1</v>
      </c>
      <c r="DP201" s="40">
        <f t="shared" si="386"/>
        <v>-1</v>
      </c>
      <c r="DQ201" s="39">
        <f t="shared" si="387"/>
        <v>-1</v>
      </c>
      <c r="DR201" s="42">
        <f t="shared" si="388"/>
        <v>-1</v>
      </c>
      <c r="DS201" s="43">
        <f t="shared" si="389"/>
        <v>-1</v>
      </c>
      <c r="DT201" s="39">
        <f t="shared" si="390"/>
        <v>-1</v>
      </c>
      <c r="DU201" s="41">
        <f t="shared" si="391"/>
        <v>-1</v>
      </c>
      <c r="DV201" s="40">
        <f t="shared" si="392"/>
        <v>-1</v>
      </c>
      <c r="DW201" s="39">
        <f t="shared" si="393"/>
        <v>-1</v>
      </c>
      <c r="DX201" s="41">
        <f t="shared" si="394"/>
        <v>-1</v>
      </c>
      <c r="DY201" s="40">
        <f t="shared" si="395"/>
        <v>-1</v>
      </c>
      <c r="DZ201" s="39">
        <f t="shared" si="396"/>
        <v>-1</v>
      </c>
      <c r="EA201" s="42">
        <f t="shared" si="397"/>
        <v>-1</v>
      </c>
      <c r="EB201" s="43">
        <f t="shared" si="398"/>
        <v>-1</v>
      </c>
      <c r="EC201" s="39">
        <f t="shared" si="399"/>
        <v>-1</v>
      </c>
      <c r="ED201" s="41">
        <f t="shared" si="400"/>
        <v>-1</v>
      </c>
      <c r="EE201" s="40">
        <f t="shared" si="401"/>
        <v>-1</v>
      </c>
      <c r="EF201" s="39">
        <f t="shared" si="402"/>
        <v>-1</v>
      </c>
      <c r="EG201" s="41">
        <f t="shared" si="403"/>
        <v>-1</v>
      </c>
      <c r="EH201" s="40">
        <f t="shared" si="404"/>
        <v>-1</v>
      </c>
      <c r="EI201" s="39">
        <f t="shared" si="405"/>
        <v>-1</v>
      </c>
      <c r="EJ201" s="95">
        <f t="shared" si="406"/>
        <v>-1</v>
      </c>
      <c r="EK201" s="94">
        <f t="shared" si="407"/>
        <v>-1</v>
      </c>
      <c r="EL201" s="39">
        <f t="shared" si="408"/>
        <v>-1</v>
      </c>
      <c r="EM201" s="41">
        <f t="shared" si="409"/>
        <v>-1</v>
      </c>
      <c r="EN201" s="40">
        <f t="shared" si="410"/>
        <v>-1</v>
      </c>
      <c r="EO201" s="39">
        <f t="shared" si="411"/>
        <v>-1</v>
      </c>
      <c r="EP201" s="41">
        <f t="shared" si="412"/>
        <v>-1</v>
      </c>
      <c r="EQ201" s="40">
        <f t="shared" si="413"/>
        <v>-1</v>
      </c>
      <c r="ER201" s="39">
        <f t="shared" si="414"/>
        <v>-1</v>
      </c>
      <c r="ES201" s="42">
        <f t="shared" si="415"/>
        <v>-1</v>
      </c>
      <c r="ET201" s="43">
        <f t="shared" si="416"/>
        <v>-1</v>
      </c>
      <c r="EU201" s="39">
        <f t="shared" si="417"/>
        <v>-1</v>
      </c>
      <c r="EV201" s="41">
        <f t="shared" si="418"/>
        <v>-1</v>
      </c>
      <c r="EW201" s="40">
        <f t="shared" si="419"/>
        <v>-1</v>
      </c>
      <c r="EX201" s="39">
        <f t="shared" si="420"/>
        <v>-1</v>
      </c>
      <c r="EY201" s="41">
        <f t="shared" si="421"/>
        <v>-1</v>
      </c>
      <c r="EZ201" s="40">
        <f t="shared" si="422"/>
        <v>0</v>
      </c>
      <c r="FA201" s="39">
        <f t="shared" si="423"/>
        <v>0</v>
      </c>
      <c r="FB201" s="42">
        <f t="shared" si="424"/>
        <v>0</v>
      </c>
      <c r="FC201" s="43">
        <f t="shared" si="425"/>
        <v>-1</v>
      </c>
      <c r="FD201" s="39">
        <f t="shared" si="426"/>
        <v>-1</v>
      </c>
      <c r="FE201" s="41">
        <f t="shared" si="427"/>
        <v>-1</v>
      </c>
      <c r="FF201" s="40">
        <f t="shared" si="428"/>
        <v>-1</v>
      </c>
      <c r="FG201" s="39">
        <f t="shared" si="429"/>
        <v>-1</v>
      </c>
      <c r="FH201" s="41">
        <f t="shared" si="430"/>
        <v>-1</v>
      </c>
      <c r="FI201" s="40">
        <f t="shared" si="431"/>
        <v>-1</v>
      </c>
      <c r="FJ201" s="39">
        <f t="shared" si="432"/>
        <v>-1</v>
      </c>
      <c r="FK201" s="95">
        <f t="shared" si="433"/>
        <v>-1</v>
      </c>
      <c r="FL201" s="94">
        <f t="shared" si="434"/>
        <v>-1</v>
      </c>
      <c r="FM201" s="39">
        <f t="shared" si="435"/>
        <v>-1</v>
      </c>
      <c r="FN201" s="41">
        <f t="shared" si="436"/>
        <v>-1</v>
      </c>
      <c r="FO201" s="40">
        <f t="shared" si="437"/>
        <v>-1</v>
      </c>
      <c r="FP201" s="39">
        <f t="shared" si="438"/>
        <v>-1</v>
      </c>
      <c r="FQ201" s="41">
        <f t="shared" si="439"/>
        <v>-1</v>
      </c>
      <c r="FR201" s="40">
        <f t="shared" si="440"/>
        <v>-1</v>
      </c>
      <c r="FS201" s="39">
        <f t="shared" si="441"/>
        <v>-1</v>
      </c>
      <c r="FT201" s="42">
        <f t="shared" si="442"/>
        <v>-1</v>
      </c>
      <c r="FU201" s="43">
        <f t="shared" si="443"/>
        <v>-1</v>
      </c>
      <c r="FV201" s="39">
        <f t="shared" si="444"/>
        <v>-1</v>
      </c>
      <c r="FW201" s="41">
        <f t="shared" si="445"/>
        <v>-1</v>
      </c>
      <c r="FX201" s="40">
        <f t="shared" si="446"/>
        <v>-1</v>
      </c>
      <c r="FY201" s="39">
        <f t="shared" si="447"/>
        <v>-1</v>
      </c>
      <c r="FZ201" s="41">
        <f t="shared" si="448"/>
        <v>-1</v>
      </c>
      <c r="GA201" s="40">
        <f t="shared" si="449"/>
        <v>-1</v>
      </c>
      <c r="GB201" s="39">
        <f t="shared" si="450"/>
        <v>-1</v>
      </c>
      <c r="GC201" s="42">
        <f t="shared" si="451"/>
        <v>-1</v>
      </c>
      <c r="GD201" s="43">
        <f t="shared" si="452"/>
        <v>-1</v>
      </c>
      <c r="GE201" s="39">
        <f t="shared" si="453"/>
        <v>-1</v>
      </c>
      <c r="GF201" s="41">
        <f t="shared" si="454"/>
        <v>-1</v>
      </c>
      <c r="GG201" s="40">
        <f t="shared" si="455"/>
        <v>-1</v>
      </c>
      <c r="GH201" s="39">
        <f t="shared" si="456"/>
        <v>-1</v>
      </c>
      <c r="GI201" s="41">
        <f t="shared" si="457"/>
        <v>-1</v>
      </c>
      <c r="GJ201" s="40">
        <f t="shared" si="458"/>
        <v>-1</v>
      </c>
      <c r="GK201" s="39">
        <f t="shared" si="459"/>
        <v>-1</v>
      </c>
      <c r="GL201" s="95">
        <f t="shared" si="460"/>
        <v>-1</v>
      </c>
      <c r="GN201" s="40">
        <f>COUNTIF(DJ201:GL201,4)</f>
        <v>0</v>
      </c>
      <c r="GO201" s="39">
        <f>COUNTIF(DJ201:GL201,5)</f>
        <v>0</v>
      </c>
      <c r="GP201" s="41">
        <f>COUNTIF(DJ201:GL201,6)</f>
        <v>0</v>
      </c>
      <c r="GQ201" s="39"/>
      <c r="GR201" s="39"/>
      <c r="GT201" s="72">
        <f t="shared" ref="GT201:GV201" si="479">GT174</f>
        <v>3</v>
      </c>
      <c r="GU201" s="73">
        <f t="shared" si="479"/>
        <v>1</v>
      </c>
      <c r="GV201" s="74">
        <f t="shared" si="479"/>
        <v>2</v>
      </c>
    </row>
    <row r="202" spans="9:204" ht="15" customHeight="1" thickBot="1">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7"/>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c r="BY202" s="116"/>
      <c r="BZ202" s="116"/>
      <c r="CA202" s="116"/>
      <c r="CB202" s="116"/>
      <c r="CC202" s="116"/>
      <c r="CD202" s="116"/>
      <c r="CE202" s="116"/>
      <c r="CF202" s="116"/>
      <c r="CG202" s="116"/>
      <c r="CH202" s="116"/>
      <c r="CI202" s="116"/>
      <c r="CJ202" s="116"/>
      <c r="CK202" s="116"/>
      <c r="CL202" s="116"/>
      <c r="CM202" s="116"/>
      <c r="CN202" s="116"/>
      <c r="CO202" s="116"/>
      <c r="CP202" s="116"/>
      <c r="DJ202" s="106">
        <f t="shared" si="380"/>
        <v>-1</v>
      </c>
      <c r="DK202" s="55">
        <f t="shared" si="381"/>
        <v>-1</v>
      </c>
      <c r="DL202" s="56">
        <f t="shared" si="382"/>
        <v>-1</v>
      </c>
      <c r="DM202" s="57">
        <f t="shared" si="383"/>
        <v>-1</v>
      </c>
      <c r="DN202" s="55">
        <f t="shared" si="384"/>
        <v>-1</v>
      </c>
      <c r="DO202" s="56">
        <f t="shared" si="385"/>
        <v>-1</v>
      </c>
      <c r="DP202" s="57">
        <f t="shared" si="386"/>
        <v>-1</v>
      </c>
      <c r="DQ202" s="55">
        <f t="shared" si="387"/>
        <v>-1</v>
      </c>
      <c r="DR202" s="58">
        <f t="shared" si="388"/>
        <v>-1</v>
      </c>
      <c r="DS202" s="54">
        <f t="shared" si="389"/>
        <v>-1</v>
      </c>
      <c r="DT202" s="55">
        <f t="shared" si="390"/>
        <v>-1</v>
      </c>
      <c r="DU202" s="56">
        <f t="shared" si="391"/>
        <v>-1</v>
      </c>
      <c r="DV202" s="57">
        <f t="shared" si="392"/>
        <v>-1</v>
      </c>
      <c r="DW202" s="55">
        <f t="shared" si="393"/>
        <v>-1</v>
      </c>
      <c r="DX202" s="56">
        <f t="shared" si="394"/>
        <v>-1</v>
      </c>
      <c r="DY202" s="57">
        <f t="shared" si="395"/>
        <v>-1</v>
      </c>
      <c r="DZ202" s="55">
        <f t="shared" si="396"/>
        <v>-1</v>
      </c>
      <c r="EA202" s="58">
        <f t="shared" si="397"/>
        <v>-1</v>
      </c>
      <c r="EB202" s="54">
        <f t="shared" si="398"/>
        <v>-1</v>
      </c>
      <c r="EC202" s="55">
        <f t="shared" si="399"/>
        <v>-1</v>
      </c>
      <c r="ED202" s="56">
        <f t="shared" si="400"/>
        <v>-1</v>
      </c>
      <c r="EE202" s="57">
        <f t="shared" si="401"/>
        <v>-1</v>
      </c>
      <c r="EF202" s="55">
        <f t="shared" si="402"/>
        <v>-1</v>
      </c>
      <c r="EG202" s="56">
        <f t="shared" si="403"/>
        <v>-1</v>
      </c>
      <c r="EH202" s="57">
        <f t="shared" si="404"/>
        <v>-1</v>
      </c>
      <c r="EI202" s="55">
        <f t="shared" si="405"/>
        <v>-1</v>
      </c>
      <c r="EJ202" s="107">
        <f t="shared" si="406"/>
        <v>-1</v>
      </c>
      <c r="EK202" s="106">
        <f t="shared" si="407"/>
        <v>-1</v>
      </c>
      <c r="EL202" s="55">
        <f t="shared" si="408"/>
        <v>-1</v>
      </c>
      <c r="EM202" s="56">
        <f t="shared" si="409"/>
        <v>-1</v>
      </c>
      <c r="EN202" s="57">
        <f t="shared" si="410"/>
        <v>-1</v>
      </c>
      <c r="EO202" s="55">
        <f t="shared" si="411"/>
        <v>-1</v>
      </c>
      <c r="EP202" s="56">
        <f t="shared" si="412"/>
        <v>-1</v>
      </c>
      <c r="EQ202" s="57">
        <f t="shared" si="413"/>
        <v>-1</v>
      </c>
      <c r="ER202" s="55">
        <f t="shared" si="414"/>
        <v>-1</v>
      </c>
      <c r="ES202" s="58">
        <f t="shared" si="415"/>
        <v>-1</v>
      </c>
      <c r="ET202" s="54">
        <f t="shared" si="416"/>
        <v>-1</v>
      </c>
      <c r="EU202" s="55">
        <f t="shared" si="417"/>
        <v>-1</v>
      </c>
      <c r="EV202" s="56">
        <f t="shared" si="418"/>
        <v>-1</v>
      </c>
      <c r="EW202" s="57">
        <f t="shared" si="419"/>
        <v>-1</v>
      </c>
      <c r="EX202" s="55">
        <f t="shared" si="420"/>
        <v>-1</v>
      </c>
      <c r="EY202" s="56">
        <f t="shared" si="421"/>
        <v>-1</v>
      </c>
      <c r="EZ202" s="57">
        <f t="shared" si="422"/>
        <v>7</v>
      </c>
      <c r="FA202" s="55">
        <f t="shared" si="423"/>
        <v>0</v>
      </c>
      <c r="FB202" s="58">
        <f t="shared" si="424"/>
        <v>0</v>
      </c>
      <c r="FC202" s="54">
        <f t="shared" si="425"/>
        <v>-1</v>
      </c>
      <c r="FD202" s="55">
        <f t="shared" si="426"/>
        <v>-1</v>
      </c>
      <c r="FE202" s="56">
        <f t="shared" si="427"/>
        <v>-1</v>
      </c>
      <c r="FF202" s="57">
        <f t="shared" si="428"/>
        <v>-1</v>
      </c>
      <c r="FG202" s="55">
        <f t="shared" si="429"/>
        <v>-1</v>
      </c>
      <c r="FH202" s="56">
        <f t="shared" si="430"/>
        <v>-1</v>
      </c>
      <c r="FI202" s="57">
        <f t="shared" si="431"/>
        <v>-1</v>
      </c>
      <c r="FJ202" s="55">
        <f t="shared" si="432"/>
        <v>-1</v>
      </c>
      <c r="FK202" s="107">
        <f t="shared" si="433"/>
        <v>-1</v>
      </c>
      <c r="FL202" s="106">
        <f t="shared" si="434"/>
        <v>-1</v>
      </c>
      <c r="FM202" s="55">
        <f t="shared" si="435"/>
        <v>-1</v>
      </c>
      <c r="FN202" s="56">
        <f t="shared" si="436"/>
        <v>-1</v>
      </c>
      <c r="FO202" s="57">
        <f t="shared" si="437"/>
        <v>-1</v>
      </c>
      <c r="FP202" s="55">
        <f t="shared" si="438"/>
        <v>-1</v>
      </c>
      <c r="FQ202" s="56">
        <f t="shared" si="439"/>
        <v>-1</v>
      </c>
      <c r="FR202" s="57">
        <f t="shared" si="440"/>
        <v>-1</v>
      </c>
      <c r="FS202" s="55">
        <f t="shared" si="441"/>
        <v>-1</v>
      </c>
      <c r="FT202" s="58">
        <f t="shared" si="442"/>
        <v>-1</v>
      </c>
      <c r="FU202" s="54">
        <f t="shared" si="443"/>
        <v>-1</v>
      </c>
      <c r="FV202" s="55">
        <f t="shared" si="444"/>
        <v>-1</v>
      </c>
      <c r="FW202" s="56">
        <f t="shared" si="445"/>
        <v>-1</v>
      </c>
      <c r="FX202" s="57">
        <f t="shared" si="446"/>
        <v>-1</v>
      </c>
      <c r="FY202" s="55">
        <f t="shared" si="447"/>
        <v>-1</v>
      </c>
      <c r="FZ202" s="56">
        <f t="shared" si="448"/>
        <v>-1</v>
      </c>
      <c r="GA202" s="57">
        <f t="shared" si="449"/>
        <v>-1</v>
      </c>
      <c r="GB202" s="55">
        <f t="shared" si="450"/>
        <v>-1</v>
      </c>
      <c r="GC202" s="58">
        <f t="shared" si="451"/>
        <v>-1</v>
      </c>
      <c r="GD202" s="54">
        <f t="shared" si="452"/>
        <v>-1</v>
      </c>
      <c r="GE202" s="55">
        <f t="shared" si="453"/>
        <v>-1</v>
      </c>
      <c r="GF202" s="56">
        <f t="shared" si="454"/>
        <v>-1</v>
      </c>
      <c r="GG202" s="57">
        <f t="shared" si="455"/>
        <v>-1</v>
      </c>
      <c r="GH202" s="55">
        <f t="shared" si="456"/>
        <v>-1</v>
      </c>
      <c r="GI202" s="56">
        <f t="shared" si="457"/>
        <v>-1</v>
      </c>
      <c r="GJ202" s="57">
        <f t="shared" si="458"/>
        <v>-1</v>
      </c>
      <c r="GK202" s="55">
        <f t="shared" si="459"/>
        <v>-1</v>
      </c>
      <c r="GL202" s="107">
        <f t="shared" si="460"/>
        <v>-1</v>
      </c>
      <c r="GN202" s="46">
        <f>COUNTIF(DJ202:GL202,7)</f>
        <v>1</v>
      </c>
      <c r="GO202" s="45">
        <f>COUNTIF(DJ202:GL202,8)</f>
        <v>0</v>
      </c>
      <c r="GP202" s="47">
        <f>COUNTIF(DJ202:GL202,9)</f>
        <v>0</v>
      </c>
      <c r="GQ202" s="39"/>
      <c r="GR202" s="39"/>
      <c r="GT202" s="78">
        <f t="shared" ref="GT202:GV202" si="480">GT175</f>
        <v>1</v>
      </c>
      <c r="GU202" s="79">
        <f t="shared" si="480"/>
        <v>0</v>
      </c>
      <c r="GV202" s="80">
        <f t="shared" si="480"/>
        <v>0</v>
      </c>
    </row>
    <row r="203" spans="9:204" ht="15" customHeight="1">
      <c r="N203" s="118" t="s">
        <v>10</v>
      </c>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7"/>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6"/>
      <c r="CP203" s="116"/>
      <c r="DJ203" s="108">
        <f t="shared" si="380"/>
        <v>-1</v>
      </c>
      <c r="DK203" s="37">
        <f t="shared" si="381"/>
        <v>-1</v>
      </c>
      <c r="DL203" s="35">
        <f t="shared" si="382"/>
        <v>-1</v>
      </c>
      <c r="DM203" s="36">
        <f t="shared" si="383"/>
        <v>-1</v>
      </c>
      <c r="DN203" s="37">
        <f t="shared" si="384"/>
        <v>-1</v>
      </c>
      <c r="DO203" s="35">
        <f t="shared" si="385"/>
        <v>-1</v>
      </c>
      <c r="DP203" s="36">
        <f t="shared" si="386"/>
        <v>-1</v>
      </c>
      <c r="DQ203" s="37">
        <f t="shared" si="387"/>
        <v>-1</v>
      </c>
      <c r="DR203" s="38">
        <f t="shared" si="388"/>
        <v>-1</v>
      </c>
      <c r="DS203" s="416">
        <f t="shared" si="389"/>
        <v>-1</v>
      </c>
      <c r="DT203" s="37">
        <f t="shared" si="390"/>
        <v>-1</v>
      </c>
      <c r="DU203" s="35">
        <f t="shared" si="391"/>
        <v>-1</v>
      </c>
      <c r="DV203" s="36">
        <f t="shared" si="392"/>
        <v>-1</v>
      </c>
      <c r="DW203" s="37">
        <f t="shared" si="393"/>
        <v>-1</v>
      </c>
      <c r="DX203" s="35">
        <f t="shared" si="394"/>
        <v>-1</v>
      </c>
      <c r="DY203" s="36">
        <f t="shared" si="395"/>
        <v>-1</v>
      </c>
      <c r="DZ203" s="37">
        <f t="shared" si="396"/>
        <v>-1</v>
      </c>
      <c r="EA203" s="38">
        <f t="shared" si="397"/>
        <v>-1</v>
      </c>
      <c r="EB203" s="416">
        <f t="shared" si="398"/>
        <v>-1</v>
      </c>
      <c r="EC203" s="37">
        <f t="shared" si="399"/>
        <v>-1</v>
      </c>
      <c r="ED203" s="35">
        <f t="shared" si="400"/>
        <v>-1</v>
      </c>
      <c r="EE203" s="36">
        <f t="shared" si="401"/>
        <v>-1</v>
      </c>
      <c r="EF203" s="37">
        <f t="shared" si="402"/>
        <v>-1</v>
      </c>
      <c r="EG203" s="35">
        <f t="shared" si="403"/>
        <v>-1</v>
      </c>
      <c r="EH203" s="36">
        <f t="shared" si="404"/>
        <v>-1</v>
      </c>
      <c r="EI203" s="37">
        <f t="shared" si="405"/>
        <v>-1</v>
      </c>
      <c r="EJ203" s="109">
        <f t="shared" si="406"/>
        <v>-1</v>
      </c>
      <c r="EK203" s="108">
        <f t="shared" si="407"/>
        <v>-1</v>
      </c>
      <c r="EL203" s="37">
        <f t="shared" si="408"/>
        <v>-1</v>
      </c>
      <c r="EM203" s="35">
        <f t="shared" si="409"/>
        <v>-1</v>
      </c>
      <c r="EN203" s="36">
        <f t="shared" si="410"/>
        <v>-1</v>
      </c>
      <c r="EO203" s="37">
        <f t="shared" si="411"/>
        <v>-1</v>
      </c>
      <c r="EP203" s="35">
        <f t="shared" si="412"/>
        <v>-1</v>
      </c>
      <c r="EQ203" s="36">
        <f t="shared" si="413"/>
        <v>-1</v>
      </c>
      <c r="ER203" s="37">
        <f t="shared" si="414"/>
        <v>-1</v>
      </c>
      <c r="ES203" s="38">
        <f t="shared" si="415"/>
        <v>-1</v>
      </c>
      <c r="ET203" s="416">
        <f t="shared" si="416"/>
        <v>-1</v>
      </c>
      <c r="EU203" s="37">
        <f t="shared" si="417"/>
        <v>-1</v>
      </c>
      <c r="EV203" s="35">
        <f t="shared" si="418"/>
        <v>-1</v>
      </c>
      <c r="EW203" s="36">
        <f t="shared" si="419"/>
        <v>1</v>
      </c>
      <c r="EX203" s="37">
        <f t="shared" si="420"/>
        <v>0</v>
      </c>
      <c r="EY203" s="35">
        <f t="shared" si="421"/>
        <v>0</v>
      </c>
      <c r="EZ203" s="36">
        <f t="shared" si="422"/>
        <v>-1</v>
      </c>
      <c r="FA203" s="37">
        <f t="shared" si="423"/>
        <v>-1</v>
      </c>
      <c r="FB203" s="38">
        <f t="shared" si="424"/>
        <v>-1</v>
      </c>
      <c r="FC203" s="416">
        <f t="shared" si="425"/>
        <v>-1</v>
      </c>
      <c r="FD203" s="37">
        <f t="shared" si="426"/>
        <v>-1</v>
      </c>
      <c r="FE203" s="35">
        <f t="shared" si="427"/>
        <v>-1</v>
      </c>
      <c r="FF203" s="36">
        <f t="shared" si="428"/>
        <v>-1</v>
      </c>
      <c r="FG203" s="37">
        <f t="shared" si="429"/>
        <v>-1</v>
      </c>
      <c r="FH203" s="35">
        <f t="shared" si="430"/>
        <v>-1</v>
      </c>
      <c r="FI203" s="36">
        <f t="shared" si="431"/>
        <v>-1</v>
      </c>
      <c r="FJ203" s="37">
        <f t="shared" si="432"/>
        <v>-1</v>
      </c>
      <c r="FK203" s="109">
        <f t="shared" si="433"/>
        <v>-1</v>
      </c>
      <c r="FL203" s="108">
        <f t="shared" si="434"/>
        <v>-1</v>
      </c>
      <c r="FM203" s="37">
        <f t="shared" si="435"/>
        <v>-1</v>
      </c>
      <c r="FN203" s="35">
        <f t="shared" si="436"/>
        <v>-1</v>
      </c>
      <c r="FO203" s="36">
        <f t="shared" si="437"/>
        <v>-1</v>
      </c>
      <c r="FP203" s="37">
        <f t="shared" si="438"/>
        <v>-1</v>
      </c>
      <c r="FQ203" s="35">
        <f t="shared" si="439"/>
        <v>-1</v>
      </c>
      <c r="FR203" s="36">
        <f t="shared" si="440"/>
        <v>-1</v>
      </c>
      <c r="FS203" s="37">
        <f t="shared" si="441"/>
        <v>-1</v>
      </c>
      <c r="FT203" s="38">
        <f t="shared" si="442"/>
        <v>-1</v>
      </c>
      <c r="FU203" s="416">
        <f t="shared" si="443"/>
        <v>-1</v>
      </c>
      <c r="FV203" s="37">
        <f t="shared" si="444"/>
        <v>-1</v>
      </c>
      <c r="FW203" s="35">
        <f t="shared" si="445"/>
        <v>-1</v>
      </c>
      <c r="FX203" s="36">
        <f t="shared" si="446"/>
        <v>-1</v>
      </c>
      <c r="FY203" s="37">
        <f t="shared" si="447"/>
        <v>-1</v>
      </c>
      <c r="FZ203" s="35">
        <f t="shared" si="448"/>
        <v>-1</v>
      </c>
      <c r="GA203" s="36">
        <f t="shared" si="449"/>
        <v>-1</v>
      </c>
      <c r="GB203" s="37">
        <f t="shared" si="450"/>
        <v>-1</v>
      </c>
      <c r="GC203" s="38">
        <f t="shared" si="451"/>
        <v>-1</v>
      </c>
      <c r="GD203" s="416">
        <f t="shared" si="452"/>
        <v>-1</v>
      </c>
      <c r="GE203" s="37">
        <f t="shared" si="453"/>
        <v>-1</v>
      </c>
      <c r="GF203" s="35">
        <f t="shared" si="454"/>
        <v>-1</v>
      </c>
      <c r="GG203" s="36">
        <f t="shared" si="455"/>
        <v>-1</v>
      </c>
      <c r="GH203" s="37">
        <f t="shared" si="456"/>
        <v>-1</v>
      </c>
      <c r="GI203" s="35">
        <f t="shared" si="457"/>
        <v>-1</v>
      </c>
      <c r="GJ203" s="36">
        <f t="shared" si="458"/>
        <v>-1</v>
      </c>
      <c r="GK203" s="37">
        <f t="shared" si="459"/>
        <v>-1</v>
      </c>
      <c r="GL203" s="109">
        <f t="shared" si="460"/>
        <v>-1</v>
      </c>
      <c r="GN203" s="52">
        <f>COUNTIF(DJ203:GL203,1)</f>
        <v>1</v>
      </c>
      <c r="GO203" s="50">
        <f>COUNTIF(DJ203:GL203,2)</f>
        <v>0</v>
      </c>
      <c r="GP203" s="51">
        <f>COUNTIF(DJ203:GL203,3)</f>
        <v>0</v>
      </c>
      <c r="GQ203" s="39"/>
      <c r="GR203" s="39"/>
      <c r="GT203" s="65">
        <f t="shared" ref="GT203:GV203" si="481">GT176</f>
        <v>5</v>
      </c>
      <c r="GU203" s="66">
        <f t="shared" si="481"/>
        <v>5</v>
      </c>
      <c r="GV203" s="67">
        <f t="shared" si="481"/>
        <v>4</v>
      </c>
    </row>
    <row r="204" spans="9:204" ht="15" customHeight="1">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7"/>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c r="BY204" s="116"/>
      <c r="BZ204" s="116"/>
      <c r="CA204" s="116"/>
      <c r="CB204" s="116"/>
      <c r="CC204" s="116"/>
      <c r="CD204" s="116"/>
      <c r="CE204" s="116"/>
      <c r="CF204" s="116"/>
      <c r="CG204" s="116"/>
      <c r="CH204" s="116"/>
      <c r="CI204" s="116"/>
      <c r="CJ204" s="116"/>
      <c r="CK204" s="116"/>
      <c r="CL204" s="116"/>
      <c r="CM204" s="116"/>
      <c r="CN204" s="116"/>
      <c r="CO204" s="116"/>
      <c r="CP204" s="116"/>
      <c r="DJ204" s="94">
        <f t="shared" si="380"/>
        <v>-1</v>
      </c>
      <c r="DK204" s="39">
        <f t="shared" si="381"/>
        <v>-1</v>
      </c>
      <c r="DL204" s="41">
        <f t="shared" si="382"/>
        <v>-1</v>
      </c>
      <c r="DM204" s="40">
        <f t="shared" si="383"/>
        <v>-1</v>
      </c>
      <c r="DN204" s="39">
        <f t="shared" si="384"/>
        <v>-1</v>
      </c>
      <c r="DO204" s="41">
        <f t="shared" si="385"/>
        <v>-1</v>
      </c>
      <c r="DP204" s="40">
        <f t="shared" si="386"/>
        <v>-1</v>
      </c>
      <c r="DQ204" s="39">
        <f t="shared" si="387"/>
        <v>-1</v>
      </c>
      <c r="DR204" s="42">
        <f t="shared" si="388"/>
        <v>-1</v>
      </c>
      <c r="DS204" s="43">
        <f t="shared" si="389"/>
        <v>-1</v>
      </c>
      <c r="DT204" s="39">
        <f t="shared" si="390"/>
        <v>-1</v>
      </c>
      <c r="DU204" s="41">
        <f t="shared" si="391"/>
        <v>-1</v>
      </c>
      <c r="DV204" s="40">
        <f t="shared" si="392"/>
        <v>-1</v>
      </c>
      <c r="DW204" s="39">
        <f t="shared" si="393"/>
        <v>-1</v>
      </c>
      <c r="DX204" s="41">
        <f t="shared" si="394"/>
        <v>-1</v>
      </c>
      <c r="DY204" s="40">
        <f t="shared" si="395"/>
        <v>-1</v>
      </c>
      <c r="DZ204" s="39">
        <f t="shared" si="396"/>
        <v>-1</v>
      </c>
      <c r="EA204" s="42">
        <f t="shared" si="397"/>
        <v>-1</v>
      </c>
      <c r="EB204" s="43">
        <f t="shared" si="398"/>
        <v>-1</v>
      </c>
      <c r="EC204" s="39">
        <f t="shared" si="399"/>
        <v>-1</v>
      </c>
      <c r="ED204" s="41">
        <f t="shared" si="400"/>
        <v>-1</v>
      </c>
      <c r="EE204" s="40">
        <f t="shared" si="401"/>
        <v>-1</v>
      </c>
      <c r="EF204" s="39">
        <f t="shared" si="402"/>
        <v>-1</v>
      </c>
      <c r="EG204" s="41">
        <f t="shared" si="403"/>
        <v>-1</v>
      </c>
      <c r="EH204" s="40">
        <f t="shared" si="404"/>
        <v>-1</v>
      </c>
      <c r="EI204" s="39">
        <f t="shared" si="405"/>
        <v>-1</v>
      </c>
      <c r="EJ204" s="95">
        <f t="shared" si="406"/>
        <v>-1</v>
      </c>
      <c r="EK204" s="94">
        <f t="shared" si="407"/>
        <v>-1</v>
      </c>
      <c r="EL204" s="39">
        <f t="shared" si="408"/>
        <v>-1</v>
      </c>
      <c r="EM204" s="41">
        <f t="shared" si="409"/>
        <v>-1</v>
      </c>
      <c r="EN204" s="40">
        <f t="shared" si="410"/>
        <v>-1</v>
      </c>
      <c r="EO204" s="39">
        <f t="shared" si="411"/>
        <v>-1</v>
      </c>
      <c r="EP204" s="41">
        <f t="shared" si="412"/>
        <v>-1</v>
      </c>
      <c r="EQ204" s="40">
        <f t="shared" si="413"/>
        <v>-1</v>
      </c>
      <c r="ER204" s="39">
        <f t="shared" si="414"/>
        <v>-1</v>
      </c>
      <c r="ES204" s="42">
        <f t="shared" si="415"/>
        <v>-1</v>
      </c>
      <c r="ET204" s="43">
        <f t="shared" si="416"/>
        <v>-1</v>
      </c>
      <c r="EU204" s="39">
        <f t="shared" si="417"/>
        <v>-1</v>
      </c>
      <c r="EV204" s="41">
        <f t="shared" si="418"/>
        <v>-1</v>
      </c>
      <c r="EW204" s="40">
        <f t="shared" si="419"/>
        <v>0</v>
      </c>
      <c r="EX204" s="39">
        <f t="shared" si="420"/>
        <v>0</v>
      </c>
      <c r="EY204" s="41">
        <f t="shared" si="421"/>
        <v>0</v>
      </c>
      <c r="EZ204" s="40">
        <f t="shared" si="422"/>
        <v>-1</v>
      </c>
      <c r="FA204" s="39">
        <f t="shared" si="423"/>
        <v>-1</v>
      </c>
      <c r="FB204" s="42">
        <f t="shared" si="424"/>
        <v>-1</v>
      </c>
      <c r="FC204" s="43">
        <f t="shared" si="425"/>
        <v>-1</v>
      </c>
      <c r="FD204" s="39">
        <f t="shared" si="426"/>
        <v>-1</v>
      </c>
      <c r="FE204" s="41">
        <f t="shared" si="427"/>
        <v>-1</v>
      </c>
      <c r="FF204" s="40">
        <f t="shared" si="428"/>
        <v>-1</v>
      </c>
      <c r="FG204" s="39">
        <f t="shared" si="429"/>
        <v>-1</v>
      </c>
      <c r="FH204" s="41">
        <f t="shared" si="430"/>
        <v>-1</v>
      </c>
      <c r="FI204" s="40">
        <f t="shared" si="431"/>
        <v>-1</v>
      </c>
      <c r="FJ204" s="39">
        <f t="shared" si="432"/>
        <v>-1</v>
      </c>
      <c r="FK204" s="95">
        <f t="shared" si="433"/>
        <v>-1</v>
      </c>
      <c r="FL204" s="94">
        <f t="shared" si="434"/>
        <v>-1</v>
      </c>
      <c r="FM204" s="39">
        <f t="shared" si="435"/>
        <v>-1</v>
      </c>
      <c r="FN204" s="41">
        <f t="shared" si="436"/>
        <v>-1</v>
      </c>
      <c r="FO204" s="40">
        <f t="shared" si="437"/>
        <v>-1</v>
      </c>
      <c r="FP204" s="39">
        <f t="shared" si="438"/>
        <v>-1</v>
      </c>
      <c r="FQ204" s="41">
        <f t="shared" si="439"/>
        <v>-1</v>
      </c>
      <c r="FR204" s="40">
        <f t="shared" si="440"/>
        <v>-1</v>
      </c>
      <c r="FS204" s="39">
        <f t="shared" si="441"/>
        <v>-1</v>
      </c>
      <c r="FT204" s="42">
        <f t="shared" si="442"/>
        <v>-1</v>
      </c>
      <c r="FU204" s="43">
        <f t="shared" si="443"/>
        <v>-1</v>
      </c>
      <c r="FV204" s="39">
        <f t="shared" si="444"/>
        <v>-1</v>
      </c>
      <c r="FW204" s="41">
        <f t="shared" si="445"/>
        <v>-1</v>
      </c>
      <c r="FX204" s="40">
        <f t="shared" si="446"/>
        <v>-1</v>
      </c>
      <c r="FY204" s="39">
        <f t="shared" si="447"/>
        <v>-1</v>
      </c>
      <c r="FZ204" s="41">
        <f t="shared" si="448"/>
        <v>-1</v>
      </c>
      <c r="GA204" s="40">
        <f t="shared" si="449"/>
        <v>-1</v>
      </c>
      <c r="GB204" s="39">
        <f t="shared" si="450"/>
        <v>-1</v>
      </c>
      <c r="GC204" s="42">
        <f t="shared" si="451"/>
        <v>-1</v>
      </c>
      <c r="GD204" s="43">
        <f t="shared" si="452"/>
        <v>-1</v>
      </c>
      <c r="GE204" s="39">
        <f t="shared" si="453"/>
        <v>-1</v>
      </c>
      <c r="GF204" s="41">
        <f t="shared" si="454"/>
        <v>-1</v>
      </c>
      <c r="GG204" s="40">
        <f t="shared" si="455"/>
        <v>-1</v>
      </c>
      <c r="GH204" s="39">
        <f t="shared" si="456"/>
        <v>-1</v>
      </c>
      <c r="GI204" s="41">
        <f t="shared" si="457"/>
        <v>-1</v>
      </c>
      <c r="GJ204" s="40">
        <f t="shared" si="458"/>
        <v>-1</v>
      </c>
      <c r="GK204" s="39">
        <f t="shared" si="459"/>
        <v>-1</v>
      </c>
      <c r="GL204" s="95">
        <f t="shared" si="460"/>
        <v>-1</v>
      </c>
      <c r="GN204" s="40">
        <f>COUNTIF(DJ204:GL204,4)</f>
        <v>0</v>
      </c>
      <c r="GO204" s="39">
        <f>COUNTIF(DJ204:GL204,5)</f>
        <v>0</v>
      </c>
      <c r="GP204" s="41">
        <f>COUNTIF(DJ204:GL204,6)</f>
        <v>0</v>
      </c>
      <c r="GQ204" s="39"/>
      <c r="GR204" s="39"/>
      <c r="GT204" s="72">
        <f t="shared" ref="GT204:GV204" si="482">GT177</f>
        <v>4</v>
      </c>
      <c r="GU204" s="73">
        <f t="shared" si="482"/>
        <v>1</v>
      </c>
      <c r="GV204" s="74">
        <f t="shared" si="482"/>
        <v>3</v>
      </c>
    </row>
    <row r="205" spans="9:204" ht="15" customHeight="1" thickBot="1">
      <c r="N205" s="119">
        <f>COUNTIF(N107:AN133,1)</f>
        <v>0</v>
      </c>
      <c r="O205" s="120">
        <f>COUNTIF(N107:AN133,2)</f>
        <v>0</v>
      </c>
      <c r="P205" s="121">
        <f>COUNTIF(N107:AN133,3)</f>
        <v>0</v>
      </c>
      <c r="Q205" s="116">
        <f>N205</f>
        <v>0</v>
      </c>
      <c r="R205" s="116">
        <f t="shared" ref="R205:AN205" si="483">O205</f>
        <v>0</v>
      </c>
      <c r="S205" s="116">
        <f t="shared" si="483"/>
        <v>0</v>
      </c>
      <c r="T205" s="116">
        <f t="shared" si="483"/>
        <v>0</v>
      </c>
      <c r="U205" s="116">
        <f t="shared" si="483"/>
        <v>0</v>
      </c>
      <c r="V205" s="116">
        <f t="shared" si="483"/>
        <v>0</v>
      </c>
      <c r="W205" s="116">
        <f t="shared" si="483"/>
        <v>0</v>
      </c>
      <c r="X205" s="116">
        <f t="shared" si="483"/>
        <v>0</v>
      </c>
      <c r="Y205" s="116">
        <f t="shared" si="483"/>
        <v>0</v>
      </c>
      <c r="Z205" s="116">
        <f t="shared" si="483"/>
        <v>0</v>
      </c>
      <c r="AA205" s="116">
        <f t="shared" si="483"/>
        <v>0</v>
      </c>
      <c r="AB205" s="116">
        <f t="shared" si="483"/>
        <v>0</v>
      </c>
      <c r="AC205" s="116">
        <f t="shared" si="483"/>
        <v>0</v>
      </c>
      <c r="AD205" s="116">
        <f t="shared" si="483"/>
        <v>0</v>
      </c>
      <c r="AE205" s="116">
        <f t="shared" si="483"/>
        <v>0</v>
      </c>
      <c r="AF205" s="116">
        <f t="shared" si="483"/>
        <v>0</v>
      </c>
      <c r="AG205" s="116">
        <f t="shared" si="483"/>
        <v>0</v>
      </c>
      <c r="AH205" s="116">
        <f t="shared" si="483"/>
        <v>0</v>
      </c>
      <c r="AI205" s="116">
        <f t="shared" si="483"/>
        <v>0</v>
      </c>
      <c r="AJ205" s="116">
        <f t="shared" si="483"/>
        <v>0</v>
      </c>
      <c r="AK205" s="116">
        <f t="shared" si="483"/>
        <v>0</v>
      </c>
      <c r="AL205" s="116">
        <f t="shared" si="483"/>
        <v>0</v>
      </c>
      <c r="AM205" s="116">
        <f t="shared" si="483"/>
        <v>0</v>
      </c>
      <c r="AN205" s="116">
        <f t="shared" si="483"/>
        <v>0</v>
      </c>
      <c r="AO205" s="119">
        <f>COUNTIF(AO107:BO133,1)</f>
        <v>0</v>
      </c>
      <c r="AP205" s="120">
        <f>COUNTIF(AO107:BO133,2)</f>
        <v>0</v>
      </c>
      <c r="AQ205" s="121">
        <f>COUNTIF(AO107:BO133,3)</f>
        <v>0</v>
      </c>
      <c r="AR205" s="116">
        <f>AO205</f>
        <v>0</v>
      </c>
      <c r="AS205" s="116">
        <f t="shared" ref="AS205:BO205" si="484">AP205</f>
        <v>0</v>
      </c>
      <c r="AT205" s="116">
        <f t="shared" si="484"/>
        <v>0</v>
      </c>
      <c r="AU205" s="116">
        <f t="shared" si="484"/>
        <v>0</v>
      </c>
      <c r="AV205" s="116">
        <f t="shared" si="484"/>
        <v>0</v>
      </c>
      <c r="AW205" s="116">
        <f t="shared" si="484"/>
        <v>0</v>
      </c>
      <c r="AX205" s="116">
        <f t="shared" si="484"/>
        <v>0</v>
      </c>
      <c r="AY205" s="116">
        <f t="shared" si="484"/>
        <v>0</v>
      </c>
      <c r="AZ205" s="116">
        <f t="shared" si="484"/>
        <v>0</v>
      </c>
      <c r="BA205" s="116">
        <f t="shared" si="484"/>
        <v>0</v>
      </c>
      <c r="BB205" s="116">
        <f t="shared" si="484"/>
        <v>0</v>
      </c>
      <c r="BC205" s="116">
        <f t="shared" si="484"/>
        <v>0</v>
      </c>
      <c r="BD205" s="116">
        <f t="shared" si="484"/>
        <v>0</v>
      </c>
      <c r="BE205" s="116">
        <f t="shared" si="484"/>
        <v>0</v>
      </c>
      <c r="BF205" s="116">
        <f t="shared" si="484"/>
        <v>0</v>
      </c>
      <c r="BG205" s="116">
        <f t="shared" si="484"/>
        <v>0</v>
      </c>
      <c r="BH205" s="116">
        <f t="shared" si="484"/>
        <v>0</v>
      </c>
      <c r="BI205" s="116">
        <f t="shared" si="484"/>
        <v>0</v>
      </c>
      <c r="BJ205" s="116">
        <f t="shared" si="484"/>
        <v>0</v>
      </c>
      <c r="BK205" s="116">
        <f t="shared" si="484"/>
        <v>0</v>
      </c>
      <c r="BL205" s="116">
        <f t="shared" si="484"/>
        <v>0</v>
      </c>
      <c r="BM205" s="116">
        <f t="shared" si="484"/>
        <v>0</v>
      </c>
      <c r="BN205" s="116">
        <f t="shared" si="484"/>
        <v>0</v>
      </c>
      <c r="BO205" s="116">
        <f t="shared" si="484"/>
        <v>0</v>
      </c>
      <c r="BP205" s="119">
        <f>COUNTIF(BP107:CP133,1)</f>
        <v>0</v>
      </c>
      <c r="BQ205" s="120">
        <f>COUNTIF(BP107:CP133,2)</f>
        <v>0</v>
      </c>
      <c r="BR205" s="121">
        <f>COUNTIF(BP107:CP133,3)</f>
        <v>0</v>
      </c>
      <c r="BS205" s="116">
        <f>BP205</f>
        <v>0</v>
      </c>
      <c r="BT205" s="116">
        <f t="shared" ref="BT205:CP205" si="485">BQ205</f>
        <v>0</v>
      </c>
      <c r="BU205" s="116">
        <f t="shared" si="485"/>
        <v>0</v>
      </c>
      <c r="BV205" s="116">
        <f t="shared" si="485"/>
        <v>0</v>
      </c>
      <c r="BW205" s="116">
        <f t="shared" si="485"/>
        <v>0</v>
      </c>
      <c r="BX205" s="116">
        <f t="shared" si="485"/>
        <v>0</v>
      </c>
      <c r="BY205" s="116">
        <f t="shared" si="485"/>
        <v>0</v>
      </c>
      <c r="BZ205" s="116">
        <f t="shared" si="485"/>
        <v>0</v>
      </c>
      <c r="CA205" s="116">
        <f t="shared" si="485"/>
        <v>0</v>
      </c>
      <c r="CB205" s="116">
        <f t="shared" si="485"/>
        <v>0</v>
      </c>
      <c r="CC205" s="116">
        <f t="shared" si="485"/>
        <v>0</v>
      </c>
      <c r="CD205" s="116">
        <f t="shared" si="485"/>
        <v>0</v>
      </c>
      <c r="CE205" s="116">
        <f t="shared" si="485"/>
        <v>0</v>
      </c>
      <c r="CF205" s="116">
        <f t="shared" si="485"/>
        <v>0</v>
      </c>
      <c r="CG205" s="116">
        <f t="shared" si="485"/>
        <v>0</v>
      </c>
      <c r="CH205" s="116">
        <f t="shared" si="485"/>
        <v>0</v>
      </c>
      <c r="CI205" s="116">
        <f t="shared" si="485"/>
        <v>0</v>
      </c>
      <c r="CJ205" s="116">
        <f t="shared" si="485"/>
        <v>0</v>
      </c>
      <c r="CK205" s="116">
        <f t="shared" si="485"/>
        <v>0</v>
      </c>
      <c r="CL205" s="116">
        <f t="shared" si="485"/>
        <v>0</v>
      </c>
      <c r="CM205" s="116">
        <f t="shared" si="485"/>
        <v>0</v>
      </c>
      <c r="CN205" s="116">
        <f t="shared" si="485"/>
        <v>0</v>
      </c>
      <c r="CO205" s="116">
        <f t="shared" si="485"/>
        <v>0</v>
      </c>
      <c r="CP205" s="116">
        <f t="shared" si="485"/>
        <v>0</v>
      </c>
      <c r="DJ205" s="99">
        <f t="shared" si="380"/>
        <v>-1</v>
      </c>
      <c r="DK205" s="45">
        <f t="shared" si="381"/>
        <v>-1</v>
      </c>
      <c r="DL205" s="47">
        <f t="shared" si="382"/>
        <v>-1</v>
      </c>
      <c r="DM205" s="46">
        <f t="shared" si="383"/>
        <v>-1</v>
      </c>
      <c r="DN205" s="45">
        <f t="shared" si="384"/>
        <v>-1</v>
      </c>
      <c r="DO205" s="47">
        <f t="shared" si="385"/>
        <v>-1</v>
      </c>
      <c r="DP205" s="46">
        <f t="shared" si="386"/>
        <v>-1</v>
      </c>
      <c r="DQ205" s="45">
        <f t="shared" si="387"/>
        <v>-1</v>
      </c>
      <c r="DR205" s="48">
        <f t="shared" si="388"/>
        <v>-1</v>
      </c>
      <c r="DS205" s="44">
        <f t="shared" si="389"/>
        <v>-1</v>
      </c>
      <c r="DT205" s="45">
        <f t="shared" si="390"/>
        <v>-1</v>
      </c>
      <c r="DU205" s="47">
        <f t="shared" si="391"/>
        <v>-1</v>
      </c>
      <c r="DV205" s="46">
        <f t="shared" si="392"/>
        <v>-1</v>
      </c>
      <c r="DW205" s="45">
        <f t="shared" si="393"/>
        <v>-1</v>
      </c>
      <c r="DX205" s="47">
        <f t="shared" si="394"/>
        <v>-1</v>
      </c>
      <c r="DY205" s="46">
        <f t="shared" si="395"/>
        <v>-1</v>
      </c>
      <c r="DZ205" s="45">
        <f t="shared" si="396"/>
        <v>-1</v>
      </c>
      <c r="EA205" s="48">
        <f t="shared" si="397"/>
        <v>-1</v>
      </c>
      <c r="EB205" s="44">
        <f t="shared" si="398"/>
        <v>-1</v>
      </c>
      <c r="EC205" s="45">
        <f t="shared" si="399"/>
        <v>-1</v>
      </c>
      <c r="ED205" s="47">
        <f t="shared" si="400"/>
        <v>-1</v>
      </c>
      <c r="EE205" s="46">
        <f t="shared" si="401"/>
        <v>-1</v>
      </c>
      <c r="EF205" s="45">
        <f t="shared" si="402"/>
        <v>-1</v>
      </c>
      <c r="EG205" s="47">
        <f t="shared" si="403"/>
        <v>-1</v>
      </c>
      <c r="EH205" s="46">
        <f t="shared" si="404"/>
        <v>-1</v>
      </c>
      <c r="EI205" s="45">
        <f t="shared" si="405"/>
        <v>-1</v>
      </c>
      <c r="EJ205" s="100">
        <f t="shared" si="406"/>
        <v>-1</v>
      </c>
      <c r="EK205" s="99">
        <f t="shared" si="407"/>
        <v>-1</v>
      </c>
      <c r="EL205" s="45">
        <f t="shared" si="408"/>
        <v>-1</v>
      </c>
      <c r="EM205" s="47">
        <f t="shared" si="409"/>
        <v>-1</v>
      </c>
      <c r="EN205" s="46">
        <f t="shared" si="410"/>
        <v>-1</v>
      </c>
      <c r="EO205" s="45">
        <f t="shared" si="411"/>
        <v>-1</v>
      </c>
      <c r="EP205" s="47">
        <f t="shared" si="412"/>
        <v>-1</v>
      </c>
      <c r="EQ205" s="46">
        <f t="shared" si="413"/>
        <v>-1</v>
      </c>
      <c r="ER205" s="45">
        <f t="shared" si="414"/>
        <v>-1</v>
      </c>
      <c r="ES205" s="48">
        <f t="shared" si="415"/>
        <v>-1</v>
      </c>
      <c r="ET205" s="44">
        <f t="shared" si="416"/>
        <v>-1</v>
      </c>
      <c r="EU205" s="45">
        <f t="shared" si="417"/>
        <v>-1</v>
      </c>
      <c r="EV205" s="47">
        <f t="shared" si="418"/>
        <v>-1</v>
      </c>
      <c r="EW205" s="46">
        <f t="shared" si="419"/>
        <v>0</v>
      </c>
      <c r="EX205" s="45">
        <f t="shared" si="420"/>
        <v>0</v>
      </c>
      <c r="EY205" s="47">
        <f t="shared" si="421"/>
        <v>0</v>
      </c>
      <c r="EZ205" s="46">
        <f t="shared" si="422"/>
        <v>-1</v>
      </c>
      <c r="FA205" s="45">
        <f t="shared" si="423"/>
        <v>-1</v>
      </c>
      <c r="FB205" s="48">
        <f t="shared" si="424"/>
        <v>-1</v>
      </c>
      <c r="FC205" s="44">
        <f t="shared" si="425"/>
        <v>-1</v>
      </c>
      <c r="FD205" s="45">
        <f t="shared" si="426"/>
        <v>-1</v>
      </c>
      <c r="FE205" s="47">
        <f t="shared" si="427"/>
        <v>-1</v>
      </c>
      <c r="FF205" s="46">
        <f t="shared" si="428"/>
        <v>-1</v>
      </c>
      <c r="FG205" s="45">
        <f t="shared" si="429"/>
        <v>-1</v>
      </c>
      <c r="FH205" s="47">
        <f t="shared" si="430"/>
        <v>-1</v>
      </c>
      <c r="FI205" s="46">
        <f t="shared" si="431"/>
        <v>-1</v>
      </c>
      <c r="FJ205" s="45">
        <f t="shared" si="432"/>
        <v>-1</v>
      </c>
      <c r="FK205" s="100">
        <f t="shared" si="433"/>
        <v>-1</v>
      </c>
      <c r="FL205" s="99">
        <f t="shared" si="434"/>
        <v>-1</v>
      </c>
      <c r="FM205" s="45">
        <f t="shared" si="435"/>
        <v>-1</v>
      </c>
      <c r="FN205" s="47">
        <f t="shared" si="436"/>
        <v>-1</v>
      </c>
      <c r="FO205" s="46">
        <f t="shared" si="437"/>
        <v>-1</v>
      </c>
      <c r="FP205" s="45">
        <f t="shared" si="438"/>
        <v>-1</v>
      </c>
      <c r="FQ205" s="47">
        <f t="shared" si="439"/>
        <v>-1</v>
      </c>
      <c r="FR205" s="46">
        <f t="shared" si="440"/>
        <v>-1</v>
      </c>
      <c r="FS205" s="45">
        <f t="shared" si="441"/>
        <v>-1</v>
      </c>
      <c r="FT205" s="48">
        <f t="shared" si="442"/>
        <v>-1</v>
      </c>
      <c r="FU205" s="44">
        <f t="shared" si="443"/>
        <v>-1</v>
      </c>
      <c r="FV205" s="45">
        <f t="shared" si="444"/>
        <v>-1</v>
      </c>
      <c r="FW205" s="47">
        <f t="shared" si="445"/>
        <v>-1</v>
      </c>
      <c r="FX205" s="46">
        <f t="shared" si="446"/>
        <v>-1</v>
      </c>
      <c r="FY205" s="45">
        <f t="shared" si="447"/>
        <v>-1</v>
      </c>
      <c r="FZ205" s="47">
        <f t="shared" si="448"/>
        <v>-1</v>
      </c>
      <c r="GA205" s="46">
        <f t="shared" si="449"/>
        <v>-1</v>
      </c>
      <c r="GB205" s="45">
        <f t="shared" si="450"/>
        <v>-1</v>
      </c>
      <c r="GC205" s="48">
        <f t="shared" si="451"/>
        <v>-1</v>
      </c>
      <c r="GD205" s="44">
        <f t="shared" si="452"/>
        <v>-1</v>
      </c>
      <c r="GE205" s="45">
        <f t="shared" si="453"/>
        <v>-1</v>
      </c>
      <c r="GF205" s="47">
        <f t="shared" si="454"/>
        <v>-1</v>
      </c>
      <c r="GG205" s="46">
        <f t="shared" si="455"/>
        <v>-1</v>
      </c>
      <c r="GH205" s="45">
        <f t="shared" si="456"/>
        <v>-1</v>
      </c>
      <c r="GI205" s="47">
        <f t="shared" si="457"/>
        <v>-1</v>
      </c>
      <c r="GJ205" s="46">
        <f t="shared" si="458"/>
        <v>-1</v>
      </c>
      <c r="GK205" s="45">
        <f t="shared" si="459"/>
        <v>-1</v>
      </c>
      <c r="GL205" s="100">
        <f t="shared" si="460"/>
        <v>-1</v>
      </c>
      <c r="GN205" s="46">
        <f>COUNTIF(DJ205:GL205,7)</f>
        <v>0</v>
      </c>
      <c r="GO205" s="45">
        <f>COUNTIF(DJ205:GL205,8)</f>
        <v>0</v>
      </c>
      <c r="GP205" s="47">
        <f>COUNTIF(DJ205:GL205,9)</f>
        <v>0</v>
      </c>
      <c r="GQ205" s="39"/>
      <c r="GR205" s="39"/>
      <c r="GT205" s="78">
        <f t="shared" ref="GT205:GV205" si="486">GT178</f>
        <v>1</v>
      </c>
      <c r="GU205" s="79">
        <f t="shared" si="486"/>
        <v>4</v>
      </c>
      <c r="GV205" s="80">
        <f t="shared" si="486"/>
        <v>0</v>
      </c>
    </row>
    <row r="206" spans="9:204" ht="15" customHeight="1">
      <c r="N206" s="122">
        <f>COUNTIF(N107:AN133,4)</f>
        <v>0</v>
      </c>
      <c r="O206" s="97">
        <f>COUNTIF(N107:AN133,5)</f>
        <v>0</v>
      </c>
      <c r="P206" s="123">
        <f>COUNTIF(N107:AN133,6)</f>
        <v>0</v>
      </c>
      <c r="Q206" s="116">
        <f>N206</f>
        <v>0</v>
      </c>
      <c r="R206" s="116">
        <f t="shared" ref="R206:AA207" si="487">O206</f>
        <v>0</v>
      </c>
      <c r="S206" s="116">
        <f t="shared" si="487"/>
        <v>0</v>
      </c>
      <c r="T206" s="116">
        <f t="shared" si="487"/>
        <v>0</v>
      </c>
      <c r="U206" s="116">
        <f t="shared" si="487"/>
        <v>0</v>
      </c>
      <c r="V206" s="116">
        <f t="shared" si="487"/>
        <v>0</v>
      </c>
      <c r="W206" s="116">
        <f t="shared" si="487"/>
        <v>0</v>
      </c>
      <c r="X206" s="116">
        <f t="shared" si="487"/>
        <v>0</v>
      </c>
      <c r="Y206" s="116">
        <f t="shared" si="487"/>
        <v>0</v>
      </c>
      <c r="Z206" s="116">
        <f t="shared" si="487"/>
        <v>0</v>
      </c>
      <c r="AA206" s="116">
        <f t="shared" si="487"/>
        <v>0</v>
      </c>
      <c r="AB206" s="116">
        <f t="shared" ref="AB206:AK207" si="488">Y206</f>
        <v>0</v>
      </c>
      <c r="AC206" s="116">
        <f t="shared" si="488"/>
        <v>0</v>
      </c>
      <c r="AD206" s="116">
        <f t="shared" si="488"/>
        <v>0</v>
      </c>
      <c r="AE206" s="116">
        <f t="shared" si="488"/>
        <v>0</v>
      </c>
      <c r="AF206" s="116">
        <f t="shared" si="488"/>
        <v>0</v>
      </c>
      <c r="AG206" s="116">
        <f t="shared" si="488"/>
        <v>0</v>
      </c>
      <c r="AH206" s="116">
        <f t="shared" si="488"/>
        <v>0</v>
      </c>
      <c r="AI206" s="116">
        <f t="shared" si="488"/>
        <v>0</v>
      </c>
      <c r="AJ206" s="116">
        <f t="shared" si="488"/>
        <v>0</v>
      </c>
      <c r="AK206" s="116">
        <f t="shared" si="488"/>
        <v>0</v>
      </c>
      <c r="AL206" s="116">
        <f t="shared" ref="AL206:AN207" si="489">AI206</f>
        <v>0</v>
      </c>
      <c r="AM206" s="116">
        <f t="shared" si="489"/>
        <v>0</v>
      </c>
      <c r="AN206" s="116">
        <f t="shared" si="489"/>
        <v>0</v>
      </c>
      <c r="AO206" s="122">
        <f>COUNTIF(AO107:BO133,4)</f>
        <v>0</v>
      </c>
      <c r="AP206" s="97">
        <f>COUNTIF(AO107:BO133,5)</f>
        <v>0</v>
      </c>
      <c r="AQ206" s="123">
        <f>COUNTIF(AO107:BO133,6)</f>
        <v>0</v>
      </c>
      <c r="AR206" s="116">
        <f>AO206</f>
        <v>0</v>
      </c>
      <c r="AS206" s="116">
        <f t="shared" ref="AS206:BB207" si="490">AP206</f>
        <v>0</v>
      </c>
      <c r="AT206" s="116">
        <f t="shared" si="490"/>
        <v>0</v>
      </c>
      <c r="AU206" s="116">
        <f t="shared" si="490"/>
        <v>0</v>
      </c>
      <c r="AV206" s="116">
        <f t="shared" si="490"/>
        <v>0</v>
      </c>
      <c r="AW206" s="116">
        <f t="shared" si="490"/>
        <v>0</v>
      </c>
      <c r="AX206" s="116">
        <f t="shared" si="490"/>
        <v>0</v>
      </c>
      <c r="AY206" s="116">
        <f t="shared" si="490"/>
        <v>0</v>
      </c>
      <c r="AZ206" s="116">
        <f t="shared" si="490"/>
        <v>0</v>
      </c>
      <c r="BA206" s="116">
        <f t="shared" si="490"/>
        <v>0</v>
      </c>
      <c r="BB206" s="116">
        <f t="shared" si="490"/>
        <v>0</v>
      </c>
      <c r="BC206" s="116">
        <f t="shared" ref="BC206:BL207" si="491">AZ206</f>
        <v>0</v>
      </c>
      <c r="BD206" s="116">
        <f t="shared" si="491"/>
        <v>0</v>
      </c>
      <c r="BE206" s="116">
        <f t="shared" si="491"/>
        <v>0</v>
      </c>
      <c r="BF206" s="116">
        <f t="shared" si="491"/>
        <v>0</v>
      </c>
      <c r="BG206" s="116">
        <f t="shared" si="491"/>
        <v>0</v>
      </c>
      <c r="BH206" s="116">
        <f t="shared" si="491"/>
        <v>0</v>
      </c>
      <c r="BI206" s="116">
        <f t="shared" si="491"/>
        <v>0</v>
      </c>
      <c r="BJ206" s="116">
        <f t="shared" si="491"/>
        <v>0</v>
      </c>
      <c r="BK206" s="116">
        <f t="shared" si="491"/>
        <v>0</v>
      </c>
      <c r="BL206" s="116">
        <f t="shared" si="491"/>
        <v>0</v>
      </c>
      <c r="BM206" s="116">
        <f t="shared" ref="BM206:BO207" si="492">BJ206</f>
        <v>0</v>
      </c>
      <c r="BN206" s="116">
        <f t="shared" si="492"/>
        <v>0</v>
      </c>
      <c r="BO206" s="116">
        <f t="shared" si="492"/>
        <v>0</v>
      </c>
      <c r="BP206" s="122">
        <f>COUNTIF(BP107:CP133,4)</f>
        <v>0</v>
      </c>
      <c r="BQ206" s="97">
        <f>COUNTIF(BP107:CP133,5)</f>
        <v>0</v>
      </c>
      <c r="BR206" s="123">
        <f>COUNTIF(BP107:CP133,6)</f>
        <v>0</v>
      </c>
      <c r="BS206" s="116">
        <f>BP206</f>
        <v>0</v>
      </c>
      <c r="BT206" s="116">
        <f t="shared" ref="BT206:CC207" si="493">BQ206</f>
        <v>0</v>
      </c>
      <c r="BU206" s="116">
        <f t="shared" si="493"/>
        <v>0</v>
      </c>
      <c r="BV206" s="116">
        <f t="shared" si="493"/>
        <v>0</v>
      </c>
      <c r="BW206" s="116">
        <f t="shared" si="493"/>
        <v>0</v>
      </c>
      <c r="BX206" s="116">
        <f t="shared" si="493"/>
        <v>0</v>
      </c>
      <c r="BY206" s="116">
        <f t="shared" si="493"/>
        <v>0</v>
      </c>
      <c r="BZ206" s="116">
        <f t="shared" si="493"/>
        <v>0</v>
      </c>
      <c r="CA206" s="116">
        <f t="shared" si="493"/>
        <v>0</v>
      </c>
      <c r="CB206" s="116">
        <f t="shared" si="493"/>
        <v>0</v>
      </c>
      <c r="CC206" s="116">
        <f t="shared" si="493"/>
        <v>0</v>
      </c>
      <c r="CD206" s="116">
        <f t="shared" ref="CD206:CM207" si="494">CA206</f>
        <v>0</v>
      </c>
      <c r="CE206" s="116">
        <f t="shared" si="494"/>
        <v>0</v>
      </c>
      <c r="CF206" s="116">
        <f t="shared" si="494"/>
        <v>0</v>
      </c>
      <c r="CG206" s="116">
        <f t="shared" si="494"/>
        <v>0</v>
      </c>
      <c r="CH206" s="116">
        <f t="shared" si="494"/>
        <v>0</v>
      </c>
      <c r="CI206" s="116">
        <f t="shared" si="494"/>
        <v>0</v>
      </c>
      <c r="CJ206" s="116">
        <f t="shared" si="494"/>
        <v>0</v>
      </c>
      <c r="CK206" s="116">
        <f t="shared" si="494"/>
        <v>0</v>
      </c>
      <c r="CL206" s="116">
        <f t="shared" si="494"/>
        <v>0</v>
      </c>
      <c r="CM206" s="116">
        <f t="shared" si="494"/>
        <v>0</v>
      </c>
      <c r="CN206" s="116">
        <f t="shared" ref="CN206:CP207" si="495">CK206</f>
        <v>0</v>
      </c>
      <c r="CO206" s="116">
        <f t="shared" si="495"/>
        <v>0</v>
      </c>
      <c r="CP206" s="116">
        <f t="shared" si="495"/>
        <v>0</v>
      </c>
      <c r="DJ206" s="104">
        <f t="shared" si="380"/>
        <v>-1</v>
      </c>
      <c r="DK206" s="50">
        <f t="shared" si="381"/>
        <v>-1</v>
      </c>
      <c r="DL206" s="51">
        <f t="shared" si="382"/>
        <v>-1</v>
      </c>
      <c r="DM206" s="52">
        <f t="shared" si="383"/>
        <v>-1</v>
      </c>
      <c r="DN206" s="50">
        <f t="shared" si="384"/>
        <v>-1</v>
      </c>
      <c r="DO206" s="51">
        <f t="shared" si="385"/>
        <v>-1</v>
      </c>
      <c r="DP206" s="52">
        <f t="shared" si="386"/>
        <v>-1</v>
      </c>
      <c r="DQ206" s="50">
        <f t="shared" si="387"/>
        <v>-1</v>
      </c>
      <c r="DR206" s="53">
        <f t="shared" si="388"/>
        <v>-1</v>
      </c>
      <c r="DS206" s="49">
        <f t="shared" si="389"/>
        <v>-1</v>
      </c>
      <c r="DT206" s="50">
        <f t="shared" si="390"/>
        <v>-1</v>
      </c>
      <c r="DU206" s="51">
        <f t="shared" si="391"/>
        <v>-1</v>
      </c>
      <c r="DV206" s="52">
        <f t="shared" si="392"/>
        <v>-1</v>
      </c>
      <c r="DW206" s="50">
        <f t="shared" si="393"/>
        <v>-1</v>
      </c>
      <c r="DX206" s="51">
        <f t="shared" si="394"/>
        <v>-1</v>
      </c>
      <c r="DY206" s="52">
        <f t="shared" si="395"/>
        <v>-1</v>
      </c>
      <c r="DZ206" s="50">
        <f t="shared" si="396"/>
        <v>-1</v>
      </c>
      <c r="EA206" s="53">
        <f t="shared" si="397"/>
        <v>-1</v>
      </c>
      <c r="EB206" s="49">
        <f t="shared" si="398"/>
        <v>-1</v>
      </c>
      <c r="EC206" s="50">
        <f t="shared" si="399"/>
        <v>-1</v>
      </c>
      <c r="ED206" s="51">
        <f t="shared" si="400"/>
        <v>-1</v>
      </c>
      <c r="EE206" s="52">
        <f t="shared" si="401"/>
        <v>-1</v>
      </c>
      <c r="EF206" s="50">
        <f t="shared" si="402"/>
        <v>-1</v>
      </c>
      <c r="EG206" s="51">
        <f t="shared" si="403"/>
        <v>-1</v>
      </c>
      <c r="EH206" s="52">
        <f t="shared" si="404"/>
        <v>-1</v>
      </c>
      <c r="EI206" s="50">
        <f t="shared" si="405"/>
        <v>-1</v>
      </c>
      <c r="EJ206" s="105">
        <f t="shared" si="406"/>
        <v>-1</v>
      </c>
      <c r="EK206" s="104">
        <f t="shared" si="407"/>
        <v>-1</v>
      </c>
      <c r="EL206" s="50">
        <f t="shared" si="408"/>
        <v>-1</v>
      </c>
      <c r="EM206" s="51">
        <f t="shared" si="409"/>
        <v>-1</v>
      </c>
      <c r="EN206" s="52">
        <f t="shared" si="410"/>
        <v>-1</v>
      </c>
      <c r="EO206" s="50">
        <f t="shared" si="411"/>
        <v>-1</v>
      </c>
      <c r="EP206" s="51">
        <f t="shared" si="412"/>
        <v>-1</v>
      </c>
      <c r="EQ206" s="52">
        <f t="shared" si="413"/>
        <v>-1</v>
      </c>
      <c r="ER206" s="50">
        <f t="shared" si="414"/>
        <v>-1</v>
      </c>
      <c r="ES206" s="53">
        <f t="shared" si="415"/>
        <v>-1</v>
      </c>
      <c r="ET206" s="49">
        <f t="shared" si="416"/>
        <v>0</v>
      </c>
      <c r="EU206" s="50">
        <f t="shared" si="417"/>
        <v>0</v>
      </c>
      <c r="EV206" s="51">
        <f t="shared" si="418"/>
        <v>0</v>
      </c>
      <c r="EW206" s="52">
        <f t="shared" si="419"/>
        <v>-1</v>
      </c>
      <c r="EX206" s="50">
        <f t="shared" si="420"/>
        <v>-1</v>
      </c>
      <c r="EY206" s="51">
        <f t="shared" si="421"/>
        <v>-1</v>
      </c>
      <c r="EZ206" s="52">
        <f t="shared" si="422"/>
        <v>-1</v>
      </c>
      <c r="FA206" s="50">
        <f t="shared" si="423"/>
        <v>-1</v>
      </c>
      <c r="FB206" s="53">
        <f t="shared" si="424"/>
        <v>-1</v>
      </c>
      <c r="FC206" s="49">
        <f t="shared" si="425"/>
        <v>-1</v>
      </c>
      <c r="FD206" s="50">
        <f t="shared" si="426"/>
        <v>-1</v>
      </c>
      <c r="FE206" s="51">
        <f t="shared" si="427"/>
        <v>-1</v>
      </c>
      <c r="FF206" s="52">
        <f t="shared" si="428"/>
        <v>-1</v>
      </c>
      <c r="FG206" s="50">
        <f t="shared" si="429"/>
        <v>-1</v>
      </c>
      <c r="FH206" s="51">
        <f t="shared" si="430"/>
        <v>-1</v>
      </c>
      <c r="FI206" s="52">
        <f t="shared" si="431"/>
        <v>-1</v>
      </c>
      <c r="FJ206" s="50">
        <f t="shared" si="432"/>
        <v>-1</v>
      </c>
      <c r="FK206" s="105">
        <f t="shared" si="433"/>
        <v>-1</v>
      </c>
      <c r="FL206" s="104">
        <f t="shared" si="434"/>
        <v>-1</v>
      </c>
      <c r="FM206" s="50">
        <f t="shared" si="435"/>
        <v>-1</v>
      </c>
      <c r="FN206" s="51">
        <f t="shared" si="436"/>
        <v>-1</v>
      </c>
      <c r="FO206" s="52">
        <f t="shared" si="437"/>
        <v>-1</v>
      </c>
      <c r="FP206" s="50">
        <f t="shared" si="438"/>
        <v>-1</v>
      </c>
      <c r="FQ206" s="51">
        <f t="shared" si="439"/>
        <v>-1</v>
      </c>
      <c r="FR206" s="52">
        <f t="shared" si="440"/>
        <v>-1</v>
      </c>
      <c r="FS206" s="50">
        <f t="shared" si="441"/>
        <v>-1</v>
      </c>
      <c r="FT206" s="53">
        <f t="shared" si="442"/>
        <v>-1</v>
      </c>
      <c r="FU206" s="49">
        <f t="shared" si="443"/>
        <v>-1</v>
      </c>
      <c r="FV206" s="50">
        <f t="shared" si="444"/>
        <v>-1</v>
      </c>
      <c r="FW206" s="51">
        <f t="shared" si="445"/>
        <v>-1</v>
      </c>
      <c r="FX206" s="52">
        <f t="shared" si="446"/>
        <v>-1</v>
      </c>
      <c r="FY206" s="50">
        <f t="shared" si="447"/>
        <v>-1</v>
      </c>
      <c r="FZ206" s="51">
        <f t="shared" si="448"/>
        <v>-1</v>
      </c>
      <c r="GA206" s="52">
        <f t="shared" si="449"/>
        <v>-1</v>
      </c>
      <c r="GB206" s="50">
        <f t="shared" si="450"/>
        <v>-1</v>
      </c>
      <c r="GC206" s="53">
        <f t="shared" si="451"/>
        <v>-1</v>
      </c>
      <c r="GD206" s="49">
        <f t="shared" si="452"/>
        <v>-1</v>
      </c>
      <c r="GE206" s="50">
        <f t="shared" si="453"/>
        <v>-1</v>
      </c>
      <c r="GF206" s="51">
        <f t="shared" si="454"/>
        <v>-1</v>
      </c>
      <c r="GG206" s="52">
        <f t="shared" si="455"/>
        <v>-1</v>
      </c>
      <c r="GH206" s="50">
        <f t="shared" si="456"/>
        <v>-1</v>
      </c>
      <c r="GI206" s="51">
        <f t="shared" si="457"/>
        <v>-1</v>
      </c>
      <c r="GJ206" s="52">
        <f t="shared" si="458"/>
        <v>-1</v>
      </c>
      <c r="GK206" s="50">
        <f t="shared" si="459"/>
        <v>-1</v>
      </c>
      <c r="GL206" s="105">
        <f t="shared" si="460"/>
        <v>-1</v>
      </c>
      <c r="GN206" s="52">
        <f>COUNTIF(DJ206:GL206,1)</f>
        <v>0</v>
      </c>
      <c r="GO206" s="50">
        <f>COUNTIF(DJ206:GL206,2)</f>
        <v>0</v>
      </c>
      <c r="GP206" s="51">
        <f>COUNTIF(DJ206:GL206,3)</f>
        <v>0</v>
      </c>
      <c r="GQ206" s="39"/>
      <c r="GR206" s="39"/>
      <c r="GT206" s="65">
        <f t="shared" ref="GT206:GV206" si="496">GT179</f>
        <v>0</v>
      </c>
      <c r="GU206" s="66">
        <f t="shared" si="496"/>
        <v>0</v>
      </c>
      <c r="GV206" s="67">
        <f t="shared" si="496"/>
        <v>0</v>
      </c>
    </row>
    <row r="207" spans="9:204" ht="15" customHeight="1">
      <c r="N207" s="124">
        <f>COUNTIF(N107:AN133,7)</f>
        <v>0</v>
      </c>
      <c r="O207" s="125">
        <f>COUNTIF(N107:AN133,8)</f>
        <v>0</v>
      </c>
      <c r="P207" s="126">
        <f>COUNTIF(N107:AN133,9)</f>
        <v>0</v>
      </c>
      <c r="Q207" s="116">
        <f>N207</f>
        <v>0</v>
      </c>
      <c r="R207" s="116">
        <f t="shared" si="487"/>
        <v>0</v>
      </c>
      <c r="S207" s="116">
        <f t="shared" si="487"/>
        <v>0</v>
      </c>
      <c r="T207" s="116">
        <f t="shared" si="487"/>
        <v>0</v>
      </c>
      <c r="U207" s="116">
        <f t="shared" si="487"/>
        <v>0</v>
      </c>
      <c r="V207" s="116">
        <f t="shared" si="487"/>
        <v>0</v>
      </c>
      <c r="W207" s="116">
        <f t="shared" si="487"/>
        <v>0</v>
      </c>
      <c r="X207" s="116">
        <f t="shared" si="487"/>
        <v>0</v>
      </c>
      <c r="Y207" s="116">
        <f t="shared" si="487"/>
        <v>0</v>
      </c>
      <c r="Z207" s="116">
        <f t="shared" si="487"/>
        <v>0</v>
      </c>
      <c r="AA207" s="116">
        <f t="shared" si="487"/>
        <v>0</v>
      </c>
      <c r="AB207" s="116">
        <f t="shared" si="488"/>
        <v>0</v>
      </c>
      <c r="AC207" s="116">
        <f t="shared" si="488"/>
        <v>0</v>
      </c>
      <c r="AD207" s="116">
        <f t="shared" si="488"/>
        <v>0</v>
      </c>
      <c r="AE207" s="116">
        <f t="shared" si="488"/>
        <v>0</v>
      </c>
      <c r="AF207" s="116">
        <f t="shared" si="488"/>
        <v>0</v>
      </c>
      <c r="AG207" s="116">
        <f t="shared" si="488"/>
        <v>0</v>
      </c>
      <c r="AH207" s="116">
        <f t="shared" si="488"/>
        <v>0</v>
      </c>
      <c r="AI207" s="116">
        <f t="shared" si="488"/>
        <v>0</v>
      </c>
      <c r="AJ207" s="116">
        <f t="shared" si="488"/>
        <v>0</v>
      </c>
      <c r="AK207" s="116">
        <f t="shared" si="488"/>
        <v>0</v>
      </c>
      <c r="AL207" s="116">
        <f t="shared" si="489"/>
        <v>0</v>
      </c>
      <c r="AM207" s="116">
        <f t="shared" si="489"/>
        <v>0</v>
      </c>
      <c r="AN207" s="116">
        <f t="shared" si="489"/>
        <v>0</v>
      </c>
      <c r="AO207" s="124">
        <f>COUNTIF(AO107:BO133,7)</f>
        <v>0</v>
      </c>
      <c r="AP207" s="125">
        <f>COUNTIF(AO107:BO133,8)</f>
        <v>0</v>
      </c>
      <c r="AQ207" s="126">
        <f>COUNTIF(AO107:BO133,9)</f>
        <v>0</v>
      </c>
      <c r="AR207" s="116">
        <f>AO207</f>
        <v>0</v>
      </c>
      <c r="AS207" s="116">
        <f t="shared" si="490"/>
        <v>0</v>
      </c>
      <c r="AT207" s="116">
        <f t="shared" si="490"/>
        <v>0</v>
      </c>
      <c r="AU207" s="116">
        <f t="shared" si="490"/>
        <v>0</v>
      </c>
      <c r="AV207" s="116">
        <f t="shared" si="490"/>
        <v>0</v>
      </c>
      <c r="AW207" s="116">
        <f t="shared" si="490"/>
        <v>0</v>
      </c>
      <c r="AX207" s="116">
        <f t="shared" si="490"/>
        <v>0</v>
      </c>
      <c r="AY207" s="116">
        <f t="shared" si="490"/>
        <v>0</v>
      </c>
      <c r="AZ207" s="116">
        <f t="shared" si="490"/>
        <v>0</v>
      </c>
      <c r="BA207" s="116">
        <f t="shared" si="490"/>
        <v>0</v>
      </c>
      <c r="BB207" s="116">
        <f t="shared" si="490"/>
        <v>0</v>
      </c>
      <c r="BC207" s="116">
        <f t="shared" si="491"/>
        <v>0</v>
      </c>
      <c r="BD207" s="116">
        <f t="shared" si="491"/>
        <v>0</v>
      </c>
      <c r="BE207" s="116">
        <f t="shared" si="491"/>
        <v>0</v>
      </c>
      <c r="BF207" s="116">
        <f t="shared" si="491"/>
        <v>0</v>
      </c>
      <c r="BG207" s="116">
        <f t="shared" si="491"/>
        <v>0</v>
      </c>
      <c r="BH207" s="116">
        <f t="shared" si="491"/>
        <v>0</v>
      </c>
      <c r="BI207" s="116">
        <f t="shared" si="491"/>
        <v>0</v>
      </c>
      <c r="BJ207" s="116">
        <f t="shared" si="491"/>
        <v>0</v>
      </c>
      <c r="BK207" s="116">
        <f t="shared" si="491"/>
        <v>0</v>
      </c>
      <c r="BL207" s="116">
        <f t="shared" si="491"/>
        <v>0</v>
      </c>
      <c r="BM207" s="116">
        <f t="shared" si="492"/>
        <v>0</v>
      </c>
      <c r="BN207" s="116">
        <f t="shared" si="492"/>
        <v>0</v>
      </c>
      <c r="BO207" s="116">
        <f t="shared" si="492"/>
        <v>0</v>
      </c>
      <c r="BP207" s="124">
        <f>COUNTIF(BP107:CP133,7)</f>
        <v>0</v>
      </c>
      <c r="BQ207" s="125">
        <f>COUNTIF(BP107:CP133,8)</f>
        <v>0</v>
      </c>
      <c r="BR207" s="126">
        <f>COUNTIF(BP107:CP133,9)</f>
        <v>0</v>
      </c>
      <c r="BS207" s="116">
        <f>BP207</f>
        <v>0</v>
      </c>
      <c r="BT207" s="116">
        <f t="shared" si="493"/>
        <v>0</v>
      </c>
      <c r="BU207" s="116">
        <f t="shared" si="493"/>
        <v>0</v>
      </c>
      <c r="BV207" s="116">
        <f t="shared" si="493"/>
        <v>0</v>
      </c>
      <c r="BW207" s="116">
        <f t="shared" si="493"/>
        <v>0</v>
      </c>
      <c r="BX207" s="116">
        <f t="shared" si="493"/>
        <v>0</v>
      </c>
      <c r="BY207" s="116">
        <f t="shared" si="493"/>
        <v>0</v>
      </c>
      <c r="BZ207" s="116">
        <f t="shared" si="493"/>
        <v>0</v>
      </c>
      <c r="CA207" s="116">
        <f t="shared" si="493"/>
        <v>0</v>
      </c>
      <c r="CB207" s="116">
        <f t="shared" si="493"/>
        <v>0</v>
      </c>
      <c r="CC207" s="116">
        <f t="shared" si="493"/>
        <v>0</v>
      </c>
      <c r="CD207" s="116">
        <f t="shared" si="494"/>
        <v>0</v>
      </c>
      <c r="CE207" s="116">
        <f t="shared" si="494"/>
        <v>0</v>
      </c>
      <c r="CF207" s="116">
        <f t="shared" si="494"/>
        <v>0</v>
      </c>
      <c r="CG207" s="116">
        <f t="shared" si="494"/>
        <v>0</v>
      </c>
      <c r="CH207" s="116">
        <f t="shared" si="494"/>
        <v>0</v>
      </c>
      <c r="CI207" s="116">
        <f t="shared" si="494"/>
        <v>0</v>
      </c>
      <c r="CJ207" s="116">
        <f t="shared" si="494"/>
        <v>0</v>
      </c>
      <c r="CK207" s="116">
        <f t="shared" si="494"/>
        <v>0</v>
      </c>
      <c r="CL207" s="116">
        <f t="shared" si="494"/>
        <v>0</v>
      </c>
      <c r="CM207" s="116">
        <f t="shared" si="494"/>
        <v>0</v>
      </c>
      <c r="CN207" s="116">
        <f t="shared" si="495"/>
        <v>0</v>
      </c>
      <c r="CO207" s="116">
        <f t="shared" si="495"/>
        <v>0</v>
      </c>
      <c r="CP207" s="116">
        <f t="shared" si="495"/>
        <v>0</v>
      </c>
      <c r="DJ207" s="94">
        <f t="shared" si="380"/>
        <v>-1</v>
      </c>
      <c r="DK207" s="39">
        <f t="shared" si="381"/>
        <v>-1</v>
      </c>
      <c r="DL207" s="41">
        <f t="shared" si="382"/>
        <v>-1</v>
      </c>
      <c r="DM207" s="40">
        <f t="shared" si="383"/>
        <v>-1</v>
      </c>
      <c r="DN207" s="39">
        <f t="shared" si="384"/>
        <v>-1</v>
      </c>
      <c r="DO207" s="41">
        <f t="shared" si="385"/>
        <v>-1</v>
      </c>
      <c r="DP207" s="40">
        <f t="shared" si="386"/>
        <v>-1</v>
      </c>
      <c r="DQ207" s="39">
        <f t="shared" si="387"/>
        <v>-1</v>
      </c>
      <c r="DR207" s="42">
        <f t="shared" si="388"/>
        <v>-1</v>
      </c>
      <c r="DS207" s="43">
        <f t="shared" si="389"/>
        <v>-1</v>
      </c>
      <c r="DT207" s="39">
        <f t="shared" si="390"/>
        <v>-1</v>
      </c>
      <c r="DU207" s="41">
        <f t="shared" si="391"/>
        <v>-1</v>
      </c>
      <c r="DV207" s="40">
        <f t="shared" si="392"/>
        <v>-1</v>
      </c>
      <c r="DW207" s="39">
        <f t="shared" si="393"/>
        <v>-1</v>
      </c>
      <c r="DX207" s="41">
        <f t="shared" si="394"/>
        <v>-1</v>
      </c>
      <c r="DY207" s="40">
        <f t="shared" si="395"/>
        <v>-1</v>
      </c>
      <c r="DZ207" s="39">
        <f t="shared" si="396"/>
        <v>-1</v>
      </c>
      <c r="EA207" s="42">
        <f t="shared" si="397"/>
        <v>-1</v>
      </c>
      <c r="EB207" s="43">
        <f t="shared" si="398"/>
        <v>-1</v>
      </c>
      <c r="EC207" s="39">
        <f t="shared" si="399"/>
        <v>-1</v>
      </c>
      <c r="ED207" s="41">
        <f t="shared" si="400"/>
        <v>-1</v>
      </c>
      <c r="EE207" s="40">
        <f t="shared" si="401"/>
        <v>-1</v>
      </c>
      <c r="EF207" s="39">
        <f t="shared" si="402"/>
        <v>-1</v>
      </c>
      <c r="EG207" s="41">
        <f t="shared" si="403"/>
        <v>-1</v>
      </c>
      <c r="EH207" s="40">
        <f t="shared" si="404"/>
        <v>-1</v>
      </c>
      <c r="EI207" s="39">
        <f t="shared" si="405"/>
        <v>-1</v>
      </c>
      <c r="EJ207" s="95">
        <f t="shared" si="406"/>
        <v>-1</v>
      </c>
      <c r="EK207" s="94">
        <f t="shared" si="407"/>
        <v>-1</v>
      </c>
      <c r="EL207" s="39">
        <f t="shared" si="408"/>
        <v>-1</v>
      </c>
      <c r="EM207" s="41">
        <f t="shared" si="409"/>
        <v>-1</v>
      </c>
      <c r="EN207" s="40">
        <f t="shared" si="410"/>
        <v>-1</v>
      </c>
      <c r="EO207" s="39">
        <f t="shared" si="411"/>
        <v>-1</v>
      </c>
      <c r="EP207" s="41">
        <f t="shared" si="412"/>
        <v>-1</v>
      </c>
      <c r="EQ207" s="40">
        <f t="shared" si="413"/>
        <v>-1</v>
      </c>
      <c r="ER207" s="39">
        <f t="shared" si="414"/>
        <v>-1</v>
      </c>
      <c r="ES207" s="42">
        <f t="shared" si="415"/>
        <v>-1</v>
      </c>
      <c r="ET207" s="43">
        <f t="shared" si="416"/>
        <v>0</v>
      </c>
      <c r="EU207" s="39">
        <f t="shared" si="417"/>
        <v>0</v>
      </c>
      <c r="EV207" s="41">
        <f t="shared" si="418"/>
        <v>0</v>
      </c>
      <c r="EW207" s="40">
        <f t="shared" si="419"/>
        <v>-1</v>
      </c>
      <c r="EX207" s="39">
        <f t="shared" si="420"/>
        <v>-1</v>
      </c>
      <c r="EY207" s="41">
        <f t="shared" si="421"/>
        <v>-1</v>
      </c>
      <c r="EZ207" s="40">
        <f t="shared" si="422"/>
        <v>-1</v>
      </c>
      <c r="FA207" s="39">
        <f t="shared" si="423"/>
        <v>-1</v>
      </c>
      <c r="FB207" s="42">
        <f t="shared" si="424"/>
        <v>-1</v>
      </c>
      <c r="FC207" s="43">
        <f t="shared" si="425"/>
        <v>-1</v>
      </c>
      <c r="FD207" s="39">
        <f t="shared" si="426"/>
        <v>-1</v>
      </c>
      <c r="FE207" s="41">
        <f t="shared" si="427"/>
        <v>-1</v>
      </c>
      <c r="FF207" s="40">
        <f t="shared" si="428"/>
        <v>-1</v>
      </c>
      <c r="FG207" s="39">
        <f t="shared" si="429"/>
        <v>-1</v>
      </c>
      <c r="FH207" s="41">
        <f t="shared" si="430"/>
        <v>-1</v>
      </c>
      <c r="FI207" s="40">
        <f t="shared" si="431"/>
        <v>-1</v>
      </c>
      <c r="FJ207" s="39">
        <f t="shared" si="432"/>
        <v>-1</v>
      </c>
      <c r="FK207" s="95">
        <f t="shared" si="433"/>
        <v>-1</v>
      </c>
      <c r="FL207" s="94">
        <f t="shared" si="434"/>
        <v>-1</v>
      </c>
      <c r="FM207" s="39">
        <f t="shared" si="435"/>
        <v>-1</v>
      </c>
      <c r="FN207" s="41">
        <f t="shared" si="436"/>
        <v>-1</v>
      </c>
      <c r="FO207" s="40">
        <f t="shared" si="437"/>
        <v>-1</v>
      </c>
      <c r="FP207" s="39">
        <f t="shared" si="438"/>
        <v>-1</v>
      </c>
      <c r="FQ207" s="41">
        <f t="shared" si="439"/>
        <v>-1</v>
      </c>
      <c r="FR207" s="40">
        <f t="shared" si="440"/>
        <v>-1</v>
      </c>
      <c r="FS207" s="39">
        <f t="shared" si="441"/>
        <v>-1</v>
      </c>
      <c r="FT207" s="42">
        <f t="shared" si="442"/>
        <v>-1</v>
      </c>
      <c r="FU207" s="43">
        <f t="shared" si="443"/>
        <v>-1</v>
      </c>
      <c r="FV207" s="39">
        <f t="shared" si="444"/>
        <v>-1</v>
      </c>
      <c r="FW207" s="41">
        <f t="shared" si="445"/>
        <v>-1</v>
      </c>
      <c r="FX207" s="40">
        <f t="shared" si="446"/>
        <v>-1</v>
      </c>
      <c r="FY207" s="39">
        <f t="shared" si="447"/>
        <v>-1</v>
      </c>
      <c r="FZ207" s="41">
        <f t="shared" si="448"/>
        <v>-1</v>
      </c>
      <c r="GA207" s="40">
        <f t="shared" si="449"/>
        <v>-1</v>
      </c>
      <c r="GB207" s="39">
        <f t="shared" si="450"/>
        <v>-1</v>
      </c>
      <c r="GC207" s="42">
        <f t="shared" si="451"/>
        <v>-1</v>
      </c>
      <c r="GD207" s="43">
        <f t="shared" si="452"/>
        <v>-1</v>
      </c>
      <c r="GE207" s="39">
        <f t="shared" si="453"/>
        <v>-1</v>
      </c>
      <c r="GF207" s="41">
        <f t="shared" si="454"/>
        <v>-1</v>
      </c>
      <c r="GG207" s="40">
        <f t="shared" si="455"/>
        <v>-1</v>
      </c>
      <c r="GH207" s="39">
        <f t="shared" si="456"/>
        <v>-1</v>
      </c>
      <c r="GI207" s="41">
        <f t="shared" si="457"/>
        <v>-1</v>
      </c>
      <c r="GJ207" s="40">
        <f t="shared" si="458"/>
        <v>-1</v>
      </c>
      <c r="GK207" s="39">
        <f t="shared" si="459"/>
        <v>-1</v>
      </c>
      <c r="GL207" s="95">
        <f t="shared" si="460"/>
        <v>-1</v>
      </c>
      <c r="GN207" s="40">
        <f>COUNTIF(DJ207:GL207,4)</f>
        <v>0</v>
      </c>
      <c r="GO207" s="39">
        <f>COUNTIF(DJ207:GL207,5)</f>
        <v>0</v>
      </c>
      <c r="GP207" s="41">
        <f>COUNTIF(DJ207:GL207,6)</f>
        <v>0</v>
      </c>
      <c r="GQ207" s="39"/>
      <c r="GR207" s="39"/>
      <c r="GT207" s="72">
        <f t="shared" ref="GT207:GV207" si="497">GT180</f>
        <v>0</v>
      </c>
      <c r="GU207" s="73">
        <f t="shared" si="497"/>
        <v>0</v>
      </c>
      <c r="GV207" s="74">
        <f t="shared" si="497"/>
        <v>0</v>
      </c>
    </row>
    <row r="208" spans="9:204" ht="15" customHeight="1" thickBot="1">
      <c r="N208" s="116">
        <f>N205</f>
        <v>0</v>
      </c>
      <c r="O208" s="116">
        <f>O205</f>
        <v>0</v>
      </c>
      <c r="P208" s="116">
        <f>P205</f>
        <v>0</v>
      </c>
      <c r="Q208" s="116">
        <f>Q205</f>
        <v>0</v>
      </c>
      <c r="R208" s="116">
        <f t="shared" ref="R208:CC208" si="498">R205</f>
        <v>0</v>
      </c>
      <c r="S208" s="116">
        <f t="shared" si="498"/>
        <v>0</v>
      </c>
      <c r="T208" s="116">
        <f t="shared" si="498"/>
        <v>0</v>
      </c>
      <c r="U208" s="116">
        <f t="shared" si="498"/>
        <v>0</v>
      </c>
      <c r="V208" s="116">
        <f t="shared" si="498"/>
        <v>0</v>
      </c>
      <c r="W208" s="116">
        <f t="shared" si="498"/>
        <v>0</v>
      </c>
      <c r="X208" s="116">
        <f t="shared" si="498"/>
        <v>0</v>
      </c>
      <c r="Y208" s="116">
        <f t="shared" si="498"/>
        <v>0</v>
      </c>
      <c r="Z208" s="116">
        <f t="shared" si="498"/>
        <v>0</v>
      </c>
      <c r="AA208" s="116">
        <f t="shared" si="498"/>
        <v>0</v>
      </c>
      <c r="AB208" s="116">
        <f t="shared" si="498"/>
        <v>0</v>
      </c>
      <c r="AC208" s="116">
        <f t="shared" si="498"/>
        <v>0</v>
      </c>
      <c r="AD208" s="116">
        <f t="shared" si="498"/>
        <v>0</v>
      </c>
      <c r="AE208" s="116">
        <f t="shared" si="498"/>
        <v>0</v>
      </c>
      <c r="AF208" s="116">
        <f t="shared" si="498"/>
        <v>0</v>
      </c>
      <c r="AG208" s="116">
        <f t="shared" si="498"/>
        <v>0</v>
      </c>
      <c r="AH208" s="116">
        <f t="shared" si="498"/>
        <v>0</v>
      </c>
      <c r="AI208" s="116">
        <f t="shared" si="498"/>
        <v>0</v>
      </c>
      <c r="AJ208" s="116">
        <f t="shared" si="498"/>
        <v>0</v>
      </c>
      <c r="AK208" s="116">
        <f t="shared" si="498"/>
        <v>0</v>
      </c>
      <c r="AL208" s="116">
        <f t="shared" si="498"/>
        <v>0</v>
      </c>
      <c r="AM208" s="116">
        <f t="shared" si="498"/>
        <v>0</v>
      </c>
      <c r="AN208" s="116">
        <f t="shared" si="498"/>
        <v>0</v>
      </c>
      <c r="AO208" s="116">
        <f t="shared" si="498"/>
        <v>0</v>
      </c>
      <c r="AP208" s="116">
        <f t="shared" si="498"/>
        <v>0</v>
      </c>
      <c r="AQ208" s="116">
        <f t="shared" si="498"/>
        <v>0</v>
      </c>
      <c r="AR208" s="116">
        <f t="shared" si="498"/>
        <v>0</v>
      </c>
      <c r="AS208" s="116">
        <f t="shared" si="498"/>
        <v>0</v>
      </c>
      <c r="AT208" s="116">
        <f t="shared" si="498"/>
        <v>0</v>
      </c>
      <c r="AU208" s="116">
        <f t="shared" si="498"/>
        <v>0</v>
      </c>
      <c r="AV208" s="116">
        <f t="shared" si="498"/>
        <v>0</v>
      </c>
      <c r="AW208" s="116">
        <f t="shared" si="498"/>
        <v>0</v>
      </c>
      <c r="AX208" s="116">
        <f t="shared" si="498"/>
        <v>0</v>
      </c>
      <c r="AY208" s="116">
        <f t="shared" si="498"/>
        <v>0</v>
      </c>
      <c r="AZ208" s="116">
        <f t="shared" si="498"/>
        <v>0</v>
      </c>
      <c r="BA208" s="116">
        <f t="shared" si="498"/>
        <v>0</v>
      </c>
      <c r="BB208" s="116">
        <f t="shared" si="498"/>
        <v>0</v>
      </c>
      <c r="BC208" s="116">
        <f t="shared" si="498"/>
        <v>0</v>
      </c>
      <c r="BD208" s="116">
        <f t="shared" si="498"/>
        <v>0</v>
      </c>
      <c r="BE208" s="116">
        <f t="shared" si="498"/>
        <v>0</v>
      </c>
      <c r="BF208" s="116">
        <f t="shared" si="498"/>
        <v>0</v>
      </c>
      <c r="BG208" s="116">
        <f t="shared" si="498"/>
        <v>0</v>
      </c>
      <c r="BH208" s="116">
        <f t="shared" si="498"/>
        <v>0</v>
      </c>
      <c r="BI208" s="116">
        <f t="shared" si="498"/>
        <v>0</v>
      </c>
      <c r="BJ208" s="116">
        <f t="shared" si="498"/>
        <v>0</v>
      </c>
      <c r="BK208" s="116">
        <f t="shared" si="498"/>
        <v>0</v>
      </c>
      <c r="BL208" s="116">
        <f t="shared" si="498"/>
        <v>0</v>
      </c>
      <c r="BM208" s="116">
        <f t="shared" si="498"/>
        <v>0</v>
      </c>
      <c r="BN208" s="116">
        <f t="shared" si="498"/>
        <v>0</v>
      </c>
      <c r="BO208" s="116">
        <f t="shared" si="498"/>
        <v>0</v>
      </c>
      <c r="BP208" s="116">
        <f t="shared" si="498"/>
        <v>0</v>
      </c>
      <c r="BQ208" s="116">
        <f t="shared" si="498"/>
        <v>0</v>
      </c>
      <c r="BR208" s="116">
        <f t="shared" si="498"/>
        <v>0</v>
      </c>
      <c r="BS208" s="116">
        <f t="shared" si="498"/>
        <v>0</v>
      </c>
      <c r="BT208" s="116">
        <f t="shared" si="498"/>
        <v>0</v>
      </c>
      <c r="BU208" s="116">
        <f t="shared" si="498"/>
        <v>0</v>
      </c>
      <c r="BV208" s="116">
        <f t="shared" si="498"/>
        <v>0</v>
      </c>
      <c r="BW208" s="116">
        <f t="shared" si="498"/>
        <v>0</v>
      </c>
      <c r="BX208" s="116">
        <f t="shared" si="498"/>
        <v>0</v>
      </c>
      <c r="BY208" s="116">
        <f t="shared" si="498"/>
        <v>0</v>
      </c>
      <c r="BZ208" s="116">
        <f t="shared" si="498"/>
        <v>0</v>
      </c>
      <c r="CA208" s="116">
        <f t="shared" si="498"/>
        <v>0</v>
      </c>
      <c r="CB208" s="116">
        <f t="shared" si="498"/>
        <v>0</v>
      </c>
      <c r="CC208" s="116">
        <f t="shared" si="498"/>
        <v>0</v>
      </c>
      <c r="CD208" s="116">
        <f t="shared" ref="CD208:CP208" si="499">CD205</f>
        <v>0</v>
      </c>
      <c r="CE208" s="116">
        <f t="shared" si="499"/>
        <v>0</v>
      </c>
      <c r="CF208" s="116">
        <f t="shared" si="499"/>
        <v>0</v>
      </c>
      <c r="CG208" s="116">
        <f t="shared" si="499"/>
        <v>0</v>
      </c>
      <c r="CH208" s="116">
        <f t="shared" si="499"/>
        <v>0</v>
      </c>
      <c r="CI208" s="116">
        <f t="shared" si="499"/>
        <v>0</v>
      </c>
      <c r="CJ208" s="116">
        <f t="shared" si="499"/>
        <v>0</v>
      </c>
      <c r="CK208" s="116">
        <f t="shared" si="499"/>
        <v>0</v>
      </c>
      <c r="CL208" s="116">
        <f t="shared" si="499"/>
        <v>0</v>
      </c>
      <c r="CM208" s="116">
        <f t="shared" si="499"/>
        <v>0</v>
      </c>
      <c r="CN208" s="116">
        <f t="shared" si="499"/>
        <v>0</v>
      </c>
      <c r="CO208" s="116">
        <f t="shared" si="499"/>
        <v>0</v>
      </c>
      <c r="CP208" s="116">
        <f t="shared" si="499"/>
        <v>0</v>
      </c>
      <c r="DJ208" s="99">
        <f t="shared" si="380"/>
        <v>-1</v>
      </c>
      <c r="DK208" s="45">
        <f t="shared" si="381"/>
        <v>-1</v>
      </c>
      <c r="DL208" s="47">
        <f t="shared" si="382"/>
        <v>-1</v>
      </c>
      <c r="DM208" s="46">
        <f t="shared" si="383"/>
        <v>-1</v>
      </c>
      <c r="DN208" s="45">
        <f t="shared" si="384"/>
        <v>-1</v>
      </c>
      <c r="DO208" s="47">
        <f t="shared" si="385"/>
        <v>-1</v>
      </c>
      <c r="DP208" s="46">
        <f t="shared" si="386"/>
        <v>-1</v>
      </c>
      <c r="DQ208" s="45">
        <f t="shared" si="387"/>
        <v>-1</v>
      </c>
      <c r="DR208" s="48">
        <f t="shared" si="388"/>
        <v>-1</v>
      </c>
      <c r="DS208" s="44">
        <f t="shared" si="389"/>
        <v>-1</v>
      </c>
      <c r="DT208" s="45">
        <f t="shared" si="390"/>
        <v>-1</v>
      </c>
      <c r="DU208" s="47">
        <f t="shared" si="391"/>
        <v>-1</v>
      </c>
      <c r="DV208" s="46">
        <f t="shared" si="392"/>
        <v>-1</v>
      </c>
      <c r="DW208" s="45">
        <f t="shared" si="393"/>
        <v>-1</v>
      </c>
      <c r="DX208" s="47">
        <f t="shared" si="394"/>
        <v>-1</v>
      </c>
      <c r="DY208" s="46">
        <f t="shared" si="395"/>
        <v>-1</v>
      </c>
      <c r="DZ208" s="45">
        <f t="shared" si="396"/>
        <v>-1</v>
      </c>
      <c r="EA208" s="48">
        <f t="shared" si="397"/>
        <v>-1</v>
      </c>
      <c r="EB208" s="44">
        <f t="shared" si="398"/>
        <v>-1</v>
      </c>
      <c r="EC208" s="45">
        <f t="shared" si="399"/>
        <v>-1</v>
      </c>
      <c r="ED208" s="47">
        <f t="shared" si="400"/>
        <v>-1</v>
      </c>
      <c r="EE208" s="46">
        <f t="shared" si="401"/>
        <v>-1</v>
      </c>
      <c r="EF208" s="45">
        <f t="shared" si="402"/>
        <v>-1</v>
      </c>
      <c r="EG208" s="47">
        <f t="shared" si="403"/>
        <v>-1</v>
      </c>
      <c r="EH208" s="46">
        <f t="shared" si="404"/>
        <v>-1</v>
      </c>
      <c r="EI208" s="45">
        <f t="shared" si="405"/>
        <v>-1</v>
      </c>
      <c r="EJ208" s="100">
        <f t="shared" si="406"/>
        <v>-1</v>
      </c>
      <c r="EK208" s="99">
        <f t="shared" si="407"/>
        <v>-1</v>
      </c>
      <c r="EL208" s="45">
        <f t="shared" si="408"/>
        <v>-1</v>
      </c>
      <c r="EM208" s="47">
        <f t="shared" si="409"/>
        <v>-1</v>
      </c>
      <c r="EN208" s="46">
        <f t="shared" si="410"/>
        <v>-1</v>
      </c>
      <c r="EO208" s="45">
        <f t="shared" si="411"/>
        <v>-1</v>
      </c>
      <c r="EP208" s="47">
        <f t="shared" si="412"/>
        <v>-1</v>
      </c>
      <c r="EQ208" s="46">
        <f t="shared" si="413"/>
        <v>-1</v>
      </c>
      <c r="ER208" s="45">
        <f t="shared" si="414"/>
        <v>-1</v>
      </c>
      <c r="ES208" s="48">
        <f t="shared" si="415"/>
        <v>-1</v>
      </c>
      <c r="ET208" s="44">
        <f t="shared" si="416"/>
        <v>0</v>
      </c>
      <c r="EU208" s="45">
        <f t="shared" si="417"/>
        <v>0</v>
      </c>
      <c r="EV208" s="47">
        <f t="shared" si="418"/>
        <v>0</v>
      </c>
      <c r="EW208" s="46">
        <f t="shared" si="419"/>
        <v>-1</v>
      </c>
      <c r="EX208" s="45">
        <f t="shared" si="420"/>
        <v>-1</v>
      </c>
      <c r="EY208" s="47">
        <f t="shared" si="421"/>
        <v>-1</v>
      </c>
      <c r="EZ208" s="46">
        <f t="shared" si="422"/>
        <v>-1</v>
      </c>
      <c r="FA208" s="45">
        <f t="shared" si="423"/>
        <v>-1</v>
      </c>
      <c r="FB208" s="48">
        <f t="shared" si="424"/>
        <v>-1</v>
      </c>
      <c r="FC208" s="44">
        <f t="shared" si="425"/>
        <v>-1</v>
      </c>
      <c r="FD208" s="45">
        <f t="shared" si="426"/>
        <v>-1</v>
      </c>
      <c r="FE208" s="47">
        <f t="shared" si="427"/>
        <v>-1</v>
      </c>
      <c r="FF208" s="46">
        <f t="shared" si="428"/>
        <v>-1</v>
      </c>
      <c r="FG208" s="45">
        <f t="shared" si="429"/>
        <v>-1</v>
      </c>
      <c r="FH208" s="47">
        <f t="shared" si="430"/>
        <v>-1</v>
      </c>
      <c r="FI208" s="46">
        <f t="shared" si="431"/>
        <v>-1</v>
      </c>
      <c r="FJ208" s="45">
        <f t="shared" si="432"/>
        <v>-1</v>
      </c>
      <c r="FK208" s="100">
        <f t="shared" si="433"/>
        <v>-1</v>
      </c>
      <c r="FL208" s="99">
        <f t="shared" si="434"/>
        <v>-1</v>
      </c>
      <c r="FM208" s="45">
        <f t="shared" si="435"/>
        <v>-1</v>
      </c>
      <c r="FN208" s="47">
        <f t="shared" si="436"/>
        <v>-1</v>
      </c>
      <c r="FO208" s="46">
        <f t="shared" si="437"/>
        <v>-1</v>
      </c>
      <c r="FP208" s="45">
        <f t="shared" si="438"/>
        <v>-1</v>
      </c>
      <c r="FQ208" s="47">
        <f t="shared" si="439"/>
        <v>-1</v>
      </c>
      <c r="FR208" s="46">
        <f t="shared" si="440"/>
        <v>-1</v>
      </c>
      <c r="FS208" s="45">
        <f t="shared" si="441"/>
        <v>-1</v>
      </c>
      <c r="FT208" s="48">
        <f t="shared" si="442"/>
        <v>-1</v>
      </c>
      <c r="FU208" s="44">
        <f t="shared" si="443"/>
        <v>-1</v>
      </c>
      <c r="FV208" s="45">
        <f t="shared" si="444"/>
        <v>-1</v>
      </c>
      <c r="FW208" s="47">
        <f t="shared" si="445"/>
        <v>-1</v>
      </c>
      <c r="FX208" s="46">
        <f t="shared" si="446"/>
        <v>-1</v>
      </c>
      <c r="FY208" s="45">
        <f t="shared" si="447"/>
        <v>-1</v>
      </c>
      <c r="FZ208" s="47">
        <f t="shared" si="448"/>
        <v>-1</v>
      </c>
      <c r="GA208" s="46">
        <f t="shared" si="449"/>
        <v>-1</v>
      </c>
      <c r="GB208" s="45">
        <f t="shared" si="450"/>
        <v>-1</v>
      </c>
      <c r="GC208" s="48">
        <f t="shared" si="451"/>
        <v>-1</v>
      </c>
      <c r="GD208" s="44">
        <f t="shared" si="452"/>
        <v>-1</v>
      </c>
      <c r="GE208" s="45">
        <f t="shared" si="453"/>
        <v>-1</v>
      </c>
      <c r="GF208" s="47">
        <f t="shared" si="454"/>
        <v>-1</v>
      </c>
      <c r="GG208" s="46">
        <f t="shared" si="455"/>
        <v>-1</v>
      </c>
      <c r="GH208" s="45">
        <f t="shared" si="456"/>
        <v>-1</v>
      </c>
      <c r="GI208" s="47">
        <f t="shared" si="457"/>
        <v>-1</v>
      </c>
      <c r="GJ208" s="46">
        <f t="shared" si="458"/>
        <v>-1</v>
      </c>
      <c r="GK208" s="45">
        <f t="shared" si="459"/>
        <v>-1</v>
      </c>
      <c r="GL208" s="100">
        <f t="shared" si="460"/>
        <v>-1</v>
      </c>
      <c r="GN208" s="46">
        <f>COUNTIF(DJ208:GL208,7)</f>
        <v>0</v>
      </c>
      <c r="GO208" s="45">
        <f>COUNTIF(DJ208:GL208,8)</f>
        <v>0</v>
      </c>
      <c r="GP208" s="47">
        <f>COUNTIF(DJ208:GL208,9)</f>
        <v>0</v>
      </c>
      <c r="GQ208" s="39"/>
      <c r="GR208" s="39"/>
      <c r="GT208" s="78">
        <f t="shared" ref="GT208:GV208" si="500">GT181</f>
        <v>0</v>
      </c>
      <c r="GU208" s="79">
        <f t="shared" si="500"/>
        <v>0</v>
      </c>
      <c r="GV208" s="80">
        <f t="shared" si="500"/>
        <v>0</v>
      </c>
    </row>
    <row r="209" spans="14:204" ht="15" customHeight="1">
      <c r="N209" s="116">
        <f t="shared" ref="N209:P231" si="501">N206</f>
        <v>0</v>
      </c>
      <c r="O209" s="116">
        <f t="shared" si="501"/>
        <v>0</v>
      </c>
      <c r="P209" s="116">
        <f t="shared" si="501"/>
        <v>0</v>
      </c>
      <c r="Q209" s="116">
        <f t="shared" ref="Q209:CB209" si="502">Q206</f>
        <v>0</v>
      </c>
      <c r="R209" s="116">
        <f t="shared" si="502"/>
        <v>0</v>
      </c>
      <c r="S209" s="116">
        <f t="shared" si="502"/>
        <v>0</v>
      </c>
      <c r="T209" s="116">
        <f t="shared" si="502"/>
        <v>0</v>
      </c>
      <c r="U209" s="116">
        <f t="shared" si="502"/>
        <v>0</v>
      </c>
      <c r="V209" s="116">
        <f t="shared" si="502"/>
        <v>0</v>
      </c>
      <c r="W209" s="116">
        <f t="shared" si="502"/>
        <v>0</v>
      </c>
      <c r="X209" s="116">
        <f t="shared" si="502"/>
        <v>0</v>
      </c>
      <c r="Y209" s="116">
        <f t="shared" si="502"/>
        <v>0</v>
      </c>
      <c r="Z209" s="116">
        <f t="shared" si="502"/>
        <v>0</v>
      </c>
      <c r="AA209" s="116">
        <f t="shared" si="502"/>
        <v>0</v>
      </c>
      <c r="AB209" s="116">
        <f t="shared" si="502"/>
        <v>0</v>
      </c>
      <c r="AC209" s="116">
        <f t="shared" si="502"/>
        <v>0</v>
      </c>
      <c r="AD209" s="116">
        <f t="shared" si="502"/>
        <v>0</v>
      </c>
      <c r="AE209" s="116">
        <f t="shared" si="502"/>
        <v>0</v>
      </c>
      <c r="AF209" s="116">
        <f t="shared" si="502"/>
        <v>0</v>
      </c>
      <c r="AG209" s="116">
        <f t="shared" si="502"/>
        <v>0</v>
      </c>
      <c r="AH209" s="116">
        <f t="shared" si="502"/>
        <v>0</v>
      </c>
      <c r="AI209" s="116">
        <f t="shared" si="502"/>
        <v>0</v>
      </c>
      <c r="AJ209" s="116">
        <f t="shared" si="502"/>
        <v>0</v>
      </c>
      <c r="AK209" s="116">
        <f t="shared" si="502"/>
        <v>0</v>
      </c>
      <c r="AL209" s="116">
        <f t="shared" si="502"/>
        <v>0</v>
      </c>
      <c r="AM209" s="116">
        <f t="shared" si="502"/>
        <v>0</v>
      </c>
      <c r="AN209" s="116">
        <f t="shared" si="502"/>
        <v>0</v>
      </c>
      <c r="AO209" s="116">
        <f t="shared" si="502"/>
        <v>0</v>
      </c>
      <c r="AP209" s="116">
        <f t="shared" si="502"/>
        <v>0</v>
      </c>
      <c r="AQ209" s="116">
        <f t="shared" si="502"/>
        <v>0</v>
      </c>
      <c r="AR209" s="116">
        <f t="shared" si="502"/>
        <v>0</v>
      </c>
      <c r="AS209" s="116">
        <f t="shared" si="502"/>
        <v>0</v>
      </c>
      <c r="AT209" s="116">
        <f t="shared" si="502"/>
        <v>0</v>
      </c>
      <c r="AU209" s="116">
        <f t="shared" si="502"/>
        <v>0</v>
      </c>
      <c r="AV209" s="116">
        <f t="shared" si="502"/>
        <v>0</v>
      </c>
      <c r="AW209" s="116">
        <f t="shared" si="502"/>
        <v>0</v>
      </c>
      <c r="AX209" s="116">
        <f t="shared" si="502"/>
        <v>0</v>
      </c>
      <c r="AY209" s="116">
        <f t="shared" si="502"/>
        <v>0</v>
      </c>
      <c r="AZ209" s="116">
        <f t="shared" si="502"/>
        <v>0</v>
      </c>
      <c r="BA209" s="116">
        <f t="shared" si="502"/>
        <v>0</v>
      </c>
      <c r="BB209" s="116">
        <f t="shared" si="502"/>
        <v>0</v>
      </c>
      <c r="BC209" s="116">
        <f t="shared" si="502"/>
        <v>0</v>
      </c>
      <c r="BD209" s="116">
        <f t="shared" si="502"/>
        <v>0</v>
      </c>
      <c r="BE209" s="116">
        <f t="shared" si="502"/>
        <v>0</v>
      </c>
      <c r="BF209" s="116">
        <f t="shared" si="502"/>
        <v>0</v>
      </c>
      <c r="BG209" s="116">
        <f t="shared" si="502"/>
        <v>0</v>
      </c>
      <c r="BH209" s="116">
        <f t="shared" si="502"/>
        <v>0</v>
      </c>
      <c r="BI209" s="116">
        <f t="shared" si="502"/>
        <v>0</v>
      </c>
      <c r="BJ209" s="116">
        <f t="shared" si="502"/>
        <v>0</v>
      </c>
      <c r="BK209" s="116">
        <f t="shared" si="502"/>
        <v>0</v>
      </c>
      <c r="BL209" s="116">
        <f t="shared" si="502"/>
        <v>0</v>
      </c>
      <c r="BM209" s="116">
        <f t="shared" si="502"/>
        <v>0</v>
      </c>
      <c r="BN209" s="116">
        <f t="shared" si="502"/>
        <v>0</v>
      </c>
      <c r="BO209" s="116">
        <f t="shared" si="502"/>
        <v>0</v>
      </c>
      <c r="BP209" s="116">
        <f t="shared" si="502"/>
        <v>0</v>
      </c>
      <c r="BQ209" s="116">
        <f t="shared" si="502"/>
        <v>0</v>
      </c>
      <c r="BR209" s="116">
        <f t="shared" si="502"/>
        <v>0</v>
      </c>
      <c r="BS209" s="116">
        <f t="shared" si="502"/>
        <v>0</v>
      </c>
      <c r="BT209" s="116">
        <f t="shared" si="502"/>
        <v>0</v>
      </c>
      <c r="BU209" s="116">
        <f t="shared" si="502"/>
        <v>0</v>
      </c>
      <c r="BV209" s="116">
        <f t="shared" si="502"/>
        <v>0</v>
      </c>
      <c r="BW209" s="116">
        <f t="shared" si="502"/>
        <v>0</v>
      </c>
      <c r="BX209" s="116">
        <f t="shared" si="502"/>
        <v>0</v>
      </c>
      <c r="BY209" s="116">
        <f t="shared" si="502"/>
        <v>0</v>
      </c>
      <c r="BZ209" s="116">
        <f t="shared" si="502"/>
        <v>0</v>
      </c>
      <c r="CA209" s="116">
        <f t="shared" si="502"/>
        <v>0</v>
      </c>
      <c r="CB209" s="116">
        <f t="shared" si="502"/>
        <v>0</v>
      </c>
      <c r="CC209" s="116">
        <f t="shared" ref="CC209:CP209" si="503">CC206</f>
        <v>0</v>
      </c>
      <c r="CD209" s="116">
        <f t="shared" si="503"/>
        <v>0</v>
      </c>
      <c r="CE209" s="116">
        <f t="shared" si="503"/>
        <v>0</v>
      </c>
      <c r="CF209" s="116">
        <f t="shared" si="503"/>
        <v>0</v>
      </c>
      <c r="CG209" s="116">
        <f t="shared" si="503"/>
        <v>0</v>
      </c>
      <c r="CH209" s="116">
        <f t="shared" si="503"/>
        <v>0</v>
      </c>
      <c r="CI209" s="116">
        <f t="shared" si="503"/>
        <v>0</v>
      </c>
      <c r="CJ209" s="116">
        <f t="shared" si="503"/>
        <v>0</v>
      </c>
      <c r="CK209" s="116">
        <f t="shared" si="503"/>
        <v>0</v>
      </c>
      <c r="CL209" s="116">
        <f t="shared" si="503"/>
        <v>0</v>
      </c>
      <c r="CM209" s="116">
        <f t="shared" si="503"/>
        <v>0</v>
      </c>
      <c r="CN209" s="116">
        <f t="shared" si="503"/>
        <v>0</v>
      </c>
      <c r="CO209" s="116">
        <f t="shared" si="503"/>
        <v>0</v>
      </c>
      <c r="CP209" s="116">
        <f t="shared" si="503"/>
        <v>0</v>
      </c>
      <c r="DJ209" s="104">
        <f t="shared" si="380"/>
        <v>-1</v>
      </c>
      <c r="DK209" s="50">
        <f t="shared" si="381"/>
        <v>-1</v>
      </c>
      <c r="DL209" s="51">
        <f t="shared" si="382"/>
        <v>-1</v>
      </c>
      <c r="DM209" s="52">
        <f t="shared" si="383"/>
        <v>-1</v>
      </c>
      <c r="DN209" s="50">
        <f t="shared" si="384"/>
        <v>-1</v>
      </c>
      <c r="DO209" s="51">
        <f t="shared" si="385"/>
        <v>-1</v>
      </c>
      <c r="DP209" s="52">
        <f t="shared" si="386"/>
        <v>-1</v>
      </c>
      <c r="DQ209" s="50">
        <f t="shared" si="387"/>
        <v>-1</v>
      </c>
      <c r="DR209" s="53">
        <f t="shared" si="388"/>
        <v>-1</v>
      </c>
      <c r="DS209" s="49">
        <f t="shared" si="389"/>
        <v>-1</v>
      </c>
      <c r="DT209" s="50">
        <f t="shared" si="390"/>
        <v>-1</v>
      </c>
      <c r="DU209" s="51">
        <f t="shared" si="391"/>
        <v>-1</v>
      </c>
      <c r="DV209" s="52">
        <f t="shared" si="392"/>
        <v>-1</v>
      </c>
      <c r="DW209" s="50">
        <f t="shared" si="393"/>
        <v>-1</v>
      </c>
      <c r="DX209" s="51">
        <f t="shared" si="394"/>
        <v>-1</v>
      </c>
      <c r="DY209" s="52">
        <f t="shared" si="395"/>
        <v>-1</v>
      </c>
      <c r="DZ209" s="50">
        <f t="shared" si="396"/>
        <v>-1</v>
      </c>
      <c r="EA209" s="53">
        <f t="shared" si="397"/>
        <v>-1</v>
      </c>
      <c r="EB209" s="49">
        <f t="shared" si="398"/>
        <v>-1</v>
      </c>
      <c r="EC209" s="50">
        <f t="shared" si="399"/>
        <v>-1</v>
      </c>
      <c r="ED209" s="51">
        <f t="shared" si="400"/>
        <v>-1</v>
      </c>
      <c r="EE209" s="52">
        <f t="shared" si="401"/>
        <v>-1</v>
      </c>
      <c r="EF209" s="50">
        <f t="shared" si="402"/>
        <v>-1</v>
      </c>
      <c r="EG209" s="51">
        <f t="shared" si="403"/>
        <v>-1</v>
      </c>
      <c r="EH209" s="52">
        <f t="shared" si="404"/>
        <v>-1</v>
      </c>
      <c r="EI209" s="50">
        <f t="shared" si="405"/>
        <v>-1</v>
      </c>
      <c r="EJ209" s="105">
        <f t="shared" si="406"/>
        <v>-1</v>
      </c>
      <c r="EK209" s="104">
        <f t="shared" si="407"/>
        <v>-1</v>
      </c>
      <c r="EL209" s="50">
        <f t="shared" si="408"/>
        <v>-1</v>
      </c>
      <c r="EM209" s="51">
        <f t="shared" si="409"/>
        <v>-1</v>
      </c>
      <c r="EN209" s="52">
        <f t="shared" si="410"/>
        <v>-1</v>
      </c>
      <c r="EO209" s="50">
        <f t="shared" si="411"/>
        <v>-1</v>
      </c>
      <c r="EP209" s="51">
        <f t="shared" si="412"/>
        <v>-1</v>
      </c>
      <c r="EQ209" s="52">
        <f t="shared" si="413"/>
        <v>-1</v>
      </c>
      <c r="ER209" s="50">
        <f t="shared" si="414"/>
        <v>-1</v>
      </c>
      <c r="ES209" s="53">
        <f t="shared" si="415"/>
        <v>-1</v>
      </c>
      <c r="ET209" s="49">
        <f t="shared" si="416"/>
        <v>-1</v>
      </c>
      <c r="EU209" s="50">
        <f t="shared" si="417"/>
        <v>-1</v>
      </c>
      <c r="EV209" s="51">
        <f t="shared" si="418"/>
        <v>-1</v>
      </c>
      <c r="EW209" s="52">
        <f t="shared" si="419"/>
        <v>1</v>
      </c>
      <c r="EX209" s="50">
        <f t="shared" si="420"/>
        <v>0</v>
      </c>
      <c r="EY209" s="51">
        <f t="shared" si="421"/>
        <v>0</v>
      </c>
      <c r="EZ209" s="52">
        <f t="shared" si="422"/>
        <v>0</v>
      </c>
      <c r="FA209" s="50">
        <f t="shared" si="423"/>
        <v>0</v>
      </c>
      <c r="FB209" s="53">
        <f t="shared" si="424"/>
        <v>3</v>
      </c>
      <c r="FC209" s="49">
        <f t="shared" si="425"/>
        <v>0</v>
      </c>
      <c r="FD209" s="50">
        <f t="shared" si="426"/>
        <v>0</v>
      </c>
      <c r="FE209" s="51">
        <f t="shared" si="427"/>
        <v>3</v>
      </c>
      <c r="FF209" s="52">
        <f t="shared" si="428"/>
        <v>-1</v>
      </c>
      <c r="FG209" s="50">
        <f t="shared" si="429"/>
        <v>-1</v>
      </c>
      <c r="FH209" s="51">
        <f t="shared" si="430"/>
        <v>-1</v>
      </c>
      <c r="FI209" s="52">
        <f t="shared" si="431"/>
        <v>-1</v>
      </c>
      <c r="FJ209" s="50">
        <f t="shared" si="432"/>
        <v>-1</v>
      </c>
      <c r="FK209" s="105">
        <f t="shared" si="433"/>
        <v>-1</v>
      </c>
      <c r="FL209" s="104">
        <f t="shared" si="434"/>
        <v>-1</v>
      </c>
      <c r="FM209" s="50">
        <f t="shared" si="435"/>
        <v>-1</v>
      </c>
      <c r="FN209" s="51">
        <f t="shared" si="436"/>
        <v>-1</v>
      </c>
      <c r="FO209" s="52">
        <f t="shared" si="437"/>
        <v>-1</v>
      </c>
      <c r="FP209" s="50">
        <f t="shared" si="438"/>
        <v>-1</v>
      </c>
      <c r="FQ209" s="51">
        <f t="shared" si="439"/>
        <v>-1</v>
      </c>
      <c r="FR209" s="52">
        <f t="shared" si="440"/>
        <v>-1</v>
      </c>
      <c r="FS209" s="50">
        <f t="shared" si="441"/>
        <v>-1</v>
      </c>
      <c r="FT209" s="53">
        <f t="shared" si="442"/>
        <v>-1</v>
      </c>
      <c r="FU209" s="49">
        <f t="shared" si="443"/>
        <v>-1</v>
      </c>
      <c r="FV209" s="50">
        <f t="shared" si="444"/>
        <v>-1</v>
      </c>
      <c r="FW209" s="51">
        <f t="shared" si="445"/>
        <v>-1</v>
      </c>
      <c r="FX209" s="52">
        <f t="shared" si="446"/>
        <v>-1</v>
      </c>
      <c r="FY209" s="50">
        <f t="shared" si="447"/>
        <v>-1</v>
      </c>
      <c r="FZ209" s="51">
        <f t="shared" si="448"/>
        <v>-1</v>
      </c>
      <c r="GA209" s="52">
        <f t="shared" si="449"/>
        <v>-1</v>
      </c>
      <c r="GB209" s="50">
        <f t="shared" si="450"/>
        <v>-1</v>
      </c>
      <c r="GC209" s="53">
        <f t="shared" si="451"/>
        <v>-1</v>
      </c>
      <c r="GD209" s="49">
        <f t="shared" si="452"/>
        <v>-1</v>
      </c>
      <c r="GE209" s="50">
        <f t="shared" si="453"/>
        <v>-1</v>
      </c>
      <c r="GF209" s="51">
        <f t="shared" si="454"/>
        <v>-1</v>
      </c>
      <c r="GG209" s="52">
        <f t="shared" si="455"/>
        <v>-1</v>
      </c>
      <c r="GH209" s="50">
        <f t="shared" si="456"/>
        <v>-1</v>
      </c>
      <c r="GI209" s="51">
        <f t="shared" si="457"/>
        <v>-1</v>
      </c>
      <c r="GJ209" s="52">
        <f t="shared" si="458"/>
        <v>-1</v>
      </c>
      <c r="GK209" s="50">
        <f t="shared" si="459"/>
        <v>-1</v>
      </c>
      <c r="GL209" s="105">
        <f t="shared" si="460"/>
        <v>-1</v>
      </c>
      <c r="GN209" s="52">
        <f>COUNTIF(DJ209:GL209,1)</f>
        <v>1</v>
      </c>
      <c r="GO209" s="50">
        <f>COUNTIF(DJ209:GL209,2)</f>
        <v>0</v>
      </c>
      <c r="GP209" s="51">
        <f>COUNTIF(DJ209:GL209,3)</f>
        <v>2</v>
      </c>
      <c r="GQ209" s="39"/>
      <c r="GR209" s="39"/>
      <c r="GT209" s="65">
        <f t="shared" ref="GT209:GV209" si="504">GT182</f>
        <v>5</v>
      </c>
      <c r="GU209" s="66">
        <f t="shared" si="504"/>
        <v>3</v>
      </c>
      <c r="GV209" s="67">
        <f t="shared" si="504"/>
        <v>2</v>
      </c>
    </row>
    <row r="210" spans="14:204" ht="15" customHeight="1">
      <c r="N210" s="116">
        <f t="shared" si="501"/>
        <v>0</v>
      </c>
      <c r="O210" s="116">
        <f t="shared" si="501"/>
        <v>0</v>
      </c>
      <c r="P210" s="116">
        <f t="shared" si="501"/>
        <v>0</v>
      </c>
      <c r="Q210" s="116">
        <f t="shared" ref="Q210:CB210" si="505">Q207</f>
        <v>0</v>
      </c>
      <c r="R210" s="116">
        <f t="shared" si="505"/>
        <v>0</v>
      </c>
      <c r="S210" s="116">
        <f t="shared" si="505"/>
        <v>0</v>
      </c>
      <c r="T210" s="116">
        <f t="shared" si="505"/>
        <v>0</v>
      </c>
      <c r="U210" s="116">
        <f t="shared" si="505"/>
        <v>0</v>
      </c>
      <c r="V210" s="116">
        <f t="shared" si="505"/>
        <v>0</v>
      </c>
      <c r="W210" s="116">
        <f t="shared" si="505"/>
        <v>0</v>
      </c>
      <c r="X210" s="116">
        <f t="shared" si="505"/>
        <v>0</v>
      </c>
      <c r="Y210" s="116">
        <f t="shared" si="505"/>
        <v>0</v>
      </c>
      <c r="Z210" s="116">
        <f t="shared" si="505"/>
        <v>0</v>
      </c>
      <c r="AA210" s="116">
        <f t="shared" si="505"/>
        <v>0</v>
      </c>
      <c r="AB210" s="116">
        <f t="shared" si="505"/>
        <v>0</v>
      </c>
      <c r="AC210" s="116">
        <f t="shared" si="505"/>
        <v>0</v>
      </c>
      <c r="AD210" s="116">
        <f t="shared" si="505"/>
        <v>0</v>
      </c>
      <c r="AE210" s="116">
        <f t="shared" si="505"/>
        <v>0</v>
      </c>
      <c r="AF210" s="116">
        <f t="shared" si="505"/>
        <v>0</v>
      </c>
      <c r="AG210" s="116">
        <f t="shared" si="505"/>
        <v>0</v>
      </c>
      <c r="AH210" s="116">
        <f t="shared" si="505"/>
        <v>0</v>
      </c>
      <c r="AI210" s="116">
        <f t="shared" si="505"/>
        <v>0</v>
      </c>
      <c r="AJ210" s="116">
        <f t="shared" si="505"/>
        <v>0</v>
      </c>
      <c r="AK210" s="116">
        <f t="shared" si="505"/>
        <v>0</v>
      </c>
      <c r="AL210" s="116">
        <f t="shared" si="505"/>
        <v>0</v>
      </c>
      <c r="AM210" s="116">
        <f t="shared" si="505"/>
        <v>0</v>
      </c>
      <c r="AN210" s="116">
        <f t="shared" si="505"/>
        <v>0</v>
      </c>
      <c r="AO210" s="116">
        <f t="shared" si="505"/>
        <v>0</v>
      </c>
      <c r="AP210" s="116">
        <f t="shared" si="505"/>
        <v>0</v>
      </c>
      <c r="AQ210" s="116">
        <f t="shared" si="505"/>
        <v>0</v>
      </c>
      <c r="AR210" s="116">
        <f t="shared" si="505"/>
        <v>0</v>
      </c>
      <c r="AS210" s="116">
        <f t="shared" si="505"/>
        <v>0</v>
      </c>
      <c r="AT210" s="116">
        <f t="shared" si="505"/>
        <v>0</v>
      </c>
      <c r="AU210" s="116">
        <f t="shared" si="505"/>
        <v>0</v>
      </c>
      <c r="AV210" s="116">
        <f t="shared" si="505"/>
        <v>0</v>
      </c>
      <c r="AW210" s="116">
        <f t="shared" si="505"/>
        <v>0</v>
      </c>
      <c r="AX210" s="116">
        <f t="shared" si="505"/>
        <v>0</v>
      </c>
      <c r="AY210" s="116">
        <f t="shared" si="505"/>
        <v>0</v>
      </c>
      <c r="AZ210" s="116">
        <f t="shared" si="505"/>
        <v>0</v>
      </c>
      <c r="BA210" s="116">
        <f t="shared" si="505"/>
        <v>0</v>
      </c>
      <c r="BB210" s="116">
        <f t="shared" si="505"/>
        <v>0</v>
      </c>
      <c r="BC210" s="116">
        <f t="shared" si="505"/>
        <v>0</v>
      </c>
      <c r="BD210" s="116">
        <f t="shared" si="505"/>
        <v>0</v>
      </c>
      <c r="BE210" s="116">
        <f t="shared" si="505"/>
        <v>0</v>
      </c>
      <c r="BF210" s="116">
        <f t="shared" si="505"/>
        <v>0</v>
      </c>
      <c r="BG210" s="116">
        <f t="shared" si="505"/>
        <v>0</v>
      </c>
      <c r="BH210" s="116">
        <f t="shared" si="505"/>
        <v>0</v>
      </c>
      <c r="BI210" s="116">
        <f t="shared" si="505"/>
        <v>0</v>
      </c>
      <c r="BJ210" s="116">
        <f t="shared" si="505"/>
        <v>0</v>
      </c>
      <c r="BK210" s="116">
        <f t="shared" si="505"/>
        <v>0</v>
      </c>
      <c r="BL210" s="116">
        <f t="shared" si="505"/>
        <v>0</v>
      </c>
      <c r="BM210" s="116">
        <f t="shared" si="505"/>
        <v>0</v>
      </c>
      <c r="BN210" s="116">
        <f t="shared" si="505"/>
        <v>0</v>
      </c>
      <c r="BO210" s="116">
        <f t="shared" si="505"/>
        <v>0</v>
      </c>
      <c r="BP210" s="116">
        <f t="shared" si="505"/>
        <v>0</v>
      </c>
      <c r="BQ210" s="116">
        <f t="shared" si="505"/>
        <v>0</v>
      </c>
      <c r="BR210" s="116">
        <f t="shared" si="505"/>
        <v>0</v>
      </c>
      <c r="BS210" s="116">
        <f t="shared" si="505"/>
        <v>0</v>
      </c>
      <c r="BT210" s="116">
        <f t="shared" si="505"/>
        <v>0</v>
      </c>
      <c r="BU210" s="116">
        <f t="shared" si="505"/>
        <v>0</v>
      </c>
      <c r="BV210" s="116">
        <f t="shared" si="505"/>
        <v>0</v>
      </c>
      <c r="BW210" s="116">
        <f t="shared" si="505"/>
        <v>0</v>
      </c>
      <c r="BX210" s="116">
        <f t="shared" si="505"/>
        <v>0</v>
      </c>
      <c r="BY210" s="116">
        <f t="shared" si="505"/>
        <v>0</v>
      </c>
      <c r="BZ210" s="116">
        <f t="shared" si="505"/>
        <v>0</v>
      </c>
      <c r="CA210" s="116">
        <f t="shared" si="505"/>
        <v>0</v>
      </c>
      <c r="CB210" s="116">
        <f t="shared" si="505"/>
        <v>0</v>
      </c>
      <c r="CC210" s="116">
        <f t="shared" ref="CC210:CP210" si="506">CC207</f>
        <v>0</v>
      </c>
      <c r="CD210" s="116">
        <f t="shared" si="506"/>
        <v>0</v>
      </c>
      <c r="CE210" s="116">
        <f t="shared" si="506"/>
        <v>0</v>
      </c>
      <c r="CF210" s="116">
        <f t="shared" si="506"/>
        <v>0</v>
      </c>
      <c r="CG210" s="116">
        <f t="shared" si="506"/>
        <v>0</v>
      </c>
      <c r="CH210" s="116">
        <f t="shared" si="506"/>
        <v>0</v>
      </c>
      <c r="CI210" s="116">
        <f t="shared" si="506"/>
        <v>0</v>
      </c>
      <c r="CJ210" s="116">
        <f t="shared" si="506"/>
        <v>0</v>
      </c>
      <c r="CK210" s="116">
        <f t="shared" si="506"/>
        <v>0</v>
      </c>
      <c r="CL210" s="116">
        <f t="shared" si="506"/>
        <v>0</v>
      </c>
      <c r="CM210" s="116">
        <f t="shared" si="506"/>
        <v>0</v>
      </c>
      <c r="CN210" s="116">
        <f t="shared" si="506"/>
        <v>0</v>
      </c>
      <c r="CO210" s="116">
        <f t="shared" si="506"/>
        <v>0</v>
      </c>
      <c r="CP210" s="116">
        <f t="shared" si="506"/>
        <v>0</v>
      </c>
      <c r="DJ210" s="94">
        <f t="shared" si="380"/>
        <v>-1</v>
      </c>
      <c r="DK210" s="39">
        <f t="shared" si="381"/>
        <v>-1</v>
      </c>
      <c r="DL210" s="41">
        <f t="shared" si="382"/>
        <v>-1</v>
      </c>
      <c r="DM210" s="40">
        <f t="shared" si="383"/>
        <v>-1</v>
      </c>
      <c r="DN210" s="39">
        <f t="shared" si="384"/>
        <v>-1</v>
      </c>
      <c r="DO210" s="41">
        <f t="shared" si="385"/>
        <v>-1</v>
      </c>
      <c r="DP210" s="40">
        <f t="shared" si="386"/>
        <v>-1</v>
      </c>
      <c r="DQ210" s="39">
        <f t="shared" si="387"/>
        <v>-1</v>
      </c>
      <c r="DR210" s="42">
        <f t="shared" si="388"/>
        <v>-1</v>
      </c>
      <c r="DS210" s="43">
        <f t="shared" si="389"/>
        <v>-1</v>
      </c>
      <c r="DT210" s="39">
        <f t="shared" si="390"/>
        <v>-1</v>
      </c>
      <c r="DU210" s="41">
        <f t="shared" si="391"/>
        <v>-1</v>
      </c>
      <c r="DV210" s="40">
        <f t="shared" si="392"/>
        <v>-1</v>
      </c>
      <c r="DW210" s="39">
        <f t="shared" si="393"/>
        <v>-1</v>
      </c>
      <c r="DX210" s="41">
        <f t="shared" si="394"/>
        <v>-1</v>
      </c>
      <c r="DY210" s="40">
        <f t="shared" si="395"/>
        <v>-1</v>
      </c>
      <c r="DZ210" s="39">
        <f t="shared" si="396"/>
        <v>-1</v>
      </c>
      <c r="EA210" s="42">
        <f t="shared" si="397"/>
        <v>-1</v>
      </c>
      <c r="EB210" s="43">
        <f t="shared" si="398"/>
        <v>-1</v>
      </c>
      <c r="EC210" s="39">
        <f t="shared" si="399"/>
        <v>-1</v>
      </c>
      <c r="ED210" s="41">
        <f t="shared" si="400"/>
        <v>-1</v>
      </c>
      <c r="EE210" s="40">
        <f t="shared" si="401"/>
        <v>-1</v>
      </c>
      <c r="EF210" s="39">
        <f t="shared" si="402"/>
        <v>-1</v>
      </c>
      <c r="EG210" s="41">
        <f t="shared" si="403"/>
        <v>-1</v>
      </c>
      <c r="EH210" s="40">
        <f t="shared" si="404"/>
        <v>-1</v>
      </c>
      <c r="EI210" s="39">
        <f t="shared" si="405"/>
        <v>-1</v>
      </c>
      <c r="EJ210" s="95">
        <f t="shared" si="406"/>
        <v>-1</v>
      </c>
      <c r="EK210" s="94">
        <f t="shared" si="407"/>
        <v>-1</v>
      </c>
      <c r="EL210" s="39">
        <f t="shared" si="408"/>
        <v>-1</v>
      </c>
      <c r="EM210" s="41">
        <f t="shared" si="409"/>
        <v>-1</v>
      </c>
      <c r="EN210" s="40">
        <f t="shared" si="410"/>
        <v>-1</v>
      </c>
      <c r="EO210" s="39">
        <f t="shared" si="411"/>
        <v>-1</v>
      </c>
      <c r="EP210" s="41">
        <f t="shared" si="412"/>
        <v>-1</v>
      </c>
      <c r="EQ210" s="40">
        <f t="shared" si="413"/>
        <v>-1</v>
      </c>
      <c r="ER210" s="39">
        <f t="shared" si="414"/>
        <v>-1</v>
      </c>
      <c r="ES210" s="42">
        <f t="shared" si="415"/>
        <v>-1</v>
      </c>
      <c r="ET210" s="43">
        <f t="shared" si="416"/>
        <v>-1</v>
      </c>
      <c r="EU210" s="39">
        <f t="shared" si="417"/>
        <v>-1</v>
      </c>
      <c r="EV210" s="41">
        <f t="shared" si="418"/>
        <v>-1</v>
      </c>
      <c r="EW210" s="40">
        <f t="shared" si="419"/>
        <v>4</v>
      </c>
      <c r="EX210" s="39">
        <f t="shared" si="420"/>
        <v>0</v>
      </c>
      <c r="EY210" s="41">
        <f t="shared" si="421"/>
        <v>0</v>
      </c>
      <c r="EZ210" s="40">
        <f t="shared" si="422"/>
        <v>0</v>
      </c>
      <c r="FA210" s="39">
        <f t="shared" si="423"/>
        <v>0</v>
      </c>
      <c r="FB210" s="42">
        <f t="shared" si="424"/>
        <v>0</v>
      </c>
      <c r="FC210" s="43">
        <f t="shared" si="425"/>
        <v>0</v>
      </c>
      <c r="FD210" s="39">
        <f t="shared" si="426"/>
        <v>0</v>
      </c>
      <c r="FE210" s="41">
        <f t="shared" si="427"/>
        <v>0</v>
      </c>
      <c r="FF210" s="40">
        <f t="shared" si="428"/>
        <v>-1</v>
      </c>
      <c r="FG210" s="39">
        <f t="shared" si="429"/>
        <v>-1</v>
      </c>
      <c r="FH210" s="41">
        <f t="shared" si="430"/>
        <v>-1</v>
      </c>
      <c r="FI210" s="40">
        <f t="shared" si="431"/>
        <v>-1</v>
      </c>
      <c r="FJ210" s="39">
        <f t="shared" si="432"/>
        <v>-1</v>
      </c>
      <c r="FK210" s="95">
        <f t="shared" si="433"/>
        <v>-1</v>
      </c>
      <c r="FL210" s="94">
        <f t="shared" si="434"/>
        <v>-1</v>
      </c>
      <c r="FM210" s="39">
        <f t="shared" si="435"/>
        <v>-1</v>
      </c>
      <c r="FN210" s="41">
        <f t="shared" si="436"/>
        <v>-1</v>
      </c>
      <c r="FO210" s="40">
        <f t="shared" si="437"/>
        <v>-1</v>
      </c>
      <c r="FP210" s="39">
        <f t="shared" si="438"/>
        <v>-1</v>
      </c>
      <c r="FQ210" s="41">
        <f t="shared" si="439"/>
        <v>-1</v>
      </c>
      <c r="FR210" s="40">
        <f t="shared" si="440"/>
        <v>-1</v>
      </c>
      <c r="FS210" s="39">
        <f t="shared" si="441"/>
        <v>-1</v>
      </c>
      <c r="FT210" s="42">
        <f t="shared" si="442"/>
        <v>-1</v>
      </c>
      <c r="FU210" s="43">
        <f t="shared" si="443"/>
        <v>-1</v>
      </c>
      <c r="FV210" s="39">
        <f t="shared" si="444"/>
        <v>-1</v>
      </c>
      <c r="FW210" s="41">
        <f t="shared" si="445"/>
        <v>-1</v>
      </c>
      <c r="FX210" s="40">
        <f t="shared" si="446"/>
        <v>-1</v>
      </c>
      <c r="FY210" s="39">
        <f t="shared" si="447"/>
        <v>-1</v>
      </c>
      <c r="FZ210" s="41">
        <f t="shared" si="448"/>
        <v>-1</v>
      </c>
      <c r="GA210" s="40">
        <f t="shared" si="449"/>
        <v>-1</v>
      </c>
      <c r="GB210" s="39">
        <f t="shared" si="450"/>
        <v>-1</v>
      </c>
      <c r="GC210" s="42">
        <f t="shared" si="451"/>
        <v>-1</v>
      </c>
      <c r="GD210" s="43">
        <f t="shared" si="452"/>
        <v>-1</v>
      </c>
      <c r="GE210" s="39">
        <f t="shared" si="453"/>
        <v>-1</v>
      </c>
      <c r="GF210" s="41">
        <f t="shared" si="454"/>
        <v>-1</v>
      </c>
      <c r="GG210" s="40">
        <f t="shared" si="455"/>
        <v>-1</v>
      </c>
      <c r="GH210" s="39">
        <f t="shared" si="456"/>
        <v>-1</v>
      </c>
      <c r="GI210" s="41">
        <f t="shared" si="457"/>
        <v>-1</v>
      </c>
      <c r="GJ210" s="40">
        <f t="shared" si="458"/>
        <v>-1</v>
      </c>
      <c r="GK210" s="39">
        <f t="shared" si="459"/>
        <v>-1</v>
      </c>
      <c r="GL210" s="95">
        <f t="shared" si="460"/>
        <v>-1</v>
      </c>
      <c r="GN210" s="40">
        <f>COUNTIF(DJ210:GL210,4)</f>
        <v>1</v>
      </c>
      <c r="GO210" s="39">
        <f>COUNTIF(DJ210:GL210,5)</f>
        <v>0</v>
      </c>
      <c r="GP210" s="41">
        <f>COUNTIF(DJ210:GL210,6)</f>
        <v>0</v>
      </c>
      <c r="GQ210" s="39"/>
      <c r="GR210" s="39"/>
      <c r="GT210" s="72">
        <f t="shared" ref="GT210:GV210" si="507">GT183</f>
        <v>1</v>
      </c>
      <c r="GU210" s="73">
        <f t="shared" si="507"/>
        <v>1</v>
      </c>
      <c r="GV210" s="74">
        <f t="shared" si="507"/>
        <v>2</v>
      </c>
    </row>
    <row r="211" spans="14:204" ht="15" customHeight="1" thickBot="1">
      <c r="N211" s="116">
        <f t="shared" si="501"/>
        <v>0</v>
      </c>
      <c r="O211" s="116">
        <f t="shared" si="501"/>
        <v>0</v>
      </c>
      <c r="P211" s="116">
        <f t="shared" si="501"/>
        <v>0</v>
      </c>
      <c r="Q211" s="116">
        <f t="shared" ref="Q211:CB211" si="508">Q208</f>
        <v>0</v>
      </c>
      <c r="R211" s="116">
        <f t="shared" si="508"/>
        <v>0</v>
      </c>
      <c r="S211" s="116">
        <f t="shared" si="508"/>
        <v>0</v>
      </c>
      <c r="T211" s="116">
        <f t="shared" si="508"/>
        <v>0</v>
      </c>
      <c r="U211" s="116">
        <f t="shared" si="508"/>
        <v>0</v>
      </c>
      <c r="V211" s="116">
        <f t="shared" si="508"/>
        <v>0</v>
      </c>
      <c r="W211" s="116">
        <f t="shared" si="508"/>
        <v>0</v>
      </c>
      <c r="X211" s="116">
        <f t="shared" si="508"/>
        <v>0</v>
      </c>
      <c r="Y211" s="116">
        <f t="shared" si="508"/>
        <v>0</v>
      </c>
      <c r="Z211" s="116">
        <f t="shared" si="508"/>
        <v>0</v>
      </c>
      <c r="AA211" s="116">
        <f t="shared" si="508"/>
        <v>0</v>
      </c>
      <c r="AB211" s="116">
        <f t="shared" si="508"/>
        <v>0</v>
      </c>
      <c r="AC211" s="116">
        <f t="shared" si="508"/>
        <v>0</v>
      </c>
      <c r="AD211" s="116">
        <f t="shared" si="508"/>
        <v>0</v>
      </c>
      <c r="AE211" s="116">
        <f t="shared" si="508"/>
        <v>0</v>
      </c>
      <c r="AF211" s="116">
        <f t="shared" si="508"/>
        <v>0</v>
      </c>
      <c r="AG211" s="116">
        <f t="shared" si="508"/>
        <v>0</v>
      </c>
      <c r="AH211" s="116">
        <f t="shared" si="508"/>
        <v>0</v>
      </c>
      <c r="AI211" s="116">
        <f t="shared" si="508"/>
        <v>0</v>
      </c>
      <c r="AJ211" s="116">
        <f t="shared" si="508"/>
        <v>0</v>
      </c>
      <c r="AK211" s="116">
        <f t="shared" si="508"/>
        <v>0</v>
      </c>
      <c r="AL211" s="116">
        <f t="shared" si="508"/>
        <v>0</v>
      </c>
      <c r="AM211" s="116">
        <f t="shared" si="508"/>
        <v>0</v>
      </c>
      <c r="AN211" s="116">
        <f t="shared" si="508"/>
        <v>0</v>
      </c>
      <c r="AO211" s="116">
        <f t="shared" si="508"/>
        <v>0</v>
      </c>
      <c r="AP211" s="116">
        <f t="shared" si="508"/>
        <v>0</v>
      </c>
      <c r="AQ211" s="116">
        <f t="shared" si="508"/>
        <v>0</v>
      </c>
      <c r="AR211" s="116">
        <f t="shared" si="508"/>
        <v>0</v>
      </c>
      <c r="AS211" s="116">
        <f t="shared" si="508"/>
        <v>0</v>
      </c>
      <c r="AT211" s="116">
        <f t="shared" si="508"/>
        <v>0</v>
      </c>
      <c r="AU211" s="116">
        <f t="shared" si="508"/>
        <v>0</v>
      </c>
      <c r="AV211" s="116">
        <f t="shared" si="508"/>
        <v>0</v>
      </c>
      <c r="AW211" s="116">
        <f t="shared" si="508"/>
        <v>0</v>
      </c>
      <c r="AX211" s="116">
        <f t="shared" si="508"/>
        <v>0</v>
      </c>
      <c r="AY211" s="116">
        <f t="shared" si="508"/>
        <v>0</v>
      </c>
      <c r="AZ211" s="116">
        <f t="shared" si="508"/>
        <v>0</v>
      </c>
      <c r="BA211" s="116">
        <f t="shared" si="508"/>
        <v>0</v>
      </c>
      <c r="BB211" s="116">
        <f t="shared" si="508"/>
        <v>0</v>
      </c>
      <c r="BC211" s="116">
        <f t="shared" si="508"/>
        <v>0</v>
      </c>
      <c r="BD211" s="116">
        <f t="shared" si="508"/>
        <v>0</v>
      </c>
      <c r="BE211" s="116">
        <f t="shared" si="508"/>
        <v>0</v>
      </c>
      <c r="BF211" s="116">
        <f t="shared" si="508"/>
        <v>0</v>
      </c>
      <c r="BG211" s="116">
        <f t="shared" si="508"/>
        <v>0</v>
      </c>
      <c r="BH211" s="116">
        <f t="shared" si="508"/>
        <v>0</v>
      </c>
      <c r="BI211" s="116">
        <f t="shared" si="508"/>
        <v>0</v>
      </c>
      <c r="BJ211" s="116">
        <f t="shared" si="508"/>
        <v>0</v>
      </c>
      <c r="BK211" s="116">
        <f t="shared" si="508"/>
        <v>0</v>
      </c>
      <c r="BL211" s="116">
        <f t="shared" si="508"/>
        <v>0</v>
      </c>
      <c r="BM211" s="116">
        <f t="shared" si="508"/>
        <v>0</v>
      </c>
      <c r="BN211" s="116">
        <f t="shared" si="508"/>
        <v>0</v>
      </c>
      <c r="BO211" s="116">
        <f t="shared" si="508"/>
        <v>0</v>
      </c>
      <c r="BP211" s="116">
        <f t="shared" si="508"/>
        <v>0</v>
      </c>
      <c r="BQ211" s="116">
        <f t="shared" si="508"/>
        <v>0</v>
      </c>
      <c r="BR211" s="116">
        <f t="shared" si="508"/>
        <v>0</v>
      </c>
      <c r="BS211" s="116">
        <f t="shared" si="508"/>
        <v>0</v>
      </c>
      <c r="BT211" s="116">
        <f t="shared" si="508"/>
        <v>0</v>
      </c>
      <c r="BU211" s="116">
        <f t="shared" si="508"/>
        <v>0</v>
      </c>
      <c r="BV211" s="116">
        <f t="shared" si="508"/>
        <v>0</v>
      </c>
      <c r="BW211" s="116">
        <f t="shared" si="508"/>
        <v>0</v>
      </c>
      <c r="BX211" s="116">
        <f t="shared" si="508"/>
        <v>0</v>
      </c>
      <c r="BY211" s="116">
        <f t="shared" si="508"/>
        <v>0</v>
      </c>
      <c r="BZ211" s="116">
        <f t="shared" si="508"/>
        <v>0</v>
      </c>
      <c r="CA211" s="116">
        <f t="shared" si="508"/>
        <v>0</v>
      </c>
      <c r="CB211" s="116">
        <f t="shared" si="508"/>
        <v>0</v>
      </c>
      <c r="CC211" s="116">
        <f t="shared" ref="CC211:CP211" si="509">CC208</f>
        <v>0</v>
      </c>
      <c r="CD211" s="116">
        <f t="shared" si="509"/>
        <v>0</v>
      </c>
      <c r="CE211" s="116">
        <f t="shared" si="509"/>
        <v>0</v>
      </c>
      <c r="CF211" s="116">
        <f t="shared" si="509"/>
        <v>0</v>
      </c>
      <c r="CG211" s="116">
        <f t="shared" si="509"/>
        <v>0</v>
      </c>
      <c r="CH211" s="116">
        <f t="shared" si="509"/>
        <v>0</v>
      </c>
      <c r="CI211" s="116">
        <f t="shared" si="509"/>
        <v>0</v>
      </c>
      <c r="CJ211" s="116">
        <f t="shared" si="509"/>
        <v>0</v>
      </c>
      <c r="CK211" s="116">
        <f t="shared" si="509"/>
        <v>0</v>
      </c>
      <c r="CL211" s="116">
        <f t="shared" si="509"/>
        <v>0</v>
      </c>
      <c r="CM211" s="116">
        <f t="shared" si="509"/>
        <v>0</v>
      </c>
      <c r="CN211" s="116">
        <f t="shared" si="509"/>
        <v>0</v>
      </c>
      <c r="CO211" s="116">
        <f t="shared" si="509"/>
        <v>0</v>
      </c>
      <c r="CP211" s="116">
        <f t="shared" si="509"/>
        <v>0</v>
      </c>
      <c r="DJ211" s="106">
        <f t="shared" si="380"/>
        <v>-1</v>
      </c>
      <c r="DK211" s="55">
        <f t="shared" si="381"/>
        <v>-1</v>
      </c>
      <c r="DL211" s="56">
        <f t="shared" si="382"/>
        <v>-1</v>
      </c>
      <c r="DM211" s="57">
        <f t="shared" si="383"/>
        <v>-1</v>
      </c>
      <c r="DN211" s="55">
        <f t="shared" si="384"/>
        <v>-1</v>
      </c>
      <c r="DO211" s="56">
        <f t="shared" si="385"/>
        <v>-1</v>
      </c>
      <c r="DP211" s="57">
        <f t="shared" si="386"/>
        <v>-1</v>
      </c>
      <c r="DQ211" s="55">
        <f t="shared" si="387"/>
        <v>-1</v>
      </c>
      <c r="DR211" s="58">
        <f t="shared" si="388"/>
        <v>-1</v>
      </c>
      <c r="DS211" s="54">
        <f t="shared" si="389"/>
        <v>-1</v>
      </c>
      <c r="DT211" s="55">
        <f t="shared" si="390"/>
        <v>-1</v>
      </c>
      <c r="DU211" s="56">
        <f t="shared" si="391"/>
        <v>-1</v>
      </c>
      <c r="DV211" s="57">
        <f t="shared" si="392"/>
        <v>-1</v>
      </c>
      <c r="DW211" s="55">
        <f t="shared" si="393"/>
        <v>-1</v>
      </c>
      <c r="DX211" s="56">
        <f t="shared" si="394"/>
        <v>-1</v>
      </c>
      <c r="DY211" s="57">
        <f t="shared" si="395"/>
        <v>-1</v>
      </c>
      <c r="DZ211" s="55">
        <f t="shared" si="396"/>
        <v>-1</v>
      </c>
      <c r="EA211" s="58">
        <f t="shared" si="397"/>
        <v>-1</v>
      </c>
      <c r="EB211" s="54">
        <f t="shared" si="398"/>
        <v>-1</v>
      </c>
      <c r="EC211" s="55">
        <f t="shared" si="399"/>
        <v>-1</v>
      </c>
      <c r="ED211" s="56">
        <f t="shared" si="400"/>
        <v>-1</v>
      </c>
      <c r="EE211" s="57">
        <f t="shared" si="401"/>
        <v>-1</v>
      </c>
      <c r="EF211" s="55">
        <f t="shared" si="402"/>
        <v>-1</v>
      </c>
      <c r="EG211" s="56">
        <f t="shared" si="403"/>
        <v>-1</v>
      </c>
      <c r="EH211" s="57">
        <f t="shared" si="404"/>
        <v>-1</v>
      </c>
      <c r="EI211" s="55">
        <f t="shared" si="405"/>
        <v>-1</v>
      </c>
      <c r="EJ211" s="107">
        <f t="shared" si="406"/>
        <v>-1</v>
      </c>
      <c r="EK211" s="106">
        <f t="shared" si="407"/>
        <v>-1</v>
      </c>
      <c r="EL211" s="55">
        <f t="shared" si="408"/>
        <v>-1</v>
      </c>
      <c r="EM211" s="56">
        <f t="shared" si="409"/>
        <v>-1</v>
      </c>
      <c r="EN211" s="57">
        <f t="shared" si="410"/>
        <v>-1</v>
      </c>
      <c r="EO211" s="55">
        <f t="shared" si="411"/>
        <v>-1</v>
      </c>
      <c r="EP211" s="56">
        <f t="shared" si="412"/>
        <v>-1</v>
      </c>
      <c r="EQ211" s="57">
        <f t="shared" si="413"/>
        <v>-1</v>
      </c>
      <c r="ER211" s="55">
        <f t="shared" si="414"/>
        <v>-1</v>
      </c>
      <c r="ES211" s="58">
        <f t="shared" si="415"/>
        <v>-1</v>
      </c>
      <c r="ET211" s="54">
        <f t="shared" si="416"/>
        <v>-1</v>
      </c>
      <c r="EU211" s="55">
        <f t="shared" si="417"/>
        <v>-1</v>
      </c>
      <c r="EV211" s="56">
        <f t="shared" si="418"/>
        <v>-1</v>
      </c>
      <c r="EW211" s="57">
        <f t="shared" si="419"/>
        <v>0</v>
      </c>
      <c r="EX211" s="55">
        <f t="shared" si="420"/>
        <v>0</v>
      </c>
      <c r="EY211" s="56">
        <f t="shared" si="421"/>
        <v>0</v>
      </c>
      <c r="EZ211" s="57">
        <f t="shared" si="422"/>
        <v>0</v>
      </c>
      <c r="FA211" s="55">
        <f t="shared" si="423"/>
        <v>8</v>
      </c>
      <c r="FB211" s="58">
        <f t="shared" si="424"/>
        <v>0</v>
      </c>
      <c r="FC211" s="54">
        <f t="shared" si="425"/>
        <v>0</v>
      </c>
      <c r="FD211" s="55">
        <f t="shared" si="426"/>
        <v>8</v>
      </c>
      <c r="FE211" s="56">
        <f t="shared" si="427"/>
        <v>0</v>
      </c>
      <c r="FF211" s="57">
        <f t="shared" si="428"/>
        <v>-1</v>
      </c>
      <c r="FG211" s="55">
        <f t="shared" si="429"/>
        <v>-1</v>
      </c>
      <c r="FH211" s="56">
        <f t="shared" si="430"/>
        <v>-1</v>
      </c>
      <c r="FI211" s="57">
        <f t="shared" si="431"/>
        <v>-1</v>
      </c>
      <c r="FJ211" s="55">
        <f t="shared" si="432"/>
        <v>-1</v>
      </c>
      <c r="FK211" s="107">
        <f t="shared" si="433"/>
        <v>-1</v>
      </c>
      <c r="FL211" s="106">
        <f t="shared" si="434"/>
        <v>-1</v>
      </c>
      <c r="FM211" s="55">
        <f t="shared" si="435"/>
        <v>-1</v>
      </c>
      <c r="FN211" s="56">
        <f t="shared" si="436"/>
        <v>-1</v>
      </c>
      <c r="FO211" s="57">
        <f t="shared" si="437"/>
        <v>-1</v>
      </c>
      <c r="FP211" s="55">
        <f t="shared" si="438"/>
        <v>-1</v>
      </c>
      <c r="FQ211" s="56">
        <f t="shared" si="439"/>
        <v>-1</v>
      </c>
      <c r="FR211" s="57">
        <f t="shared" si="440"/>
        <v>-1</v>
      </c>
      <c r="FS211" s="55">
        <f t="shared" si="441"/>
        <v>-1</v>
      </c>
      <c r="FT211" s="58">
        <f t="shared" si="442"/>
        <v>-1</v>
      </c>
      <c r="FU211" s="54">
        <f t="shared" si="443"/>
        <v>-1</v>
      </c>
      <c r="FV211" s="55">
        <f t="shared" si="444"/>
        <v>-1</v>
      </c>
      <c r="FW211" s="56">
        <f t="shared" si="445"/>
        <v>-1</v>
      </c>
      <c r="FX211" s="57">
        <f t="shared" si="446"/>
        <v>-1</v>
      </c>
      <c r="FY211" s="55">
        <f t="shared" si="447"/>
        <v>-1</v>
      </c>
      <c r="FZ211" s="56">
        <f t="shared" si="448"/>
        <v>-1</v>
      </c>
      <c r="GA211" s="57">
        <f t="shared" si="449"/>
        <v>-1</v>
      </c>
      <c r="GB211" s="55">
        <f t="shared" si="450"/>
        <v>-1</v>
      </c>
      <c r="GC211" s="58">
        <f t="shared" si="451"/>
        <v>-1</v>
      </c>
      <c r="GD211" s="54">
        <f t="shared" si="452"/>
        <v>-1</v>
      </c>
      <c r="GE211" s="55">
        <f t="shared" si="453"/>
        <v>-1</v>
      </c>
      <c r="GF211" s="56">
        <f t="shared" si="454"/>
        <v>-1</v>
      </c>
      <c r="GG211" s="57">
        <f t="shared" si="455"/>
        <v>-1</v>
      </c>
      <c r="GH211" s="55">
        <f t="shared" si="456"/>
        <v>-1</v>
      </c>
      <c r="GI211" s="56">
        <f t="shared" si="457"/>
        <v>-1</v>
      </c>
      <c r="GJ211" s="57">
        <f t="shared" si="458"/>
        <v>-1</v>
      </c>
      <c r="GK211" s="55">
        <f t="shared" si="459"/>
        <v>-1</v>
      </c>
      <c r="GL211" s="107">
        <f t="shared" si="460"/>
        <v>-1</v>
      </c>
      <c r="GN211" s="46">
        <f>COUNTIF(DJ211:GL211,7)</f>
        <v>0</v>
      </c>
      <c r="GO211" s="45">
        <f>COUNTIF(DJ211:GL211,8)</f>
        <v>2</v>
      </c>
      <c r="GP211" s="47">
        <f>COUNTIF(DJ211:GL211,9)</f>
        <v>0</v>
      </c>
      <c r="GQ211" s="39"/>
      <c r="GR211" s="39"/>
      <c r="GT211" s="78">
        <f t="shared" ref="GT211:GV211" si="510">GT184</f>
        <v>1</v>
      </c>
      <c r="GU211" s="79">
        <f t="shared" si="510"/>
        <v>2</v>
      </c>
      <c r="GV211" s="80">
        <f t="shared" si="510"/>
        <v>0</v>
      </c>
    </row>
    <row r="212" spans="14:204" ht="15" customHeight="1">
      <c r="N212" s="116">
        <f t="shared" si="501"/>
        <v>0</v>
      </c>
      <c r="O212" s="116">
        <f t="shared" si="501"/>
        <v>0</v>
      </c>
      <c r="P212" s="116">
        <f t="shared" si="501"/>
        <v>0</v>
      </c>
      <c r="Q212" s="116">
        <f t="shared" ref="Q212:CB212" si="511">Q209</f>
        <v>0</v>
      </c>
      <c r="R212" s="116">
        <f t="shared" si="511"/>
        <v>0</v>
      </c>
      <c r="S212" s="116">
        <f t="shared" si="511"/>
        <v>0</v>
      </c>
      <c r="T212" s="116">
        <f t="shared" si="511"/>
        <v>0</v>
      </c>
      <c r="U212" s="116">
        <f t="shared" si="511"/>
        <v>0</v>
      </c>
      <c r="V212" s="116">
        <f t="shared" si="511"/>
        <v>0</v>
      </c>
      <c r="W212" s="116">
        <f t="shared" si="511"/>
        <v>0</v>
      </c>
      <c r="X212" s="116">
        <f t="shared" si="511"/>
        <v>0</v>
      </c>
      <c r="Y212" s="116">
        <f t="shared" si="511"/>
        <v>0</v>
      </c>
      <c r="Z212" s="116">
        <f t="shared" si="511"/>
        <v>0</v>
      </c>
      <c r="AA212" s="116">
        <f t="shared" si="511"/>
        <v>0</v>
      </c>
      <c r="AB212" s="116">
        <f t="shared" si="511"/>
        <v>0</v>
      </c>
      <c r="AC212" s="116">
        <f t="shared" si="511"/>
        <v>0</v>
      </c>
      <c r="AD212" s="116">
        <f t="shared" si="511"/>
        <v>0</v>
      </c>
      <c r="AE212" s="116">
        <f t="shared" si="511"/>
        <v>0</v>
      </c>
      <c r="AF212" s="116">
        <f t="shared" si="511"/>
        <v>0</v>
      </c>
      <c r="AG212" s="116">
        <f t="shared" si="511"/>
        <v>0</v>
      </c>
      <c r="AH212" s="116">
        <f t="shared" si="511"/>
        <v>0</v>
      </c>
      <c r="AI212" s="116">
        <f t="shared" si="511"/>
        <v>0</v>
      </c>
      <c r="AJ212" s="116">
        <f t="shared" si="511"/>
        <v>0</v>
      </c>
      <c r="AK212" s="116">
        <f t="shared" si="511"/>
        <v>0</v>
      </c>
      <c r="AL212" s="116">
        <f t="shared" si="511"/>
        <v>0</v>
      </c>
      <c r="AM212" s="116">
        <f t="shared" si="511"/>
        <v>0</v>
      </c>
      <c r="AN212" s="116">
        <f t="shared" si="511"/>
        <v>0</v>
      </c>
      <c r="AO212" s="116">
        <f t="shared" si="511"/>
        <v>0</v>
      </c>
      <c r="AP212" s="116">
        <f t="shared" si="511"/>
        <v>0</v>
      </c>
      <c r="AQ212" s="116">
        <f t="shared" si="511"/>
        <v>0</v>
      </c>
      <c r="AR212" s="116">
        <f t="shared" si="511"/>
        <v>0</v>
      </c>
      <c r="AS212" s="116">
        <f t="shared" si="511"/>
        <v>0</v>
      </c>
      <c r="AT212" s="116">
        <f t="shared" si="511"/>
        <v>0</v>
      </c>
      <c r="AU212" s="116">
        <f t="shared" si="511"/>
        <v>0</v>
      </c>
      <c r="AV212" s="116">
        <f t="shared" si="511"/>
        <v>0</v>
      </c>
      <c r="AW212" s="116">
        <f t="shared" si="511"/>
        <v>0</v>
      </c>
      <c r="AX212" s="116">
        <f t="shared" si="511"/>
        <v>0</v>
      </c>
      <c r="AY212" s="116">
        <f t="shared" si="511"/>
        <v>0</v>
      </c>
      <c r="AZ212" s="116">
        <f t="shared" si="511"/>
        <v>0</v>
      </c>
      <c r="BA212" s="116">
        <f t="shared" si="511"/>
        <v>0</v>
      </c>
      <c r="BB212" s="116">
        <f t="shared" si="511"/>
        <v>0</v>
      </c>
      <c r="BC212" s="116">
        <f t="shared" si="511"/>
        <v>0</v>
      </c>
      <c r="BD212" s="116">
        <f t="shared" si="511"/>
        <v>0</v>
      </c>
      <c r="BE212" s="116">
        <f t="shared" si="511"/>
        <v>0</v>
      </c>
      <c r="BF212" s="116">
        <f t="shared" si="511"/>
        <v>0</v>
      </c>
      <c r="BG212" s="116">
        <f t="shared" si="511"/>
        <v>0</v>
      </c>
      <c r="BH212" s="116">
        <f t="shared" si="511"/>
        <v>0</v>
      </c>
      <c r="BI212" s="116">
        <f t="shared" si="511"/>
        <v>0</v>
      </c>
      <c r="BJ212" s="116">
        <f t="shared" si="511"/>
        <v>0</v>
      </c>
      <c r="BK212" s="116">
        <f t="shared" si="511"/>
        <v>0</v>
      </c>
      <c r="BL212" s="116">
        <f t="shared" si="511"/>
        <v>0</v>
      </c>
      <c r="BM212" s="116">
        <f t="shared" si="511"/>
        <v>0</v>
      </c>
      <c r="BN212" s="116">
        <f t="shared" si="511"/>
        <v>0</v>
      </c>
      <c r="BO212" s="116">
        <f t="shared" si="511"/>
        <v>0</v>
      </c>
      <c r="BP212" s="116">
        <f t="shared" si="511"/>
        <v>0</v>
      </c>
      <c r="BQ212" s="116">
        <f t="shared" si="511"/>
        <v>0</v>
      </c>
      <c r="BR212" s="116">
        <f t="shared" si="511"/>
        <v>0</v>
      </c>
      <c r="BS212" s="116">
        <f t="shared" si="511"/>
        <v>0</v>
      </c>
      <c r="BT212" s="116">
        <f t="shared" si="511"/>
        <v>0</v>
      </c>
      <c r="BU212" s="116">
        <f t="shared" si="511"/>
        <v>0</v>
      </c>
      <c r="BV212" s="116">
        <f t="shared" si="511"/>
        <v>0</v>
      </c>
      <c r="BW212" s="116">
        <f t="shared" si="511"/>
        <v>0</v>
      </c>
      <c r="BX212" s="116">
        <f t="shared" si="511"/>
        <v>0</v>
      </c>
      <c r="BY212" s="116">
        <f t="shared" si="511"/>
        <v>0</v>
      </c>
      <c r="BZ212" s="116">
        <f t="shared" si="511"/>
        <v>0</v>
      </c>
      <c r="CA212" s="116">
        <f t="shared" si="511"/>
        <v>0</v>
      </c>
      <c r="CB212" s="116">
        <f t="shared" si="511"/>
        <v>0</v>
      </c>
      <c r="CC212" s="116">
        <f t="shared" ref="CC212:CP212" si="512">CC209</f>
        <v>0</v>
      </c>
      <c r="CD212" s="116">
        <f t="shared" si="512"/>
        <v>0</v>
      </c>
      <c r="CE212" s="116">
        <f t="shared" si="512"/>
        <v>0</v>
      </c>
      <c r="CF212" s="116">
        <f t="shared" si="512"/>
        <v>0</v>
      </c>
      <c r="CG212" s="116">
        <f t="shared" si="512"/>
        <v>0</v>
      </c>
      <c r="CH212" s="116">
        <f t="shared" si="512"/>
        <v>0</v>
      </c>
      <c r="CI212" s="116">
        <f t="shared" si="512"/>
        <v>0</v>
      </c>
      <c r="CJ212" s="116">
        <f t="shared" si="512"/>
        <v>0</v>
      </c>
      <c r="CK212" s="116">
        <f t="shared" si="512"/>
        <v>0</v>
      </c>
      <c r="CL212" s="116">
        <f t="shared" si="512"/>
        <v>0</v>
      </c>
      <c r="CM212" s="116">
        <f t="shared" si="512"/>
        <v>0</v>
      </c>
      <c r="CN212" s="116">
        <f t="shared" si="512"/>
        <v>0</v>
      </c>
      <c r="CO212" s="116">
        <f t="shared" si="512"/>
        <v>0</v>
      </c>
      <c r="CP212" s="116">
        <f t="shared" si="512"/>
        <v>0</v>
      </c>
      <c r="DJ212" s="108">
        <f t="shared" si="380"/>
        <v>-1</v>
      </c>
      <c r="DK212" s="37">
        <f t="shared" si="381"/>
        <v>-1</v>
      </c>
      <c r="DL212" s="35">
        <f t="shared" si="382"/>
        <v>-1</v>
      </c>
      <c r="DM212" s="36">
        <f t="shared" si="383"/>
        <v>-1</v>
      </c>
      <c r="DN212" s="37">
        <f t="shared" si="384"/>
        <v>-1</v>
      </c>
      <c r="DO212" s="35">
        <f t="shared" si="385"/>
        <v>-1</v>
      </c>
      <c r="DP212" s="36">
        <f t="shared" si="386"/>
        <v>-1</v>
      </c>
      <c r="DQ212" s="37">
        <f t="shared" si="387"/>
        <v>-1</v>
      </c>
      <c r="DR212" s="38">
        <f t="shared" si="388"/>
        <v>-1</v>
      </c>
      <c r="DS212" s="416">
        <f t="shared" si="389"/>
        <v>-1</v>
      </c>
      <c r="DT212" s="37">
        <f t="shared" si="390"/>
        <v>-1</v>
      </c>
      <c r="DU212" s="35">
        <f t="shared" si="391"/>
        <v>-1</v>
      </c>
      <c r="DV212" s="36">
        <f t="shared" si="392"/>
        <v>-1</v>
      </c>
      <c r="DW212" s="37">
        <f t="shared" si="393"/>
        <v>-1</v>
      </c>
      <c r="DX212" s="35">
        <f t="shared" si="394"/>
        <v>-1</v>
      </c>
      <c r="DY212" s="36">
        <f t="shared" si="395"/>
        <v>0</v>
      </c>
      <c r="DZ212" s="37">
        <f t="shared" si="396"/>
        <v>0</v>
      </c>
      <c r="EA212" s="38">
        <f t="shared" si="397"/>
        <v>0</v>
      </c>
      <c r="EB212" s="416">
        <f t="shared" si="398"/>
        <v>-1</v>
      </c>
      <c r="EC212" s="37">
        <f t="shared" si="399"/>
        <v>-1</v>
      </c>
      <c r="ED212" s="35">
        <f t="shared" si="400"/>
        <v>-1</v>
      </c>
      <c r="EE212" s="36">
        <f t="shared" si="401"/>
        <v>-1</v>
      </c>
      <c r="EF212" s="37">
        <f t="shared" si="402"/>
        <v>-1</v>
      </c>
      <c r="EG212" s="35">
        <f t="shared" si="403"/>
        <v>-1</v>
      </c>
      <c r="EH212" s="36">
        <f t="shared" si="404"/>
        <v>-1</v>
      </c>
      <c r="EI212" s="37">
        <f t="shared" si="405"/>
        <v>-1</v>
      </c>
      <c r="EJ212" s="109">
        <f t="shared" si="406"/>
        <v>-1</v>
      </c>
      <c r="EK212" s="108">
        <f t="shared" si="407"/>
        <v>-1</v>
      </c>
      <c r="EL212" s="37">
        <f t="shared" si="408"/>
        <v>-1</v>
      </c>
      <c r="EM212" s="35">
        <f t="shared" si="409"/>
        <v>-1</v>
      </c>
      <c r="EN212" s="36">
        <f t="shared" si="410"/>
        <v>-1</v>
      </c>
      <c r="EO212" s="37">
        <f t="shared" si="411"/>
        <v>-1</v>
      </c>
      <c r="EP212" s="35">
        <f t="shared" si="412"/>
        <v>-1</v>
      </c>
      <c r="EQ212" s="36">
        <f t="shared" si="413"/>
        <v>-1</v>
      </c>
      <c r="ER212" s="37">
        <f t="shared" si="414"/>
        <v>-1</v>
      </c>
      <c r="ES212" s="38">
        <f t="shared" si="415"/>
        <v>-1</v>
      </c>
      <c r="ET212" s="416">
        <f t="shared" si="416"/>
        <v>0</v>
      </c>
      <c r="EU212" s="37">
        <f t="shared" si="417"/>
        <v>0</v>
      </c>
      <c r="EV212" s="35">
        <f t="shared" si="418"/>
        <v>0</v>
      </c>
      <c r="EW212" s="36">
        <f t="shared" si="419"/>
        <v>0</v>
      </c>
      <c r="EX212" s="37">
        <f t="shared" si="420"/>
        <v>0</v>
      </c>
      <c r="EY212" s="35">
        <f t="shared" si="421"/>
        <v>0</v>
      </c>
      <c r="EZ212" s="36">
        <f t="shared" si="422"/>
        <v>-1</v>
      </c>
      <c r="FA212" s="37">
        <f t="shared" si="423"/>
        <v>-1</v>
      </c>
      <c r="FB212" s="38">
        <f t="shared" si="424"/>
        <v>-1</v>
      </c>
      <c r="FC212" s="416">
        <f t="shared" si="425"/>
        <v>-1</v>
      </c>
      <c r="FD212" s="37">
        <f t="shared" si="426"/>
        <v>-1</v>
      </c>
      <c r="FE212" s="35">
        <f t="shared" si="427"/>
        <v>-1</v>
      </c>
      <c r="FF212" s="36">
        <f t="shared" si="428"/>
        <v>0</v>
      </c>
      <c r="FG212" s="37">
        <f t="shared" si="429"/>
        <v>0</v>
      </c>
      <c r="FH212" s="35">
        <f t="shared" si="430"/>
        <v>0</v>
      </c>
      <c r="FI212" s="36">
        <f t="shared" si="431"/>
        <v>-1</v>
      </c>
      <c r="FJ212" s="37">
        <f t="shared" si="432"/>
        <v>-1</v>
      </c>
      <c r="FK212" s="109">
        <f t="shared" si="433"/>
        <v>-1</v>
      </c>
      <c r="FL212" s="108">
        <f t="shared" si="434"/>
        <v>-1</v>
      </c>
      <c r="FM212" s="37">
        <f t="shared" si="435"/>
        <v>-1</v>
      </c>
      <c r="FN212" s="35">
        <f t="shared" si="436"/>
        <v>-1</v>
      </c>
      <c r="FO212" s="36">
        <f t="shared" si="437"/>
        <v>-1</v>
      </c>
      <c r="FP212" s="37">
        <f t="shared" si="438"/>
        <v>-1</v>
      </c>
      <c r="FQ212" s="35">
        <f t="shared" si="439"/>
        <v>-1</v>
      </c>
      <c r="FR212" s="36">
        <f t="shared" si="440"/>
        <v>-1</v>
      </c>
      <c r="FS212" s="37">
        <f t="shared" si="441"/>
        <v>-1</v>
      </c>
      <c r="FT212" s="38">
        <f t="shared" si="442"/>
        <v>-1</v>
      </c>
      <c r="FU212" s="416">
        <f t="shared" si="443"/>
        <v>-1</v>
      </c>
      <c r="FV212" s="37">
        <f t="shared" si="444"/>
        <v>-1</v>
      </c>
      <c r="FW212" s="35">
        <f t="shared" si="445"/>
        <v>-1</v>
      </c>
      <c r="FX212" s="36">
        <f t="shared" si="446"/>
        <v>-1</v>
      </c>
      <c r="FY212" s="37">
        <f t="shared" si="447"/>
        <v>-1</v>
      </c>
      <c r="FZ212" s="35">
        <f t="shared" si="448"/>
        <v>-1</v>
      </c>
      <c r="GA212" s="36">
        <f t="shared" si="449"/>
        <v>-1</v>
      </c>
      <c r="GB212" s="37">
        <f t="shared" si="450"/>
        <v>-1</v>
      </c>
      <c r="GC212" s="38">
        <f t="shared" si="451"/>
        <v>-1</v>
      </c>
      <c r="GD212" s="416">
        <f t="shared" si="452"/>
        <v>-1</v>
      </c>
      <c r="GE212" s="37">
        <f t="shared" si="453"/>
        <v>-1</v>
      </c>
      <c r="GF212" s="35">
        <f t="shared" si="454"/>
        <v>-1</v>
      </c>
      <c r="GG212" s="36">
        <f t="shared" si="455"/>
        <v>-1</v>
      </c>
      <c r="GH212" s="37">
        <f t="shared" si="456"/>
        <v>-1</v>
      </c>
      <c r="GI212" s="35">
        <f t="shared" si="457"/>
        <v>-1</v>
      </c>
      <c r="GJ212" s="36">
        <f t="shared" si="458"/>
        <v>-1</v>
      </c>
      <c r="GK212" s="37">
        <f t="shared" si="459"/>
        <v>-1</v>
      </c>
      <c r="GL212" s="109">
        <f t="shared" si="460"/>
        <v>-1</v>
      </c>
      <c r="GN212" s="52">
        <f>COUNTIF(DJ212:GL212,1)</f>
        <v>0</v>
      </c>
      <c r="GO212" s="50">
        <f>COUNTIF(DJ212:GL212,2)</f>
        <v>0</v>
      </c>
      <c r="GP212" s="51">
        <f>COUNTIF(DJ212:GL212,3)</f>
        <v>0</v>
      </c>
      <c r="GQ212" s="39"/>
      <c r="GR212" s="39"/>
      <c r="GT212" s="65">
        <f t="shared" ref="GT212:GV212" si="513">GT185</f>
        <v>3</v>
      </c>
      <c r="GU212" s="66">
        <f t="shared" si="513"/>
        <v>0</v>
      </c>
      <c r="GV212" s="67">
        <f t="shared" si="513"/>
        <v>1</v>
      </c>
    </row>
    <row r="213" spans="14:204" ht="15" customHeight="1">
      <c r="N213" s="116">
        <f t="shared" si="501"/>
        <v>0</v>
      </c>
      <c r="O213" s="116">
        <f t="shared" si="501"/>
        <v>0</v>
      </c>
      <c r="P213" s="116">
        <f t="shared" si="501"/>
        <v>0</v>
      </c>
      <c r="Q213" s="116">
        <f t="shared" ref="Q213:CB213" si="514">Q210</f>
        <v>0</v>
      </c>
      <c r="R213" s="116">
        <f t="shared" si="514"/>
        <v>0</v>
      </c>
      <c r="S213" s="116">
        <f t="shared" si="514"/>
        <v>0</v>
      </c>
      <c r="T213" s="116">
        <f t="shared" si="514"/>
        <v>0</v>
      </c>
      <c r="U213" s="116">
        <f t="shared" si="514"/>
        <v>0</v>
      </c>
      <c r="V213" s="116">
        <f t="shared" si="514"/>
        <v>0</v>
      </c>
      <c r="W213" s="116">
        <f t="shared" si="514"/>
        <v>0</v>
      </c>
      <c r="X213" s="116">
        <f t="shared" si="514"/>
        <v>0</v>
      </c>
      <c r="Y213" s="116">
        <f t="shared" si="514"/>
        <v>0</v>
      </c>
      <c r="Z213" s="116">
        <f t="shared" si="514"/>
        <v>0</v>
      </c>
      <c r="AA213" s="116">
        <f t="shared" si="514"/>
        <v>0</v>
      </c>
      <c r="AB213" s="116">
        <f t="shared" si="514"/>
        <v>0</v>
      </c>
      <c r="AC213" s="116">
        <f t="shared" si="514"/>
        <v>0</v>
      </c>
      <c r="AD213" s="116">
        <f t="shared" si="514"/>
        <v>0</v>
      </c>
      <c r="AE213" s="116">
        <f t="shared" si="514"/>
        <v>0</v>
      </c>
      <c r="AF213" s="116">
        <f t="shared" si="514"/>
        <v>0</v>
      </c>
      <c r="AG213" s="116">
        <f t="shared" si="514"/>
        <v>0</v>
      </c>
      <c r="AH213" s="116">
        <f t="shared" si="514"/>
        <v>0</v>
      </c>
      <c r="AI213" s="116">
        <f t="shared" si="514"/>
        <v>0</v>
      </c>
      <c r="AJ213" s="116">
        <f t="shared" si="514"/>
        <v>0</v>
      </c>
      <c r="AK213" s="116">
        <f t="shared" si="514"/>
        <v>0</v>
      </c>
      <c r="AL213" s="116">
        <f t="shared" si="514"/>
        <v>0</v>
      </c>
      <c r="AM213" s="116">
        <f t="shared" si="514"/>
        <v>0</v>
      </c>
      <c r="AN213" s="116">
        <f t="shared" si="514"/>
        <v>0</v>
      </c>
      <c r="AO213" s="116">
        <f t="shared" si="514"/>
        <v>0</v>
      </c>
      <c r="AP213" s="116">
        <f t="shared" si="514"/>
        <v>0</v>
      </c>
      <c r="AQ213" s="116">
        <f t="shared" si="514"/>
        <v>0</v>
      </c>
      <c r="AR213" s="116">
        <f t="shared" si="514"/>
        <v>0</v>
      </c>
      <c r="AS213" s="116">
        <f t="shared" si="514"/>
        <v>0</v>
      </c>
      <c r="AT213" s="116">
        <f t="shared" si="514"/>
        <v>0</v>
      </c>
      <c r="AU213" s="116">
        <f t="shared" si="514"/>
        <v>0</v>
      </c>
      <c r="AV213" s="116">
        <f t="shared" si="514"/>
        <v>0</v>
      </c>
      <c r="AW213" s="116">
        <f t="shared" si="514"/>
        <v>0</v>
      </c>
      <c r="AX213" s="116">
        <f t="shared" si="514"/>
        <v>0</v>
      </c>
      <c r="AY213" s="116">
        <f t="shared" si="514"/>
        <v>0</v>
      </c>
      <c r="AZ213" s="116">
        <f t="shared" si="514"/>
        <v>0</v>
      </c>
      <c r="BA213" s="116">
        <f t="shared" si="514"/>
        <v>0</v>
      </c>
      <c r="BB213" s="116">
        <f t="shared" si="514"/>
        <v>0</v>
      </c>
      <c r="BC213" s="116">
        <f t="shared" si="514"/>
        <v>0</v>
      </c>
      <c r="BD213" s="116">
        <f t="shared" si="514"/>
        <v>0</v>
      </c>
      <c r="BE213" s="116">
        <f t="shared" si="514"/>
        <v>0</v>
      </c>
      <c r="BF213" s="116">
        <f t="shared" si="514"/>
        <v>0</v>
      </c>
      <c r="BG213" s="116">
        <f t="shared" si="514"/>
        <v>0</v>
      </c>
      <c r="BH213" s="116">
        <f t="shared" si="514"/>
        <v>0</v>
      </c>
      <c r="BI213" s="116">
        <f t="shared" si="514"/>
        <v>0</v>
      </c>
      <c r="BJ213" s="116">
        <f t="shared" si="514"/>
        <v>0</v>
      </c>
      <c r="BK213" s="116">
        <f t="shared" si="514"/>
        <v>0</v>
      </c>
      <c r="BL213" s="116">
        <f t="shared" si="514"/>
        <v>0</v>
      </c>
      <c r="BM213" s="116">
        <f t="shared" si="514"/>
        <v>0</v>
      </c>
      <c r="BN213" s="116">
        <f t="shared" si="514"/>
        <v>0</v>
      </c>
      <c r="BO213" s="116">
        <f t="shared" si="514"/>
        <v>0</v>
      </c>
      <c r="BP213" s="116">
        <f t="shared" si="514"/>
        <v>0</v>
      </c>
      <c r="BQ213" s="116">
        <f t="shared" si="514"/>
        <v>0</v>
      </c>
      <c r="BR213" s="116">
        <f t="shared" si="514"/>
        <v>0</v>
      </c>
      <c r="BS213" s="116">
        <f t="shared" si="514"/>
        <v>0</v>
      </c>
      <c r="BT213" s="116">
        <f t="shared" si="514"/>
        <v>0</v>
      </c>
      <c r="BU213" s="116">
        <f t="shared" si="514"/>
        <v>0</v>
      </c>
      <c r="BV213" s="116">
        <f t="shared" si="514"/>
        <v>0</v>
      </c>
      <c r="BW213" s="116">
        <f t="shared" si="514"/>
        <v>0</v>
      </c>
      <c r="BX213" s="116">
        <f t="shared" si="514"/>
        <v>0</v>
      </c>
      <c r="BY213" s="116">
        <f t="shared" si="514"/>
        <v>0</v>
      </c>
      <c r="BZ213" s="116">
        <f t="shared" si="514"/>
        <v>0</v>
      </c>
      <c r="CA213" s="116">
        <f t="shared" si="514"/>
        <v>0</v>
      </c>
      <c r="CB213" s="116">
        <f t="shared" si="514"/>
        <v>0</v>
      </c>
      <c r="CC213" s="116">
        <f t="shared" ref="CC213:CP213" si="515">CC210</f>
        <v>0</v>
      </c>
      <c r="CD213" s="116">
        <f t="shared" si="515"/>
        <v>0</v>
      </c>
      <c r="CE213" s="116">
        <f t="shared" si="515"/>
        <v>0</v>
      </c>
      <c r="CF213" s="116">
        <f t="shared" si="515"/>
        <v>0</v>
      </c>
      <c r="CG213" s="116">
        <f t="shared" si="515"/>
        <v>0</v>
      </c>
      <c r="CH213" s="116">
        <f t="shared" si="515"/>
        <v>0</v>
      </c>
      <c r="CI213" s="116">
        <f t="shared" si="515"/>
        <v>0</v>
      </c>
      <c r="CJ213" s="116">
        <f t="shared" si="515"/>
        <v>0</v>
      </c>
      <c r="CK213" s="116">
        <f t="shared" si="515"/>
        <v>0</v>
      </c>
      <c r="CL213" s="116">
        <f t="shared" si="515"/>
        <v>0</v>
      </c>
      <c r="CM213" s="116">
        <f t="shared" si="515"/>
        <v>0</v>
      </c>
      <c r="CN213" s="116">
        <f t="shared" si="515"/>
        <v>0</v>
      </c>
      <c r="CO213" s="116">
        <f t="shared" si="515"/>
        <v>0</v>
      </c>
      <c r="CP213" s="116">
        <f t="shared" si="515"/>
        <v>0</v>
      </c>
      <c r="DJ213" s="94">
        <f t="shared" si="380"/>
        <v>-1</v>
      </c>
      <c r="DK213" s="39">
        <f t="shared" si="381"/>
        <v>-1</v>
      </c>
      <c r="DL213" s="41">
        <f t="shared" si="382"/>
        <v>-1</v>
      </c>
      <c r="DM213" s="40">
        <f t="shared" si="383"/>
        <v>-1</v>
      </c>
      <c r="DN213" s="39">
        <f t="shared" si="384"/>
        <v>-1</v>
      </c>
      <c r="DO213" s="41">
        <f t="shared" si="385"/>
        <v>-1</v>
      </c>
      <c r="DP213" s="40">
        <f t="shared" si="386"/>
        <v>-1</v>
      </c>
      <c r="DQ213" s="39">
        <f t="shared" si="387"/>
        <v>-1</v>
      </c>
      <c r="DR213" s="42">
        <f t="shared" si="388"/>
        <v>-1</v>
      </c>
      <c r="DS213" s="43">
        <f t="shared" si="389"/>
        <v>-1</v>
      </c>
      <c r="DT213" s="39">
        <f t="shared" si="390"/>
        <v>-1</v>
      </c>
      <c r="DU213" s="41">
        <f t="shared" si="391"/>
        <v>-1</v>
      </c>
      <c r="DV213" s="40">
        <f t="shared" si="392"/>
        <v>-1</v>
      </c>
      <c r="DW213" s="39">
        <f t="shared" si="393"/>
        <v>-1</v>
      </c>
      <c r="DX213" s="41">
        <f t="shared" si="394"/>
        <v>-1</v>
      </c>
      <c r="DY213" s="40">
        <f t="shared" si="395"/>
        <v>0</v>
      </c>
      <c r="DZ213" s="39">
        <f t="shared" si="396"/>
        <v>0</v>
      </c>
      <c r="EA213" s="42">
        <f t="shared" si="397"/>
        <v>0</v>
      </c>
      <c r="EB213" s="43">
        <f t="shared" si="398"/>
        <v>-1</v>
      </c>
      <c r="EC213" s="39">
        <f t="shared" si="399"/>
        <v>-1</v>
      </c>
      <c r="ED213" s="41">
        <f t="shared" si="400"/>
        <v>-1</v>
      </c>
      <c r="EE213" s="40">
        <f t="shared" si="401"/>
        <v>-1</v>
      </c>
      <c r="EF213" s="39">
        <f t="shared" si="402"/>
        <v>-1</v>
      </c>
      <c r="EG213" s="41">
        <f t="shared" si="403"/>
        <v>-1</v>
      </c>
      <c r="EH213" s="40">
        <f t="shared" si="404"/>
        <v>-1</v>
      </c>
      <c r="EI213" s="39">
        <f t="shared" si="405"/>
        <v>-1</v>
      </c>
      <c r="EJ213" s="95">
        <f t="shared" si="406"/>
        <v>-1</v>
      </c>
      <c r="EK213" s="94">
        <f t="shared" si="407"/>
        <v>-1</v>
      </c>
      <c r="EL213" s="39">
        <f t="shared" si="408"/>
        <v>-1</v>
      </c>
      <c r="EM213" s="41">
        <f t="shared" si="409"/>
        <v>-1</v>
      </c>
      <c r="EN213" s="40">
        <f t="shared" si="410"/>
        <v>-1</v>
      </c>
      <c r="EO213" s="39">
        <f t="shared" si="411"/>
        <v>-1</v>
      </c>
      <c r="EP213" s="41">
        <f t="shared" si="412"/>
        <v>-1</v>
      </c>
      <c r="EQ213" s="40">
        <f t="shared" si="413"/>
        <v>-1</v>
      </c>
      <c r="ER213" s="39">
        <f t="shared" si="414"/>
        <v>-1</v>
      </c>
      <c r="ES213" s="42">
        <f t="shared" si="415"/>
        <v>-1</v>
      </c>
      <c r="ET213" s="43">
        <f t="shared" si="416"/>
        <v>0</v>
      </c>
      <c r="EU213" s="39">
        <f t="shared" si="417"/>
        <v>0</v>
      </c>
      <c r="EV213" s="41">
        <f t="shared" si="418"/>
        <v>0</v>
      </c>
      <c r="EW213" s="40">
        <f t="shared" si="419"/>
        <v>0</v>
      </c>
      <c r="EX213" s="39">
        <f t="shared" si="420"/>
        <v>0</v>
      </c>
      <c r="EY213" s="41">
        <f t="shared" si="421"/>
        <v>0</v>
      </c>
      <c r="EZ213" s="40">
        <f t="shared" si="422"/>
        <v>-1</v>
      </c>
      <c r="FA213" s="39">
        <f t="shared" si="423"/>
        <v>-1</v>
      </c>
      <c r="FB213" s="42">
        <f t="shared" si="424"/>
        <v>-1</v>
      </c>
      <c r="FC213" s="43">
        <f t="shared" si="425"/>
        <v>-1</v>
      </c>
      <c r="FD213" s="39">
        <f t="shared" si="426"/>
        <v>-1</v>
      </c>
      <c r="FE213" s="41">
        <f t="shared" si="427"/>
        <v>-1</v>
      </c>
      <c r="FF213" s="40">
        <f t="shared" si="428"/>
        <v>0</v>
      </c>
      <c r="FG213" s="39">
        <f t="shared" si="429"/>
        <v>0</v>
      </c>
      <c r="FH213" s="41">
        <f t="shared" si="430"/>
        <v>0</v>
      </c>
      <c r="FI213" s="40">
        <f t="shared" si="431"/>
        <v>-1</v>
      </c>
      <c r="FJ213" s="39">
        <f t="shared" si="432"/>
        <v>-1</v>
      </c>
      <c r="FK213" s="95">
        <f t="shared" si="433"/>
        <v>-1</v>
      </c>
      <c r="FL213" s="94">
        <f t="shared" si="434"/>
        <v>-1</v>
      </c>
      <c r="FM213" s="39">
        <f t="shared" si="435"/>
        <v>-1</v>
      </c>
      <c r="FN213" s="41">
        <f t="shared" si="436"/>
        <v>-1</v>
      </c>
      <c r="FO213" s="40">
        <f t="shared" si="437"/>
        <v>-1</v>
      </c>
      <c r="FP213" s="39">
        <f t="shared" si="438"/>
        <v>-1</v>
      </c>
      <c r="FQ213" s="41">
        <f t="shared" si="439"/>
        <v>-1</v>
      </c>
      <c r="FR213" s="40">
        <f t="shared" si="440"/>
        <v>-1</v>
      </c>
      <c r="FS213" s="39">
        <f t="shared" si="441"/>
        <v>-1</v>
      </c>
      <c r="FT213" s="42">
        <f t="shared" si="442"/>
        <v>-1</v>
      </c>
      <c r="FU213" s="43">
        <f t="shared" si="443"/>
        <v>-1</v>
      </c>
      <c r="FV213" s="39">
        <f t="shared" si="444"/>
        <v>-1</v>
      </c>
      <c r="FW213" s="41">
        <f t="shared" si="445"/>
        <v>-1</v>
      </c>
      <c r="FX213" s="40">
        <f t="shared" si="446"/>
        <v>-1</v>
      </c>
      <c r="FY213" s="39">
        <f t="shared" si="447"/>
        <v>-1</v>
      </c>
      <c r="FZ213" s="41">
        <f t="shared" si="448"/>
        <v>-1</v>
      </c>
      <c r="GA213" s="40">
        <f t="shared" si="449"/>
        <v>-1</v>
      </c>
      <c r="GB213" s="39">
        <f t="shared" si="450"/>
        <v>-1</v>
      </c>
      <c r="GC213" s="42">
        <f t="shared" si="451"/>
        <v>-1</v>
      </c>
      <c r="GD213" s="43">
        <f t="shared" si="452"/>
        <v>-1</v>
      </c>
      <c r="GE213" s="39">
        <f t="shared" si="453"/>
        <v>-1</v>
      </c>
      <c r="GF213" s="41">
        <f t="shared" si="454"/>
        <v>-1</v>
      </c>
      <c r="GG213" s="40">
        <f t="shared" si="455"/>
        <v>-1</v>
      </c>
      <c r="GH213" s="39">
        <f t="shared" si="456"/>
        <v>-1</v>
      </c>
      <c r="GI213" s="41">
        <f t="shared" si="457"/>
        <v>-1</v>
      </c>
      <c r="GJ213" s="40">
        <f t="shared" si="458"/>
        <v>-1</v>
      </c>
      <c r="GK213" s="39">
        <f t="shared" si="459"/>
        <v>-1</v>
      </c>
      <c r="GL213" s="95">
        <f t="shared" si="460"/>
        <v>-1</v>
      </c>
      <c r="GN213" s="40">
        <f>COUNTIF(DJ213:GL213,4)</f>
        <v>0</v>
      </c>
      <c r="GO213" s="39">
        <f>COUNTIF(DJ213:GL213,5)</f>
        <v>0</v>
      </c>
      <c r="GP213" s="41">
        <f>COUNTIF(DJ213:GL213,6)</f>
        <v>0</v>
      </c>
      <c r="GQ213" s="39"/>
      <c r="GR213" s="39"/>
      <c r="GT213" s="72">
        <f t="shared" ref="GT213:GV213" si="516">GT186</f>
        <v>2</v>
      </c>
      <c r="GU213" s="73">
        <f t="shared" si="516"/>
        <v>0</v>
      </c>
      <c r="GV213" s="74">
        <f t="shared" si="516"/>
        <v>0</v>
      </c>
    </row>
    <row r="214" spans="14:204" ht="15" customHeight="1" thickBot="1">
      <c r="N214" s="116">
        <f t="shared" si="501"/>
        <v>0</v>
      </c>
      <c r="O214" s="116">
        <f t="shared" si="501"/>
        <v>0</v>
      </c>
      <c r="P214" s="116">
        <f t="shared" si="501"/>
        <v>0</v>
      </c>
      <c r="Q214" s="116">
        <f t="shared" ref="Q214:CB214" si="517">Q211</f>
        <v>0</v>
      </c>
      <c r="R214" s="116">
        <f t="shared" si="517"/>
        <v>0</v>
      </c>
      <c r="S214" s="116">
        <f t="shared" si="517"/>
        <v>0</v>
      </c>
      <c r="T214" s="116">
        <f t="shared" si="517"/>
        <v>0</v>
      </c>
      <c r="U214" s="116">
        <f t="shared" si="517"/>
        <v>0</v>
      </c>
      <c r="V214" s="116">
        <f t="shared" si="517"/>
        <v>0</v>
      </c>
      <c r="W214" s="116">
        <f t="shared" si="517"/>
        <v>0</v>
      </c>
      <c r="X214" s="116">
        <f t="shared" si="517"/>
        <v>0</v>
      </c>
      <c r="Y214" s="116">
        <f t="shared" si="517"/>
        <v>0</v>
      </c>
      <c r="Z214" s="116">
        <f t="shared" si="517"/>
        <v>0</v>
      </c>
      <c r="AA214" s="116">
        <f t="shared" si="517"/>
        <v>0</v>
      </c>
      <c r="AB214" s="116">
        <f t="shared" si="517"/>
        <v>0</v>
      </c>
      <c r="AC214" s="116">
        <f t="shared" si="517"/>
        <v>0</v>
      </c>
      <c r="AD214" s="116">
        <f t="shared" si="517"/>
        <v>0</v>
      </c>
      <c r="AE214" s="116">
        <f t="shared" si="517"/>
        <v>0</v>
      </c>
      <c r="AF214" s="116">
        <f t="shared" si="517"/>
        <v>0</v>
      </c>
      <c r="AG214" s="116">
        <f t="shared" si="517"/>
        <v>0</v>
      </c>
      <c r="AH214" s="116">
        <f t="shared" si="517"/>
        <v>0</v>
      </c>
      <c r="AI214" s="116">
        <f t="shared" si="517"/>
        <v>0</v>
      </c>
      <c r="AJ214" s="116">
        <f t="shared" si="517"/>
        <v>0</v>
      </c>
      <c r="AK214" s="116">
        <f t="shared" si="517"/>
        <v>0</v>
      </c>
      <c r="AL214" s="116">
        <f t="shared" si="517"/>
        <v>0</v>
      </c>
      <c r="AM214" s="116">
        <f t="shared" si="517"/>
        <v>0</v>
      </c>
      <c r="AN214" s="116">
        <f t="shared" si="517"/>
        <v>0</v>
      </c>
      <c r="AO214" s="116">
        <f t="shared" si="517"/>
        <v>0</v>
      </c>
      <c r="AP214" s="116">
        <f t="shared" si="517"/>
        <v>0</v>
      </c>
      <c r="AQ214" s="116">
        <f t="shared" si="517"/>
        <v>0</v>
      </c>
      <c r="AR214" s="116">
        <f t="shared" si="517"/>
        <v>0</v>
      </c>
      <c r="AS214" s="116">
        <f t="shared" si="517"/>
        <v>0</v>
      </c>
      <c r="AT214" s="116">
        <f t="shared" si="517"/>
        <v>0</v>
      </c>
      <c r="AU214" s="116">
        <f t="shared" si="517"/>
        <v>0</v>
      </c>
      <c r="AV214" s="116">
        <f t="shared" si="517"/>
        <v>0</v>
      </c>
      <c r="AW214" s="116">
        <f t="shared" si="517"/>
        <v>0</v>
      </c>
      <c r="AX214" s="116">
        <f t="shared" si="517"/>
        <v>0</v>
      </c>
      <c r="AY214" s="116">
        <f t="shared" si="517"/>
        <v>0</v>
      </c>
      <c r="AZ214" s="116">
        <f t="shared" si="517"/>
        <v>0</v>
      </c>
      <c r="BA214" s="116">
        <f t="shared" si="517"/>
        <v>0</v>
      </c>
      <c r="BB214" s="116">
        <f t="shared" si="517"/>
        <v>0</v>
      </c>
      <c r="BC214" s="116">
        <f t="shared" si="517"/>
        <v>0</v>
      </c>
      <c r="BD214" s="116">
        <f t="shared" si="517"/>
        <v>0</v>
      </c>
      <c r="BE214" s="116">
        <f t="shared" si="517"/>
        <v>0</v>
      </c>
      <c r="BF214" s="116">
        <f t="shared" si="517"/>
        <v>0</v>
      </c>
      <c r="BG214" s="116">
        <f t="shared" si="517"/>
        <v>0</v>
      </c>
      <c r="BH214" s="116">
        <f t="shared" si="517"/>
        <v>0</v>
      </c>
      <c r="BI214" s="116">
        <f t="shared" si="517"/>
        <v>0</v>
      </c>
      <c r="BJ214" s="116">
        <f t="shared" si="517"/>
        <v>0</v>
      </c>
      <c r="BK214" s="116">
        <f t="shared" si="517"/>
        <v>0</v>
      </c>
      <c r="BL214" s="116">
        <f t="shared" si="517"/>
        <v>0</v>
      </c>
      <c r="BM214" s="116">
        <f t="shared" si="517"/>
        <v>0</v>
      </c>
      <c r="BN214" s="116">
        <f t="shared" si="517"/>
        <v>0</v>
      </c>
      <c r="BO214" s="116">
        <f t="shared" si="517"/>
        <v>0</v>
      </c>
      <c r="BP214" s="116">
        <f t="shared" si="517"/>
        <v>0</v>
      </c>
      <c r="BQ214" s="116">
        <f t="shared" si="517"/>
        <v>0</v>
      </c>
      <c r="BR214" s="116">
        <f t="shared" si="517"/>
        <v>0</v>
      </c>
      <c r="BS214" s="116">
        <f t="shared" si="517"/>
        <v>0</v>
      </c>
      <c r="BT214" s="116">
        <f t="shared" si="517"/>
        <v>0</v>
      </c>
      <c r="BU214" s="116">
        <f t="shared" si="517"/>
        <v>0</v>
      </c>
      <c r="BV214" s="116">
        <f t="shared" si="517"/>
        <v>0</v>
      </c>
      <c r="BW214" s="116">
        <f t="shared" si="517"/>
        <v>0</v>
      </c>
      <c r="BX214" s="116">
        <f t="shared" si="517"/>
        <v>0</v>
      </c>
      <c r="BY214" s="116">
        <f t="shared" si="517"/>
        <v>0</v>
      </c>
      <c r="BZ214" s="116">
        <f t="shared" si="517"/>
        <v>0</v>
      </c>
      <c r="CA214" s="116">
        <f t="shared" si="517"/>
        <v>0</v>
      </c>
      <c r="CB214" s="116">
        <f t="shared" si="517"/>
        <v>0</v>
      </c>
      <c r="CC214" s="116">
        <f t="shared" ref="CC214:CP214" si="518">CC211</f>
        <v>0</v>
      </c>
      <c r="CD214" s="116">
        <f t="shared" si="518"/>
        <v>0</v>
      </c>
      <c r="CE214" s="116">
        <f t="shared" si="518"/>
        <v>0</v>
      </c>
      <c r="CF214" s="116">
        <f t="shared" si="518"/>
        <v>0</v>
      </c>
      <c r="CG214" s="116">
        <f t="shared" si="518"/>
        <v>0</v>
      </c>
      <c r="CH214" s="116">
        <f t="shared" si="518"/>
        <v>0</v>
      </c>
      <c r="CI214" s="116">
        <f t="shared" si="518"/>
        <v>0</v>
      </c>
      <c r="CJ214" s="116">
        <f t="shared" si="518"/>
        <v>0</v>
      </c>
      <c r="CK214" s="116">
        <f t="shared" si="518"/>
        <v>0</v>
      </c>
      <c r="CL214" s="116">
        <f t="shared" si="518"/>
        <v>0</v>
      </c>
      <c r="CM214" s="116">
        <f t="shared" si="518"/>
        <v>0</v>
      </c>
      <c r="CN214" s="116">
        <f t="shared" si="518"/>
        <v>0</v>
      </c>
      <c r="CO214" s="116">
        <f t="shared" si="518"/>
        <v>0</v>
      </c>
      <c r="CP214" s="116">
        <f t="shared" si="518"/>
        <v>0</v>
      </c>
      <c r="DJ214" s="99">
        <f t="shared" si="380"/>
        <v>-1</v>
      </c>
      <c r="DK214" s="45">
        <f t="shared" si="381"/>
        <v>-1</v>
      </c>
      <c r="DL214" s="47">
        <f t="shared" si="382"/>
        <v>-1</v>
      </c>
      <c r="DM214" s="46">
        <f t="shared" si="383"/>
        <v>-1</v>
      </c>
      <c r="DN214" s="45">
        <f t="shared" si="384"/>
        <v>-1</v>
      </c>
      <c r="DO214" s="47">
        <f t="shared" si="385"/>
        <v>-1</v>
      </c>
      <c r="DP214" s="46">
        <f t="shared" si="386"/>
        <v>-1</v>
      </c>
      <c r="DQ214" s="45">
        <f t="shared" si="387"/>
        <v>-1</v>
      </c>
      <c r="DR214" s="48">
        <f t="shared" si="388"/>
        <v>-1</v>
      </c>
      <c r="DS214" s="44">
        <f t="shared" si="389"/>
        <v>-1</v>
      </c>
      <c r="DT214" s="45">
        <f t="shared" si="390"/>
        <v>-1</v>
      </c>
      <c r="DU214" s="47">
        <f t="shared" si="391"/>
        <v>-1</v>
      </c>
      <c r="DV214" s="46">
        <f t="shared" si="392"/>
        <v>-1</v>
      </c>
      <c r="DW214" s="45">
        <f t="shared" si="393"/>
        <v>-1</v>
      </c>
      <c r="DX214" s="47">
        <f t="shared" si="394"/>
        <v>-1</v>
      </c>
      <c r="DY214" s="46">
        <f t="shared" si="395"/>
        <v>0</v>
      </c>
      <c r="DZ214" s="45">
        <f t="shared" si="396"/>
        <v>0</v>
      </c>
      <c r="EA214" s="48">
        <f t="shared" si="397"/>
        <v>0</v>
      </c>
      <c r="EB214" s="44">
        <f t="shared" si="398"/>
        <v>-1</v>
      </c>
      <c r="EC214" s="45">
        <f t="shared" si="399"/>
        <v>-1</v>
      </c>
      <c r="ED214" s="47">
        <f t="shared" si="400"/>
        <v>-1</v>
      </c>
      <c r="EE214" s="46">
        <f t="shared" si="401"/>
        <v>-1</v>
      </c>
      <c r="EF214" s="45">
        <f t="shared" si="402"/>
        <v>-1</v>
      </c>
      <c r="EG214" s="47">
        <f t="shared" si="403"/>
        <v>-1</v>
      </c>
      <c r="EH214" s="46">
        <f t="shared" si="404"/>
        <v>-1</v>
      </c>
      <c r="EI214" s="45">
        <f t="shared" si="405"/>
        <v>-1</v>
      </c>
      <c r="EJ214" s="100">
        <f t="shared" si="406"/>
        <v>-1</v>
      </c>
      <c r="EK214" s="99">
        <f t="shared" si="407"/>
        <v>-1</v>
      </c>
      <c r="EL214" s="45">
        <f t="shared" si="408"/>
        <v>-1</v>
      </c>
      <c r="EM214" s="47">
        <f t="shared" si="409"/>
        <v>-1</v>
      </c>
      <c r="EN214" s="46">
        <f t="shared" si="410"/>
        <v>-1</v>
      </c>
      <c r="EO214" s="45">
        <f t="shared" si="411"/>
        <v>-1</v>
      </c>
      <c r="EP214" s="47">
        <f t="shared" si="412"/>
        <v>-1</v>
      </c>
      <c r="EQ214" s="46">
        <f t="shared" si="413"/>
        <v>-1</v>
      </c>
      <c r="ER214" s="45">
        <f t="shared" si="414"/>
        <v>-1</v>
      </c>
      <c r="ES214" s="48">
        <f t="shared" si="415"/>
        <v>-1</v>
      </c>
      <c r="ET214" s="44">
        <f t="shared" si="416"/>
        <v>0</v>
      </c>
      <c r="EU214" s="45">
        <f t="shared" si="417"/>
        <v>0</v>
      </c>
      <c r="EV214" s="47">
        <f t="shared" si="418"/>
        <v>0</v>
      </c>
      <c r="EW214" s="46">
        <f t="shared" si="419"/>
        <v>0</v>
      </c>
      <c r="EX214" s="45">
        <f t="shared" si="420"/>
        <v>0</v>
      </c>
      <c r="EY214" s="47">
        <f t="shared" si="421"/>
        <v>0</v>
      </c>
      <c r="EZ214" s="46">
        <f t="shared" si="422"/>
        <v>-1</v>
      </c>
      <c r="FA214" s="45">
        <f t="shared" si="423"/>
        <v>-1</v>
      </c>
      <c r="FB214" s="48">
        <f t="shared" si="424"/>
        <v>-1</v>
      </c>
      <c r="FC214" s="44">
        <f t="shared" si="425"/>
        <v>-1</v>
      </c>
      <c r="FD214" s="45">
        <f t="shared" si="426"/>
        <v>-1</v>
      </c>
      <c r="FE214" s="47">
        <f t="shared" si="427"/>
        <v>-1</v>
      </c>
      <c r="FF214" s="46">
        <f t="shared" si="428"/>
        <v>0</v>
      </c>
      <c r="FG214" s="45">
        <f t="shared" si="429"/>
        <v>0</v>
      </c>
      <c r="FH214" s="47">
        <f t="shared" si="430"/>
        <v>0</v>
      </c>
      <c r="FI214" s="46">
        <f t="shared" si="431"/>
        <v>-1</v>
      </c>
      <c r="FJ214" s="45">
        <f t="shared" si="432"/>
        <v>-1</v>
      </c>
      <c r="FK214" s="100">
        <f t="shared" si="433"/>
        <v>-1</v>
      </c>
      <c r="FL214" s="99">
        <f t="shared" si="434"/>
        <v>-1</v>
      </c>
      <c r="FM214" s="45">
        <f t="shared" si="435"/>
        <v>-1</v>
      </c>
      <c r="FN214" s="47">
        <f t="shared" si="436"/>
        <v>-1</v>
      </c>
      <c r="FO214" s="46">
        <f t="shared" si="437"/>
        <v>-1</v>
      </c>
      <c r="FP214" s="45">
        <f t="shared" si="438"/>
        <v>-1</v>
      </c>
      <c r="FQ214" s="47">
        <f t="shared" si="439"/>
        <v>-1</v>
      </c>
      <c r="FR214" s="46">
        <f t="shared" si="440"/>
        <v>-1</v>
      </c>
      <c r="FS214" s="45">
        <f t="shared" si="441"/>
        <v>-1</v>
      </c>
      <c r="FT214" s="48">
        <f t="shared" si="442"/>
        <v>-1</v>
      </c>
      <c r="FU214" s="44">
        <f t="shared" si="443"/>
        <v>-1</v>
      </c>
      <c r="FV214" s="45">
        <f t="shared" si="444"/>
        <v>-1</v>
      </c>
      <c r="FW214" s="47">
        <f t="shared" si="445"/>
        <v>-1</v>
      </c>
      <c r="FX214" s="46">
        <f t="shared" si="446"/>
        <v>-1</v>
      </c>
      <c r="FY214" s="45">
        <f t="shared" si="447"/>
        <v>-1</v>
      </c>
      <c r="FZ214" s="47">
        <f t="shared" si="448"/>
        <v>-1</v>
      </c>
      <c r="GA214" s="46">
        <f t="shared" si="449"/>
        <v>-1</v>
      </c>
      <c r="GB214" s="45">
        <f t="shared" si="450"/>
        <v>-1</v>
      </c>
      <c r="GC214" s="48">
        <f t="shared" si="451"/>
        <v>-1</v>
      </c>
      <c r="GD214" s="44">
        <f t="shared" si="452"/>
        <v>-1</v>
      </c>
      <c r="GE214" s="45">
        <f t="shared" si="453"/>
        <v>-1</v>
      </c>
      <c r="GF214" s="47">
        <f t="shared" si="454"/>
        <v>-1</v>
      </c>
      <c r="GG214" s="46">
        <f t="shared" si="455"/>
        <v>-1</v>
      </c>
      <c r="GH214" s="45">
        <f t="shared" si="456"/>
        <v>-1</v>
      </c>
      <c r="GI214" s="47">
        <f t="shared" si="457"/>
        <v>-1</v>
      </c>
      <c r="GJ214" s="46">
        <f t="shared" si="458"/>
        <v>-1</v>
      </c>
      <c r="GK214" s="45">
        <f t="shared" si="459"/>
        <v>-1</v>
      </c>
      <c r="GL214" s="100">
        <f t="shared" si="460"/>
        <v>-1</v>
      </c>
      <c r="GN214" s="46">
        <f>COUNTIF(DJ214:GL214,7)</f>
        <v>0</v>
      </c>
      <c r="GO214" s="45">
        <f>COUNTIF(DJ214:GL214,8)</f>
        <v>0</v>
      </c>
      <c r="GP214" s="47">
        <f>COUNTIF(DJ214:GL214,9)</f>
        <v>0</v>
      </c>
      <c r="GQ214" s="39"/>
      <c r="GR214" s="39"/>
      <c r="GT214" s="78">
        <f t="shared" ref="GT214:GV214" si="519">GT187</f>
        <v>0</v>
      </c>
      <c r="GU214" s="79">
        <f t="shared" si="519"/>
        <v>1</v>
      </c>
      <c r="GV214" s="80">
        <f t="shared" si="519"/>
        <v>0</v>
      </c>
    </row>
    <row r="215" spans="14:204" ht="15" customHeight="1">
      <c r="N215" s="116">
        <f t="shared" si="501"/>
        <v>0</v>
      </c>
      <c r="O215" s="116">
        <f t="shared" si="501"/>
        <v>0</v>
      </c>
      <c r="P215" s="116">
        <f t="shared" si="501"/>
        <v>0</v>
      </c>
      <c r="Q215" s="116">
        <f t="shared" ref="Q215:CB215" si="520">Q212</f>
        <v>0</v>
      </c>
      <c r="R215" s="116">
        <f t="shared" si="520"/>
        <v>0</v>
      </c>
      <c r="S215" s="116">
        <f t="shared" si="520"/>
        <v>0</v>
      </c>
      <c r="T215" s="116">
        <f t="shared" si="520"/>
        <v>0</v>
      </c>
      <c r="U215" s="116">
        <f t="shared" si="520"/>
        <v>0</v>
      </c>
      <c r="V215" s="116">
        <f t="shared" si="520"/>
        <v>0</v>
      </c>
      <c r="W215" s="116">
        <f t="shared" si="520"/>
        <v>0</v>
      </c>
      <c r="X215" s="116">
        <f t="shared" si="520"/>
        <v>0</v>
      </c>
      <c r="Y215" s="116">
        <f t="shared" si="520"/>
        <v>0</v>
      </c>
      <c r="Z215" s="116">
        <f t="shared" si="520"/>
        <v>0</v>
      </c>
      <c r="AA215" s="116">
        <f t="shared" si="520"/>
        <v>0</v>
      </c>
      <c r="AB215" s="116">
        <f t="shared" si="520"/>
        <v>0</v>
      </c>
      <c r="AC215" s="116">
        <f t="shared" si="520"/>
        <v>0</v>
      </c>
      <c r="AD215" s="116">
        <f t="shared" si="520"/>
        <v>0</v>
      </c>
      <c r="AE215" s="116">
        <f t="shared" si="520"/>
        <v>0</v>
      </c>
      <c r="AF215" s="116">
        <f t="shared" si="520"/>
        <v>0</v>
      </c>
      <c r="AG215" s="116">
        <f t="shared" si="520"/>
        <v>0</v>
      </c>
      <c r="AH215" s="116">
        <f t="shared" si="520"/>
        <v>0</v>
      </c>
      <c r="AI215" s="116">
        <f t="shared" si="520"/>
        <v>0</v>
      </c>
      <c r="AJ215" s="116">
        <f t="shared" si="520"/>
        <v>0</v>
      </c>
      <c r="AK215" s="116">
        <f t="shared" si="520"/>
        <v>0</v>
      </c>
      <c r="AL215" s="116">
        <f t="shared" si="520"/>
        <v>0</v>
      </c>
      <c r="AM215" s="116">
        <f t="shared" si="520"/>
        <v>0</v>
      </c>
      <c r="AN215" s="116">
        <f t="shared" si="520"/>
        <v>0</v>
      </c>
      <c r="AO215" s="116">
        <f t="shared" si="520"/>
        <v>0</v>
      </c>
      <c r="AP215" s="116">
        <f t="shared" si="520"/>
        <v>0</v>
      </c>
      <c r="AQ215" s="116">
        <f t="shared" si="520"/>
        <v>0</v>
      </c>
      <c r="AR215" s="116">
        <f t="shared" si="520"/>
        <v>0</v>
      </c>
      <c r="AS215" s="116">
        <f t="shared" si="520"/>
        <v>0</v>
      </c>
      <c r="AT215" s="116">
        <f t="shared" si="520"/>
        <v>0</v>
      </c>
      <c r="AU215" s="116">
        <f t="shared" si="520"/>
        <v>0</v>
      </c>
      <c r="AV215" s="116">
        <f t="shared" si="520"/>
        <v>0</v>
      </c>
      <c r="AW215" s="116">
        <f t="shared" si="520"/>
        <v>0</v>
      </c>
      <c r="AX215" s="116">
        <f t="shared" si="520"/>
        <v>0</v>
      </c>
      <c r="AY215" s="116">
        <f t="shared" si="520"/>
        <v>0</v>
      </c>
      <c r="AZ215" s="116">
        <f t="shared" si="520"/>
        <v>0</v>
      </c>
      <c r="BA215" s="116">
        <f t="shared" si="520"/>
        <v>0</v>
      </c>
      <c r="BB215" s="116">
        <f t="shared" si="520"/>
        <v>0</v>
      </c>
      <c r="BC215" s="116">
        <f t="shared" si="520"/>
        <v>0</v>
      </c>
      <c r="BD215" s="116">
        <f t="shared" si="520"/>
        <v>0</v>
      </c>
      <c r="BE215" s="116">
        <f t="shared" si="520"/>
        <v>0</v>
      </c>
      <c r="BF215" s="116">
        <f t="shared" si="520"/>
        <v>0</v>
      </c>
      <c r="BG215" s="116">
        <f t="shared" si="520"/>
        <v>0</v>
      </c>
      <c r="BH215" s="116">
        <f t="shared" si="520"/>
        <v>0</v>
      </c>
      <c r="BI215" s="116">
        <f t="shared" si="520"/>
        <v>0</v>
      </c>
      <c r="BJ215" s="116">
        <f t="shared" si="520"/>
        <v>0</v>
      </c>
      <c r="BK215" s="116">
        <f t="shared" si="520"/>
        <v>0</v>
      </c>
      <c r="BL215" s="116">
        <f t="shared" si="520"/>
        <v>0</v>
      </c>
      <c r="BM215" s="116">
        <f t="shared" si="520"/>
        <v>0</v>
      </c>
      <c r="BN215" s="116">
        <f t="shared" si="520"/>
        <v>0</v>
      </c>
      <c r="BO215" s="116">
        <f t="shared" si="520"/>
        <v>0</v>
      </c>
      <c r="BP215" s="116">
        <f t="shared" si="520"/>
        <v>0</v>
      </c>
      <c r="BQ215" s="116">
        <f t="shared" si="520"/>
        <v>0</v>
      </c>
      <c r="BR215" s="116">
        <f t="shared" si="520"/>
        <v>0</v>
      </c>
      <c r="BS215" s="116">
        <f t="shared" si="520"/>
        <v>0</v>
      </c>
      <c r="BT215" s="116">
        <f t="shared" si="520"/>
        <v>0</v>
      </c>
      <c r="BU215" s="116">
        <f t="shared" si="520"/>
        <v>0</v>
      </c>
      <c r="BV215" s="116">
        <f t="shared" si="520"/>
        <v>0</v>
      </c>
      <c r="BW215" s="116">
        <f t="shared" si="520"/>
        <v>0</v>
      </c>
      <c r="BX215" s="116">
        <f t="shared" si="520"/>
        <v>0</v>
      </c>
      <c r="BY215" s="116">
        <f t="shared" si="520"/>
        <v>0</v>
      </c>
      <c r="BZ215" s="116">
        <f t="shared" si="520"/>
        <v>0</v>
      </c>
      <c r="CA215" s="116">
        <f t="shared" si="520"/>
        <v>0</v>
      </c>
      <c r="CB215" s="116">
        <f t="shared" si="520"/>
        <v>0</v>
      </c>
      <c r="CC215" s="116">
        <f t="shared" ref="CC215:CP215" si="521">CC212</f>
        <v>0</v>
      </c>
      <c r="CD215" s="116">
        <f t="shared" si="521"/>
        <v>0</v>
      </c>
      <c r="CE215" s="116">
        <f t="shared" si="521"/>
        <v>0</v>
      </c>
      <c r="CF215" s="116">
        <f t="shared" si="521"/>
        <v>0</v>
      </c>
      <c r="CG215" s="116">
        <f t="shared" si="521"/>
        <v>0</v>
      </c>
      <c r="CH215" s="116">
        <f t="shared" si="521"/>
        <v>0</v>
      </c>
      <c r="CI215" s="116">
        <f t="shared" si="521"/>
        <v>0</v>
      </c>
      <c r="CJ215" s="116">
        <f t="shared" si="521"/>
        <v>0</v>
      </c>
      <c r="CK215" s="116">
        <f t="shared" si="521"/>
        <v>0</v>
      </c>
      <c r="CL215" s="116">
        <f t="shared" si="521"/>
        <v>0</v>
      </c>
      <c r="CM215" s="116">
        <f t="shared" si="521"/>
        <v>0</v>
      </c>
      <c r="CN215" s="116">
        <f t="shared" si="521"/>
        <v>0</v>
      </c>
      <c r="CO215" s="116">
        <f t="shared" si="521"/>
        <v>0</v>
      </c>
      <c r="CP215" s="116">
        <f t="shared" si="521"/>
        <v>0</v>
      </c>
      <c r="DJ215" s="104">
        <f t="shared" si="380"/>
        <v>1</v>
      </c>
      <c r="DK215" s="50">
        <f t="shared" si="381"/>
        <v>0</v>
      </c>
      <c r="DL215" s="51">
        <f t="shared" si="382"/>
        <v>3</v>
      </c>
      <c r="DM215" s="52">
        <f t="shared" si="383"/>
        <v>1</v>
      </c>
      <c r="DN215" s="50">
        <f t="shared" si="384"/>
        <v>0</v>
      </c>
      <c r="DO215" s="51">
        <f t="shared" si="385"/>
        <v>0</v>
      </c>
      <c r="DP215" s="52">
        <f t="shared" si="386"/>
        <v>-1</v>
      </c>
      <c r="DQ215" s="50">
        <f t="shared" si="387"/>
        <v>-1</v>
      </c>
      <c r="DR215" s="53">
        <f t="shared" si="388"/>
        <v>-1</v>
      </c>
      <c r="DS215" s="49">
        <f t="shared" si="389"/>
        <v>1</v>
      </c>
      <c r="DT215" s="50">
        <f t="shared" si="390"/>
        <v>0</v>
      </c>
      <c r="DU215" s="51">
        <f t="shared" si="391"/>
        <v>0</v>
      </c>
      <c r="DV215" s="52">
        <f t="shared" si="392"/>
        <v>0</v>
      </c>
      <c r="DW215" s="50">
        <f t="shared" si="393"/>
        <v>0</v>
      </c>
      <c r="DX215" s="51">
        <f t="shared" si="394"/>
        <v>0</v>
      </c>
      <c r="DY215" s="52">
        <f t="shared" si="395"/>
        <v>-1</v>
      </c>
      <c r="DZ215" s="50">
        <f t="shared" si="396"/>
        <v>-1</v>
      </c>
      <c r="EA215" s="53">
        <f t="shared" si="397"/>
        <v>-1</v>
      </c>
      <c r="EB215" s="49">
        <f t="shared" si="398"/>
        <v>-1</v>
      </c>
      <c r="EC215" s="50">
        <f t="shared" si="399"/>
        <v>-1</v>
      </c>
      <c r="ED215" s="51">
        <f t="shared" si="400"/>
        <v>-1</v>
      </c>
      <c r="EE215" s="52">
        <f t="shared" si="401"/>
        <v>-1</v>
      </c>
      <c r="EF215" s="50">
        <f t="shared" si="402"/>
        <v>-1</v>
      </c>
      <c r="EG215" s="51">
        <f t="shared" si="403"/>
        <v>-1</v>
      </c>
      <c r="EH215" s="52">
        <f t="shared" si="404"/>
        <v>-1</v>
      </c>
      <c r="EI215" s="50">
        <f t="shared" si="405"/>
        <v>-1</v>
      </c>
      <c r="EJ215" s="105">
        <f t="shared" si="406"/>
        <v>-1</v>
      </c>
      <c r="EK215" s="104">
        <f t="shared" si="407"/>
        <v>-1</v>
      </c>
      <c r="EL215" s="50">
        <f t="shared" si="408"/>
        <v>-1</v>
      </c>
      <c r="EM215" s="51">
        <f t="shared" si="409"/>
        <v>-1</v>
      </c>
      <c r="EN215" s="52">
        <f t="shared" si="410"/>
        <v>-1</v>
      </c>
      <c r="EO215" s="50">
        <f t="shared" si="411"/>
        <v>-1</v>
      </c>
      <c r="EP215" s="51">
        <f t="shared" si="412"/>
        <v>-1</v>
      </c>
      <c r="EQ215" s="52">
        <f t="shared" si="413"/>
        <v>-1</v>
      </c>
      <c r="ER215" s="50">
        <f t="shared" si="414"/>
        <v>-1</v>
      </c>
      <c r="ES215" s="53">
        <f t="shared" si="415"/>
        <v>-1</v>
      </c>
      <c r="ET215" s="49">
        <f t="shared" si="416"/>
        <v>-1</v>
      </c>
      <c r="EU215" s="50">
        <f t="shared" si="417"/>
        <v>-1</v>
      </c>
      <c r="EV215" s="51">
        <f t="shared" si="418"/>
        <v>-1</v>
      </c>
      <c r="EW215" s="52">
        <f t="shared" si="419"/>
        <v>-1</v>
      </c>
      <c r="EX215" s="50">
        <f t="shared" si="420"/>
        <v>-1</v>
      </c>
      <c r="EY215" s="51">
        <f t="shared" si="421"/>
        <v>-1</v>
      </c>
      <c r="EZ215" s="52">
        <f t="shared" si="422"/>
        <v>-1</v>
      </c>
      <c r="FA215" s="50">
        <f t="shared" si="423"/>
        <v>-1</v>
      </c>
      <c r="FB215" s="53">
        <f t="shared" si="424"/>
        <v>-1</v>
      </c>
      <c r="FC215" s="49">
        <f t="shared" si="425"/>
        <v>-1</v>
      </c>
      <c r="FD215" s="50">
        <f t="shared" si="426"/>
        <v>-1</v>
      </c>
      <c r="FE215" s="51">
        <f t="shared" si="427"/>
        <v>-1</v>
      </c>
      <c r="FF215" s="52">
        <f t="shared" si="428"/>
        <v>-1</v>
      </c>
      <c r="FG215" s="50">
        <f t="shared" si="429"/>
        <v>-1</v>
      </c>
      <c r="FH215" s="51">
        <f t="shared" si="430"/>
        <v>-1</v>
      </c>
      <c r="FI215" s="52">
        <f t="shared" si="431"/>
        <v>-1</v>
      </c>
      <c r="FJ215" s="50">
        <f t="shared" si="432"/>
        <v>-1</v>
      </c>
      <c r="FK215" s="105">
        <f t="shared" si="433"/>
        <v>-1</v>
      </c>
      <c r="FL215" s="104">
        <f t="shared" si="434"/>
        <v>-1</v>
      </c>
      <c r="FM215" s="50">
        <f t="shared" si="435"/>
        <v>-1</v>
      </c>
      <c r="FN215" s="51">
        <f t="shared" si="436"/>
        <v>-1</v>
      </c>
      <c r="FO215" s="52">
        <f t="shared" si="437"/>
        <v>-1</v>
      </c>
      <c r="FP215" s="50">
        <f t="shared" si="438"/>
        <v>-1</v>
      </c>
      <c r="FQ215" s="51">
        <f t="shared" si="439"/>
        <v>-1</v>
      </c>
      <c r="FR215" s="52">
        <f t="shared" si="440"/>
        <v>-1</v>
      </c>
      <c r="FS215" s="50">
        <f t="shared" si="441"/>
        <v>-1</v>
      </c>
      <c r="FT215" s="53">
        <f t="shared" si="442"/>
        <v>-1</v>
      </c>
      <c r="FU215" s="49">
        <f t="shared" si="443"/>
        <v>-1</v>
      </c>
      <c r="FV215" s="50">
        <f t="shared" si="444"/>
        <v>-1</v>
      </c>
      <c r="FW215" s="51">
        <f t="shared" si="445"/>
        <v>-1</v>
      </c>
      <c r="FX215" s="52">
        <f t="shared" si="446"/>
        <v>-1</v>
      </c>
      <c r="FY215" s="50">
        <f t="shared" si="447"/>
        <v>-1</v>
      </c>
      <c r="FZ215" s="51">
        <f t="shared" si="448"/>
        <v>-1</v>
      </c>
      <c r="GA215" s="52">
        <f t="shared" si="449"/>
        <v>1</v>
      </c>
      <c r="GB215" s="50">
        <f t="shared" si="450"/>
        <v>2</v>
      </c>
      <c r="GC215" s="53">
        <f t="shared" si="451"/>
        <v>3</v>
      </c>
      <c r="GD215" s="49">
        <f t="shared" si="452"/>
        <v>1</v>
      </c>
      <c r="GE215" s="50">
        <f t="shared" si="453"/>
        <v>0</v>
      </c>
      <c r="GF215" s="51">
        <f t="shared" si="454"/>
        <v>3</v>
      </c>
      <c r="GG215" s="52">
        <f t="shared" si="455"/>
        <v>1</v>
      </c>
      <c r="GH215" s="50">
        <f t="shared" si="456"/>
        <v>2</v>
      </c>
      <c r="GI215" s="51">
        <f t="shared" si="457"/>
        <v>3</v>
      </c>
      <c r="GJ215" s="52">
        <f t="shared" si="458"/>
        <v>0</v>
      </c>
      <c r="GK215" s="50">
        <f t="shared" si="459"/>
        <v>2</v>
      </c>
      <c r="GL215" s="105">
        <f t="shared" si="460"/>
        <v>3</v>
      </c>
      <c r="GN215" s="52">
        <f>COUNTIF(DJ215:GL215,1)</f>
        <v>6</v>
      </c>
      <c r="GO215" s="50">
        <f>COUNTIF(DJ215:GL215,2)</f>
        <v>3</v>
      </c>
      <c r="GP215" s="51">
        <f>COUNTIF(DJ215:GL215,3)</f>
        <v>5</v>
      </c>
      <c r="GQ215" s="39"/>
      <c r="GR215" s="39"/>
      <c r="GT215" s="65">
        <f t="shared" ref="GT215:GV215" si="522">GT188</f>
        <v>6</v>
      </c>
      <c r="GU215" s="66">
        <f t="shared" si="522"/>
        <v>3</v>
      </c>
      <c r="GV215" s="67">
        <f t="shared" si="522"/>
        <v>5</v>
      </c>
    </row>
    <row r="216" spans="14:204" ht="15" customHeight="1">
      <c r="N216" s="116">
        <f t="shared" si="501"/>
        <v>0</v>
      </c>
      <c r="O216" s="116">
        <f t="shared" si="501"/>
        <v>0</v>
      </c>
      <c r="P216" s="116">
        <f t="shared" si="501"/>
        <v>0</v>
      </c>
      <c r="Q216" s="116">
        <f t="shared" ref="Q216:CB216" si="523">Q213</f>
        <v>0</v>
      </c>
      <c r="R216" s="116">
        <f t="shared" si="523"/>
        <v>0</v>
      </c>
      <c r="S216" s="116">
        <f t="shared" si="523"/>
        <v>0</v>
      </c>
      <c r="T216" s="116">
        <f t="shared" si="523"/>
        <v>0</v>
      </c>
      <c r="U216" s="116">
        <f t="shared" si="523"/>
        <v>0</v>
      </c>
      <c r="V216" s="116">
        <f t="shared" si="523"/>
        <v>0</v>
      </c>
      <c r="W216" s="116">
        <f t="shared" si="523"/>
        <v>0</v>
      </c>
      <c r="X216" s="116">
        <f t="shared" si="523"/>
        <v>0</v>
      </c>
      <c r="Y216" s="116">
        <f t="shared" si="523"/>
        <v>0</v>
      </c>
      <c r="Z216" s="116">
        <f t="shared" si="523"/>
        <v>0</v>
      </c>
      <c r="AA216" s="116">
        <f t="shared" si="523"/>
        <v>0</v>
      </c>
      <c r="AB216" s="116">
        <f t="shared" si="523"/>
        <v>0</v>
      </c>
      <c r="AC216" s="116">
        <f t="shared" si="523"/>
        <v>0</v>
      </c>
      <c r="AD216" s="116">
        <f t="shared" si="523"/>
        <v>0</v>
      </c>
      <c r="AE216" s="116">
        <f t="shared" si="523"/>
        <v>0</v>
      </c>
      <c r="AF216" s="116">
        <f t="shared" si="523"/>
        <v>0</v>
      </c>
      <c r="AG216" s="116">
        <f t="shared" si="523"/>
        <v>0</v>
      </c>
      <c r="AH216" s="116">
        <f t="shared" si="523"/>
        <v>0</v>
      </c>
      <c r="AI216" s="116">
        <f t="shared" si="523"/>
        <v>0</v>
      </c>
      <c r="AJ216" s="116">
        <f t="shared" si="523"/>
        <v>0</v>
      </c>
      <c r="AK216" s="116">
        <f t="shared" si="523"/>
        <v>0</v>
      </c>
      <c r="AL216" s="116">
        <f t="shared" si="523"/>
        <v>0</v>
      </c>
      <c r="AM216" s="116">
        <f t="shared" si="523"/>
        <v>0</v>
      </c>
      <c r="AN216" s="116">
        <f t="shared" si="523"/>
        <v>0</v>
      </c>
      <c r="AO216" s="116">
        <f t="shared" si="523"/>
        <v>0</v>
      </c>
      <c r="AP216" s="116">
        <f t="shared" si="523"/>
        <v>0</v>
      </c>
      <c r="AQ216" s="116">
        <f t="shared" si="523"/>
        <v>0</v>
      </c>
      <c r="AR216" s="116">
        <f t="shared" si="523"/>
        <v>0</v>
      </c>
      <c r="AS216" s="116">
        <f t="shared" si="523"/>
        <v>0</v>
      </c>
      <c r="AT216" s="116">
        <f t="shared" si="523"/>
        <v>0</v>
      </c>
      <c r="AU216" s="116">
        <f t="shared" si="523"/>
        <v>0</v>
      </c>
      <c r="AV216" s="116">
        <f t="shared" si="523"/>
        <v>0</v>
      </c>
      <c r="AW216" s="116">
        <f t="shared" si="523"/>
        <v>0</v>
      </c>
      <c r="AX216" s="116">
        <f t="shared" si="523"/>
        <v>0</v>
      </c>
      <c r="AY216" s="116">
        <f t="shared" si="523"/>
        <v>0</v>
      </c>
      <c r="AZ216" s="116">
        <f t="shared" si="523"/>
        <v>0</v>
      </c>
      <c r="BA216" s="116">
        <f t="shared" si="523"/>
        <v>0</v>
      </c>
      <c r="BB216" s="116">
        <f t="shared" si="523"/>
        <v>0</v>
      </c>
      <c r="BC216" s="116">
        <f t="shared" si="523"/>
        <v>0</v>
      </c>
      <c r="BD216" s="116">
        <f t="shared" si="523"/>
        <v>0</v>
      </c>
      <c r="BE216" s="116">
        <f t="shared" si="523"/>
        <v>0</v>
      </c>
      <c r="BF216" s="116">
        <f t="shared" si="523"/>
        <v>0</v>
      </c>
      <c r="BG216" s="116">
        <f t="shared" si="523"/>
        <v>0</v>
      </c>
      <c r="BH216" s="116">
        <f t="shared" si="523"/>
        <v>0</v>
      </c>
      <c r="BI216" s="116">
        <f t="shared" si="523"/>
        <v>0</v>
      </c>
      <c r="BJ216" s="116">
        <f t="shared" si="523"/>
        <v>0</v>
      </c>
      <c r="BK216" s="116">
        <f t="shared" si="523"/>
        <v>0</v>
      </c>
      <c r="BL216" s="116">
        <f t="shared" si="523"/>
        <v>0</v>
      </c>
      <c r="BM216" s="116">
        <f t="shared" si="523"/>
        <v>0</v>
      </c>
      <c r="BN216" s="116">
        <f t="shared" si="523"/>
        <v>0</v>
      </c>
      <c r="BO216" s="116">
        <f t="shared" si="523"/>
        <v>0</v>
      </c>
      <c r="BP216" s="116">
        <f t="shared" si="523"/>
        <v>0</v>
      </c>
      <c r="BQ216" s="116">
        <f t="shared" si="523"/>
        <v>0</v>
      </c>
      <c r="BR216" s="116">
        <f t="shared" si="523"/>
        <v>0</v>
      </c>
      <c r="BS216" s="116">
        <f t="shared" si="523"/>
        <v>0</v>
      </c>
      <c r="BT216" s="116">
        <f t="shared" si="523"/>
        <v>0</v>
      </c>
      <c r="BU216" s="116">
        <f t="shared" si="523"/>
        <v>0</v>
      </c>
      <c r="BV216" s="116">
        <f t="shared" si="523"/>
        <v>0</v>
      </c>
      <c r="BW216" s="116">
        <f t="shared" si="523"/>
        <v>0</v>
      </c>
      <c r="BX216" s="116">
        <f t="shared" si="523"/>
        <v>0</v>
      </c>
      <c r="BY216" s="116">
        <f t="shared" si="523"/>
        <v>0</v>
      </c>
      <c r="BZ216" s="116">
        <f t="shared" si="523"/>
        <v>0</v>
      </c>
      <c r="CA216" s="116">
        <f t="shared" si="523"/>
        <v>0</v>
      </c>
      <c r="CB216" s="116">
        <f t="shared" si="523"/>
        <v>0</v>
      </c>
      <c r="CC216" s="116">
        <f t="shared" ref="CC216:CP216" si="524">CC213</f>
        <v>0</v>
      </c>
      <c r="CD216" s="116">
        <f t="shared" si="524"/>
        <v>0</v>
      </c>
      <c r="CE216" s="116">
        <f t="shared" si="524"/>
        <v>0</v>
      </c>
      <c r="CF216" s="116">
        <f t="shared" si="524"/>
        <v>0</v>
      </c>
      <c r="CG216" s="116">
        <f t="shared" si="524"/>
        <v>0</v>
      </c>
      <c r="CH216" s="116">
        <f t="shared" si="524"/>
        <v>0</v>
      </c>
      <c r="CI216" s="116">
        <f t="shared" si="524"/>
        <v>0</v>
      </c>
      <c r="CJ216" s="116">
        <f t="shared" si="524"/>
        <v>0</v>
      </c>
      <c r="CK216" s="116">
        <f t="shared" si="524"/>
        <v>0</v>
      </c>
      <c r="CL216" s="116">
        <f t="shared" si="524"/>
        <v>0</v>
      </c>
      <c r="CM216" s="116">
        <f t="shared" si="524"/>
        <v>0</v>
      </c>
      <c r="CN216" s="116">
        <f t="shared" si="524"/>
        <v>0</v>
      </c>
      <c r="CO216" s="116">
        <f t="shared" si="524"/>
        <v>0</v>
      </c>
      <c r="CP216" s="116">
        <f t="shared" si="524"/>
        <v>0</v>
      </c>
      <c r="DJ216" s="94">
        <f t="shared" si="380"/>
        <v>4</v>
      </c>
      <c r="DK216" s="39">
        <f t="shared" si="381"/>
        <v>5</v>
      </c>
      <c r="DL216" s="41">
        <f t="shared" si="382"/>
        <v>0</v>
      </c>
      <c r="DM216" s="40">
        <f t="shared" si="383"/>
        <v>4</v>
      </c>
      <c r="DN216" s="39">
        <f t="shared" si="384"/>
        <v>0</v>
      </c>
      <c r="DO216" s="41">
        <f t="shared" si="385"/>
        <v>6</v>
      </c>
      <c r="DP216" s="40">
        <f t="shared" si="386"/>
        <v>-1</v>
      </c>
      <c r="DQ216" s="39">
        <f t="shared" si="387"/>
        <v>-1</v>
      </c>
      <c r="DR216" s="42">
        <f t="shared" si="388"/>
        <v>-1</v>
      </c>
      <c r="DS216" s="43">
        <f t="shared" si="389"/>
        <v>4</v>
      </c>
      <c r="DT216" s="39">
        <f t="shared" si="390"/>
        <v>0</v>
      </c>
      <c r="DU216" s="41">
        <f t="shared" si="391"/>
        <v>6</v>
      </c>
      <c r="DV216" s="40">
        <f t="shared" si="392"/>
        <v>0</v>
      </c>
      <c r="DW216" s="39">
        <f t="shared" si="393"/>
        <v>0</v>
      </c>
      <c r="DX216" s="41">
        <f t="shared" si="394"/>
        <v>0</v>
      </c>
      <c r="DY216" s="40">
        <f t="shared" si="395"/>
        <v>-1</v>
      </c>
      <c r="DZ216" s="39">
        <f t="shared" si="396"/>
        <v>-1</v>
      </c>
      <c r="EA216" s="42">
        <f t="shared" si="397"/>
        <v>-1</v>
      </c>
      <c r="EB216" s="43">
        <f t="shared" si="398"/>
        <v>-1</v>
      </c>
      <c r="EC216" s="39">
        <f t="shared" si="399"/>
        <v>-1</v>
      </c>
      <c r="ED216" s="41">
        <f t="shared" si="400"/>
        <v>-1</v>
      </c>
      <c r="EE216" s="40">
        <f t="shared" si="401"/>
        <v>-1</v>
      </c>
      <c r="EF216" s="39">
        <f t="shared" si="402"/>
        <v>-1</v>
      </c>
      <c r="EG216" s="41">
        <f t="shared" si="403"/>
        <v>-1</v>
      </c>
      <c r="EH216" s="40">
        <f t="shared" si="404"/>
        <v>-1</v>
      </c>
      <c r="EI216" s="39">
        <f t="shared" si="405"/>
        <v>-1</v>
      </c>
      <c r="EJ216" s="95">
        <f t="shared" si="406"/>
        <v>-1</v>
      </c>
      <c r="EK216" s="94">
        <f t="shared" si="407"/>
        <v>-1</v>
      </c>
      <c r="EL216" s="39">
        <f t="shared" si="408"/>
        <v>-1</v>
      </c>
      <c r="EM216" s="41">
        <f t="shared" si="409"/>
        <v>-1</v>
      </c>
      <c r="EN216" s="40">
        <f t="shared" si="410"/>
        <v>-1</v>
      </c>
      <c r="EO216" s="39">
        <f t="shared" si="411"/>
        <v>-1</v>
      </c>
      <c r="EP216" s="41">
        <f t="shared" si="412"/>
        <v>-1</v>
      </c>
      <c r="EQ216" s="40">
        <f t="shared" si="413"/>
        <v>-1</v>
      </c>
      <c r="ER216" s="39">
        <f t="shared" si="414"/>
        <v>-1</v>
      </c>
      <c r="ES216" s="42">
        <f t="shared" si="415"/>
        <v>-1</v>
      </c>
      <c r="ET216" s="43">
        <f t="shared" si="416"/>
        <v>-1</v>
      </c>
      <c r="EU216" s="39">
        <f t="shared" si="417"/>
        <v>-1</v>
      </c>
      <c r="EV216" s="41">
        <f t="shared" si="418"/>
        <v>-1</v>
      </c>
      <c r="EW216" s="40">
        <f t="shared" si="419"/>
        <v>-1</v>
      </c>
      <c r="EX216" s="39">
        <f t="shared" si="420"/>
        <v>-1</v>
      </c>
      <c r="EY216" s="41">
        <f t="shared" si="421"/>
        <v>-1</v>
      </c>
      <c r="EZ216" s="40">
        <f t="shared" si="422"/>
        <v>-1</v>
      </c>
      <c r="FA216" s="39">
        <f t="shared" si="423"/>
        <v>-1</v>
      </c>
      <c r="FB216" s="42">
        <f t="shared" si="424"/>
        <v>-1</v>
      </c>
      <c r="FC216" s="43">
        <f t="shared" si="425"/>
        <v>-1</v>
      </c>
      <c r="FD216" s="39">
        <f t="shared" si="426"/>
        <v>-1</v>
      </c>
      <c r="FE216" s="41">
        <f t="shared" si="427"/>
        <v>-1</v>
      </c>
      <c r="FF216" s="40">
        <f t="shared" si="428"/>
        <v>-1</v>
      </c>
      <c r="FG216" s="39">
        <f t="shared" si="429"/>
        <v>-1</v>
      </c>
      <c r="FH216" s="41">
        <f t="shared" si="430"/>
        <v>-1</v>
      </c>
      <c r="FI216" s="40">
        <f t="shared" si="431"/>
        <v>-1</v>
      </c>
      <c r="FJ216" s="39">
        <f t="shared" si="432"/>
        <v>-1</v>
      </c>
      <c r="FK216" s="95">
        <f t="shared" si="433"/>
        <v>-1</v>
      </c>
      <c r="FL216" s="94">
        <f t="shared" si="434"/>
        <v>-1</v>
      </c>
      <c r="FM216" s="39">
        <f t="shared" si="435"/>
        <v>-1</v>
      </c>
      <c r="FN216" s="41">
        <f t="shared" si="436"/>
        <v>-1</v>
      </c>
      <c r="FO216" s="40">
        <f t="shared" si="437"/>
        <v>-1</v>
      </c>
      <c r="FP216" s="39">
        <f t="shared" si="438"/>
        <v>-1</v>
      </c>
      <c r="FQ216" s="41">
        <f t="shared" si="439"/>
        <v>-1</v>
      </c>
      <c r="FR216" s="40">
        <f t="shared" si="440"/>
        <v>-1</v>
      </c>
      <c r="FS216" s="39">
        <f t="shared" si="441"/>
        <v>-1</v>
      </c>
      <c r="FT216" s="42">
        <f t="shared" si="442"/>
        <v>-1</v>
      </c>
      <c r="FU216" s="43">
        <f t="shared" si="443"/>
        <v>-1</v>
      </c>
      <c r="FV216" s="39">
        <f t="shared" si="444"/>
        <v>-1</v>
      </c>
      <c r="FW216" s="41">
        <f t="shared" si="445"/>
        <v>-1</v>
      </c>
      <c r="FX216" s="40">
        <f t="shared" si="446"/>
        <v>-1</v>
      </c>
      <c r="FY216" s="39">
        <f t="shared" si="447"/>
        <v>-1</v>
      </c>
      <c r="FZ216" s="41">
        <f t="shared" si="448"/>
        <v>-1</v>
      </c>
      <c r="GA216" s="40">
        <f t="shared" si="449"/>
        <v>0</v>
      </c>
      <c r="GB216" s="39">
        <f t="shared" si="450"/>
        <v>0</v>
      </c>
      <c r="GC216" s="42">
        <f t="shared" si="451"/>
        <v>6</v>
      </c>
      <c r="GD216" s="43">
        <f t="shared" si="452"/>
        <v>4</v>
      </c>
      <c r="GE216" s="39">
        <f t="shared" si="453"/>
        <v>0</v>
      </c>
      <c r="GF216" s="41">
        <f t="shared" si="454"/>
        <v>0</v>
      </c>
      <c r="GG216" s="40">
        <f t="shared" si="455"/>
        <v>0</v>
      </c>
      <c r="GH216" s="39">
        <f t="shared" si="456"/>
        <v>0</v>
      </c>
      <c r="GI216" s="41">
        <f t="shared" si="457"/>
        <v>0</v>
      </c>
      <c r="GJ216" s="40">
        <f t="shared" si="458"/>
        <v>0</v>
      </c>
      <c r="GK216" s="39">
        <f t="shared" si="459"/>
        <v>0</v>
      </c>
      <c r="GL216" s="95">
        <f t="shared" si="460"/>
        <v>0</v>
      </c>
      <c r="GN216" s="40">
        <f>COUNTIF(DJ216:GL216,4)</f>
        <v>4</v>
      </c>
      <c r="GO216" s="39">
        <f>COUNTIF(DJ216:GL216,5)</f>
        <v>1</v>
      </c>
      <c r="GP216" s="41">
        <f>COUNTIF(DJ216:GL216,6)</f>
        <v>3</v>
      </c>
      <c r="GQ216" s="39"/>
      <c r="GR216" s="39"/>
      <c r="GT216" s="72">
        <f t="shared" ref="GT216:GV216" si="525">GT189</f>
        <v>4</v>
      </c>
      <c r="GU216" s="73">
        <f t="shared" si="525"/>
        <v>1</v>
      </c>
      <c r="GV216" s="74">
        <f t="shared" si="525"/>
        <v>3</v>
      </c>
    </row>
    <row r="217" spans="14:204" ht="15" customHeight="1" thickBot="1">
      <c r="N217" s="116">
        <f t="shared" si="501"/>
        <v>0</v>
      </c>
      <c r="O217" s="116">
        <f t="shared" si="501"/>
        <v>0</v>
      </c>
      <c r="P217" s="116">
        <f t="shared" si="501"/>
        <v>0</v>
      </c>
      <c r="Q217" s="116">
        <f t="shared" ref="Q217:CB217" si="526">Q214</f>
        <v>0</v>
      </c>
      <c r="R217" s="116">
        <f t="shared" si="526"/>
        <v>0</v>
      </c>
      <c r="S217" s="116">
        <f t="shared" si="526"/>
        <v>0</v>
      </c>
      <c r="T217" s="116">
        <f t="shared" si="526"/>
        <v>0</v>
      </c>
      <c r="U217" s="116">
        <f t="shared" si="526"/>
        <v>0</v>
      </c>
      <c r="V217" s="116">
        <f t="shared" si="526"/>
        <v>0</v>
      </c>
      <c r="W217" s="116">
        <f t="shared" si="526"/>
        <v>0</v>
      </c>
      <c r="X217" s="116">
        <f t="shared" si="526"/>
        <v>0</v>
      </c>
      <c r="Y217" s="116">
        <f t="shared" si="526"/>
        <v>0</v>
      </c>
      <c r="Z217" s="116">
        <f t="shared" si="526"/>
        <v>0</v>
      </c>
      <c r="AA217" s="116">
        <f t="shared" si="526"/>
        <v>0</v>
      </c>
      <c r="AB217" s="116">
        <f t="shared" si="526"/>
        <v>0</v>
      </c>
      <c r="AC217" s="116">
        <f t="shared" si="526"/>
        <v>0</v>
      </c>
      <c r="AD217" s="116">
        <f t="shared" si="526"/>
        <v>0</v>
      </c>
      <c r="AE217" s="116">
        <f t="shared" si="526"/>
        <v>0</v>
      </c>
      <c r="AF217" s="116">
        <f t="shared" si="526"/>
        <v>0</v>
      </c>
      <c r="AG217" s="116">
        <f t="shared" si="526"/>
        <v>0</v>
      </c>
      <c r="AH217" s="116">
        <f t="shared" si="526"/>
        <v>0</v>
      </c>
      <c r="AI217" s="116">
        <f t="shared" si="526"/>
        <v>0</v>
      </c>
      <c r="AJ217" s="116">
        <f t="shared" si="526"/>
        <v>0</v>
      </c>
      <c r="AK217" s="116">
        <f t="shared" si="526"/>
        <v>0</v>
      </c>
      <c r="AL217" s="116">
        <f t="shared" si="526"/>
        <v>0</v>
      </c>
      <c r="AM217" s="116">
        <f t="shared" si="526"/>
        <v>0</v>
      </c>
      <c r="AN217" s="116">
        <f t="shared" si="526"/>
        <v>0</v>
      </c>
      <c r="AO217" s="116">
        <f t="shared" si="526"/>
        <v>0</v>
      </c>
      <c r="AP217" s="116">
        <f t="shared" si="526"/>
        <v>0</v>
      </c>
      <c r="AQ217" s="116">
        <f t="shared" si="526"/>
        <v>0</v>
      </c>
      <c r="AR217" s="116">
        <f t="shared" si="526"/>
        <v>0</v>
      </c>
      <c r="AS217" s="116">
        <f t="shared" si="526"/>
        <v>0</v>
      </c>
      <c r="AT217" s="116">
        <f t="shared" si="526"/>
        <v>0</v>
      </c>
      <c r="AU217" s="116">
        <f t="shared" si="526"/>
        <v>0</v>
      </c>
      <c r="AV217" s="116">
        <f t="shared" si="526"/>
        <v>0</v>
      </c>
      <c r="AW217" s="116">
        <f t="shared" si="526"/>
        <v>0</v>
      </c>
      <c r="AX217" s="116">
        <f t="shared" si="526"/>
        <v>0</v>
      </c>
      <c r="AY217" s="116">
        <f t="shared" si="526"/>
        <v>0</v>
      </c>
      <c r="AZ217" s="116">
        <f t="shared" si="526"/>
        <v>0</v>
      </c>
      <c r="BA217" s="116">
        <f t="shared" si="526"/>
        <v>0</v>
      </c>
      <c r="BB217" s="116">
        <f t="shared" si="526"/>
        <v>0</v>
      </c>
      <c r="BC217" s="116">
        <f t="shared" si="526"/>
        <v>0</v>
      </c>
      <c r="BD217" s="116">
        <f t="shared" si="526"/>
        <v>0</v>
      </c>
      <c r="BE217" s="116">
        <f t="shared" si="526"/>
        <v>0</v>
      </c>
      <c r="BF217" s="116">
        <f t="shared" si="526"/>
        <v>0</v>
      </c>
      <c r="BG217" s="116">
        <f t="shared" si="526"/>
        <v>0</v>
      </c>
      <c r="BH217" s="116">
        <f t="shared" si="526"/>
        <v>0</v>
      </c>
      <c r="BI217" s="116">
        <f t="shared" si="526"/>
        <v>0</v>
      </c>
      <c r="BJ217" s="116">
        <f t="shared" si="526"/>
        <v>0</v>
      </c>
      <c r="BK217" s="116">
        <f t="shared" si="526"/>
        <v>0</v>
      </c>
      <c r="BL217" s="116">
        <f t="shared" si="526"/>
        <v>0</v>
      </c>
      <c r="BM217" s="116">
        <f t="shared" si="526"/>
        <v>0</v>
      </c>
      <c r="BN217" s="116">
        <f t="shared" si="526"/>
        <v>0</v>
      </c>
      <c r="BO217" s="116">
        <f t="shared" si="526"/>
        <v>0</v>
      </c>
      <c r="BP217" s="116">
        <f t="shared" si="526"/>
        <v>0</v>
      </c>
      <c r="BQ217" s="116">
        <f t="shared" si="526"/>
        <v>0</v>
      </c>
      <c r="BR217" s="116">
        <f t="shared" si="526"/>
        <v>0</v>
      </c>
      <c r="BS217" s="116">
        <f t="shared" si="526"/>
        <v>0</v>
      </c>
      <c r="BT217" s="116">
        <f t="shared" si="526"/>
        <v>0</v>
      </c>
      <c r="BU217" s="116">
        <f t="shared" si="526"/>
        <v>0</v>
      </c>
      <c r="BV217" s="116">
        <f t="shared" si="526"/>
        <v>0</v>
      </c>
      <c r="BW217" s="116">
        <f t="shared" si="526"/>
        <v>0</v>
      </c>
      <c r="BX217" s="116">
        <f t="shared" si="526"/>
        <v>0</v>
      </c>
      <c r="BY217" s="116">
        <f t="shared" si="526"/>
        <v>0</v>
      </c>
      <c r="BZ217" s="116">
        <f t="shared" si="526"/>
        <v>0</v>
      </c>
      <c r="CA217" s="116">
        <f t="shared" si="526"/>
        <v>0</v>
      </c>
      <c r="CB217" s="116">
        <f t="shared" si="526"/>
        <v>0</v>
      </c>
      <c r="CC217" s="116">
        <f t="shared" ref="CC217:CP217" si="527">CC214</f>
        <v>0</v>
      </c>
      <c r="CD217" s="116">
        <f t="shared" si="527"/>
        <v>0</v>
      </c>
      <c r="CE217" s="116">
        <f t="shared" si="527"/>
        <v>0</v>
      </c>
      <c r="CF217" s="116">
        <f t="shared" si="527"/>
        <v>0</v>
      </c>
      <c r="CG217" s="116">
        <f t="shared" si="527"/>
        <v>0</v>
      </c>
      <c r="CH217" s="116">
        <f t="shared" si="527"/>
        <v>0</v>
      </c>
      <c r="CI217" s="116">
        <f t="shared" si="527"/>
        <v>0</v>
      </c>
      <c r="CJ217" s="116">
        <f t="shared" si="527"/>
        <v>0</v>
      </c>
      <c r="CK217" s="116">
        <f t="shared" si="527"/>
        <v>0</v>
      </c>
      <c r="CL217" s="116">
        <f t="shared" si="527"/>
        <v>0</v>
      </c>
      <c r="CM217" s="116">
        <f t="shared" si="527"/>
        <v>0</v>
      </c>
      <c r="CN217" s="116">
        <f t="shared" si="527"/>
        <v>0</v>
      </c>
      <c r="CO217" s="116">
        <f t="shared" si="527"/>
        <v>0</v>
      </c>
      <c r="CP217" s="116">
        <f t="shared" si="527"/>
        <v>0</v>
      </c>
      <c r="DJ217" s="99">
        <f t="shared" si="380"/>
        <v>0</v>
      </c>
      <c r="DK217" s="45">
        <f t="shared" si="381"/>
        <v>0</v>
      </c>
      <c r="DL217" s="47">
        <f t="shared" si="382"/>
        <v>0</v>
      </c>
      <c r="DM217" s="46">
        <f t="shared" si="383"/>
        <v>0</v>
      </c>
      <c r="DN217" s="45">
        <f t="shared" si="384"/>
        <v>0</v>
      </c>
      <c r="DO217" s="47">
        <f t="shared" si="385"/>
        <v>0</v>
      </c>
      <c r="DP217" s="46">
        <f t="shared" si="386"/>
        <v>-1</v>
      </c>
      <c r="DQ217" s="45">
        <f t="shared" si="387"/>
        <v>-1</v>
      </c>
      <c r="DR217" s="48">
        <f t="shared" si="388"/>
        <v>-1</v>
      </c>
      <c r="DS217" s="44">
        <f t="shared" si="389"/>
        <v>0</v>
      </c>
      <c r="DT217" s="45">
        <f t="shared" si="390"/>
        <v>8</v>
      </c>
      <c r="DU217" s="47">
        <f t="shared" si="391"/>
        <v>0</v>
      </c>
      <c r="DV217" s="46">
        <f t="shared" si="392"/>
        <v>0</v>
      </c>
      <c r="DW217" s="45">
        <f t="shared" si="393"/>
        <v>0</v>
      </c>
      <c r="DX217" s="47">
        <f t="shared" si="394"/>
        <v>0</v>
      </c>
      <c r="DY217" s="46">
        <f t="shared" si="395"/>
        <v>-1</v>
      </c>
      <c r="DZ217" s="45">
        <f t="shared" si="396"/>
        <v>-1</v>
      </c>
      <c r="EA217" s="48">
        <f t="shared" si="397"/>
        <v>-1</v>
      </c>
      <c r="EB217" s="44">
        <f t="shared" si="398"/>
        <v>-1</v>
      </c>
      <c r="EC217" s="45">
        <f t="shared" si="399"/>
        <v>-1</v>
      </c>
      <c r="ED217" s="47">
        <f t="shared" si="400"/>
        <v>-1</v>
      </c>
      <c r="EE217" s="46">
        <f t="shared" si="401"/>
        <v>-1</v>
      </c>
      <c r="EF217" s="45">
        <f t="shared" si="402"/>
        <v>-1</v>
      </c>
      <c r="EG217" s="47">
        <f t="shared" si="403"/>
        <v>-1</v>
      </c>
      <c r="EH217" s="46">
        <f t="shared" si="404"/>
        <v>-1</v>
      </c>
      <c r="EI217" s="45">
        <f t="shared" si="405"/>
        <v>-1</v>
      </c>
      <c r="EJ217" s="100">
        <f t="shared" si="406"/>
        <v>-1</v>
      </c>
      <c r="EK217" s="99">
        <f t="shared" si="407"/>
        <v>-1</v>
      </c>
      <c r="EL217" s="45">
        <f t="shared" si="408"/>
        <v>-1</v>
      </c>
      <c r="EM217" s="47">
        <f t="shared" si="409"/>
        <v>-1</v>
      </c>
      <c r="EN217" s="46">
        <f t="shared" si="410"/>
        <v>-1</v>
      </c>
      <c r="EO217" s="45">
        <f t="shared" si="411"/>
        <v>-1</v>
      </c>
      <c r="EP217" s="47">
        <f t="shared" si="412"/>
        <v>-1</v>
      </c>
      <c r="EQ217" s="46">
        <f t="shared" si="413"/>
        <v>-1</v>
      </c>
      <c r="ER217" s="45">
        <f t="shared" si="414"/>
        <v>-1</v>
      </c>
      <c r="ES217" s="48">
        <f t="shared" si="415"/>
        <v>-1</v>
      </c>
      <c r="ET217" s="44">
        <f t="shared" si="416"/>
        <v>-1</v>
      </c>
      <c r="EU217" s="45">
        <f t="shared" si="417"/>
        <v>-1</v>
      </c>
      <c r="EV217" s="47">
        <f t="shared" si="418"/>
        <v>-1</v>
      </c>
      <c r="EW217" s="46">
        <f t="shared" si="419"/>
        <v>-1</v>
      </c>
      <c r="EX217" s="45">
        <f t="shared" si="420"/>
        <v>-1</v>
      </c>
      <c r="EY217" s="47">
        <f t="shared" si="421"/>
        <v>-1</v>
      </c>
      <c r="EZ217" s="46">
        <f t="shared" si="422"/>
        <v>-1</v>
      </c>
      <c r="FA217" s="45">
        <f t="shared" si="423"/>
        <v>-1</v>
      </c>
      <c r="FB217" s="48">
        <f t="shared" si="424"/>
        <v>-1</v>
      </c>
      <c r="FC217" s="44">
        <f t="shared" si="425"/>
        <v>-1</v>
      </c>
      <c r="FD217" s="45">
        <f t="shared" si="426"/>
        <v>-1</v>
      </c>
      <c r="FE217" s="47">
        <f t="shared" si="427"/>
        <v>-1</v>
      </c>
      <c r="FF217" s="46">
        <f t="shared" si="428"/>
        <v>-1</v>
      </c>
      <c r="FG217" s="45">
        <f t="shared" si="429"/>
        <v>-1</v>
      </c>
      <c r="FH217" s="47">
        <f t="shared" si="430"/>
        <v>-1</v>
      </c>
      <c r="FI217" s="46">
        <f t="shared" si="431"/>
        <v>-1</v>
      </c>
      <c r="FJ217" s="45">
        <f t="shared" si="432"/>
        <v>-1</v>
      </c>
      <c r="FK217" s="100">
        <f t="shared" si="433"/>
        <v>-1</v>
      </c>
      <c r="FL217" s="99">
        <f t="shared" si="434"/>
        <v>-1</v>
      </c>
      <c r="FM217" s="45">
        <f t="shared" si="435"/>
        <v>-1</v>
      </c>
      <c r="FN217" s="47">
        <f t="shared" si="436"/>
        <v>-1</v>
      </c>
      <c r="FO217" s="46">
        <f t="shared" si="437"/>
        <v>-1</v>
      </c>
      <c r="FP217" s="45">
        <f t="shared" si="438"/>
        <v>-1</v>
      </c>
      <c r="FQ217" s="47">
        <f t="shared" si="439"/>
        <v>-1</v>
      </c>
      <c r="FR217" s="46">
        <f t="shared" si="440"/>
        <v>-1</v>
      </c>
      <c r="FS217" s="45">
        <f t="shared" si="441"/>
        <v>-1</v>
      </c>
      <c r="FT217" s="48">
        <f t="shared" si="442"/>
        <v>-1</v>
      </c>
      <c r="FU217" s="44">
        <f t="shared" si="443"/>
        <v>-1</v>
      </c>
      <c r="FV217" s="45">
        <f t="shared" si="444"/>
        <v>-1</v>
      </c>
      <c r="FW217" s="47">
        <f t="shared" si="445"/>
        <v>-1</v>
      </c>
      <c r="FX217" s="46">
        <f t="shared" si="446"/>
        <v>-1</v>
      </c>
      <c r="FY217" s="45">
        <f t="shared" si="447"/>
        <v>-1</v>
      </c>
      <c r="FZ217" s="47">
        <f t="shared" si="448"/>
        <v>-1</v>
      </c>
      <c r="GA217" s="46">
        <f t="shared" si="449"/>
        <v>0</v>
      </c>
      <c r="GB217" s="45">
        <f t="shared" si="450"/>
        <v>8</v>
      </c>
      <c r="GC217" s="48">
        <f t="shared" si="451"/>
        <v>0</v>
      </c>
      <c r="GD217" s="44">
        <f t="shared" si="452"/>
        <v>0</v>
      </c>
      <c r="GE217" s="45">
        <f t="shared" si="453"/>
        <v>8</v>
      </c>
      <c r="GF217" s="47">
        <f t="shared" si="454"/>
        <v>0</v>
      </c>
      <c r="GG217" s="46">
        <f t="shared" si="455"/>
        <v>0</v>
      </c>
      <c r="GH217" s="45">
        <f t="shared" si="456"/>
        <v>8</v>
      </c>
      <c r="GI217" s="47">
        <f t="shared" si="457"/>
        <v>0</v>
      </c>
      <c r="GJ217" s="46">
        <f t="shared" si="458"/>
        <v>0</v>
      </c>
      <c r="GK217" s="45">
        <f t="shared" si="459"/>
        <v>8</v>
      </c>
      <c r="GL217" s="100">
        <f t="shared" si="460"/>
        <v>0</v>
      </c>
      <c r="GN217" s="46">
        <f>COUNTIF(DJ217:GL217,7)</f>
        <v>0</v>
      </c>
      <c r="GO217" s="45">
        <f>COUNTIF(DJ217:GL217,8)</f>
        <v>5</v>
      </c>
      <c r="GP217" s="47">
        <f>COUNTIF(DJ217:GL217,9)</f>
        <v>0</v>
      </c>
      <c r="GQ217" s="39"/>
      <c r="GR217" s="39"/>
      <c r="GT217" s="78">
        <f t="shared" ref="GT217:GV217" si="528">GT190</f>
        <v>0</v>
      </c>
      <c r="GU217" s="79">
        <f t="shared" si="528"/>
        <v>5</v>
      </c>
      <c r="GV217" s="80">
        <f t="shared" si="528"/>
        <v>0</v>
      </c>
    </row>
    <row r="218" spans="14:204" ht="15" customHeight="1">
      <c r="N218" s="116">
        <f t="shared" si="501"/>
        <v>0</v>
      </c>
      <c r="O218" s="116">
        <f t="shared" si="501"/>
        <v>0</v>
      </c>
      <c r="P218" s="116">
        <f t="shared" si="501"/>
        <v>0</v>
      </c>
      <c r="Q218" s="116">
        <f t="shared" ref="Q218:CB218" si="529">Q215</f>
        <v>0</v>
      </c>
      <c r="R218" s="116">
        <f t="shared" si="529"/>
        <v>0</v>
      </c>
      <c r="S218" s="116">
        <f t="shared" si="529"/>
        <v>0</v>
      </c>
      <c r="T218" s="116">
        <f t="shared" si="529"/>
        <v>0</v>
      </c>
      <c r="U218" s="116">
        <f t="shared" si="529"/>
        <v>0</v>
      </c>
      <c r="V218" s="116">
        <f t="shared" si="529"/>
        <v>0</v>
      </c>
      <c r="W218" s="116">
        <f t="shared" si="529"/>
        <v>0</v>
      </c>
      <c r="X218" s="116">
        <f t="shared" si="529"/>
        <v>0</v>
      </c>
      <c r="Y218" s="116">
        <f t="shared" si="529"/>
        <v>0</v>
      </c>
      <c r="Z218" s="116">
        <f t="shared" si="529"/>
        <v>0</v>
      </c>
      <c r="AA218" s="116">
        <f t="shared" si="529"/>
        <v>0</v>
      </c>
      <c r="AB218" s="116">
        <f t="shared" si="529"/>
        <v>0</v>
      </c>
      <c r="AC218" s="116">
        <f t="shared" si="529"/>
        <v>0</v>
      </c>
      <c r="AD218" s="116">
        <f t="shared" si="529"/>
        <v>0</v>
      </c>
      <c r="AE218" s="116">
        <f t="shared" si="529"/>
        <v>0</v>
      </c>
      <c r="AF218" s="116">
        <f t="shared" si="529"/>
        <v>0</v>
      </c>
      <c r="AG218" s="116">
        <f t="shared" si="529"/>
        <v>0</v>
      </c>
      <c r="AH218" s="116">
        <f t="shared" si="529"/>
        <v>0</v>
      </c>
      <c r="AI218" s="116">
        <f t="shared" si="529"/>
        <v>0</v>
      </c>
      <c r="AJ218" s="116">
        <f t="shared" si="529"/>
        <v>0</v>
      </c>
      <c r="AK218" s="116">
        <f t="shared" si="529"/>
        <v>0</v>
      </c>
      <c r="AL218" s="116">
        <f t="shared" si="529"/>
        <v>0</v>
      </c>
      <c r="AM218" s="116">
        <f t="shared" si="529"/>
        <v>0</v>
      </c>
      <c r="AN218" s="116">
        <f t="shared" si="529"/>
        <v>0</v>
      </c>
      <c r="AO218" s="116">
        <f t="shared" si="529"/>
        <v>0</v>
      </c>
      <c r="AP218" s="116">
        <f t="shared" si="529"/>
        <v>0</v>
      </c>
      <c r="AQ218" s="116">
        <f t="shared" si="529"/>
        <v>0</v>
      </c>
      <c r="AR218" s="116">
        <f t="shared" si="529"/>
        <v>0</v>
      </c>
      <c r="AS218" s="116">
        <f t="shared" si="529"/>
        <v>0</v>
      </c>
      <c r="AT218" s="116">
        <f t="shared" si="529"/>
        <v>0</v>
      </c>
      <c r="AU218" s="116">
        <f t="shared" si="529"/>
        <v>0</v>
      </c>
      <c r="AV218" s="116">
        <f t="shared" si="529"/>
        <v>0</v>
      </c>
      <c r="AW218" s="116">
        <f t="shared" si="529"/>
        <v>0</v>
      </c>
      <c r="AX218" s="116">
        <f t="shared" si="529"/>
        <v>0</v>
      </c>
      <c r="AY218" s="116">
        <f t="shared" si="529"/>
        <v>0</v>
      </c>
      <c r="AZ218" s="116">
        <f t="shared" si="529"/>
        <v>0</v>
      </c>
      <c r="BA218" s="116">
        <f t="shared" si="529"/>
        <v>0</v>
      </c>
      <c r="BB218" s="116">
        <f t="shared" si="529"/>
        <v>0</v>
      </c>
      <c r="BC218" s="116">
        <f t="shared" si="529"/>
        <v>0</v>
      </c>
      <c r="BD218" s="116">
        <f t="shared" si="529"/>
        <v>0</v>
      </c>
      <c r="BE218" s="116">
        <f t="shared" si="529"/>
        <v>0</v>
      </c>
      <c r="BF218" s="116">
        <f t="shared" si="529"/>
        <v>0</v>
      </c>
      <c r="BG218" s="116">
        <f t="shared" si="529"/>
        <v>0</v>
      </c>
      <c r="BH218" s="116">
        <f t="shared" si="529"/>
        <v>0</v>
      </c>
      <c r="BI218" s="116">
        <f t="shared" si="529"/>
        <v>0</v>
      </c>
      <c r="BJ218" s="116">
        <f t="shared" si="529"/>
        <v>0</v>
      </c>
      <c r="BK218" s="116">
        <f t="shared" si="529"/>
        <v>0</v>
      </c>
      <c r="BL218" s="116">
        <f t="shared" si="529"/>
        <v>0</v>
      </c>
      <c r="BM218" s="116">
        <f t="shared" si="529"/>
        <v>0</v>
      </c>
      <c r="BN218" s="116">
        <f t="shared" si="529"/>
        <v>0</v>
      </c>
      <c r="BO218" s="116">
        <f t="shared" si="529"/>
        <v>0</v>
      </c>
      <c r="BP218" s="116">
        <f t="shared" si="529"/>
        <v>0</v>
      </c>
      <c r="BQ218" s="116">
        <f t="shared" si="529"/>
        <v>0</v>
      </c>
      <c r="BR218" s="116">
        <f t="shared" si="529"/>
        <v>0</v>
      </c>
      <c r="BS218" s="116">
        <f t="shared" si="529"/>
        <v>0</v>
      </c>
      <c r="BT218" s="116">
        <f t="shared" si="529"/>
        <v>0</v>
      </c>
      <c r="BU218" s="116">
        <f t="shared" si="529"/>
        <v>0</v>
      </c>
      <c r="BV218" s="116">
        <f t="shared" si="529"/>
        <v>0</v>
      </c>
      <c r="BW218" s="116">
        <f t="shared" si="529"/>
        <v>0</v>
      </c>
      <c r="BX218" s="116">
        <f t="shared" si="529"/>
        <v>0</v>
      </c>
      <c r="BY218" s="116">
        <f t="shared" si="529"/>
        <v>0</v>
      </c>
      <c r="BZ218" s="116">
        <f t="shared" si="529"/>
        <v>0</v>
      </c>
      <c r="CA218" s="116">
        <f t="shared" si="529"/>
        <v>0</v>
      </c>
      <c r="CB218" s="116">
        <f t="shared" si="529"/>
        <v>0</v>
      </c>
      <c r="CC218" s="116">
        <f t="shared" ref="CC218:CP218" si="530">CC215</f>
        <v>0</v>
      </c>
      <c r="CD218" s="116">
        <f t="shared" si="530"/>
        <v>0</v>
      </c>
      <c r="CE218" s="116">
        <f t="shared" si="530"/>
        <v>0</v>
      </c>
      <c r="CF218" s="116">
        <f t="shared" si="530"/>
        <v>0</v>
      </c>
      <c r="CG218" s="116">
        <f t="shared" si="530"/>
        <v>0</v>
      </c>
      <c r="CH218" s="116">
        <f t="shared" si="530"/>
        <v>0</v>
      </c>
      <c r="CI218" s="116">
        <f t="shared" si="530"/>
        <v>0</v>
      </c>
      <c r="CJ218" s="116">
        <f t="shared" si="530"/>
        <v>0</v>
      </c>
      <c r="CK218" s="116">
        <f t="shared" si="530"/>
        <v>0</v>
      </c>
      <c r="CL218" s="116">
        <f t="shared" si="530"/>
        <v>0</v>
      </c>
      <c r="CM218" s="116">
        <f t="shared" si="530"/>
        <v>0</v>
      </c>
      <c r="CN218" s="116">
        <f t="shared" si="530"/>
        <v>0</v>
      </c>
      <c r="CO218" s="116">
        <f t="shared" si="530"/>
        <v>0</v>
      </c>
      <c r="CP218" s="116">
        <f t="shared" si="530"/>
        <v>0</v>
      </c>
      <c r="DJ218" s="104">
        <f t="shared" si="380"/>
        <v>1</v>
      </c>
      <c r="DK218" s="50">
        <f t="shared" si="381"/>
        <v>0</v>
      </c>
      <c r="DL218" s="51">
        <f t="shared" si="382"/>
        <v>3</v>
      </c>
      <c r="DM218" s="52">
        <f t="shared" si="383"/>
        <v>1</v>
      </c>
      <c r="DN218" s="50">
        <f t="shared" si="384"/>
        <v>0</v>
      </c>
      <c r="DO218" s="51">
        <f t="shared" si="385"/>
        <v>0</v>
      </c>
      <c r="DP218" s="52">
        <f t="shared" si="386"/>
        <v>0</v>
      </c>
      <c r="DQ218" s="50">
        <f t="shared" si="387"/>
        <v>0</v>
      </c>
      <c r="DR218" s="53">
        <f t="shared" si="388"/>
        <v>0</v>
      </c>
      <c r="DS218" s="49">
        <f t="shared" si="389"/>
        <v>1</v>
      </c>
      <c r="DT218" s="50">
        <f t="shared" si="390"/>
        <v>0</v>
      </c>
      <c r="DU218" s="51">
        <f t="shared" si="391"/>
        <v>0</v>
      </c>
      <c r="DV218" s="52">
        <f t="shared" si="392"/>
        <v>-1</v>
      </c>
      <c r="DW218" s="50">
        <f t="shared" si="393"/>
        <v>-1</v>
      </c>
      <c r="DX218" s="51">
        <f t="shared" si="394"/>
        <v>-1</v>
      </c>
      <c r="DY218" s="52">
        <f t="shared" si="395"/>
        <v>-1</v>
      </c>
      <c r="DZ218" s="50">
        <f t="shared" si="396"/>
        <v>-1</v>
      </c>
      <c r="EA218" s="53">
        <f t="shared" si="397"/>
        <v>-1</v>
      </c>
      <c r="EB218" s="49">
        <f t="shared" si="398"/>
        <v>-1</v>
      </c>
      <c r="EC218" s="50">
        <f t="shared" si="399"/>
        <v>-1</v>
      </c>
      <c r="ED218" s="51">
        <f t="shared" si="400"/>
        <v>-1</v>
      </c>
      <c r="EE218" s="52">
        <f t="shared" si="401"/>
        <v>-1</v>
      </c>
      <c r="EF218" s="50">
        <f t="shared" si="402"/>
        <v>-1</v>
      </c>
      <c r="EG218" s="51">
        <f t="shared" si="403"/>
        <v>-1</v>
      </c>
      <c r="EH218" s="52">
        <f t="shared" si="404"/>
        <v>-1</v>
      </c>
      <c r="EI218" s="50">
        <f t="shared" si="405"/>
        <v>-1</v>
      </c>
      <c r="EJ218" s="105">
        <f t="shared" si="406"/>
        <v>-1</v>
      </c>
      <c r="EK218" s="104">
        <f t="shared" si="407"/>
        <v>-1</v>
      </c>
      <c r="EL218" s="50">
        <f t="shared" si="408"/>
        <v>-1</v>
      </c>
      <c r="EM218" s="51">
        <f t="shared" si="409"/>
        <v>-1</v>
      </c>
      <c r="EN218" s="52">
        <f t="shared" si="410"/>
        <v>-1</v>
      </c>
      <c r="EO218" s="50">
        <f t="shared" si="411"/>
        <v>-1</v>
      </c>
      <c r="EP218" s="51">
        <f t="shared" si="412"/>
        <v>-1</v>
      </c>
      <c r="EQ218" s="52">
        <f t="shared" si="413"/>
        <v>-1</v>
      </c>
      <c r="ER218" s="50">
        <f t="shared" si="414"/>
        <v>-1</v>
      </c>
      <c r="ES218" s="53">
        <f t="shared" si="415"/>
        <v>-1</v>
      </c>
      <c r="ET218" s="49">
        <f t="shared" si="416"/>
        <v>-1</v>
      </c>
      <c r="EU218" s="50">
        <f t="shared" si="417"/>
        <v>-1</v>
      </c>
      <c r="EV218" s="51">
        <f t="shared" si="418"/>
        <v>-1</v>
      </c>
      <c r="EW218" s="52">
        <f t="shared" si="419"/>
        <v>-1</v>
      </c>
      <c r="EX218" s="50">
        <f t="shared" si="420"/>
        <v>-1</v>
      </c>
      <c r="EY218" s="51">
        <f t="shared" si="421"/>
        <v>-1</v>
      </c>
      <c r="EZ218" s="52">
        <f t="shared" si="422"/>
        <v>-1</v>
      </c>
      <c r="FA218" s="50">
        <f t="shared" si="423"/>
        <v>-1</v>
      </c>
      <c r="FB218" s="53">
        <f t="shared" si="424"/>
        <v>-1</v>
      </c>
      <c r="FC218" s="49">
        <f t="shared" si="425"/>
        <v>-1</v>
      </c>
      <c r="FD218" s="50">
        <f t="shared" si="426"/>
        <v>-1</v>
      </c>
      <c r="FE218" s="51">
        <f t="shared" si="427"/>
        <v>-1</v>
      </c>
      <c r="FF218" s="52">
        <f t="shared" si="428"/>
        <v>-1</v>
      </c>
      <c r="FG218" s="50">
        <f t="shared" si="429"/>
        <v>-1</v>
      </c>
      <c r="FH218" s="51">
        <f t="shared" si="430"/>
        <v>-1</v>
      </c>
      <c r="FI218" s="52">
        <f t="shared" si="431"/>
        <v>-1</v>
      </c>
      <c r="FJ218" s="50">
        <f t="shared" si="432"/>
        <v>-1</v>
      </c>
      <c r="FK218" s="105">
        <f t="shared" si="433"/>
        <v>-1</v>
      </c>
      <c r="FL218" s="104">
        <f t="shared" si="434"/>
        <v>-1</v>
      </c>
      <c r="FM218" s="50">
        <f t="shared" si="435"/>
        <v>-1</v>
      </c>
      <c r="FN218" s="51">
        <f t="shared" si="436"/>
        <v>-1</v>
      </c>
      <c r="FO218" s="52">
        <f t="shared" si="437"/>
        <v>-1</v>
      </c>
      <c r="FP218" s="50">
        <f t="shared" si="438"/>
        <v>-1</v>
      </c>
      <c r="FQ218" s="51">
        <f t="shared" si="439"/>
        <v>-1</v>
      </c>
      <c r="FR218" s="52">
        <f t="shared" si="440"/>
        <v>-1</v>
      </c>
      <c r="FS218" s="50">
        <f t="shared" si="441"/>
        <v>-1</v>
      </c>
      <c r="FT218" s="53">
        <f t="shared" si="442"/>
        <v>-1</v>
      </c>
      <c r="FU218" s="49">
        <f t="shared" si="443"/>
        <v>-1</v>
      </c>
      <c r="FV218" s="50">
        <f t="shared" si="444"/>
        <v>-1</v>
      </c>
      <c r="FW218" s="51">
        <f t="shared" si="445"/>
        <v>-1</v>
      </c>
      <c r="FX218" s="52">
        <f t="shared" si="446"/>
        <v>0</v>
      </c>
      <c r="FY218" s="50">
        <f t="shared" si="447"/>
        <v>0</v>
      </c>
      <c r="FZ218" s="51">
        <f t="shared" si="448"/>
        <v>0</v>
      </c>
      <c r="GA218" s="52">
        <f t="shared" si="449"/>
        <v>1</v>
      </c>
      <c r="GB218" s="50">
        <f t="shared" si="450"/>
        <v>0</v>
      </c>
      <c r="GC218" s="53">
        <f t="shared" si="451"/>
        <v>3</v>
      </c>
      <c r="GD218" s="49">
        <f t="shared" si="452"/>
        <v>1</v>
      </c>
      <c r="GE218" s="50">
        <f t="shared" si="453"/>
        <v>0</v>
      </c>
      <c r="GF218" s="51">
        <f t="shared" si="454"/>
        <v>3</v>
      </c>
      <c r="GG218" s="52">
        <f t="shared" si="455"/>
        <v>0</v>
      </c>
      <c r="GH218" s="50">
        <f t="shared" si="456"/>
        <v>0</v>
      </c>
      <c r="GI218" s="51">
        <f t="shared" si="457"/>
        <v>0</v>
      </c>
      <c r="GJ218" s="52">
        <f t="shared" si="458"/>
        <v>0</v>
      </c>
      <c r="GK218" s="50">
        <f t="shared" si="459"/>
        <v>0</v>
      </c>
      <c r="GL218" s="105">
        <f t="shared" si="460"/>
        <v>3</v>
      </c>
      <c r="GN218" s="52">
        <f>COUNTIF(DJ218:GL218,1)</f>
        <v>5</v>
      </c>
      <c r="GO218" s="50">
        <f>COUNTIF(DJ218:GL218,2)</f>
        <v>0</v>
      </c>
      <c r="GP218" s="51">
        <f>COUNTIF(DJ218:GL218,3)</f>
        <v>4</v>
      </c>
      <c r="GQ218" s="39"/>
      <c r="GR218" s="39"/>
      <c r="GT218" s="65">
        <f t="shared" ref="GT218:GV218" si="531">GT191</f>
        <v>5</v>
      </c>
      <c r="GU218" s="66">
        <f t="shared" si="531"/>
        <v>0</v>
      </c>
      <c r="GV218" s="67">
        <f t="shared" si="531"/>
        <v>4</v>
      </c>
    </row>
    <row r="219" spans="14:204" ht="15" customHeight="1">
      <c r="N219" s="116">
        <f t="shared" si="501"/>
        <v>0</v>
      </c>
      <c r="O219" s="116">
        <f t="shared" si="501"/>
        <v>0</v>
      </c>
      <c r="P219" s="116">
        <f t="shared" si="501"/>
        <v>0</v>
      </c>
      <c r="Q219" s="116">
        <f t="shared" ref="Q219:CB219" si="532">Q216</f>
        <v>0</v>
      </c>
      <c r="R219" s="116">
        <f t="shared" si="532"/>
        <v>0</v>
      </c>
      <c r="S219" s="116">
        <f t="shared" si="532"/>
        <v>0</v>
      </c>
      <c r="T219" s="116">
        <f t="shared" si="532"/>
        <v>0</v>
      </c>
      <c r="U219" s="116">
        <f t="shared" si="532"/>
        <v>0</v>
      </c>
      <c r="V219" s="116">
        <f t="shared" si="532"/>
        <v>0</v>
      </c>
      <c r="W219" s="116">
        <f t="shared" si="532"/>
        <v>0</v>
      </c>
      <c r="X219" s="116">
        <f t="shared" si="532"/>
        <v>0</v>
      </c>
      <c r="Y219" s="116">
        <f t="shared" si="532"/>
        <v>0</v>
      </c>
      <c r="Z219" s="116">
        <f t="shared" si="532"/>
        <v>0</v>
      </c>
      <c r="AA219" s="116">
        <f t="shared" si="532"/>
        <v>0</v>
      </c>
      <c r="AB219" s="116">
        <f t="shared" si="532"/>
        <v>0</v>
      </c>
      <c r="AC219" s="116">
        <f t="shared" si="532"/>
        <v>0</v>
      </c>
      <c r="AD219" s="116">
        <f t="shared" si="532"/>
        <v>0</v>
      </c>
      <c r="AE219" s="116">
        <f t="shared" si="532"/>
        <v>0</v>
      </c>
      <c r="AF219" s="116">
        <f t="shared" si="532"/>
        <v>0</v>
      </c>
      <c r="AG219" s="116">
        <f t="shared" si="532"/>
        <v>0</v>
      </c>
      <c r="AH219" s="116">
        <f t="shared" si="532"/>
        <v>0</v>
      </c>
      <c r="AI219" s="116">
        <f t="shared" si="532"/>
        <v>0</v>
      </c>
      <c r="AJ219" s="116">
        <f t="shared" si="532"/>
        <v>0</v>
      </c>
      <c r="AK219" s="116">
        <f t="shared" si="532"/>
        <v>0</v>
      </c>
      <c r="AL219" s="116">
        <f t="shared" si="532"/>
        <v>0</v>
      </c>
      <c r="AM219" s="116">
        <f t="shared" si="532"/>
        <v>0</v>
      </c>
      <c r="AN219" s="116">
        <f t="shared" si="532"/>
        <v>0</v>
      </c>
      <c r="AO219" s="116">
        <f t="shared" si="532"/>
        <v>0</v>
      </c>
      <c r="AP219" s="116">
        <f t="shared" si="532"/>
        <v>0</v>
      </c>
      <c r="AQ219" s="116">
        <f t="shared" si="532"/>
        <v>0</v>
      </c>
      <c r="AR219" s="116">
        <f t="shared" si="532"/>
        <v>0</v>
      </c>
      <c r="AS219" s="116">
        <f t="shared" si="532"/>
        <v>0</v>
      </c>
      <c r="AT219" s="116">
        <f t="shared" si="532"/>
        <v>0</v>
      </c>
      <c r="AU219" s="116">
        <f t="shared" si="532"/>
        <v>0</v>
      </c>
      <c r="AV219" s="116">
        <f t="shared" si="532"/>
        <v>0</v>
      </c>
      <c r="AW219" s="116">
        <f t="shared" si="532"/>
        <v>0</v>
      </c>
      <c r="AX219" s="116">
        <f t="shared" si="532"/>
        <v>0</v>
      </c>
      <c r="AY219" s="116">
        <f t="shared" si="532"/>
        <v>0</v>
      </c>
      <c r="AZ219" s="116">
        <f t="shared" si="532"/>
        <v>0</v>
      </c>
      <c r="BA219" s="116">
        <f t="shared" si="532"/>
        <v>0</v>
      </c>
      <c r="BB219" s="116">
        <f t="shared" si="532"/>
        <v>0</v>
      </c>
      <c r="BC219" s="116">
        <f t="shared" si="532"/>
        <v>0</v>
      </c>
      <c r="BD219" s="116">
        <f t="shared" si="532"/>
        <v>0</v>
      </c>
      <c r="BE219" s="116">
        <f t="shared" si="532"/>
        <v>0</v>
      </c>
      <c r="BF219" s="116">
        <f t="shared" si="532"/>
        <v>0</v>
      </c>
      <c r="BG219" s="116">
        <f t="shared" si="532"/>
        <v>0</v>
      </c>
      <c r="BH219" s="116">
        <f t="shared" si="532"/>
        <v>0</v>
      </c>
      <c r="BI219" s="116">
        <f t="shared" si="532"/>
        <v>0</v>
      </c>
      <c r="BJ219" s="116">
        <f t="shared" si="532"/>
        <v>0</v>
      </c>
      <c r="BK219" s="116">
        <f t="shared" si="532"/>
        <v>0</v>
      </c>
      <c r="BL219" s="116">
        <f t="shared" si="532"/>
        <v>0</v>
      </c>
      <c r="BM219" s="116">
        <f t="shared" si="532"/>
        <v>0</v>
      </c>
      <c r="BN219" s="116">
        <f t="shared" si="532"/>
        <v>0</v>
      </c>
      <c r="BO219" s="116">
        <f t="shared" si="532"/>
        <v>0</v>
      </c>
      <c r="BP219" s="116">
        <f t="shared" si="532"/>
        <v>0</v>
      </c>
      <c r="BQ219" s="116">
        <f t="shared" si="532"/>
        <v>0</v>
      </c>
      <c r="BR219" s="116">
        <f t="shared" si="532"/>
        <v>0</v>
      </c>
      <c r="BS219" s="116">
        <f t="shared" si="532"/>
        <v>0</v>
      </c>
      <c r="BT219" s="116">
        <f t="shared" si="532"/>
        <v>0</v>
      </c>
      <c r="BU219" s="116">
        <f t="shared" si="532"/>
        <v>0</v>
      </c>
      <c r="BV219" s="116">
        <f t="shared" si="532"/>
        <v>0</v>
      </c>
      <c r="BW219" s="116">
        <f t="shared" si="532"/>
        <v>0</v>
      </c>
      <c r="BX219" s="116">
        <f t="shared" si="532"/>
        <v>0</v>
      </c>
      <c r="BY219" s="116">
        <f t="shared" si="532"/>
        <v>0</v>
      </c>
      <c r="BZ219" s="116">
        <f t="shared" si="532"/>
        <v>0</v>
      </c>
      <c r="CA219" s="116">
        <f t="shared" si="532"/>
        <v>0</v>
      </c>
      <c r="CB219" s="116">
        <f t="shared" si="532"/>
        <v>0</v>
      </c>
      <c r="CC219" s="116">
        <f t="shared" ref="CC219:CP219" si="533">CC216</f>
        <v>0</v>
      </c>
      <c r="CD219" s="116">
        <f t="shared" si="533"/>
        <v>0</v>
      </c>
      <c r="CE219" s="116">
        <f t="shared" si="533"/>
        <v>0</v>
      </c>
      <c r="CF219" s="116">
        <f t="shared" si="533"/>
        <v>0</v>
      </c>
      <c r="CG219" s="116">
        <f t="shared" si="533"/>
        <v>0</v>
      </c>
      <c r="CH219" s="116">
        <f t="shared" si="533"/>
        <v>0</v>
      </c>
      <c r="CI219" s="116">
        <f t="shared" si="533"/>
        <v>0</v>
      </c>
      <c r="CJ219" s="116">
        <f t="shared" si="533"/>
        <v>0</v>
      </c>
      <c r="CK219" s="116">
        <f t="shared" si="533"/>
        <v>0</v>
      </c>
      <c r="CL219" s="116">
        <f t="shared" si="533"/>
        <v>0</v>
      </c>
      <c r="CM219" s="116">
        <f t="shared" si="533"/>
        <v>0</v>
      </c>
      <c r="CN219" s="116">
        <f t="shared" si="533"/>
        <v>0</v>
      </c>
      <c r="CO219" s="116">
        <f t="shared" si="533"/>
        <v>0</v>
      </c>
      <c r="CP219" s="116">
        <f t="shared" si="533"/>
        <v>0</v>
      </c>
      <c r="DJ219" s="94">
        <f t="shared" si="380"/>
        <v>4</v>
      </c>
      <c r="DK219" s="39">
        <f t="shared" si="381"/>
        <v>0</v>
      </c>
      <c r="DL219" s="41">
        <f t="shared" si="382"/>
        <v>0</v>
      </c>
      <c r="DM219" s="40">
        <f t="shared" si="383"/>
        <v>4</v>
      </c>
      <c r="DN219" s="39">
        <f t="shared" si="384"/>
        <v>0</v>
      </c>
      <c r="DO219" s="41">
        <f t="shared" si="385"/>
        <v>6</v>
      </c>
      <c r="DP219" s="40">
        <f t="shared" si="386"/>
        <v>0</v>
      </c>
      <c r="DQ219" s="39">
        <f t="shared" si="387"/>
        <v>0</v>
      </c>
      <c r="DR219" s="42">
        <f t="shared" si="388"/>
        <v>0</v>
      </c>
      <c r="DS219" s="43">
        <f t="shared" si="389"/>
        <v>4</v>
      </c>
      <c r="DT219" s="39">
        <f t="shared" si="390"/>
        <v>0</v>
      </c>
      <c r="DU219" s="41">
        <f t="shared" si="391"/>
        <v>6</v>
      </c>
      <c r="DV219" s="40">
        <f t="shared" si="392"/>
        <v>-1</v>
      </c>
      <c r="DW219" s="39">
        <f t="shared" si="393"/>
        <v>-1</v>
      </c>
      <c r="DX219" s="41">
        <f t="shared" si="394"/>
        <v>-1</v>
      </c>
      <c r="DY219" s="40">
        <f t="shared" si="395"/>
        <v>-1</v>
      </c>
      <c r="DZ219" s="39">
        <f t="shared" si="396"/>
        <v>-1</v>
      </c>
      <c r="EA219" s="42">
        <f t="shared" si="397"/>
        <v>-1</v>
      </c>
      <c r="EB219" s="43">
        <f t="shared" si="398"/>
        <v>-1</v>
      </c>
      <c r="EC219" s="39">
        <f t="shared" si="399"/>
        <v>-1</v>
      </c>
      <c r="ED219" s="41">
        <f t="shared" si="400"/>
        <v>-1</v>
      </c>
      <c r="EE219" s="40">
        <f t="shared" si="401"/>
        <v>-1</v>
      </c>
      <c r="EF219" s="39">
        <f t="shared" si="402"/>
        <v>-1</v>
      </c>
      <c r="EG219" s="41">
        <f t="shared" si="403"/>
        <v>-1</v>
      </c>
      <c r="EH219" s="40">
        <f t="shared" si="404"/>
        <v>-1</v>
      </c>
      <c r="EI219" s="39">
        <f t="shared" si="405"/>
        <v>-1</v>
      </c>
      <c r="EJ219" s="95">
        <f t="shared" si="406"/>
        <v>-1</v>
      </c>
      <c r="EK219" s="94">
        <f t="shared" si="407"/>
        <v>-1</v>
      </c>
      <c r="EL219" s="39">
        <f t="shared" si="408"/>
        <v>-1</v>
      </c>
      <c r="EM219" s="41">
        <f t="shared" si="409"/>
        <v>-1</v>
      </c>
      <c r="EN219" s="40">
        <f t="shared" si="410"/>
        <v>-1</v>
      </c>
      <c r="EO219" s="39">
        <f t="shared" si="411"/>
        <v>-1</v>
      </c>
      <c r="EP219" s="41">
        <f t="shared" si="412"/>
        <v>-1</v>
      </c>
      <c r="EQ219" s="40">
        <f t="shared" si="413"/>
        <v>-1</v>
      </c>
      <c r="ER219" s="39">
        <f t="shared" si="414"/>
        <v>-1</v>
      </c>
      <c r="ES219" s="42">
        <f t="shared" si="415"/>
        <v>-1</v>
      </c>
      <c r="ET219" s="43">
        <f t="shared" si="416"/>
        <v>-1</v>
      </c>
      <c r="EU219" s="39">
        <f t="shared" si="417"/>
        <v>-1</v>
      </c>
      <c r="EV219" s="41">
        <f t="shared" si="418"/>
        <v>-1</v>
      </c>
      <c r="EW219" s="40">
        <f t="shared" si="419"/>
        <v>-1</v>
      </c>
      <c r="EX219" s="39">
        <f t="shared" si="420"/>
        <v>-1</v>
      </c>
      <c r="EY219" s="41">
        <f t="shared" si="421"/>
        <v>-1</v>
      </c>
      <c r="EZ219" s="40">
        <f t="shared" si="422"/>
        <v>-1</v>
      </c>
      <c r="FA219" s="39">
        <f t="shared" si="423"/>
        <v>-1</v>
      </c>
      <c r="FB219" s="42">
        <f t="shared" si="424"/>
        <v>-1</v>
      </c>
      <c r="FC219" s="43">
        <f t="shared" si="425"/>
        <v>-1</v>
      </c>
      <c r="FD219" s="39">
        <f t="shared" si="426"/>
        <v>-1</v>
      </c>
      <c r="FE219" s="41">
        <f t="shared" si="427"/>
        <v>-1</v>
      </c>
      <c r="FF219" s="40">
        <f t="shared" si="428"/>
        <v>-1</v>
      </c>
      <c r="FG219" s="39">
        <f t="shared" si="429"/>
        <v>-1</v>
      </c>
      <c r="FH219" s="41">
        <f t="shared" si="430"/>
        <v>-1</v>
      </c>
      <c r="FI219" s="40">
        <f t="shared" si="431"/>
        <v>-1</v>
      </c>
      <c r="FJ219" s="39">
        <f t="shared" si="432"/>
        <v>-1</v>
      </c>
      <c r="FK219" s="95">
        <f t="shared" si="433"/>
        <v>-1</v>
      </c>
      <c r="FL219" s="94">
        <f t="shared" si="434"/>
        <v>-1</v>
      </c>
      <c r="FM219" s="39">
        <f t="shared" si="435"/>
        <v>-1</v>
      </c>
      <c r="FN219" s="41">
        <f t="shared" si="436"/>
        <v>-1</v>
      </c>
      <c r="FO219" s="40">
        <f t="shared" si="437"/>
        <v>-1</v>
      </c>
      <c r="FP219" s="39">
        <f t="shared" si="438"/>
        <v>-1</v>
      </c>
      <c r="FQ219" s="41">
        <f t="shared" si="439"/>
        <v>-1</v>
      </c>
      <c r="FR219" s="40">
        <f t="shared" si="440"/>
        <v>-1</v>
      </c>
      <c r="FS219" s="39">
        <f t="shared" si="441"/>
        <v>-1</v>
      </c>
      <c r="FT219" s="42">
        <f t="shared" si="442"/>
        <v>-1</v>
      </c>
      <c r="FU219" s="43">
        <f t="shared" si="443"/>
        <v>-1</v>
      </c>
      <c r="FV219" s="39">
        <f t="shared" si="444"/>
        <v>-1</v>
      </c>
      <c r="FW219" s="41">
        <f t="shared" si="445"/>
        <v>-1</v>
      </c>
      <c r="FX219" s="40">
        <f t="shared" si="446"/>
        <v>0</v>
      </c>
      <c r="FY219" s="39">
        <f t="shared" si="447"/>
        <v>0</v>
      </c>
      <c r="FZ219" s="41">
        <f t="shared" si="448"/>
        <v>0</v>
      </c>
      <c r="GA219" s="40">
        <f t="shared" si="449"/>
        <v>0</v>
      </c>
      <c r="GB219" s="39">
        <f t="shared" si="450"/>
        <v>0</v>
      </c>
      <c r="GC219" s="42">
        <f t="shared" si="451"/>
        <v>6</v>
      </c>
      <c r="GD219" s="43">
        <f t="shared" si="452"/>
        <v>4</v>
      </c>
      <c r="GE219" s="39">
        <f t="shared" si="453"/>
        <v>0</v>
      </c>
      <c r="GF219" s="41">
        <f t="shared" si="454"/>
        <v>0</v>
      </c>
      <c r="GG219" s="40">
        <f t="shared" si="455"/>
        <v>0</v>
      </c>
      <c r="GH219" s="39">
        <f t="shared" si="456"/>
        <v>0</v>
      </c>
      <c r="GI219" s="41">
        <f t="shared" si="457"/>
        <v>0</v>
      </c>
      <c r="GJ219" s="40">
        <f t="shared" si="458"/>
        <v>0</v>
      </c>
      <c r="GK219" s="39">
        <f t="shared" si="459"/>
        <v>0</v>
      </c>
      <c r="GL219" s="95">
        <f t="shared" si="460"/>
        <v>0</v>
      </c>
      <c r="GN219" s="40">
        <f>COUNTIF(DJ219:GL219,4)</f>
        <v>4</v>
      </c>
      <c r="GO219" s="39">
        <f>COUNTIF(DJ219:GL219,5)</f>
        <v>0</v>
      </c>
      <c r="GP219" s="41">
        <f>COUNTIF(DJ219:GL219,6)</f>
        <v>3</v>
      </c>
      <c r="GQ219" s="39"/>
      <c r="GR219" s="39"/>
      <c r="GT219" s="72">
        <f t="shared" ref="GT219:GV219" si="534">GT192</f>
        <v>4</v>
      </c>
      <c r="GU219" s="73">
        <f t="shared" si="534"/>
        <v>0</v>
      </c>
      <c r="GV219" s="74">
        <f t="shared" si="534"/>
        <v>3</v>
      </c>
    </row>
    <row r="220" spans="14:204" ht="15" customHeight="1" thickBot="1">
      <c r="N220" s="116">
        <f t="shared" si="501"/>
        <v>0</v>
      </c>
      <c r="O220" s="116">
        <f t="shared" si="501"/>
        <v>0</v>
      </c>
      <c r="P220" s="116">
        <f t="shared" si="501"/>
        <v>0</v>
      </c>
      <c r="Q220" s="116">
        <f t="shared" ref="Q220:CB220" si="535">Q217</f>
        <v>0</v>
      </c>
      <c r="R220" s="116">
        <f t="shared" si="535"/>
        <v>0</v>
      </c>
      <c r="S220" s="116">
        <f t="shared" si="535"/>
        <v>0</v>
      </c>
      <c r="T220" s="116">
        <f t="shared" si="535"/>
        <v>0</v>
      </c>
      <c r="U220" s="116">
        <f t="shared" si="535"/>
        <v>0</v>
      </c>
      <c r="V220" s="116">
        <f t="shared" si="535"/>
        <v>0</v>
      </c>
      <c r="W220" s="116">
        <f t="shared" si="535"/>
        <v>0</v>
      </c>
      <c r="X220" s="116">
        <f t="shared" si="535"/>
        <v>0</v>
      </c>
      <c r="Y220" s="116">
        <f t="shared" si="535"/>
        <v>0</v>
      </c>
      <c r="Z220" s="116">
        <f t="shared" si="535"/>
        <v>0</v>
      </c>
      <c r="AA220" s="116">
        <f t="shared" si="535"/>
        <v>0</v>
      </c>
      <c r="AB220" s="116">
        <f t="shared" si="535"/>
        <v>0</v>
      </c>
      <c r="AC220" s="116">
        <f t="shared" si="535"/>
        <v>0</v>
      </c>
      <c r="AD220" s="116">
        <f t="shared" si="535"/>
        <v>0</v>
      </c>
      <c r="AE220" s="116">
        <f t="shared" si="535"/>
        <v>0</v>
      </c>
      <c r="AF220" s="116">
        <f t="shared" si="535"/>
        <v>0</v>
      </c>
      <c r="AG220" s="116">
        <f t="shared" si="535"/>
        <v>0</v>
      </c>
      <c r="AH220" s="116">
        <f t="shared" si="535"/>
        <v>0</v>
      </c>
      <c r="AI220" s="116">
        <f t="shared" si="535"/>
        <v>0</v>
      </c>
      <c r="AJ220" s="116">
        <f t="shared" si="535"/>
        <v>0</v>
      </c>
      <c r="AK220" s="116">
        <f t="shared" si="535"/>
        <v>0</v>
      </c>
      <c r="AL220" s="116">
        <f t="shared" si="535"/>
        <v>0</v>
      </c>
      <c r="AM220" s="116">
        <f t="shared" si="535"/>
        <v>0</v>
      </c>
      <c r="AN220" s="116">
        <f t="shared" si="535"/>
        <v>0</v>
      </c>
      <c r="AO220" s="116">
        <f t="shared" si="535"/>
        <v>0</v>
      </c>
      <c r="AP220" s="116">
        <f t="shared" si="535"/>
        <v>0</v>
      </c>
      <c r="AQ220" s="116">
        <f t="shared" si="535"/>
        <v>0</v>
      </c>
      <c r="AR220" s="116">
        <f t="shared" si="535"/>
        <v>0</v>
      </c>
      <c r="AS220" s="116">
        <f t="shared" si="535"/>
        <v>0</v>
      </c>
      <c r="AT220" s="116">
        <f t="shared" si="535"/>
        <v>0</v>
      </c>
      <c r="AU220" s="116">
        <f t="shared" si="535"/>
        <v>0</v>
      </c>
      <c r="AV220" s="116">
        <f t="shared" si="535"/>
        <v>0</v>
      </c>
      <c r="AW220" s="116">
        <f t="shared" si="535"/>
        <v>0</v>
      </c>
      <c r="AX220" s="116">
        <f t="shared" si="535"/>
        <v>0</v>
      </c>
      <c r="AY220" s="116">
        <f t="shared" si="535"/>
        <v>0</v>
      </c>
      <c r="AZ220" s="116">
        <f t="shared" si="535"/>
        <v>0</v>
      </c>
      <c r="BA220" s="116">
        <f t="shared" si="535"/>
        <v>0</v>
      </c>
      <c r="BB220" s="116">
        <f t="shared" si="535"/>
        <v>0</v>
      </c>
      <c r="BC220" s="116">
        <f t="shared" si="535"/>
        <v>0</v>
      </c>
      <c r="BD220" s="116">
        <f t="shared" si="535"/>
        <v>0</v>
      </c>
      <c r="BE220" s="116">
        <f t="shared" si="535"/>
        <v>0</v>
      </c>
      <c r="BF220" s="116">
        <f t="shared" si="535"/>
        <v>0</v>
      </c>
      <c r="BG220" s="116">
        <f t="shared" si="535"/>
        <v>0</v>
      </c>
      <c r="BH220" s="116">
        <f t="shared" si="535"/>
        <v>0</v>
      </c>
      <c r="BI220" s="116">
        <f t="shared" si="535"/>
        <v>0</v>
      </c>
      <c r="BJ220" s="116">
        <f t="shared" si="535"/>
        <v>0</v>
      </c>
      <c r="BK220" s="116">
        <f t="shared" si="535"/>
        <v>0</v>
      </c>
      <c r="BL220" s="116">
        <f t="shared" si="535"/>
        <v>0</v>
      </c>
      <c r="BM220" s="116">
        <f t="shared" si="535"/>
        <v>0</v>
      </c>
      <c r="BN220" s="116">
        <f t="shared" si="535"/>
        <v>0</v>
      </c>
      <c r="BO220" s="116">
        <f t="shared" si="535"/>
        <v>0</v>
      </c>
      <c r="BP220" s="116">
        <f t="shared" si="535"/>
        <v>0</v>
      </c>
      <c r="BQ220" s="116">
        <f t="shared" si="535"/>
        <v>0</v>
      </c>
      <c r="BR220" s="116">
        <f t="shared" si="535"/>
        <v>0</v>
      </c>
      <c r="BS220" s="116">
        <f t="shared" si="535"/>
        <v>0</v>
      </c>
      <c r="BT220" s="116">
        <f t="shared" si="535"/>
        <v>0</v>
      </c>
      <c r="BU220" s="116">
        <f t="shared" si="535"/>
        <v>0</v>
      </c>
      <c r="BV220" s="116">
        <f t="shared" si="535"/>
        <v>0</v>
      </c>
      <c r="BW220" s="116">
        <f t="shared" si="535"/>
        <v>0</v>
      </c>
      <c r="BX220" s="116">
        <f t="shared" si="535"/>
        <v>0</v>
      </c>
      <c r="BY220" s="116">
        <f t="shared" si="535"/>
        <v>0</v>
      </c>
      <c r="BZ220" s="116">
        <f t="shared" si="535"/>
        <v>0</v>
      </c>
      <c r="CA220" s="116">
        <f t="shared" si="535"/>
        <v>0</v>
      </c>
      <c r="CB220" s="116">
        <f t="shared" si="535"/>
        <v>0</v>
      </c>
      <c r="CC220" s="116">
        <f t="shared" ref="CC220:CP220" si="536">CC217</f>
        <v>0</v>
      </c>
      <c r="CD220" s="116">
        <f t="shared" si="536"/>
        <v>0</v>
      </c>
      <c r="CE220" s="116">
        <f t="shared" si="536"/>
        <v>0</v>
      </c>
      <c r="CF220" s="116">
        <f t="shared" si="536"/>
        <v>0</v>
      </c>
      <c r="CG220" s="116">
        <f t="shared" si="536"/>
        <v>0</v>
      </c>
      <c r="CH220" s="116">
        <f t="shared" si="536"/>
        <v>0</v>
      </c>
      <c r="CI220" s="116">
        <f t="shared" si="536"/>
        <v>0</v>
      </c>
      <c r="CJ220" s="116">
        <f t="shared" si="536"/>
        <v>0</v>
      </c>
      <c r="CK220" s="116">
        <f t="shared" si="536"/>
        <v>0</v>
      </c>
      <c r="CL220" s="116">
        <f t="shared" si="536"/>
        <v>0</v>
      </c>
      <c r="CM220" s="116">
        <f t="shared" si="536"/>
        <v>0</v>
      </c>
      <c r="CN220" s="116">
        <f t="shared" si="536"/>
        <v>0</v>
      </c>
      <c r="CO220" s="116">
        <f t="shared" si="536"/>
        <v>0</v>
      </c>
      <c r="CP220" s="116">
        <f t="shared" si="536"/>
        <v>0</v>
      </c>
      <c r="DJ220" s="110">
        <f t="shared" si="380"/>
        <v>0</v>
      </c>
      <c r="DK220" s="83">
        <f t="shared" si="381"/>
        <v>0</v>
      </c>
      <c r="DL220" s="111">
        <f t="shared" si="382"/>
        <v>0</v>
      </c>
      <c r="DM220" s="112">
        <f t="shared" si="383"/>
        <v>0</v>
      </c>
      <c r="DN220" s="83">
        <f t="shared" si="384"/>
        <v>0</v>
      </c>
      <c r="DO220" s="111">
        <f t="shared" si="385"/>
        <v>0</v>
      </c>
      <c r="DP220" s="112">
        <f t="shared" si="386"/>
        <v>0</v>
      </c>
      <c r="DQ220" s="83">
        <f t="shared" si="387"/>
        <v>0</v>
      </c>
      <c r="DR220" s="113">
        <f t="shared" si="388"/>
        <v>0</v>
      </c>
      <c r="DS220" s="114">
        <f t="shared" si="389"/>
        <v>0</v>
      </c>
      <c r="DT220" s="83">
        <f t="shared" si="390"/>
        <v>8</v>
      </c>
      <c r="DU220" s="111">
        <f t="shared" si="391"/>
        <v>0</v>
      </c>
      <c r="DV220" s="112">
        <f t="shared" si="392"/>
        <v>-1</v>
      </c>
      <c r="DW220" s="83">
        <f t="shared" si="393"/>
        <v>-1</v>
      </c>
      <c r="DX220" s="111">
        <f t="shared" si="394"/>
        <v>-1</v>
      </c>
      <c r="DY220" s="112">
        <f t="shared" si="395"/>
        <v>-1</v>
      </c>
      <c r="DZ220" s="83">
        <f t="shared" si="396"/>
        <v>-1</v>
      </c>
      <c r="EA220" s="113">
        <f t="shared" si="397"/>
        <v>-1</v>
      </c>
      <c r="EB220" s="114">
        <f t="shared" si="398"/>
        <v>-1</v>
      </c>
      <c r="EC220" s="83">
        <f t="shared" si="399"/>
        <v>-1</v>
      </c>
      <c r="ED220" s="111">
        <f t="shared" si="400"/>
        <v>-1</v>
      </c>
      <c r="EE220" s="112">
        <f t="shared" si="401"/>
        <v>-1</v>
      </c>
      <c r="EF220" s="83">
        <f t="shared" si="402"/>
        <v>-1</v>
      </c>
      <c r="EG220" s="111">
        <f t="shared" si="403"/>
        <v>-1</v>
      </c>
      <c r="EH220" s="112">
        <f t="shared" si="404"/>
        <v>-1</v>
      </c>
      <c r="EI220" s="83">
        <f t="shared" si="405"/>
        <v>-1</v>
      </c>
      <c r="EJ220" s="115">
        <f t="shared" si="406"/>
        <v>-1</v>
      </c>
      <c r="EK220" s="110">
        <f t="shared" si="407"/>
        <v>-1</v>
      </c>
      <c r="EL220" s="83">
        <f t="shared" si="408"/>
        <v>-1</v>
      </c>
      <c r="EM220" s="111">
        <f t="shared" si="409"/>
        <v>-1</v>
      </c>
      <c r="EN220" s="112">
        <f t="shared" si="410"/>
        <v>-1</v>
      </c>
      <c r="EO220" s="83">
        <f t="shared" si="411"/>
        <v>-1</v>
      </c>
      <c r="EP220" s="111">
        <f t="shared" si="412"/>
        <v>-1</v>
      </c>
      <c r="EQ220" s="112">
        <f t="shared" si="413"/>
        <v>-1</v>
      </c>
      <c r="ER220" s="83">
        <f t="shared" si="414"/>
        <v>-1</v>
      </c>
      <c r="ES220" s="113">
        <f t="shared" si="415"/>
        <v>-1</v>
      </c>
      <c r="ET220" s="114">
        <f t="shared" si="416"/>
        <v>-1</v>
      </c>
      <c r="EU220" s="83">
        <f t="shared" si="417"/>
        <v>-1</v>
      </c>
      <c r="EV220" s="111">
        <f t="shared" si="418"/>
        <v>-1</v>
      </c>
      <c r="EW220" s="112">
        <f t="shared" si="419"/>
        <v>-1</v>
      </c>
      <c r="EX220" s="83">
        <f t="shared" si="420"/>
        <v>-1</v>
      </c>
      <c r="EY220" s="111">
        <f t="shared" si="421"/>
        <v>-1</v>
      </c>
      <c r="EZ220" s="112">
        <f t="shared" si="422"/>
        <v>-1</v>
      </c>
      <c r="FA220" s="83">
        <f t="shared" si="423"/>
        <v>-1</v>
      </c>
      <c r="FB220" s="113">
        <f t="shared" si="424"/>
        <v>-1</v>
      </c>
      <c r="FC220" s="114">
        <f t="shared" si="425"/>
        <v>-1</v>
      </c>
      <c r="FD220" s="83">
        <f t="shared" si="426"/>
        <v>-1</v>
      </c>
      <c r="FE220" s="111">
        <f t="shared" si="427"/>
        <v>-1</v>
      </c>
      <c r="FF220" s="112">
        <f t="shared" si="428"/>
        <v>-1</v>
      </c>
      <c r="FG220" s="83">
        <f t="shared" si="429"/>
        <v>-1</v>
      </c>
      <c r="FH220" s="111">
        <f t="shared" si="430"/>
        <v>-1</v>
      </c>
      <c r="FI220" s="112">
        <f t="shared" si="431"/>
        <v>-1</v>
      </c>
      <c r="FJ220" s="83">
        <f t="shared" si="432"/>
        <v>-1</v>
      </c>
      <c r="FK220" s="115">
        <f t="shared" si="433"/>
        <v>-1</v>
      </c>
      <c r="FL220" s="110">
        <f t="shared" si="434"/>
        <v>-1</v>
      </c>
      <c r="FM220" s="83">
        <f t="shared" si="435"/>
        <v>-1</v>
      </c>
      <c r="FN220" s="111">
        <f t="shared" si="436"/>
        <v>-1</v>
      </c>
      <c r="FO220" s="112">
        <f t="shared" si="437"/>
        <v>-1</v>
      </c>
      <c r="FP220" s="83">
        <f t="shared" si="438"/>
        <v>-1</v>
      </c>
      <c r="FQ220" s="111">
        <f t="shared" si="439"/>
        <v>-1</v>
      </c>
      <c r="FR220" s="112">
        <f t="shared" si="440"/>
        <v>-1</v>
      </c>
      <c r="FS220" s="83">
        <f t="shared" si="441"/>
        <v>-1</v>
      </c>
      <c r="FT220" s="113">
        <f t="shared" si="442"/>
        <v>-1</v>
      </c>
      <c r="FU220" s="114">
        <f t="shared" si="443"/>
        <v>-1</v>
      </c>
      <c r="FV220" s="83">
        <f t="shared" si="444"/>
        <v>-1</v>
      </c>
      <c r="FW220" s="111">
        <f t="shared" si="445"/>
        <v>-1</v>
      </c>
      <c r="FX220" s="112">
        <f t="shared" si="446"/>
        <v>0</v>
      </c>
      <c r="FY220" s="83">
        <f t="shared" si="447"/>
        <v>0</v>
      </c>
      <c r="FZ220" s="111">
        <f t="shared" si="448"/>
        <v>0</v>
      </c>
      <c r="GA220" s="112">
        <f t="shared" si="449"/>
        <v>0</v>
      </c>
      <c r="GB220" s="83">
        <f t="shared" si="450"/>
        <v>8</v>
      </c>
      <c r="GC220" s="113">
        <f t="shared" si="451"/>
        <v>0</v>
      </c>
      <c r="GD220" s="114">
        <f t="shared" si="452"/>
        <v>7</v>
      </c>
      <c r="GE220" s="83">
        <f t="shared" si="453"/>
        <v>8</v>
      </c>
      <c r="GF220" s="111">
        <f t="shared" si="454"/>
        <v>0</v>
      </c>
      <c r="GG220" s="112">
        <f t="shared" si="455"/>
        <v>0</v>
      </c>
      <c r="GH220" s="83">
        <f t="shared" si="456"/>
        <v>0</v>
      </c>
      <c r="GI220" s="111">
        <f t="shared" si="457"/>
        <v>0</v>
      </c>
      <c r="GJ220" s="112">
        <f t="shared" si="458"/>
        <v>0</v>
      </c>
      <c r="GK220" s="83">
        <f t="shared" si="459"/>
        <v>8</v>
      </c>
      <c r="GL220" s="115">
        <f t="shared" si="460"/>
        <v>0</v>
      </c>
      <c r="GN220" s="46">
        <f>COUNTIF(DJ220:GL220,7)</f>
        <v>1</v>
      </c>
      <c r="GO220" s="45">
        <f>COUNTIF(DJ220:GL220,8)</f>
        <v>4</v>
      </c>
      <c r="GP220" s="47">
        <f>COUNTIF(DJ220:GL220,9)</f>
        <v>0</v>
      </c>
      <c r="GQ220" s="39"/>
      <c r="GR220" s="39"/>
      <c r="GT220" s="78">
        <f t="shared" ref="GT220:GV220" si="537">GT193</f>
        <v>1</v>
      </c>
      <c r="GU220" s="79">
        <f t="shared" si="537"/>
        <v>4</v>
      </c>
      <c r="GV220" s="80">
        <f t="shared" si="537"/>
        <v>0</v>
      </c>
    </row>
    <row r="221" spans="14:204" ht="15" customHeight="1" thickTop="1">
      <c r="N221" s="116">
        <f t="shared" si="501"/>
        <v>0</v>
      </c>
      <c r="O221" s="116">
        <f t="shared" si="501"/>
        <v>0</v>
      </c>
      <c r="P221" s="116">
        <f t="shared" si="501"/>
        <v>0</v>
      </c>
      <c r="Q221" s="116">
        <f t="shared" ref="Q221:CB221" si="538">Q218</f>
        <v>0</v>
      </c>
      <c r="R221" s="116">
        <f t="shared" si="538"/>
        <v>0</v>
      </c>
      <c r="S221" s="116">
        <f t="shared" si="538"/>
        <v>0</v>
      </c>
      <c r="T221" s="116">
        <f t="shared" si="538"/>
        <v>0</v>
      </c>
      <c r="U221" s="116">
        <f t="shared" si="538"/>
        <v>0</v>
      </c>
      <c r="V221" s="116">
        <f t="shared" si="538"/>
        <v>0</v>
      </c>
      <c r="W221" s="116">
        <f t="shared" si="538"/>
        <v>0</v>
      </c>
      <c r="X221" s="116">
        <f t="shared" si="538"/>
        <v>0</v>
      </c>
      <c r="Y221" s="116">
        <f t="shared" si="538"/>
        <v>0</v>
      </c>
      <c r="Z221" s="116">
        <f t="shared" si="538"/>
        <v>0</v>
      </c>
      <c r="AA221" s="116">
        <f t="shared" si="538"/>
        <v>0</v>
      </c>
      <c r="AB221" s="116">
        <f t="shared" si="538"/>
        <v>0</v>
      </c>
      <c r="AC221" s="116">
        <f t="shared" si="538"/>
        <v>0</v>
      </c>
      <c r="AD221" s="116">
        <f t="shared" si="538"/>
        <v>0</v>
      </c>
      <c r="AE221" s="116">
        <f t="shared" si="538"/>
        <v>0</v>
      </c>
      <c r="AF221" s="116">
        <f t="shared" si="538"/>
        <v>0</v>
      </c>
      <c r="AG221" s="116">
        <f t="shared" si="538"/>
        <v>0</v>
      </c>
      <c r="AH221" s="116">
        <f t="shared" si="538"/>
        <v>0</v>
      </c>
      <c r="AI221" s="116">
        <f t="shared" si="538"/>
        <v>0</v>
      </c>
      <c r="AJ221" s="116">
        <f t="shared" si="538"/>
        <v>0</v>
      </c>
      <c r="AK221" s="116">
        <f t="shared" si="538"/>
        <v>0</v>
      </c>
      <c r="AL221" s="116">
        <f t="shared" si="538"/>
        <v>0</v>
      </c>
      <c r="AM221" s="116">
        <f t="shared" si="538"/>
        <v>0</v>
      </c>
      <c r="AN221" s="116">
        <f t="shared" si="538"/>
        <v>0</v>
      </c>
      <c r="AO221" s="116">
        <f t="shared" si="538"/>
        <v>0</v>
      </c>
      <c r="AP221" s="116">
        <f t="shared" si="538"/>
        <v>0</v>
      </c>
      <c r="AQ221" s="116">
        <f t="shared" si="538"/>
        <v>0</v>
      </c>
      <c r="AR221" s="116">
        <f t="shared" si="538"/>
        <v>0</v>
      </c>
      <c r="AS221" s="116">
        <f t="shared" si="538"/>
        <v>0</v>
      </c>
      <c r="AT221" s="116">
        <f t="shared" si="538"/>
        <v>0</v>
      </c>
      <c r="AU221" s="116">
        <f t="shared" si="538"/>
        <v>0</v>
      </c>
      <c r="AV221" s="116">
        <f t="shared" si="538"/>
        <v>0</v>
      </c>
      <c r="AW221" s="116">
        <f t="shared" si="538"/>
        <v>0</v>
      </c>
      <c r="AX221" s="116">
        <f t="shared" si="538"/>
        <v>0</v>
      </c>
      <c r="AY221" s="116">
        <f t="shared" si="538"/>
        <v>0</v>
      </c>
      <c r="AZ221" s="116">
        <f t="shared" si="538"/>
        <v>0</v>
      </c>
      <c r="BA221" s="116">
        <f t="shared" si="538"/>
        <v>0</v>
      </c>
      <c r="BB221" s="116">
        <f t="shared" si="538"/>
        <v>0</v>
      </c>
      <c r="BC221" s="116">
        <f t="shared" si="538"/>
        <v>0</v>
      </c>
      <c r="BD221" s="116">
        <f t="shared" si="538"/>
        <v>0</v>
      </c>
      <c r="BE221" s="116">
        <f t="shared" si="538"/>
        <v>0</v>
      </c>
      <c r="BF221" s="116">
        <f t="shared" si="538"/>
        <v>0</v>
      </c>
      <c r="BG221" s="116">
        <f t="shared" si="538"/>
        <v>0</v>
      </c>
      <c r="BH221" s="116">
        <f t="shared" si="538"/>
        <v>0</v>
      </c>
      <c r="BI221" s="116">
        <f t="shared" si="538"/>
        <v>0</v>
      </c>
      <c r="BJ221" s="116">
        <f t="shared" si="538"/>
        <v>0</v>
      </c>
      <c r="BK221" s="116">
        <f t="shared" si="538"/>
        <v>0</v>
      </c>
      <c r="BL221" s="116">
        <f t="shared" si="538"/>
        <v>0</v>
      </c>
      <c r="BM221" s="116">
        <f t="shared" si="538"/>
        <v>0</v>
      </c>
      <c r="BN221" s="116">
        <f t="shared" si="538"/>
        <v>0</v>
      </c>
      <c r="BO221" s="116">
        <f t="shared" si="538"/>
        <v>0</v>
      </c>
      <c r="BP221" s="116">
        <f t="shared" si="538"/>
        <v>0</v>
      </c>
      <c r="BQ221" s="116">
        <f t="shared" si="538"/>
        <v>0</v>
      </c>
      <c r="BR221" s="116">
        <f t="shared" si="538"/>
        <v>0</v>
      </c>
      <c r="BS221" s="116">
        <f t="shared" si="538"/>
        <v>0</v>
      </c>
      <c r="BT221" s="116">
        <f t="shared" si="538"/>
        <v>0</v>
      </c>
      <c r="BU221" s="116">
        <f t="shared" si="538"/>
        <v>0</v>
      </c>
      <c r="BV221" s="116">
        <f t="shared" si="538"/>
        <v>0</v>
      </c>
      <c r="BW221" s="116">
        <f t="shared" si="538"/>
        <v>0</v>
      </c>
      <c r="BX221" s="116">
        <f t="shared" si="538"/>
        <v>0</v>
      </c>
      <c r="BY221" s="116">
        <f t="shared" si="538"/>
        <v>0</v>
      </c>
      <c r="BZ221" s="116">
        <f t="shared" si="538"/>
        <v>0</v>
      </c>
      <c r="CA221" s="116">
        <f t="shared" si="538"/>
        <v>0</v>
      </c>
      <c r="CB221" s="116">
        <f t="shared" si="538"/>
        <v>0</v>
      </c>
      <c r="CC221" s="116">
        <f t="shared" ref="CC221:CP221" si="539">CC218</f>
        <v>0</v>
      </c>
      <c r="CD221" s="116">
        <f t="shared" si="539"/>
        <v>0</v>
      </c>
      <c r="CE221" s="116">
        <f t="shared" si="539"/>
        <v>0</v>
      </c>
      <c r="CF221" s="116">
        <f t="shared" si="539"/>
        <v>0</v>
      </c>
      <c r="CG221" s="116">
        <f t="shared" si="539"/>
        <v>0</v>
      </c>
      <c r="CH221" s="116">
        <f t="shared" si="539"/>
        <v>0</v>
      </c>
      <c r="CI221" s="116">
        <f t="shared" si="539"/>
        <v>0</v>
      </c>
      <c r="CJ221" s="116">
        <f t="shared" si="539"/>
        <v>0</v>
      </c>
      <c r="CK221" s="116">
        <f t="shared" si="539"/>
        <v>0</v>
      </c>
      <c r="CL221" s="116">
        <f t="shared" si="539"/>
        <v>0</v>
      </c>
      <c r="CM221" s="116">
        <f t="shared" si="539"/>
        <v>0</v>
      </c>
      <c r="CN221" s="116">
        <f t="shared" si="539"/>
        <v>0</v>
      </c>
      <c r="CO221" s="116">
        <f t="shared" si="539"/>
        <v>0</v>
      </c>
      <c r="CP221" s="116">
        <f t="shared" si="539"/>
        <v>0</v>
      </c>
      <c r="GD221" s="29"/>
    </row>
    <row r="222" spans="14:204" ht="15" customHeight="1">
      <c r="N222" s="116">
        <f t="shared" si="501"/>
        <v>0</v>
      </c>
      <c r="O222" s="116">
        <f t="shared" si="501"/>
        <v>0</v>
      </c>
      <c r="P222" s="116">
        <f t="shared" si="501"/>
        <v>0</v>
      </c>
      <c r="Q222" s="116">
        <f t="shared" ref="Q222:CB222" si="540">Q219</f>
        <v>0</v>
      </c>
      <c r="R222" s="116">
        <f t="shared" si="540"/>
        <v>0</v>
      </c>
      <c r="S222" s="116">
        <f t="shared" si="540"/>
        <v>0</v>
      </c>
      <c r="T222" s="116">
        <f t="shared" si="540"/>
        <v>0</v>
      </c>
      <c r="U222" s="116">
        <f t="shared" si="540"/>
        <v>0</v>
      </c>
      <c r="V222" s="116">
        <f t="shared" si="540"/>
        <v>0</v>
      </c>
      <c r="W222" s="116">
        <f t="shared" si="540"/>
        <v>0</v>
      </c>
      <c r="X222" s="116">
        <f t="shared" si="540"/>
        <v>0</v>
      </c>
      <c r="Y222" s="116">
        <f t="shared" si="540"/>
        <v>0</v>
      </c>
      <c r="Z222" s="116">
        <f t="shared" si="540"/>
        <v>0</v>
      </c>
      <c r="AA222" s="116">
        <f t="shared" si="540"/>
        <v>0</v>
      </c>
      <c r="AB222" s="116">
        <f t="shared" si="540"/>
        <v>0</v>
      </c>
      <c r="AC222" s="116">
        <f t="shared" si="540"/>
        <v>0</v>
      </c>
      <c r="AD222" s="116">
        <f t="shared" si="540"/>
        <v>0</v>
      </c>
      <c r="AE222" s="116">
        <f t="shared" si="540"/>
        <v>0</v>
      </c>
      <c r="AF222" s="116">
        <f t="shared" si="540"/>
        <v>0</v>
      </c>
      <c r="AG222" s="116">
        <f t="shared" si="540"/>
        <v>0</v>
      </c>
      <c r="AH222" s="116">
        <f t="shared" si="540"/>
        <v>0</v>
      </c>
      <c r="AI222" s="116">
        <f t="shared" si="540"/>
        <v>0</v>
      </c>
      <c r="AJ222" s="116">
        <f t="shared" si="540"/>
        <v>0</v>
      </c>
      <c r="AK222" s="116">
        <f t="shared" si="540"/>
        <v>0</v>
      </c>
      <c r="AL222" s="116">
        <f t="shared" si="540"/>
        <v>0</v>
      </c>
      <c r="AM222" s="116">
        <f t="shared" si="540"/>
        <v>0</v>
      </c>
      <c r="AN222" s="116">
        <f t="shared" si="540"/>
        <v>0</v>
      </c>
      <c r="AO222" s="116">
        <f t="shared" si="540"/>
        <v>0</v>
      </c>
      <c r="AP222" s="116">
        <f t="shared" si="540"/>
        <v>0</v>
      </c>
      <c r="AQ222" s="116">
        <f t="shared" si="540"/>
        <v>0</v>
      </c>
      <c r="AR222" s="116">
        <f t="shared" si="540"/>
        <v>0</v>
      </c>
      <c r="AS222" s="116">
        <f t="shared" si="540"/>
        <v>0</v>
      </c>
      <c r="AT222" s="116">
        <f t="shared" si="540"/>
        <v>0</v>
      </c>
      <c r="AU222" s="116">
        <f t="shared" si="540"/>
        <v>0</v>
      </c>
      <c r="AV222" s="116">
        <f t="shared" si="540"/>
        <v>0</v>
      </c>
      <c r="AW222" s="116">
        <f t="shared" si="540"/>
        <v>0</v>
      </c>
      <c r="AX222" s="116">
        <f t="shared" si="540"/>
        <v>0</v>
      </c>
      <c r="AY222" s="116">
        <f t="shared" si="540"/>
        <v>0</v>
      </c>
      <c r="AZ222" s="116">
        <f t="shared" si="540"/>
        <v>0</v>
      </c>
      <c r="BA222" s="116">
        <f t="shared" si="540"/>
        <v>0</v>
      </c>
      <c r="BB222" s="116">
        <f t="shared" si="540"/>
        <v>0</v>
      </c>
      <c r="BC222" s="116">
        <f t="shared" si="540"/>
        <v>0</v>
      </c>
      <c r="BD222" s="116">
        <f t="shared" si="540"/>
        <v>0</v>
      </c>
      <c r="BE222" s="116">
        <f t="shared" si="540"/>
        <v>0</v>
      </c>
      <c r="BF222" s="116">
        <f t="shared" si="540"/>
        <v>0</v>
      </c>
      <c r="BG222" s="116">
        <f t="shared" si="540"/>
        <v>0</v>
      </c>
      <c r="BH222" s="116">
        <f t="shared" si="540"/>
        <v>0</v>
      </c>
      <c r="BI222" s="116">
        <f t="shared" si="540"/>
        <v>0</v>
      </c>
      <c r="BJ222" s="116">
        <f t="shared" si="540"/>
        <v>0</v>
      </c>
      <c r="BK222" s="116">
        <f t="shared" si="540"/>
        <v>0</v>
      </c>
      <c r="BL222" s="116">
        <f t="shared" si="540"/>
        <v>0</v>
      </c>
      <c r="BM222" s="116">
        <f t="shared" si="540"/>
        <v>0</v>
      </c>
      <c r="BN222" s="116">
        <f t="shared" si="540"/>
        <v>0</v>
      </c>
      <c r="BO222" s="116">
        <f t="shared" si="540"/>
        <v>0</v>
      </c>
      <c r="BP222" s="116">
        <f t="shared" si="540"/>
        <v>0</v>
      </c>
      <c r="BQ222" s="116">
        <f t="shared" si="540"/>
        <v>0</v>
      </c>
      <c r="BR222" s="116">
        <f t="shared" si="540"/>
        <v>0</v>
      </c>
      <c r="BS222" s="116">
        <f t="shared" si="540"/>
        <v>0</v>
      </c>
      <c r="BT222" s="116">
        <f t="shared" si="540"/>
        <v>0</v>
      </c>
      <c r="BU222" s="116">
        <f t="shared" si="540"/>
        <v>0</v>
      </c>
      <c r="BV222" s="116">
        <f t="shared" si="540"/>
        <v>0</v>
      </c>
      <c r="BW222" s="116">
        <f t="shared" si="540"/>
        <v>0</v>
      </c>
      <c r="BX222" s="116">
        <f t="shared" si="540"/>
        <v>0</v>
      </c>
      <c r="BY222" s="116">
        <f t="shared" si="540"/>
        <v>0</v>
      </c>
      <c r="BZ222" s="116">
        <f t="shared" si="540"/>
        <v>0</v>
      </c>
      <c r="CA222" s="116">
        <f t="shared" si="540"/>
        <v>0</v>
      </c>
      <c r="CB222" s="116">
        <f t="shared" si="540"/>
        <v>0</v>
      </c>
      <c r="CC222" s="116">
        <f t="shared" ref="CC222:CP222" si="541">CC219</f>
        <v>0</v>
      </c>
      <c r="CD222" s="116">
        <f t="shared" si="541"/>
        <v>0</v>
      </c>
      <c r="CE222" s="116">
        <f t="shared" si="541"/>
        <v>0</v>
      </c>
      <c r="CF222" s="116">
        <f t="shared" si="541"/>
        <v>0</v>
      </c>
      <c r="CG222" s="116">
        <f t="shared" si="541"/>
        <v>0</v>
      </c>
      <c r="CH222" s="116">
        <f t="shared" si="541"/>
        <v>0</v>
      </c>
      <c r="CI222" s="116">
        <f t="shared" si="541"/>
        <v>0</v>
      </c>
      <c r="CJ222" s="116">
        <f t="shared" si="541"/>
        <v>0</v>
      </c>
      <c r="CK222" s="116">
        <f t="shared" si="541"/>
        <v>0</v>
      </c>
      <c r="CL222" s="116">
        <f t="shared" si="541"/>
        <v>0</v>
      </c>
      <c r="CM222" s="116">
        <f t="shared" si="541"/>
        <v>0</v>
      </c>
      <c r="CN222" s="116">
        <f t="shared" si="541"/>
        <v>0</v>
      </c>
      <c r="CO222" s="116">
        <f t="shared" si="541"/>
        <v>0</v>
      </c>
      <c r="CP222" s="116">
        <f t="shared" si="541"/>
        <v>0</v>
      </c>
      <c r="DJ222" s="52">
        <f>COUNTIF(DJ140:DJ220,1)</f>
        <v>6</v>
      </c>
      <c r="DK222" s="50">
        <f>COUNTIF(DK140:DK220,2)</f>
        <v>3</v>
      </c>
      <c r="DL222" s="51">
        <f>COUNTIF(DL140:DL220,3)</f>
        <v>2</v>
      </c>
      <c r="DM222" s="52">
        <f>COUNTIF(DM140:DM220,1)</f>
        <v>6</v>
      </c>
      <c r="DN222" s="50">
        <f>COUNTIF(DN140:DN220,2)</f>
        <v>3</v>
      </c>
      <c r="DO222" s="51">
        <f>COUNTIF(DO140:DO220,3)</f>
        <v>0</v>
      </c>
      <c r="DP222" s="52">
        <f>COUNTIF(DP140:DP220,1)</f>
        <v>1</v>
      </c>
      <c r="DQ222" s="50">
        <f>COUNTIF(DQ140:DQ220,2)</f>
        <v>0</v>
      </c>
      <c r="DR222" s="51">
        <f>COUNTIF(DR140:DR220,3)</f>
        <v>1</v>
      </c>
      <c r="DS222" s="52">
        <f>COUNTIF(DS140:DS220,1)</f>
        <v>3</v>
      </c>
      <c r="DT222" s="50">
        <f>COUNTIF(DT140:DT220,2)</f>
        <v>1</v>
      </c>
      <c r="DU222" s="51">
        <f>COUNTIF(DU140:DU220,3)</f>
        <v>0</v>
      </c>
      <c r="DV222" s="52">
        <f>COUNTIF(DV140:DV220,1)</f>
        <v>0</v>
      </c>
      <c r="DW222" s="50">
        <f>COUNTIF(DW140:DW220,2)</f>
        <v>0</v>
      </c>
      <c r="DX222" s="51">
        <f>COUNTIF(DX140:DX220,3)</f>
        <v>0</v>
      </c>
      <c r="DY222" s="52">
        <f>COUNTIF(DY140:DY220,1)</f>
        <v>0</v>
      </c>
      <c r="DZ222" s="50">
        <f>COUNTIF(DZ140:DZ220,2)</f>
        <v>0</v>
      </c>
      <c r="EA222" s="51">
        <f>COUNTIF(EA140:EA220,3)</f>
        <v>0</v>
      </c>
      <c r="EB222" s="52">
        <f>COUNTIF(EB140:EB220,1)</f>
        <v>0</v>
      </c>
      <c r="EC222" s="50">
        <f>COUNTIF(EC140:EC220,2)</f>
        <v>0</v>
      </c>
      <c r="ED222" s="51">
        <f>COUNTIF(ED140:ED220,3)</f>
        <v>0</v>
      </c>
      <c r="EE222" s="52">
        <f>COUNTIF(EE140:EE220,1)</f>
        <v>0</v>
      </c>
      <c r="EF222" s="50">
        <f>COUNTIF(EF140:EF220,2)</f>
        <v>0</v>
      </c>
      <c r="EG222" s="51">
        <f>COUNTIF(EG140:EG220,3)</f>
        <v>0</v>
      </c>
      <c r="EH222" s="52">
        <f>COUNTIF(EH140:EH220,1)</f>
        <v>0</v>
      </c>
      <c r="EI222" s="50">
        <f>COUNTIF(EI140:EI220,2)</f>
        <v>0</v>
      </c>
      <c r="EJ222" s="51">
        <f>COUNTIF(EJ140:EJ220,3)</f>
        <v>0</v>
      </c>
      <c r="EK222" s="52">
        <f>COUNTIF(EK140:EK220,1)</f>
        <v>0</v>
      </c>
      <c r="EL222" s="50">
        <f>COUNTIF(EL140:EL220,2)</f>
        <v>0</v>
      </c>
      <c r="EM222" s="51">
        <f>COUNTIF(EM140:EM220,3)</f>
        <v>0</v>
      </c>
      <c r="EN222" s="52">
        <f>COUNTIF(EN140:EN220,1)</f>
        <v>1</v>
      </c>
      <c r="EO222" s="50">
        <f>COUNTIF(EO140:EO220,2)</f>
        <v>1</v>
      </c>
      <c r="EP222" s="51">
        <f>COUNTIF(EP140:EP220,3)</f>
        <v>0</v>
      </c>
      <c r="EQ222" s="52">
        <f>COUNTIF(EQ140:EQ220,1)</f>
        <v>1</v>
      </c>
      <c r="ER222" s="50">
        <f>COUNTIF(ER140:ER220,2)</f>
        <v>0</v>
      </c>
      <c r="ES222" s="51">
        <f>COUNTIF(ES140:ES220,3)</f>
        <v>0</v>
      </c>
      <c r="ET222" s="52">
        <f>COUNTIF(ET140:ET220,1)</f>
        <v>4</v>
      </c>
      <c r="EU222" s="50">
        <f>COUNTIF(EU140:EU220,2)</f>
        <v>4</v>
      </c>
      <c r="EV222" s="51">
        <f>COUNTIF(EV140:EV220,3)</f>
        <v>3</v>
      </c>
      <c r="EW222" s="52">
        <f>COUNTIF(EW140:EW220,1)</f>
        <v>2</v>
      </c>
      <c r="EX222" s="50">
        <f>COUNTIF(EX140:EX220,2)</f>
        <v>0</v>
      </c>
      <c r="EY222" s="51">
        <f>COUNTIF(EY140:EY220,3)</f>
        <v>0</v>
      </c>
      <c r="EZ222" s="52">
        <f>COUNTIF(EZ140:EZ220,1)</f>
        <v>3</v>
      </c>
      <c r="FA222" s="50">
        <f>COUNTIF(FA140:FA220,2)</f>
        <v>3</v>
      </c>
      <c r="FB222" s="51">
        <f>COUNTIF(FB140:FB220,3)</f>
        <v>1</v>
      </c>
      <c r="FC222" s="52">
        <f>COUNTIF(FC140:FC220,1)</f>
        <v>0</v>
      </c>
      <c r="FD222" s="50">
        <f>COUNTIF(FD140:FD220,2)</f>
        <v>0</v>
      </c>
      <c r="FE222" s="51">
        <f>COUNTIF(FE140:FE220,3)</f>
        <v>1</v>
      </c>
      <c r="FF222" s="52">
        <f>COUNTIF(FF140:FF220,1)</f>
        <v>0</v>
      </c>
      <c r="FG222" s="50">
        <f>COUNTIF(FG140:FG220,2)</f>
        <v>0</v>
      </c>
      <c r="FH222" s="51">
        <f>COUNTIF(FH140:FH220,3)</f>
        <v>0</v>
      </c>
      <c r="FI222" s="52">
        <f>COUNTIF(FI140:FI220,1)</f>
        <v>0</v>
      </c>
      <c r="FJ222" s="50">
        <f>COUNTIF(FJ140:FJ220,2)</f>
        <v>0</v>
      </c>
      <c r="FK222" s="51">
        <f>COUNTIF(FK140:FK220,3)</f>
        <v>0</v>
      </c>
      <c r="FL222" s="52">
        <f>COUNTIF(FL140:FL220,1)</f>
        <v>0</v>
      </c>
      <c r="FM222" s="50">
        <f>COUNTIF(FM140:FM220,2)</f>
        <v>0</v>
      </c>
      <c r="FN222" s="51">
        <f>COUNTIF(FN140:FN220,3)</f>
        <v>0</v>
      </c>
      <c r="FO222" s="52">
        <f>COUNTIF(FO140:FO220,1)</f>
        <v>0</v>
      </c>
      <c r="FP222" s="50">
        <f>COUNTIF(FP140:FP220,2)</f>
        <v>0</v>
      </c>
      <c r="FQ222" s="51">
        <f>COUNTIF(FQ140:FQ220,3)</f>
        <v>0</v>
      </c>
      <c r="FR222" s="52">
        <f>COUNTIF(FR140:FR220,1)</f>
        <v>0</v>
      </c>
      <c r="FS222" s="50">
        <f>COUNTIF(FS140:FS220,2)</f>
        <v>0</v>
      </c>
      <c r="FT222" s="51">
        <f>COUNTIF(FT140:FT220,3)</f>
        <v>0</v>
      </c>
      <c r="FU222" s="52">
        <f>COUNTIF(FU140:FU220,1)</f>
        <v>0</v>
      </c>
      <c r="FV222" s="50">
        <f>COUNTIF(FV140:FV220,2)</f>
        <v>0</v>
      </c>
      <c r="FW222" s="51">
        <f>COUNTIF(FW140:FW220,3)</f>
        <v>0</v>
      </c>
      <c r="FX222" s="52">
        <f>COUNTIF(FX140:FX220,1)</f>
        <v>0</v>
      </c>
      <c r="FY222" s="50">
        <f>COUNTIF(FY140:FY220,2)</f>
        <v>0</v>
      </c>
      <c r="FZ222" s="51">
        <f>COUNTIF(FZ140:FZ220,3)</f>
        <v>0</v>
      </c>
      <c r="GA222" s="52">
        <f>COUNTIF(GA140:GA220,1)</f>
        <v>2</v>
      </c>
      <c r="GB222" s="50">
        <f>COUNTIF(GB140:GB220,2)</f>
        <v>1</v>
      </c>
      <c r="GC222" s="51">
        <f>COUNTIF(GC140:GC220,3)</f>
        <v>2</v>
      </c>
      <c r="GD222" s="52">
        <f>COUNTIF(GD140:GD220,1)</f>
        <v>5</v>
      </c>
      <c r="GE222" s="50">
        <f>COUNTIF(GE140:GE220,2)</f>
        <v>0</v>
      </c>
      <c r="GF222" s="51">
        <f>COUNTIF(GF140:GF220,3)</f>
        <v>3</v>
      </c>
      <c r="GG222" s="52">
        <f>COUNTIF(GG140:GG220,1)</f>
        <v>3</v>
      </c>
      <c r="GH222" s="50">
        <f>COUNTIF(GH140:GH220,2)</f>
        <v>4</v>
      </c>
      <c r="GI222" s="51">
        <f>COUNTIF(GI140:GI220,3)</f>
        <v>4</v>
      </c>
      <c r="GJ222" s="52">
        <f>COUNTIF(GJ140:GJ220,1)</f>
        <v>0</v>
      </c>
      <c r="GK222" s="50">
        <f>COUNTIF(GK140:GK220,2)</f>
        <v>4</v>
      </c>
      <c r="GL222" s="51">
        <f>COUNTIF(GL140:GL220,3)</f>
        <v>5</v>
      </c>
    </row>
    <row r="223" spans="14:204" ht="15" customHeight="1">
      <c r="N223" s="116">
        <f t="shared" si="501"/>
        <v>0</v>
      </c>
      <c r="O223" s="116">
        <f t="shared" si="501"/>
        <v>0</v>
      </c>
      <c r="P223" s="116">
        <f t="shared" si="501"/>
        <v>0</v>
      </c>
      <c r="Q223" s="116">
        <f t="shared" ref="Q223:CB223" si="542">Q220</f>
        <v>0</v>
      </c>
      <c r="R223" s="116">
        <f t="shared" si="542"/>
        <v>0</v>
      </c>
      <c r="S223" s="116">
        <f t="shared" si="542"/>
        <v>0</v>
      </c>
      <c r="T223" s="116">
        <f t="shared" si="542"/>
        <v>0</v>
      </c>
      <c r="U223" s="116">
        <f t="shared" si="542"/>
        <v>0</v>
      </c>
      <c r="V223" s="116">
        <f t="shared" si="542"/>
        <v>0</v>
      </c>
      <c r="W223" s="116">
        <f t="shared" si="542"/>
        <v>0</v>
      </c>
      <c r="X223" s="116">
        <f t="shared" si="542"/>
        <v>0</v>
      </c>
      <c r="Y223" s="116">
        <f t="shared" si="542"/>
        <v>0</v>
      </c>
      <c r="Z223" s="116">
        <f t="shared" si="542"/>
        <v>0</v>
      </c>
      <c r="AA223" s="116">
        <f t="shared" si="542"/>
        <v>0</v>
      </c>
      <c r="AB223" s="116">
        <f t="shared" si="542"/>
        <v>0</v>
      </c>
      <c r="AC223" s="116">
        <f t="shared" si="542"/>
        <v>0</v>
      </c>
      <c r="AD223" s="116">
        <f t="shared" si="542"/>
        <v>0</v>
      </c>
      <c r="AE223" s="116">
        <f t="shared" si="542"/>
        <v>0</v>
      </c>
      <c r="AF223" s="116">
        <f t="shared" si="542"/>
        <v>0</v>
      </c>
      <c r="AG223" s="116">
        <f t="shared" si="542"/>
        <v>0</v>
      </c>
      <c r="AH223" s="116">
        <f t="shared" si="542"/>
        <v>0</v>
      </c>
      <c r="AI223" s="116">
        <f t="shared" si="542"/>
        <v>0</v>
      </c>
      <c r="AJ223" s="116">
        <f t="shared" si="542"/>
        <v>0</v>
      </c>
      <c r="AK223" s="116">
        <f t="shared" si="542"/>
        <v>0</v>
      </c>
      <c r="AL223" s="116">
        <f t="shared" si="542"/>
        <v>0</v>
      </c>
      <c r="AM223" s="116">
        <f t="shared" si="542"/>
        <v>0</v>
      </c>
      <c r="AN223" s="116">
        <f t="shared" si="542"/>
        <v>0</v>
      </c>
      <c r="AO223" s="116">
        <f t="shared" si="542"/>
        <v>0</v>
      </c>
      <c r="AP223" s="116">
        <f t="shared" si="542"/>
        <v>0</v>
      </c>
      <c r="AQ223" s="116">
        <f t="shared" si="542"/>
        <v>0</v>
      </c>
      <c r="AR223" s="116">
        <f t="shared" si="542"/>
        <v>0</v>
      </c>
      <c r="AS223" s="116">
        <f t="shared" si="542"/>
        <v>0</v>
      </c>
      <c r="AT223" s="116">
        <f t="shared" si="542"/>
        <v>0</v>
      </c>
      <c r="AU223" s="116">
        <f t="shared" si="542"/>
        <v>0</v>
      </c>
      <c r="AV223" s="116">
        <f t="shared" si="542"/>
        <v>0</v>
      </c>
      <c r="AW223" s="116">
        <f t="shared" si="542"/>
        <v>0</v>
      </c>
      <c r="AX223" s="116">
        <f t="shared" si="542"/>
        <v>0</v>
      </c>
      <c r="AY223" s="116">
        <f t="shared" si="542"/>
        <v>0</v>
      </c>
      <c r="AZ223" s="116">
        <f t="shared" si="542"/>
        <v>0</v>
      </c>
      <c r="BA223" s="116">
        <f t="shared" si="542"/>
        <v>0</v>
      </c>
      <c r="BB223" s="116">
        <f t="shared" si="542"/>
        <v>0</v>
      </c>
      <c r="BC223" s="116">
        <f t="shared" si="542"/>
        <v>0</v>
      </c>
      <c r="BD223" s="116">
        <f t="shared" si="542"/>
        <v>0</v>
      </c>
      <c r="BE223" s="116">
        <f t="shared" si="542"/>
        <v>0</v>
      </c>
      <c r="BF223" s="116">
        <f t="shared" si="542"/>
        <v>0</v>
      </c>
      <c r="BG223" s="116">
        <f t="shared" si="542"/>
        <v>0</v>
      </c>
      <c r="BH223" s="116">
        <f t="shared" si="542"/>
        <v>0</v>
      </c>
      <c r="BI223" s="116">
        <f t="shared" si="542"/>
        <v>0</v>
      </c>
      <c r="BJ223" s="116">
        <f t="shared" si="542"/>
        <v>0</v>
      </c>
      <c r="BK223" s="116">
        <f t="shared" si="542"/>
        <v>0</v>
      </c>
      <c r="BL223" s="116">
        <f t="shared" si="542"/>
        <v>0</v>
      </c>
      <c r="BM223" s="116">
        <f t="shared" si="542"/>
        <v>0</v>
      </c>
      <c r="BN223" s="116">
        <f t="shared" si="542"/>
        <v>0</v>
      </c>
      <c r="BO223" s="116">
        <f t="shared" si="542"/>
        <v>0</v>
      </c>
      <c r="BP223" s="116">
        <f t="shared" si="542"/>
        <v>0</v>
      </c>
      <c r="BQ223" s="116">
        <f t="shared" si="542"/>
        <v>0</v>
      </c>
      <c r="BR223" s="116">
        <f t="shared" si="542"/>
        <v>0</v>
      </c>
      <c r="BS223" s="116">
        <f t="shared" si="542"/>
        <v>0</v>
      </c>
      <c r="BT223" s="116">
        <f t="shared" si="542"/>
        <v>0</v>
      </c>
      <c r="BU223" s="116">
        <f t="shared" si="542"/>
        <v>0</v>
      </c>
      <c r="BV223" s="116">
        <f t="shared" si="542"/>
        <v>0</v>
      </c>
      <c r="BW223" s="116">
        <f t="shared" si="542"/>
        <v>0</v>
      </c>
      <c r="BX223" s="116">
        <f t="shared" si="542"/>
        <v>0</v>
      </c>
      <c r="BY223" s="116">
        <f t="shared" si="542"/>
        <v>0</v>
      </c>
      <c r="BZ223" s="116">
        <f t="shared" si="542"/>
        <v>0</v>
      </c>
      <c r="CA223" s="116">
        <f t="shared" si="542"/>
        <v>0</v>
      </c>
      <c r="CB223" s="116">
        <f t="shared" si="542"/>
        <v>0</v>
      </c>
      <c r="CC223" s="116">
        <f t="shared" ref="CC223:CP223" si="543">CC220</f>
        <v>0</v>
      </c>
      <c r="CD223" s="116">
        <f t="shared" si="543"/>
        <v>0</v>
      </c>
      <c r="CE223" s="116">
        <f t="shared" si="543"/>
        <v>0</v>
      </c>
      <c r="CF223" s="116">
        <f t="shared" si="543"/>
        <v>0</v>
      </c>
      <c r="CG223" s="116">
        <f t="shared" si="543"/>
        <v>0</v>
      </c>
      <c r="CH223" s="116">
        <f t="shared" si="543"/>
        <v>0</v>
      </c>
      <c r="CI223" s="116">
        <f t="shared" si="543"/>
        <v>0</v>
      </c>
      <c r="CJ223" s="116">
        <f t="shared" si="543"/>
        <v>0</v>
      </c>
      <c r="CK223" s="116">
        <f t="shared" si="543"/>
        <v>0</v>
      </c>
      <c r="CL223" s="116">
        <f t="shared" si="543"/>
        <v>0</v>
      </c>
      <c r="CM223" s="116">
        <f t="shared" si="543"/>
        <v>0</v>
      </c>
      <c r="CN223" s="116">
        <f t="shared" si="543"/>
        <v>0</v>
      </c>
      <c r="CO223" s="116">
        <f t="shared" si="543"/>
        <v>0</v>
      </c>
      <c r="CP223" s="116">
        <f t="shared" si="543"/>
        <v>0</v>
      </c>
      <c r="DJ223" s="40">
        <f>COUNTIF(DJ140:DJ220,4)</f>
        <v>5</v>
      </c>
      <c r="DK223" s="39">
        <f>COUNTIF(DK140:DK220,5)</f>
        <v>1</v>
      </c>
      <c r="DL223" s="41">
        <f>COUNTIF(DL140:DL220,6)</f>
        <v>0</v>
      </c>
      <c r="DM223" s="40">
        <f>COUNTIF(DM140:DM220,4)</f>
        <v>5</v>
      </c>
      <c r="DN223" s="39">
        <f>COUNTIF(DN140:DN220,5)</f>
        <v>1</v>
      </c>
      <c r="DO223" s="41">
        <f>COUNTIF(DO140:DO220,6)</f>
        <v>3</v>
      </c>
      <c r="DP223" s="40">
        <f>COUNTIF(DP140:DP220,4)</f>
        <v>1</v>
      </c>
      <c r="DQ223" s="39">
        <f>COUNTIF(DQ140:DQ220,5)</f>
        <v>1</v>
      </c>
      <c r="DR223" s="41">
        <f>COUNTIF(DR140:DR220,6)</f>
        <v>0</v>
      </c>
      <c r="DS223" s="40">
        <f>COUNTIF(DS140:DS220,4)</f>
        <v>2</v>
      </c>
      <c r="DT223" s="39">
        <f>COUNTIF(DT140:DT220,5)</f>
        <v>0</v>
      </c>
      <c r="DU223" s="41">
        <f>COUNTIF(DU140:DU220,6)</f>
        <v>3</v>
      </c>
      <c r="DV223" s="40">
        <f>COUNTIF(DV140:DV220,4)</f>
        <v>0</v>
      </c>
      <c r="DW223" s="39">
        <f>COUNTIF(DW140:DW220,5)</f>
        <v>0</v>
      </c>
      <c r="DX223" s="41">
        <f>COUNTIF(DX140:DX220,6)</f>
        <v>0</v>
      </c>
      <c r="DY223" s="40">
        <f>COUNTIF(DY140:DY220,4)</f>
        <v>0</v>
      </c>
      <c r="DZ223" s="39">
        <f>COUNTIF(DZ140:DZ220,5)</f>
        <v>0</v>
      </c>
      <c r="EA223" s="41">
        <f>COUNTIF(EA140:EA220,6)</f>
        <v>0</v>
      </c>
      <c r="EB223" s="40">
        <f>COUNTIF(EB140:EB220,4)</f>
        <v>0</v>
      </c>
      <c r="EC223" s="39">
        <f>COUNTIF(EC140:EC220,5)</f>
        <v>0</v>
      </c>
      <c r="ED223" s="41">
        <f>COUNTIF(ED140:ED220,6)</f>
        <v>0</v>
      </c>
      <c r="EE223" s="40">
        <f>COUNTIF(EE140:EE220,4)</f>
        <v>0</v>
      </c>
      <c r="EF223" s="39">
        <f>COUNTIF(EF140:EF220,5)</f>
        <v>0</v>
      </c>
      <c r="EG223" s="41">
        <f>COUNTIF(EG140:EG220,6)</f>
        <v>0</v>
      </c>
      <c r="EH223" s="40">
        <f>COUNTIF(EH140:EH220,4)</f>
        <v>0</v>
      </c>
      <c r="EI223" s="39">
        <f>COUNTIF(EI140:EI220,5)</f>
        <v>0</v>
      </c>
      <c r="EJ223" s="41">
        <f>COUNTIF(EJ140:EJ220,6)</f>
        <v>0</v>
      </c>
      <c r="EK223" s="40">
        <f>COUNTIF(EK140:EK220,4)</f>
        <v>0</v>
      </c>
      <c r="EL223" s="39">
        <f>COUNTIF(EL140:EL220,5)</f>
        <v>0</v>
      </c>
      <c r="EM223" s="41">
        <f>COUNTIF(EM140:EM220,6)</f>
        <v>0</v>
      </c>
      <c r="EN223" s="40">
        <f>COUNTIF(EN140:EN220,4)</f>
        <v>1</v>
      </c>
      <c r="EO223" s="39">
        <f>COUNTIF(EO140:EO220,5)</f>
        <v>0</v>
      </c>
      <c r="EP223" s="41">
        <f>COUNTIF(EP140:EP220,6)</f>
        <v>0</v>
      </c>
      <c r="EQ223" s="40">
        <f>COUNTIF(EQ140:EQ220,4)</f>
        <v>1</v>
      </c>
      <c r="ER223" s="39">
        <f>COUNTIF(ER140:ER220,5)</f>
        <v>0</v>
      </c>
      <c r="ES223" s="41">
        <f>COUNTIF(ES140:ES220,6)</f>
        <v>2</v>
      </c>
      <c r="ET223" s="40">
        <f>COUNTIF(ET140:ET220,4)</f>
        <v>4</v>
      </c>
      <c r="EU223" s="39">
        <f>COUNTIF(EU140:EU220,5)</f>
        <v>0</v>
      </c>
      <c r="EV223" s="41">
        <f>COUNTIF(EV140:EV220,6)</f>
        <v>0</v>
      </c>
      <c r="EW223" s="40">
        <f>COUNTIF(EW140:EW220,4)</f>
        <v>1</v>
      </c>
      <c r="EX223" s="39">
        <f>COUNTIF(EX140:EX220,5)</f>
        <v>0</v>
      </c>
      <c r="EY223" s="41">
        <f>COUNTIF(EY140:EY220,6)</f>
        <v>0</v>
      </c>
      <c r="EZ223" s="40">
        <f>COUNTIF(EZ140:EZ220,4)</f>
        <v>3</v>
      </c>
      <c r="FA223" s="39">
        <f>COUNTIF(FA140:FA220,5)</f>
        <v>0</v>
      </c>
      <c r="FB223" s="41">
        <f>COUNTIF(FB140:FB220,6)</f>
        <v>0</v>
      </c>
      <c r="FC223" s="40">
        <f>COUNTIF(FC140:FC220,4)</f>
        <v>0</v>
      </c>
      <c r="FD223" s="39">
        <f>COUNTIF(FD140:FD220,5)</f>
        <v>0</v>
      </c>
      <c r="FE223" s="41">
        <f>COUNTIF(FE140:FE220,6)</f>
        <v>0</v>
      </c>
      <c r="FF223" s="40">
        <f>COUNTIF(FF140:FF220,4)</f>
        <v>0</v>
      </c>
      <c r="FG223" s="39">
        <f>COUNTIF(FG140:FG220,5)</f>
        <v>0</v>
      </c>
      <c r="FH223" s="41">
        <f>COUNTIF(FH140:FH220,6)</f>
        <v>0</v>
      </c>
      <c r="FI223" s="40">
        <f>COUNTIF(FI140:FI220,4)</f>
        <v>0</v>
      </c>
      <c r="FJ223" s="39">
        <f>COUNTIF(FJ140:FJ220,5)</f>
        <v>0</v>
      </c>
      <c r="FK223" s="41">
        <f>COUNTIF(FK140:FK220,6)</f>
        <v>0</v>
      </c>
      <c r="FL223" s="40">
        <f>COUNTIF(FL140:FL220,4)</f>
        <v>0</v>
      </c>
      <c r="FM223" s="39">
        <f>COUNTIF(FM140:FM220,5)</f>
        <v>0</v>
      </c>
      <c r="FN223" s="41">
        <f>COUNTIF(FN140:FN220,6)</f>
        <v>0</v>
      </c>
      <c r="FO223" s="40">
        <f>COUNTIF(FO140:FO220,4)</f>
        <v>0</v>
      </c>
      <c r="FP223" s="39">
        <f>COUNTIF(FP140:FP220,5)</f>
        <v>0</v>
      </c>
      <c r="FQ223" s="41">
        <f>COUNTIF(FQ140:FQ220,6)</f>
        <v>0</v>
      </c>
      <c r="FR223" s="40">
        <f>COUNTIF(FR140:FR220,4)</f>
        <v>0</v>
      </c>
      <c r="FS223" s="39">
        <f>COUNTIF(FS140:FS220,5)</f>
        <v>0</v>
      </c>
      <c r="FT223" s="41">
        <f>COUNTIF(FT140:FT220,6)</f>
        <v>0</v>
      </c>
      <c r="FU223" s="40">
        <f>COUNTIF(FU140:FU220,4)</f>
        <v>0</v>
      </c>
      <c r="FV223" s="39">
        <f>COUNTIF(FV140:FV220,5)</f>
        <v>0</v>
      </c>
      <c r="FW223" s="41">
        <f>COUNTIF(FW140:FW220,6)</f>
        <v>0</v>
      </c>
      <c r="FX223" s="40">
        <f>COUNTIF(FX140:FX220,4)</f>
        <v>0</v>
      </c>
      <c r="FY223" s="39">
        <f>COUNTIF(FY140:FY220,5)</f>
        <v>0</v>
      </c>
      <c r="FZ223" s="41">
        <f>COUNTIF(FZ140:FZ220,6)</f>
        <v>0</v>
      </c>
      <c r="GA223" s="40">
        <f>COUNTIF(GA140:GA220,4)</f>
        <v>0</v>
      </c>
      <c r="GB223" s="39">
        <f>COUNTIF(GB140:GB220,5)</f>
        <v>0</v>
      </c>
      <c r="GC223" s="41">
        <f>COUNTIF(GC140:GC220,6)</f>
        <v>2</v>
      </c>
      <c r="GD223" s="40">
        <f>COUNTIF(GD140:GD220,4)</f>
        <v>2</v>
      </c>
      <c r="GE223" s="39">
        <f>COUNTIF(GE140:GE220,5)</f>
        <v>0</v>
      </c>
      <c r="GF223" s="41">
        <f>COUNTIF(GF140:GF220,6)</f>
        <v>2</v>
      </c>
      <c r="GG223" s="40">
        <f>COUNTIF(GG140:GG220,4)</f>
        <v>0</v>
      </c>
      <c r="GH223" s="39">
        <f>COUNTIF(GH140:GH220,5)</f>
        <v>1</v>
      </c>
      <c r="GI223" s="41">
        <f>COUNTIF(GI140:GI220,6)</f>
        <v>0</v>
      </c>
      <c r="GJ223" s="40">
        <f>COUNTIF(GJ140:GJ220,4)</f>
        <v>3</v>
      </c>
      <c r="GK223" s="39">
        <f>COUNTIF(GK140:GK220,5)</f>
        <v>1</v>
      </c>
      <c r="GL223" s="41">
        <f>COUNTIF(GL140:GL220,6)</f>
        <v>3</v>
      </c>
    </row>
    <row r="224" spans="14:204" ht="15" customHeight="1">
      <c r="N224" s="116">
        <f t="shared" si="501"/>
        <v>0</v>
      </c>
      <c r="O224" s="116">
        <f t="shared" si="501"/>
        <v>0</v>
      </c>
      <c r="P224" s="116">
        <f t="shared" si="501"/>
        <v>0</v>
      </c>
      <c r="Q224" s="116">
        <f t="shared" ref="Q224:CB224" si="544">Q221</f>
        <v>0</v>
      </c>
      <c r="R224" s="116">
        <f t="shared" si="544"/>
        <v>0</v>
      </c>
      <c r="S224" s="116">
        <f t="shared" si="544"/>
        <v>0</v>
      </c>
      <c r="T224" s="116">
        <f t="shared" si="544"/>
        <v>0</v>
      </c>
      <c r="U224" s="116">
        <f t="shared" si="544"/>
        <v>0</v>
      </c>
      <c r="V224" s="116">
        <f t="shared" si="544"/>
        <v>0</v>
      </c>
      <c r="W224" s="116">
        <f t="shared" si="544"/>
        <v>0</v>
      </c>
      <c r="X224" s="116">
        <f t="shared" si="544"/>
        <v>0</v>
      </c>
      <c r="Y224" s="116">
        <f t="shared" si="544"/>
        <v>0</v>
      </c>
      <c r="Z224" s="116">
        <f t="shared" si="544"/>
        <v>0</v>
      </c>
      <c r="AA224" s="116">
        <f t="shared" si="544"/>
        <v>0</v>
      </c>
      <c r="AB224" s="116">
        <f t="shared" si="544"/>
        <v>0</v>
      </c>
      <c r="AC224" s="116">
        <f t="shared" si="544"/>
        <v>0</v>
      </c>
      <c r="AD224" s="116">
        <f t="shared" si="544"/>
        <v>0</v>
      </c>
      <c r="AE224" s="116">
        <f t="shared" si="544"/>
        <v>0</v>
      </c>
      <c r="AF224" s="116">
        <f t="shared" si="544"/>
        <v>0</v>
      </c>
      <c r="AG224" s="116">
        <f t="shared" si="544"/>
        <v>0</v>
      </c>
      <c r="AH224" s="116">
        <f t="shared" si="544"/>
        <v>0</v>
      </c>
      <c r="AI224" s="116">
        <f t="shared" si="544"/>
        <v>0</v>
      </c>
      <c r="AJ224" s="116">
        <f t="shared" si="544"/>
        <v>0</v>
      </c>
      <c r="AK224" s="116">
        <f t="shared" si="544"/>
        <v>0</v>
      </c>
      <c r="AL224" s="116">
        <f t="shared" si="544"/>
        <v>0</v>
      </c>
      <c r="AM224" s="116">
        <f t="shared" si="544"/>
        <v>0</v>
      </c>
      <c r="AN224" s="116">
        <f t="shared" si="544"/>
        <v>0</v>
      </c>
      <c r="AO224" s="116">
        <f t="shared" si="544"/>
        <v>0</v>
      </c>
      <c r="AP224" s="116">
        <f t="shared" si="544"/>
        <v>0</v>
      </c>
      <c r="AQ224" s="116">
        <f t="shared" si="544"/>
        <v>0</v>
      </c>
      <c r="AR224" s="116">
        <f t="shared" si="544"/>
        <v>0</v>
      </c>
      <c r="AS224" s="116">
        <f t="shared" si="544"/>
        <v>0</v>
      </c>
      <c r="AT224" s="116">
        <f t="shared" si="544"/>
        <v>0</v>
      </c>
      <c r="AU224" s="116">
        <f t="shared" si="544"/>
        <v>0</v>
      </c>
      <c r="AV224" s="116">
        <f t="shared" si="544"/>
        <v>0</v>
      </c>
      <c r="AW224" s="116">
        <f t="shared" si="544"/>
        <v>0</v>
      </c>
      <c r="AX224" s="116">
        <f t="shared" si="544"/>
        <v>0</v>
      </c>
      <c r="AY224" s="116">
        <f t="shared" si="544"/>
        <v>0</v>
      </c>
      <c r="AZ224" s="116">
        <f t="shared" si="544"/>
        <v>0</v>
      </c>
      <c r="BA224" s="116">
        <f t="shared" si="544"/>
        <v>0</v>
      </c>
      <c r="BB224" s="116">
        <f t="shared" si="544"/>
        <v>0</v>
      </c>
      <c r="BC224" s="116">
        <f t="shared" si="544"/>
        <v>0</v>
      </c>
      <c r="BD224" s="116">
        <f t="shared" si="544"/>
        <v>0</v>
      </c>
      <c r="BE224" s="116">
        <f t="shared" si="544"/>
        <v>0</v>
      </c>
      <c r="BF224" s="116">
        <f t="shared" si="544"/>
        <v>0</v>
      </c>
      <c r="BG224" s="116">
        <f t="shared" si="544"/>
        <v>0</v>
      </c>
      <c r="BH224" s="116">
        <f t="shared" si="544"/>
        <v>0</v>
      </c>
      <c r="BI224" s="116">
        <f t="shared" si="544"/>
        <v>0</v>
      </c>
      <c r="BJ224" s="116">
        <f t="shared" si="544"/>
        <v>0</v>
      </c>
      <c r="BK224" s="116">
        <f t="shared" si="544"/>
        <v>0</v>
      </c>
      <c r="BL224" s="116">
        <f t="shared" si="544"/>
        <v>0</v>
      </c>
      <c r="BM224" s="116">
        <f t="shared" si="544"/>
        <v>0</v>
      </c>
      <c r="BN224" s="116">
        <f t="shared" si="544"/>
        <v>0</v>
      </c>
      <c r="BO224" s="116">
        <f t="shared" si="544"/>
        <v>0</v>
      </c>
      <c r="BP224" s="116">
        <f t="shared" si="544"/>
        <v>0</v>
      </c>
      <c r="BQ224" s="116">
        <f t="shared" si="544"/>
        <v>0</v>
      </c>
      <c r="BR224" s="116">
        <f t="shared" si="544"/>
        <v>0</v>
      </c>
      <c r="BS224" s="116">
        <f t="shared" si="544"/>
        <v>0</v>
      </c>
      <c r="BT224" s="116">
        <f t="shared" si="544"/>
        <v>0</v>
      </c>
      <c r="BU224" s="116">
        <f t="shared" si="544"/>
        <v>0</v>
      </c>
      <c r="BV224" s="116">
        <f t="shared" si="544"/>
        <v>0</v>
      </c>
      <c r="BW224" s="116">
        <f t="shared" si="544"/>
        <v>0</v>
      </c>
      <c r="BX224" s="116">
        <f t="shared" si="544"/>
        <v>0</v>
      </c>
      <c r="BY224" s="116">
        <f t="shared" si="544"/>
        <v>0</v>
      </c>
      <c r="BZ224" s="116">
        <f t="shared" si="544"/>
        <v>0</v>
      </c>
      <c r="CA224" s="116">
        <f t="shared" si="544"/>
        <v>0</v>
      </c>
      <c r="CB224" s="116">
        <f t="shared" si="544"/>
        <v>0</v>
      </c>
      <c r="CC224" s="116">
        <f t="shared" ref="CC224:CP224" si="545">CC221</f>
        <v>0</v>
      </c>
      <c r="CD224" s="116">
        <f t="shared" si="545"/>
        <v>0</v>
      </c>
      <c r="CE224" s="116">
        <f t="shared" si="545"/>
        <v>0</v>
      </c>
      <c r="CF224" s="116">
        <f t="shared" si="545"/>
        <v>0</v>
      </c>
      <c r="CG224" s="116">
        <f t="shared" si="545"/>
        <v>0</v>
      </c>
      <c r="CH224" s="116">
        <f t="shared" si="545"/>
        <v>0</v>
      </c>
      <c r="CI224" s="116">
        <f t="shared" si="545"/>
        <v>0</v>
      </c>
      <c r="CJ224" s="116">
        <f t="shared" si="545"/>
        <v>0</v>
      </c>
      <c r="CK224" s="116">
        <f t="shared" si="545"/>
        <v>0</v>
      </c>
      <c r="CL224" s="116">
        <f t="shared" si="545"/>
        <v>0</v>
      </c>
      <c r="CM224" s="116">
        <f t="shared" si="545"/>
        <v>0</v>
      </c>
      <c r="CN224" s="116">
        <f t="shared" si="545"/>
        <v>0</v>
      </c>
      <c r="CO224" s="116">
        <f t="shared" si="545"/>
        <v>0</v>
      </c>
      <c r="CP224" s="116">
        <f t="shared" si="545"/>
        <v>0</v>
      </c>
      <c r="DJ224" s="46">
        <f>COUNTIF(DJ140:DJ220,7)</f>
        <v>1</v>
      </c>
      <c r="DK224" s="45">
        <f>COUNTIF(DK140:DK220,8)</f>
        <v>0</v>
      </c>
      <c r="DL224" s="47">
        <f>COUNTIF(DL140:DL220,9)</f>
        <v>0</v>
      </c>
      <c r="DM224" s="46">
        <f>COUNTIF(DM140:DM220,7)</f>
        <v>0</v>
      </c>
      <c r="DN224" s="45">
        <f>COUNTIF(DN140:DN220,8)</f>
        <v>1</v>
      </c>
      <c r="DO224" s="47">
        <f>COUNTIF(DO140:DO220,9)</f>
        <v>0</v>
      </c>
      <c r="DP224" s="46">
        <f>COUNTIF(DP140:DP220,7)</f>
        <v>0</v>
      </c>
      <c r="DQ224" s="45">
        <f>COUNTIF(DQ140:DQ220,8)</f>
        <v>0</v>
      </c>
      <c r="DR224" s="47">
        <f>COUNTIF(DR140:DR220,9)</f>
        <v>0</v>
      </c>
      <c r="DS224" s="46">
        <f>COUNTIF(DS140:DS220,7)</f>
        <v>0</v>
      </c>
      <c r="DT224" s="45">
        <f>COUNTIF(DT140:DT220,8)</f>
        <v>2</v>
      </c>
      <c r="DU224" s="47">
        <f>COUNTIF(DU140:DU220,9)</f>
        <v>0</v>
      </c>
      <c r="DV224" s="46">
        <f>COUNTIF(DV140:DV220,7)</f>
        <v>0</v>
      </c>
      <c r="DW224" s="45">
        <f>COUNTIF(DW140:DW220,8)</f>
        <v>0</v>
      </c>
      <c r="DX224" s="47">
        <f>COUNTIF(DX140:DX220,9)</f>
        <v>0</v>
      </c>
      <c r="DY224" s="46">
        <f>COUNTIF(DY140:DY220,7)</f>
        <v>0</v>
      </c>
      <c r="DZ224" s="45">
        <f>COUNTIF(DZ140:DZ220,8)</f>
        <v>0</v>
      </c>
      <c r="EA224" s="47">
        <f>COUNTIF(EA140:EA220,9)</f>
        <v>0</v>
      </c>
      <c r="EB224" s="46">
        <f>COUNTIF(EB140:EB220,7)</f>
        <v>0</v>
      </c>
      <c r="EC224" s="45">
        <f>COUNTIF(EC140:EC220,8)</f>
        <v>0</v>
      </c>
      <c r="ED224" s="47">
        <f>COUNTIF(ED140:ED220,9)</f>
        <v>0</v>
      </c>
      <c r="EE224" s="46">
        <f>COUNTIF(EE140:EE220,7)</f>
        <v>0</v>
      </c>
      <c r="EF224" s="45">
        <f>COUNTIF(EF140:EF220,8)</f>
        <v>0</v>
      </c>
      <c r="EG224" s="47">
        <f>COUNTIF(EG140:EG220,9)</f>
        <v>0</v>
      </c>
      <c r="EH224" s="46">
        <f>COUNTIF(EH140:EH220,7)</f>
        <v>0</v>
      </c>
      <c r="EI224" s="45">
        <f>COUNTIF(EI140:EI220,8)</f>
        <v>0</v>
      </c>
      <c r="EJ224" s="47">
        <f>COUNTIF(EJ140:EJ220,9)</f>
        <v>0</v>
      </c>
      <c r="EK224" s="46">
        <f>COUNTIF(EK140:EK220,7)</f>
        <v>0</v>
      </c>
      <c r="EL224" s="45">
        <f>COUNTIF(EL140:EL220,8)</f>
        <v>0</v>
      </c>
      <c r="EM224" s="47">
        <f>COUNTIF(EM140:EM220,9)</f>
        <v>0</v>
      </c>
      <c r="EN224" s="46">
        <f>COUNTIF(EN140:EN220,7)</f>
        <v>1</v>
      </c>
      <c r="EO224" s="45">
        <f>COUNTIF(EO140:EO220,8)</f>
        <v>0</v>
      </c>
      <c r="EP224" s="47">
        <f>COUNTIF(EP140:EP220,9)</f>
        <v>0</v>
      </c>
      <c r="EQ224" s="46">
        <f>COUNTIF(EQ140:EQ220,7)</f>
        <v>0</v>
      </c>
      <c r="ER224" s="45">
        <f>COUNTIF(ER140:ER220,8)</f>
        <v>2</v>
      </c>
      <c r="ES224" s="47">
        <f>COUNTIF(ES140:ES220,9)</f>
        <v>0</v>
      </c>
      <c r="ET224" s="46">
        <f>COUNTIF(ET140:ET220,7)</f>
        <v>1</v>
      </c>
      <c r="EU224" s="45">
        <f>COUNTIF(EU140:EU220,8)</f>
        <v>0</v>
      </c>
      <c r="EV224" s="47">
        <f>COUNTIF(EV140:EV220,9)</f>
        <v>0</v>
      </c>
      <c r="EW224" s="46">
        <f>COUNTIF(EW140:EW220,7)</f>
        <v>0</v>
      </c>
      <c r="EX224" s="45">
        <f>COUNTIF(EX140:EX220,8)</f>
        <v>0</v>
      </c>
      <c r="EY224" s="47">
        <f>COUNTIF(EY140:EY220,9)</f>
        <v>0</v>
      </c>
      <c r="EZ224" s="46">
        <f>COUNTIF(EZ140:EZ220,7)</f>
        <v>1</v>
      </c>
      <c r="FA224" s="45">
        <f>COUNTIF(FA140:FA220,8)</f>
        <v>1</v>
      </c>
      <c r="FB224" s="47">
        <f>COUNTIF(FB140:FB220,9)</f>
        <v>0</v>
      </c>
      <c r="FC224" s="46">
        <f>COUNTIF(FC140:FC220,7)</f>
        <v>0</v>
      </c>
      <c r="FD224" s="45">
        <f>COUNTIF(FD140:FD220,8)</f>
        <v>1</v>
      </c>
      <c r="FE224" s="47">
        <f>COUNTIF(FE140:FE220,9)</f>
        <v>0</v>
      </c>
      <c r="FF224" s="46">
        <f>COUNTIF(FF140:FF220,7)</f>
        <v>0</v>
      </c>
      <c r="FG224" s="45">
        <f>COUNTIF(FG140:FG220,8)</f>
        <v>0</v>
      </c>
      <c r="FH224" s="47">
        <f>COUNTIF(FH140:FH220,9)</f>
        <v>0</v>
      </c>
      <c r="FI224" s="46">
        <f>COUNTIF(FI140:FI220,7)</f>
        <v>0</v>
      </c>
      <c r="FJ224" s="45">
        <f>COUNTIF(FJ140:FJ220,8)</f>
        <v>0</v>
      </c>
      <c r="FK224" s="47">
        <f>COUNTIF(FK140:FK220,9)</f>
        <v>0</v>
      </c>
      <c r="FL224" s="46">
        <f>COUNTIF(FL140:FL220,7)</f>
        <v>0</v>
      </c>
      <c r="FM224" s="45">
        <f>COUNTIF(FM140:FM220,8)</f>
        <v>0</v>
      </c>
      <c r="FN224" s="47">
        <f>COUNTIF(FN140:FN220,9)</f>
        <v>0</v>
      </c>
      <c r="FO224" s="46">
        <f>COUNTIF(FO140:FO220,7)</f>
        <v>0</v>
      </c>
      <c r="FP224" s="45">
        <f>COUNTIF(FP140:FP220,8)</f>
        <v>0</v>
      </c>
      <c r="FQ224" s="47">
        <f>COUNTIF(FQ140:FQ220,9)</f>
        <v>0</v>
      </c>
      <c r="FR224" s="46">
        <f>COUNTIF(FR140:FR220,7)</f>
        <v>0</v>
      </c>
      <c r="FS224" s="45">
        <f>COUNTIF(FS140:FS220,8)</f>
        <v>0</v>
      </c>
      <c r="FT224" s="47">
        <f>COUNTIF(FT140:FT220,9)</f>
        <v>0</v>
      </c>
      <c r="FU224" s="46">
        <f>COUNTIF(FU140:FU220,7)</f>
        <v>0</v>
      </c>
      <c r="FV224" s="45">
        <f>COUNTIF(FV140:FV220,8)</f>
        <v>0</v>
      </c>
      <c r="FW224" s="47">
        <f>COUNTIF(FW140:FW220,9)</f>
        <v>0</v>
      </c>
      <c r="FX224" s="46">
        <f>COUNTIF(FX140:FX220,7)</f>
        <v>0</v>
      </c>
      <c r="FY224" s="45">
        <f>COUNTIF(FY140:FY220,8)</f>
        <v>0</v>
      </c>
      <c r="FZ224" s="47">
        <f>COUNTIF(FZ140:FZ220,9)</f>
        <v>0</v>
      </c>
      <c r="GA224" s="46">
        <f>COUNTIF(GA140:GA220,7)</f>
        <v>0</v>
      </c>
      <c r="GB224" s="45">
        <f>COUNTIF(GB140:GB220,8)</f>
        <v>2</v>
      </c>
      <c r="GC224" s="47">
        <f>COUNTIF(GC140:GC220,9)</f>
        <v>0</v>
      </c>
      <c r="GD224" s="46">
        <f>COUNTIF(GD140:GD220,7)</f>
        <v>1</v>
      </c>
      <c r="GE224" s="45">
        <f>COUNTIF(GE140:GE220,8)</f>
        <v>3</v>
      </c>
      <c r="GF224" s="47">
        <f>COUNTIF(GF140:GF220,9)</f>
        <v>0</v>
      </c>
      <c r="GG224" s="46">
        <f>COUNTIF(GG140:GG220,7)</f>
        <v>1</v>
      </c>
      <c r="GH224" s="45">
        <f>COUNTIF(GH140:GH220,8)</f>
        <v>4</v>
      </c>
      <c r="GI224" s="47">
        <f>COUNTIF(GI140:GI220,9)</f>
        <v>0</v>
      </c>
      <c r="GJ224" s="46">
        <f>COUNTIF(GJ140:GJ220,7)</f>
        <v>0</v>
      </c>
      <c r="GK224" s="45">
        <f>COUNTIF(GK140:GK220,8)</f>
        <v>5</v>
      </c>
      <c r="GL224" s="47">
        <f>COUNTIF(GL140:GL220,9)</f>
        <v>0</v>
      </c>
    </row>
    <row r="225" spans="14:194" ht="15" customHeight="1">
      <c r="N225" s="116">
        <f t="shared" si="501"/>
        <v>0</v>
      </c>
      <c r="O225" s="116">
        <f t="shared" si="501"/>
        <v>0</v>
      </c>
      <c r="P225" s="116">
        <f t="shared" si="501"/>
        <v>0</v>
      </c>
      <c r="Q225" s="116">
        <f t="shared" ref="Q225:CB225" si="546">Q222</f>
        <v>0</v>
      </c>
      <c r="R225" s="116">
        <f t="shared" si="546"/>
        <v>0</v>
      </c>
      <c r="S225" s="116">
        <f t="shared" si="546"/>
        <v>0</v>
      </c>
      <c r="T225" s="116">
        <f t="shared" si="546"/>
        <v>0</v>
      </c>
      <c r="U225" s="116">
        <f t="shared" si="546"/>
        <v>0</v>
      </c>
      <c r="V225" s="116">
        <f t="shared" si="546"/>
        <v>0</v>
      </c>
      <c r="W225" s="116">
        <f t="shared" si="546"/>
        <v>0</v>
      </c>
      <c r="X225" s="116">
        <f t="shared" si="546"/>
        <v>0</v>
      </c>
      <c r="Y225" s="116">
        <f t="shared" si="546"/>
        <v>0</v>
      </c>
      <c r="Z225" s="116">
        <f t="shared" si="546"/>
        <v>0</v>
      </c>
      <c r="AA225" s="116">
        <f t="shared" si="546"/>
        <v>0</v>
      </c>
      <c r="AB225" s="116">
        <f t="shared" si="546"/>
        <v>0</v>
      </c>
      <c r="AC225" s="116">
        <f t="shared" si="546"/>
        <v>0</v>
      </c>
      <c r="AD225" s="116">
        <f t="shared" si="546"/>
        <v>0</v>
      </c>
      <c r="AE225" s="116">
        <f t="shared" si="546"/>
        <v>0</v>
      </c>
      <c r="AF225" s="116">
        <f t="shared" si="546"/>
        <v>0</v>
      </c>
      <c r="AG225" s="116">
        <f t="shared" si="546"/>
        <v>0</v>
      </c>
      <c r="AH225" s="116">
        <f t="shared" si="546"/>
        <v>0</v>
      </c>
      <c r="AI225" s="116">
        <f t="shared" si="546"/>
        <v>0</v>
      </c>
      <c r="AJ225" s="116">
        <f t="shared" si="546"/>
        <v>0</v>
      </c>
      <c r="AK225" s="116">
        <f t="shared" si="546"/>
        <v>0</v>
      </c>
      <c r="AL225" s="116">
        <f t="shared" si="546"/>
        <v>0</v>
      </c>
      <c r="AM225" s="116">
        <f t="shared" si="546"/>
        <v>0</v>
      </c>
      <c r="AN225" s="116">
        <f t="shared" si="546"/>
        <v>0</v>
      </c>
      <c r="AO225" s="116">
        <f t="shared" si="546"/>
        <v>0</v>
      </c>
      <c r="AP225" s="116">
        <f t="shared" si="546"/>
        <v>0</v>
      </c>
      <c r="AQ225" s="116">
        <f t="shared" si="546"/>
        <v>0</v>
      </c>
      <c r="AR225" s="116">
        <f t="shared" si="546"/>
        <v>0</v>
      </c>
      <c r="AS225" s="116">
        <f t="shared" si="546"/>
        <v>0</v>
      </c>
      <c r="AT225" s="116">
        <f t="shared" si="546"/>
        <v>0</v>
      </c>
      <c r="AU225" s="116">
        <f t="shared" si="546"/>
        <v>0</v>
      </c>
      <c r="AV225" s="116">
        <f t="shared" si="546"/>
        <v>0</v>
      </c>
      <c r="AW225" s="116">
        <f t="shared" si="546"/>
        <v>0</v>
      </c>
      <c r="AX225" s="116">
        <f t="shared" si="546"/>
        <v>0</v>
      </c>
      <c r="AY225" s="116">
        <f t="shared" si="546"/>
        <v>0</v>
      </c>
      <c r="AZ225" s="116">
        <f t="shared" si="546"/>
        <v>0</v>
      </c>
      <c r="BA225" s="116">
        <f t="shared" si="546"/>
        <v>0</v>
      </c>
      <c r="BB225" s="116">
        <f t="shared" si="546"/>
        <v>0</v>
      </c>
      <c r="BC225" s="116">
        <f t="shared" si="546"/>
        <v>0</v>
      </c>
      <c r="BD225" s="116">
        <f t="shared" si="546"/>
        <v>0</v>
      </c>
      <c r="BE225" s="116">
        <f t="shared" si="546"/>
        <v>0</v>
      </c>
      <c r="BF225" s="116">
        <f t="shared" si="546"/>
        <v>0</v>
      </c>
      <c r="BG225" s="116">
        <f t="shared" si="546"/>
        <v>0</v>
      </c>
      <c r="BH225" s="116">
        <f t="shared" si="546"/>
        <v>0</v>
      </c>
      <c r="BI225" s="116">
        <f t="shared" si="546"/>
        <v>0</v>
      </c>
      <c r="BJ225" s="116">
        <f t="shared" si="546"/>
        <v>0</v>
      </c>
      <c r="BK225" s="116">
        <f t="shared" si="546"/>
        <v>0</v>
      </c>
      <c r="BL225" s="116">
        <f t="shared" si="546"/>
        <v>0</v>
      </c>
      <c r="BM225" s="116">
        <f t="shared" si="546"/>
        <v>0</v>
      </c>
      <c r="BN225" s="116">
        <f t="shared" si="546"/>
        <v>0</v>
      </c>
      <c r="BO225" s="116">
        <f t="shared" si="546"/>
        <v>0</v>
      </c>
      <c r="BP225" s="116">
        <f t="shared" si="546"/>
        <v>0</v>
      </c>
      <c r="BQ225" s="116">
        <f t="shared" si="546"/>
        <v>0</v>
      </c>
      <c r="BR225" s="116">
        <f t="shared" si="546"/>
        <v>0</v>
      </c>
      <c r="BS225" s="116">
        <f t="shared" si="546"/>
        <v>0</v>
      </c>
      <c r="BT225" s="116">
        <f t="shared" si="546"/>
        <v>0</v>
      </c>
      <c r="BU225" s="116">
        <f t="shared" si="546"/>
        <v>0</v>
      </c>
      <c r="BV225" s="116">
        <f t="shared" si="546"/>
        <v>0</v>
      </c>
      <c r="BW225" s="116">
        <f t="shared" si="546"/>
        <v>0</v>
      </c>
      <c r="BX225" s="116">
        <f t="shared" si="546"/>
        <v>0</v>
      </c>
      <c r="BY225" s="116">
        <f t="shared" si="546"/>
        <v>0</v>
      </c>
      <c r="BZ225" s="116">
        <f t="shared" si="546"/>
        <v>0</v>
      </c>
      <c r="CA225" s="116">
        <f t="shared" si="546"/>
        <v>0</v>
      </c>
      <c r="CB225" s="116">
        <f t="shared" si="546"/>
        <v>0</v>
      </c>
      <c r="CC225" s="116">
        <f t="shared" ref="CC225:CP225" si="547">CC222</f>
        <v>0</v>
      </c>
      <c r="CD225" s="116">
        <f t="shared" si="547"/>
        <v>0</v>
      </c>
      <c r="CE225" s="116">
        <f t="shared" si="547"/>
        <v>0</v>
      </c>
      <c r="CF225" s="116">
        <f t="shared" si="547"/>
        <v>0</v>
      </c>
      <c r="CG225" s="116">
        <f t="shared" si="547"/>
        <v>0</v>
      </c>
      <c r="CH225" s="116">
        <f t="shared" si="547"/>
        <v>0</v>
      </c>
      <c r="CI225" s="116">
        <f t="shared" si="547"/>
        <v>0</v>
      </c>
      <c r="CJ225" s="116">
        <f t="shared" si="547"/>
        <v>0</v>
      </c>
      <c r="CK225" s="116">
        <f t="shared" si="547"/>
        <v>0</v>
      </c>
      <c r="CL225" s="116">
        <f t="shared" si="547"/>
        <v>0</v>
      </c>
      <c r="CM225" s="116">
        <f t="shared" si="547"/>
        <v>0</v>
      </c>
      <c r="CN225" s="116">
        <f t="shared" si="547"/>
        <v>0</v>
      </c>
      <c r="CO225" s="116">
        <f t="shared" si="547"/>
        <v>0</v>
      </c>
      <c r="CP225" s="116">
        <f t="shared" si="547"/>
        <v>0</v>
      </c>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row>
    <row r="226" spans="14:194" ht="15" customHeight="1">
      <c r="N226" s="116">
        <f t="shared" si="501"/>
        <v>0</v>
      </c>
      <c r="O226" s="116">
        <f t="shared" si="501"/>
        <v>0</v>
      </c>
      <c r="P226" s="116">
        <f t="shared" si="501"/>
        <v>0</v>
      </c>
      <c r="Q226" s="116">
        <f t="shared" ref="Q226:CB226" si="548">Q223</f>
        <v>0</v>
      </c>
      <c r="R226" s="116">
        <f t="shared" si="548"/>
        <v>0</v>
      </c>
      <c r="S226" s="116">
        <f t="shared" si="548"/>
        <v>0</v>
      </c>
      <c r="T226" s="116">
        <f t="shared" si="548"/>
        <v>0</v>
      </c>
      <c r="U226" s="116">
        <f t="shared" si="548"/>
        <v>0</v>
      </c>
      <c r="V226" s="116">
        <f t="shared" si="548"/>
        <v>0</v>
      </c>
      <c r="W226" s="116">
        <f t="shared" si="548"/>
        <v>0</v>
      </c>
      <c r="X226" s="116">
        <f t="shared" si="548"/>
        <v>0</v>
      </c>
      <c r="Y226" s="116">
        <f t="shared" si="548"/>
        <v>0</v>
      </c>
      <c r="Z226" s="116">
        <f t="shared" si="548"/>
        <v>0</v>
      </c>
      <c r="AA226" s="116">
        <f t="shared" si="548"/>
        <v>0</v>
      </c>
      <c r="AB226" s="116">
        <f t="shared" si="548"/>
        <v>0</v>
      </c>
      <c r="AC226" s="116">
        <f t="shared" si="548"/>
        <v>0</v>
      </c>
      <c r="AD226" s="116">
        <f t="shared" si="548"/>
        <v>0</v>
      </c>
      <c r="AE226" s="116">
        <f t="shared" si="548"/>
        <v>0</v>
      </c>
      <c r="AF226" s="116">
        <f t="shared" si="548"/>
        <v>0</v>
      </c>
      <c r="AG226" s="116">
        <f t="shared" si="548"/>
        <v>0</v>
      </c>
      <c r="AH226" s="116">
        <f t="shared" si="548"/>
        <v>0</v>
      </c>
      <c r="AI226" s="116">
        <f t="shared" si="548"/>
        <v>0</v>
      </c>
      <c r="AJ226" s="116">
        <f t="shared" si="548"/>
        <v>0</v>
      </c>
      <c r="AK226" s="116">
        <f t="shared" si="548"/>
        <v>0</v>
      </c>
      <c r="AL226" s="116">
        <f t="shared" si="548"/>
        <v>0</v>
      </c>
      <c r="AM226" s="116">
        <f t="shared" si="548"/>
        <v>0</v>
      </c>
      <c r="AN226" s="116">
        <f t="shared" si="548"/>
        <v>0</v>
      </c>
      <c r="AO226" s="116">
        <f t="shared" si="548"/>
        <v>0</v>
      </c>
      <c r="AP226" s="116">
        <f t="shared" si="548"/>
        <v>0</v>
      </c>
      <c r="AQ226" s="116">
        <f t="shared" si="548"/>
        <v>0</v>
      </c>
      <c r="AR226" s="116">
        <f t="shared" si="548"/>
        <v>0</v>
      </c>
      <c r="AS226" s="116">
        <f t="shared" si="548"/>
        <v>0</v>
      </c>
      <c r="AT226" s="116">
        <f t="shared" si="548"/>
        <v>0</v>
      </c>
      <c r="AU226" s="116">
        <f t="shared" si="548"/>
        <v>0</v>
      </c>
      <c r="AV226" s="116">
        <f t="shared" si="548"/>
        <v>0</v>
      </c>
      <c r="AW226" s="116">
        <f t="shared" si="548"/>
        <v>0</v>
      </c>
      <c r="AX226" s="116">
        <f t="shared" si="548"/>
        <v>0</v>
      </c>
      <c r="AY226" s="116">
        <f t="shared" si="548"/>
        <v>0</v>
      </c>
      <c r="AZ226" s="116">
        <f t="shared" si="548"/>
        <v>0</v>
      </c>
      <c r="BA226" s="116">
        <f t="shared" si="548"/>
        <v>0</v>
      </c>
      <c r="BB226" s="116">
        <f t="shared" si="548"/>
        <v>0</v>
      </c>
      <c r="BC226" s="116">
        <f t="shared" si="548"/>
        <v>0</v>
      </c>
      <c r="BD226" s="116">
        <f t="shared" si="548"/>
        <v>0</v>
      </c>
      <c r="BE226" s="116">
        <f t="shared" si="548"/>
        <v>0</v>
      </c>
      <c r="BF226" s="116">
        <f t="shared" si="548"/>
        <v>0</v>
      </c>
      <c r="BG226" s="116">
        <f t="shared" si="548"/>
        <v>0</v>
      </c>
      <c r="BH226" s="116">
        <f t="shared" si="548"/>
        <v>0</v>
      </c>
      <c r="BI226" s="116">
        <f t="shared" si="548"/>
        <v>0</v>
      </c>
      <c r="BJ226" s="116">
        <f t="shared" si="548"/>
        <v>0</v>
      </c>
      <c r="BK226" s="116">
        <f t="shared" si="548"/>
        <v>0</v>
      </c>
      <c r="BL226" s="116">
        <f t="shared" si="548"/>
        <v>0</v>
      </c>
      <c r="BM226" s="116">
        <f t="shared" si="548"/>
        <v>0</v>
      </c>
      <c r="BN226" s="116">
        <f t="shared" si="548"/>
        <v>0</v>
      </c>
      <c r="BO226" s="116">
        <f t="shared" si="548"/>
        <v>0</v>
      </c>
      <c r="BP226" s="116">
        <f t="shared" si="548"/>
        <v>0</v>
      </c>
      <c r="BQ226" s="116">
        <f t="shared" si="548"/>
        <v>0</v>
      </c>
      <c r="BR226" s="116">
        <f t="shared" si="548"/>
        <v>0</v>
      </c>
      <c r="BS226" s="116">
        <f t="shared" si="548"/>
        <v>0</v>
      </c>
      <c r="BT226" s="116">
        <f t="shared" si="548"/>
        <v>0</v>
      </c>
      <c r="BU226" s="116">
        <f t="shared" si="548"/>
        <v>0</v>
      </c>
      <c r="BV226" s="116">
        <f t="shared" si="548"/>
        <v>0</v>
      </c>
      <c r="BW226" s="116">
        <f t="shared" si="548"/>
        <v>0</v>
      </c>
      <c r="BX226" s="116">
        <f t="shared" si="548"/>
        <v>0</v>
      </c>
      <c r="BY226" s="116">
        <f t="shared" si="548"/>
        <v>0</v>
      </c>
      <c r="BZ226" s="116">
        <f t="shared" si="548"/>
        <v>0</v>
      </c>
      <c r="CA226" s="116">
        <f t="shared" si="548"/>
        <v>0</v>
      </c>
      <c r="CB226" s="116">
        <f t="shared" si="548"/>
        <v>0</v>
      </c>
      <c r="CC226" s="116">
        <f t="shared" ref="CC226:CP226" si="549">CC223</f>
        <v>0</v>
      </c>
      <c r="CD226" s="116">
        <f t="shared" si="549"/>
        <v>0</v>
      </c>
      <c r="CE226" s="116">
        <f t="shared" si="549"/>
        <v>0</v>
      </c>
      <c r="CF226" s="116">
        <f t="shared" si="549"/>
        <v>0</v>
      </c>
      <c r="CG226" s="116">
        <f t="shared" si="549"/>
        <v>0</v>
      </c>
      <c r="CH226" s="116">
        <f t="shared" si="549"/>
        <v>0</v>
      </c>
      <c r="CI226" s="116">
        <f t="shared" si="549"/>
        <v>0</v>
      </c>
      <c r="CJ226" s="116">
        <f t="shared" si="549"/>
        <v>0</v>
      </c>
      <c r="CK226" s="116">
        <f t="shared" si="549"/>
        <v>0</v>
      </c>
      <c r="CL226" s="116">
        <f t="shared" si="549"/>
        <v>0</v>
      </c>
      <c r="CM226" s="116">
        <f t="shared" si="549"/>
        <v>0</v>
      </c>
      <c r="CN226" s="116">
        <f t="shared" si="549"/>
        <v>0</v>
      </c>
      <c r="CO226" s="116">
        <f t="shared" si="549"/>
        <v>0</v>
      </c>
      <c r="CP226" s="116">
        <f t="shared" si="549"/>
        <v>0</v>
      </c>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row>
    <row r="227" spans="14:194" ht="15" customHeight="1" thickBot="1">
      <c r="N227" s="116">
        <f t="shared" si="501"/>
        <v>0</v>
      </c>
      <c r="O227" s="116">
        <f t="shared" si="501"/>
        <v>0</v>
      </c>
      <c r="P227" s="116">
        <f t="shared" si="501"/>
        <v>0</v>
      </c>
      <c r="Q227" s="116">
        <f t="shared" ref="Q227:CB227" si="550">Q224</f>
        <v>0</v>
      </c>
      <c r="R227" s="116">
        <f t="shared" si="550"/>
        <v>0</v>
      </c>
      <c r="S227" s="116">
        <f t="shared" si="550"/>
        <v>0</v>
      </c>
      <c r="T227" s="116">
        <f t="shared" si="550"/>
        <v>0</v>
      </c>
      <c r="U227" s="116">
        <f t="shared" si="550"/>
        <v>0</v>
      </c>
      <c r="V227" s="116">
        <f t="shared" si="550"/>
        <v>0</v>
      </c>
      <c r="W227" s="116">
        <f t="shared" si="550"/>
        <v>0</v>
      </c>
      <c r="X227" s="116">
        <f t="shared" si="550"/>
        <v>0</v>
      </c>
      <c r="Y227" s="116">
        <f t="shared" si="550"/>
        <v>0</v>
      </c>
      <c r="Z227" s="116">
        <f t="shared" si="550"/>
        <v>0</v>
      </c>
      <c r="AA227" s="116">
        <f t="shared" si="550"/>
        <v>0</v>
      </c>
      <c r="AB227" s="116">
        <f t="shared" si="550"/>
        <v>0</v>
      </c>
      <c r="AC227" s="116">
        <f t="shared" si="550"/>
        <v>0</v>
      </c>
      <c r="AD227" s="116">
        <f t="shared" si="550"/>
        <v>0</v>
      </c>
      <c r="AE227" s="116">
        <f t="shared" si="550"/>
        <v>0</v>
      </c>
      <c r="AF227" s="116">
        <f t="shared" si="550"/>
        <v>0</v>
      </c>
      <c r="AG227" s="116">
        <f t="shared" si="550"/>
        <v>0</v>
      </c>
      <c r="AH227" s="116">
        <f t="shared" si="550"/>
        <v>0</v>
      </c>
      <c r="AI227" s="116">
        <f t="shared" si="550"/>
        <v>0</v>
      </c>
      <c r="AJ227" s="116">
        <f t="shared" si="550"/>
        <v>0</v>
      </c>
      <c r="AK227" s="116">
        <f t="shared" si="550"/>
        <v>0</v>
      </c>
      <c r="AL227" s="116">
        <f t="shared" si="550"/>
        <v>0</v>
      </c>
      <c r="AM227" s="116">
        <f t="shared" si="550"/>
        <v>0</v>
      </c>
      <c r="AN227" s="116">
        <f t="shared" si="550"/>
        <v>0</v>
      </c>
      <c r="AO227" s="116">
        <f t="shared" si="550"/>
        <v>0</v>
      </c>
      <c r="AP227" s="116">
        <f t="shared" si="550"/>
        <v>0</v>
      </c>
      <c r="AQ227" s="116">
        <f t="shared" si="550"/>
        <v>0</v>
      </c>
      <c r="AR227" s="116">
        <f t="shared" si="550"/>
        <v>0</v>
      </c>
      <c r="AS227" s="116">
        <f t="shared" si="550"/>
        <v>0</v>
      </c>
      <c r="AT227" s="116">
        <f t="shared" si="550"/>
        <v>0</v>
      </c>
      <c r="AU227" s="116">
        <f t="shared" si="550"/>
        <v>0</v>
      </c>
      <c r="AV227" s="116">
        <f t="shared" si="550"/>
        <v>0</v>
      </c>
      <c r="AW227" s="116">
        <f t="shared" si="550"/>
        <v>0</v>
      </c>
      <c r="AX227" s="116">
        <f t="shared" si="550"/>
        <v>0</v>
      </c>
      <c r="AY227" s="116">
        <f t="shared" si="550"/>
        <v>0</v>
      </c>
      <c r="AZ227" s="116">
        <f t="shared" si="550"/>
        <v>0</v>
      </c>
      <c r="BA227" s="116">
        <f t="shared" si="550"/>
        <v>0</v>
      </c>
      <c r="BB227" s="116">
        <f t="shared" si="550"/>
        <v>0</v>
      </c>
      <c r="BC227" s="116">
        <f t="shared" si="550"/>
        <v>0</v>
      </c>
      <c r="BD227" s="116">
        <f t="shared" si="550"/>
        <v>0</v>
      </c>
      <c r="BE227" s="116">
        <f t="shared" si="550"/>
        <v>0</v>
      </c>
      <c r="BF227" s="116">
        <f t="shared" si="550"/>
        <v>0</v>
      </c>
      <c r="BG227" s="116">
        <f t="shared" si="550"/>
        <v>0</v>
      </c>
      <c r="BH227" s="116">
        <f t="shared" si="550"/>
        <v>0</v>
      </c>
      <c r="BI227" s="116">
        <f t="shared" si="550"/>
        <v>0</v>
      </c>
      <c r="BJ227" s="116">
        <f t="shared" si="550"/>
        <v>0</v>
      </c>
      <c r="BK227" s="116">
        <f t="shared" si="550"/>
        <v>0</v>
      </c>
      <c r="BL227" s="116">
        <f t="shared" si="550"/>
        <v>0</v>
      </c>
      <c r="BM227" s="116">
        <f t="shared" si="550"/>
        <v>0</v>
      </c>
      <c r="BN227" s="116">
        <f t="shared" si="550"/>
        <v>0</v>
      </c>
      <c r="BO227" s="116">
        <f t="shared" si="550"/>
        <v>0</v>
      </c>
      <c r="BP227" s="116">
        <f t="shared" si="550"/>
        <v>0</v>
      </c>
      <c r="BQ227" s="116">
        <f t="shared" si="550"/>
        <v>0</v>
      </c>
      <c r="BR227" s="116">
        <f t="shared" si="550"/>
        <v>0</v>
      </c>
      <c r="BS227" s="116">
        <f t="shared" si="550"/>
        <v>0</v>
      </c>
      <c r="BT227" s="116">
        <f t="shared" si="550"/>
        <v>0</v>
      </c>
      <c r="BU227" s="116">
        <f t="shared" si="550"/>
        <v>0</v>
      </c>
      <c r="BV227" s="116">
        <f t="shared" si="550"/>
        <v>0</v>
      </c>
      <c r="BW227" s="116">
        <f t="shared" si="550"/>
        <v>0</v>
      </c>
      <c r="BX227" s="116">
        <f t="shared" si="550"/>
        <v>0</v>
      </c>
      <c r="BY227" s="116">
        <f t="shared" si="550"/>
        <v>0</v>
      </c>
      <c r="BZ227" s="116">
        <f t="shared" si="550"/>
        <v>0</v>
      </c>
      <c r="CA227" s="116">
        <f t="shared" si="550"/>
        <v>0</v>
      </c>
      <c r="CB227" s="116">
        <f t="shared" si="550"/>
        <v>0</v>
      </c>
      <c r="CC227" s="116">
        <f t="shared" ref="CC227:CP227" si="551">CC224</f>
        <v>0</v>
      </c>
      <c r="CD227" s="116">
        <f t="shared" si="551"/>
        <v>0</v>
      </c>
      <c r="CE227" s="116">
        <f t="shared" si="551"/>
        <v>0</v>
      </c>
      <c r="CF227" s="116">
        <f t="shared" si="551"/>
        <v>0</v>
      </c>
      <c r="CG227" s="116">
        <f t="shared" si="551"/>
        <v>0</v>
      </c>
      <c r="CH227" s="116">
        <f t="shared" si="551"/>
        <v>0</v>
      </c>
      <c r="CI227" s="116">
        <f t="shared" si="551"/>
        <v>0</v>
      </c>
      <c r="CJ227" s="116">
        <f t="shared" si="551"/>
        <v>0</v>
      </c>
      <c r="CK227" s="116">
        <f t="shared" si="551"/>
        <v>0</v>
      </c>
      <c r="CL227" s="116">
        <f t="shared" si="551"/>
        <v>0</v>
      </c>
      <c r="CM227" s="116">
        <f t="shared" si="551"/>
        <v>0</v>
      </c>
      <c r="CN227" s="116">
        <f t="shared" si="551"/>
        <v>0</v>
      </c>
      <c r="CO227" s="116">
        <f t="shared" si="551"/>
        <v>0</v>
      </c>
      <c r="CP227" s="116">
        <f t="shared" si="551"/>
        <v>0</v>
      </c>
      <c r="GD227" s="29"/>
    </row>
    <row r="228" spans="14:194" ht="15" customHeight="1">
      <c r="N228" s="116">
        <f t="shared" si="501"/>
        <v>0</v>
      </c>
      <c r="O228" s="116">
        <f t="shared" si="501"/>
        <v>0</v>
      </c>
      <c r="P228" s="116">
        <f t="shared" si="501"/>
        <v>0</v>
      </c>
      <c r="Q228" s="116">
        <f t="shared" ref="Q228:CB228" si="552">Q225</f>
        <v>0</v>
      </c>
      <c r="R228" s="116">
        <f t="shared" si="552"/>
        <v>0</v>
      </c>
      <c r="S228" s="116">
        <f t="shared" si="552"/>
        <v>0</v>
      </c>
      <c r="T228" s="116">
        <f t="shared" si="552"/>
        <v>0</v>
      </c>
      <c r="U228" s="116">
        <f t="shared" si="552"/>
        <v>0</v>
      </c>
      <c r="V228" s="116">
        <f t="shared" si="552"/>
        <v>0</v>
      </c>
      <c r="W228" s="116">
        <f t="shared" si="552"/>
        <v>0</v>
      </c>
      <c r="X228" s="116">
        <f t="shared" si="552"/>
        <v>0</v>
      </c>
      <c r="Y228" s="116">
        <f t="shared" si="552"/>
        <v>0</v>
      </c>
      <c r="Z228" s="116">
        <f t="shared" si="552"/>
        <v>0</v>
      </c>
      <c r="AA228" s="116">
        <f t="shared" si="552"/>
        <v>0</v>
      </c>
      <c r="AB228" s="116">
        <f t="shared" si="552"/>
        <v>0</v>
      </c>
      <c r="AC228" s="116">
        <f t="shared" si="552"/>
        <v>0</v>
      </c>
      <c r="AD228" s="116">
        <f t="shared" si="552"/>
        <v>0</v>
      </c>
      <c r="AE228" s="116">
        <f t="shared" si="552"/>
        <v>0</v>
      </c>
      <c r="AF228" s="116">
        <f t="shared" si="552"/>
        <v>0</v>
      </c>
      <c r="AG228" s="116">
        <f t="shared" si="552"/>
        <v>0</v>
      </c>
      <c r="AH228" s="116">
        <f t="shared" si="552"/>
        <v>0</v>
      </c>
      <c r="AI228" s="116">
        <f t="shared" si="552"/>
        <v>0</v>
      </c>
      <c r="AJ228" s="116">
        <f t="shared" si="552"/>
        <v>0</v>
      </c>
      <c r="AK228" s="116">
        <f t="shared" si="552"/>
        <v>0</v>
      </c>
      <c r="AL228" s="116">
        <f t="shared" si="552"/>
        <v>0</v>
      </c>
      <c r="AM228" s="116">
        <f t="shared" si="552"/>
        <v>0</v>
      </c>
      <c r="AN228" s="116">
        <f t="shared" si="552"/>
        <v>0</v>
      </c>
      <c r="AO228" s="116">
        <f t="shared" si="552"/>
        <v>0</v>
      </c>
      <c r="AP228" s="116">
        <f t="shared" si="552"/>
        <v>0</v>
      </c>
      <c r="AQ228" s="116">
        <f t="shared" si="552"/>
        <v>0</v>
      </c>
      <c r="AR228" s="116">
        <f t="shared" si="552"/>
        <v>0</v>
      </c>
      <c r="AS228" s="116">
        <f t="shared" si="552"/>
        <v>0</v>
      </c>
      <c r="AT228" s="116">
        <f t="shared" si="552"/>
        <v>0</v>
      </c>
      <c r="AU228" s="116">
        <f t="shared" si="552"/>
        <v>0</v>
      </c>
      <c r="AV228" s="116">
        <f t="shared" si="552"/>
        <v>0</v>
      </c>
      <c r="AW228" s="116">
        <f t="shared" si="552"/>
        <v>0</v>
      </c>
      <c r="AX228" s="116">
        <f t="shared" si="552"/>
        <v>0</v>
      </c>
      <c r="AY228" s="116">
        <f t="shared" si="552"/>
        <v>0</v>
      </c>
      <c r="AZ228" s="116">
        <f t="shared" si="552"/>
        <v>0</v>
      </c>
      <c r="BA228" s="116">
        <f t="shared" si="552"/>
        <v>0</v>
      </c>
      <c r="BB228" s="116">
        <f t="shared" si="552"/>
        <v>0</v>
      </c>
      <c r="BC228" s="116">
        <f t="shared" si="552"/>
        <v>0</v>
      </c>
      <c r="BD228" s="116">
        <f t="shared" si="552"/>
        <v>0</v>
      </c>
      <c r="BE228" s="116">
        <f t="shared" si="552"/>
        <v>0</v>
      </c>
      <c r="BF228" s="116">
        <f t="shared" si="552"/>
        <v>0</v>
      </c>
      <c r="BG228" s="116">
        <f t="shared" si="552"/>
        <v>0</v>
      </c>
      <c r="BH228" s="116">
        <f t="shared" si="552"/>
        <v>0</v>
      </c>
      <c r="BI228" s="116">
        <f t="shared" si="552"/>
        <v>0</v>
      </c>
      <c r="BJ228" s="116">
        <f t="shared" si="552"/>
        <v>0</v>
      </c>
      <c r="BK228" s="116">
        <f t="shared" si="552"/>
        <v>0</v>
      </c>
      <c r="BL228" s="116">
        <f t="shared" si="552"/>
        <v>0</v>
      </c>
      <c r="BM228" s="116">
        <f t="shared" si="552"/>
        <v>0</v>
      </c>
      <c r="BN228" s="116">
        <f t="shared" si="552"/>
        <v>0</v>
      </c>
      <c r="BO228" s="116">
        <f t="shared" si="552"/>
        <v>0</v>
      </c>
      <c r="BP228" s="116">
        <f t="shared" si="552"/>
        <v>0</v>
      </c>
      <c r="BQ228" s="116">
        <f t="shared" si="552"/>
        <v>0</v>
      </c>
      <c r="BR228" s="116">
        <f t="shared" si="552"/>
        <v>0</v>
      </c>
      <c r="BS228" s="116">
        <f t="shared" si="552"/>
        <v>0</v>
      </c>
      <c r="BT228" s="116">
        <f t="shared" si="552"/>
        <v>0</v>
      </c>
      <c r="BU228" s="116">
        <f t="shared" si="552"/>
        <v>0</v>
      </c>
      <c r="BV228" s="116">
        <f t="shared" si="552"/>
        <v>0</v>
      </c>
      <c r="BW228" s="116">
        <f t="shared" si="552"/>
        <v>0</v>
      </c>
      <c r="BX228" s="116">
        <f t="shared" si="552"/>
        <v>0</v>
      </c>
      <c r="BY228" s="116">
        <f t="shared" si="552"/>
        <v>0</v>
      </c>
      <c r="BZ228" s="116">
        <f t="shared" si="552"/>
        <v>0</v>
      </c>
      <c r="CA228" s="116">
        <f t="shared" si="552"/>
        <v>0</v>
      </c>
      <c r="CB228" s="116">
        <f t="shared" si="552"/>
        <v>0</v>
      </c>
      <c r="CC228" s="116">
        <f t="shared" ref="CC228:CP228" si="553">CC225</f>
        <v>0</v>
      </c>
      <c r="CD228" s="116">
        <f t="shared" si="553"/>
        <v>0</v>
      </c>
      <c r="CE228" s="116">
        <f t="shared" si="553"/>
        <v>0</v>
      </c>
      <c r="CF228" s="116">
        <f t="shared" si="553"/>
        <v>0</v>
      </c>
      <c r="CG228" s="116">
        <f t="shared" si="553"/>
        <v>0</v>
      </c>
      <c r="CH228" s="116">
        <f t="shared" si="553"/>
        <v>0</v>
      </c>
      <c r="CI228" s="116">
        <f t="shared" si="553"/>
        <v>0</v>
      </c>
      <c r="CJ228" s="116">
        <f t="shared" si="553"/>
        <v>0</v>
      </c>
      <c r="CK228" s="116">
        <f t="shared" si="553"/>
        <v>0</v>
      </c>
      <c r="CL228" s="116">
        <f t="shared" si="553"/>
        <v>0</v>
      </c>
      <c r="CM228" s="116">
        <f t="shared" si="553"/>
        <v>0</v>
      </c>
      <c r="CN228" s="116">
        <f t="shared" si="553"/>
        <v>0</v>
      </c>
      <c r="CO228" s="116">
        <f t="shared" si="553"/>
        <v>0</v>
      </c>
      <c r="CP228" s="116">
        <f t="shared" si="553"/>
        <v>0</v>
      </c>
      <c r="DJ228" s="91">
        <f>DJ222+EK222+FL222</f>
        <v>6</v>
      </c>
      <c r="DK228" s="92">
        <f t="shared" ref="DK228:DK230" si="554">DK222+EL222+FM222</f>
        <v>3</v>
      </c>
      <c r="DL228" s="93">
        <f t="shared" ref="DL228:DL230" si="555">DL222+EM222+FN222</f>
        <v>2</v>
      </c>
      <c r="DM228" s="91">
        <f t="shared" ref="DM228:DM230" si="556">DM222+EN222+FO222</f>
        <v>7</v>
      </c>
      <c r="DN228" s="92">
        <f t="shared" ref="DN228:DN230" si="557">DN222+EO222+FP222</f>
        <v>4</v>
      </c>
      <c r="DO228" s="93">
        <f t="shared" ref="DO228:DO230" si="558">DO222+EP222+FQ222</f>
        <v>0</v>
      </c>
      <c r="DP228" s="91">
        <f t="shared" ref="DP228:DP230" si="559">DP222+EQ222+FR222</f>
        <v>2</v>
      </c>
      <c r="DQ228" s="92">
        <f t="shared" ref="DQ228:DQ230" si="560">DQ222+ER222+FS222</f>
        <v>0</v>
      </c>
      <c r="DR228" s="93">
        <f t="shared" ref="DR228:DR230" si="561">DR222+ES222+FT222</f>
        <v>1</v>
      </c>
      <c r="DS228" s="91">
        <f t="shared" ref="DS228:DS230" si="562">DS222+ET222+FU222</f>
        <v>7</v>
      </c>
      <c r="DT228" s="92">
        <f t="shared" ref="DT228:DT230" si="563">DT222+EU222+FV222</f>
        <v>5</v>
      </c>
      <c r="DU228" s="93">
        <f t="shared" ref="DU228:DU230" si="564">DU222+EV222+FW222</f>
        <v>3</v>
      </c>
      <c r="DV228" s="91">
        <f t="shared" ref="DV228:DV230" si="565">DV222+EW222+FX222</f>
        <v>2</v>
      </c>
      <c r="DW228" s="92">
        <f t="shared" ref="DW228:DW230" si="566">DW222+EX222+FY222</f>
        <v>0</v>
      </c>
      <c r="DX228" s="93">
        <f t="shared" ref="DX228:DX230" si="567">DX222+EY222+FZ222</f>
        <v>0</v>
      </c>
      <c r="DY228" s="91">
        <f t="shared" ref="DY228:DY230" si="568">DY222+EZ222+GA222</f>
        <v>5</v>
      </c>
      <c r="DZ228" s="92">
        <f t="shared" ref="DZ228:DZ230" si="569">DZ222+FA222+GB222</f>
        <v>4</v>
      </c>
      <c r="EA228" s="93">
        <f t="shared" ref="EA228:EA230" si="570">EA222+FB222+GC222</f>
        <v>3</v>
      </c>
      <c r="EB228" s="91">
        <f t="shared" ref="EB228:EB230" si="571">EB222+FC222+GD222</f>
        <v>5</v>
      </c>
      <c r="EC228" s="92">
        <f t="shared" ref="EC228:EC230" si="572">EC222+FD222+GE222</f>
        <v>0</v>
      </c>
      <c r="ED228" s="93">
        <f t="shared" ref="ED228:ED230" si="573">ED222+FE222+GF222</f>
        <v>4</v>
      </c>
      <c r="EE228" s="91">
        <f t="shared" ref="EE228:EE230" si="574">EE222+FF222+GG222</f>
        <v>3</v>
      </c>
      <c r="EF228" s="92">
        <f t="shared" ref="EF228:EF230" si="575">EF222+FG222+GH222</f>
        <v>4</v>
      </c>
      <c r="EG228" s="93">
        <f t="shared" ref="EG228:EG230" si="576">EG222+FH222+GI222</f>
        <v>4</v>
      </c>
      <c r="EH228" s="91">
        <f t="shared" ref="EH228:EH230" si="577">EH222+FI222+GJ222</f>
        <v>0</v>
      </c>
      <c r="EI228" s="92">
        <f t="shared" ref="EI228:EI230" si="578">EI222+FJ222+GK222</f>
        <v>4</v>
      </c>
      <c r="EJ228" s="93">
        <f t="shared" ref="EJ228:EJ230" si="579">EJ222+FK222+GL222</f>
        <v>5</v>
      </c>
      <c r="EK228" s="65">
        <f>DJ228</f>
        <v>6</v>
      </c>
      <c r="EL228" s="66">
        <f t="shared" ref="EL228:EL230" si="580">DK228</f>
        <v>3</v>
      </c>
      <c r="EM228" s="67">
        <f t="shared" ref="EM228:EM230" si="581">DL228</f>
        <v>2</v>
      </c>
      <c r="EN228" s="65">
        <f t="shared" ref="EN228:EN230" si="582">DM228</f>
        <v>7</v>
      </c>
      <c r="EO228" s="66">
        <f t="shared" ref="EO228:EO230" si="583">DN228</f>
        <v>4</v>
      </c>
      <c r="EP228" s="67">
        <f t="shared" ref="EP228:EP230" si="584">DO228</f>
        <v>0</v>
      </c>
      <c r="EQ228" s="65">
        <f t="shared" ref="EQ228:EQ230" si="585">DP228</f>
        <v>2</v>
      </c>
      <c r="ER228" s="66">
        <f t="shared" ref="ER228:ER230" si="586">DQ228</f>
        <v>0</v>
      </c>
      <c r="ES228" s="67">
        <f t="shared" ref="ES228:ES230" si="587">DR228</f>
        <v>1</v>
      </c>
      <c r="ET228" s="65">
        <f t="shared" ref="ET228:ET230" si="588">DS228</f>
        <v>7</v>
      </c>
      <c r="EU228" s="66">
        <f t="shared" ref="EU228:EU230" si="589">DT228</f>
        <v>5</v>
      </c>
      <c r="EV228" s="67">
        <f t="shared" ref="EV228:EV230" si="590">DU228</f>
        <v>3</v>
      </c>
      <c r="EW228" s="65">
        <f t="shared" ref="EW228:EW230" si="591">DV228</f>
        <v>2</v>
      </c>
      <c r="EX228" s="66">
        <f t="shared" ref="EX228:EX230" si="592">DW228</f>
        <v>0</v>
      </c>
      <c r="EY228" s="67">
        <f t="shared" ref="EY228:EY230" si="593">DX228</f>
        <v>0</v>
      </c>
      <c r="EZ228" s="65">
        <f t="shared" ref="EZ228:EZ230" si="594">DY228</f>
        <v>5</v>
      </c>
      <c r="FA228" s="66">
        <f t="shared" ref="FA228:FA230" si="595">DZ228</f>
        <v>4</v>
      </c>
      <c r="FB228" s="67">
        <f t="shared" ref="FB228:FB230" si="596">EA228</f>
        <v>3</v>
      </c>
      <c r="FC228" s="65">
        <f t="shared" ref="FC228:FC230" si="597">EB228</f>
        <v>5</v>
      </c>
      <c r="FD228" s="66">
        <f t="shared" ref="FD228:FD230" si="598">EC228</f>
        <v>0</v>
      </c>
      <c r="FE228" s="67">
        <f t="shared" ref="FE228:FE230" si="599">ED228</f>
        <v>4</v>
      </c>
      <c r="FF228" s="65">
        <f t="shared" ref="FF228:FF230" si="600">EE228</f>
        <v>3</v>
      </c>
      <c r="FG228" s="66">
        <f t="shared" ref="FG228:FG230" si="601">EF228</f>
        <v>4</v>
      </c>
      <c r="FH228" s="67">
        <f t="shared" ref="FH228:FH230" si="602">EG228</f>
        <v>4</v>
      </c>
      <c r="FI228" s="65">
        <f t="shared" ref="FI228:FI230" si="603">EH228</f>
        <v>0</v>
      </c>
      <c r="FJ228" s="66">
        <f t="shared" ref="FJ228:FJ230" si="604">EI228</f>
        <v>4</v>
      </c>
      <c r="FK228" s="67">
        <f t="shared" ref="FK228:FK230" si="605">EJ228</f>
        <v>5</v>
      </c>
      <c r="FL228" s="65">
        <f t="shared" ref="FL228:FL230" si="606">EK228</f>
        <v>6</v>
      </c>
      <c r="FM228" s="66">
        <f t="shared" ref="FM228:FM230" si="607">EL228</f>
        <v>3</v>
      </c>
      <c r="FN228" s="67">
        <f t="shared" ref="FN228:FN230" si="608">EM228</f>
        <v>2</v>
      </c>
      <c r="FO228" s="65">
        <f t="shared" ref="FO228:FO230" si="609">EN228</f>
        <v>7</v>
      </c>
      <c r="FP228" s="66">
        <f t="shared" ref="FP228:FP230" si="610">EO228</f>
        <v>4</v>
      </c>
      <c r="FQ228" s="67">
        <f t="shared" ref="FQ228:FQ230" si="611">EP228</f>
        <v>0</v>
      </c>
      <c r="FR228" s="65">
        <f t="shared" ref="FR228:FR230" si="612">EQ228</f>
        <v>2</v>
      </c>
      <c r="FS228" s="66">
        <f t="shared" ref="FS228:FS230" si="613">ER228</f>
        <v>0</v>
      </c>
      <c r="FT228" s="67">
        <f t="shared" ref="FT228:FT230" si="614">ES228</f>
        <v>1</v>
      </c>
      <c r="FU228" s="65">
        <f t="shared" ref="FU228:FU230" si="615">ET228</f>
        <v>7</v>
      </c>
      <c r="FV228" s="66">
        <f t="shared" ref="FV228:FV230" si="616">EU228</f>
        <v>5</v>
      </c>
      <c r="FW228" s="67">
        <f t="shared" ref="FW228:FW230" si="617">EV228</f>
        <v>3</v>
      </c>
      <c r="FX228" s="65">
        <f t="shared" ref="FX228:FX230" si="618">EW228</f>
        <v>2</v>
      </c>
      <c r="FY228" s="66">
        <f t="shared" ref="FY228:FY230" si="619">EX228</f>
        <v>0</v>
      </c>
      <c r="FZ228" s="67">
        <f t="shared" ref="FZ228:FZ230" si="620">EY228</f>
        <v>0</v>
      </c>
      <c r="GA228" s="65">
        <f t="shared" ref="GA228:GA230" si="621">EZ228</f>
        <v>5</v>
      </c>
      <c r="GB228" s="66">
        <f t="shared" ref="GB228:GB230" si="622">FA228</f>
        <v>4</v>
      </c>
      <c r="GC228" s="67">
        <f t="shared" ref="GC228:GC230" si="623">FB228</f>
        <v>3</v>
      </c>
      <c r="GD228" s="65">
        <f t="shared" ref="GD228:GD230" si="624">FC228</f>
        <v>5</v>
      </c>
      <c r="GE228" s="66">
        <f t="shared" ref="GE228:GE230" si="625">FD228</f>
        <v>0</v>
      </c>
      <c r="GF228" s="67">
        <f t="shared" ref="GF228:GF230" si="626">FE228</f>
        <v>4</v>
      </c>
      <c r="GG228" s="65">
        <f t="shared" ref="GG228:GG230" si="627">FF228</f>
        <v>3</v>
      </c>
      <c r="GH228" s="66">
        <f t="shared" ref="GH228:GH230" si="628">FG228</f>
        <v>4</v>
      </c>
      <c r="GI228" s="67">
        <f t="shared" ref="GI228:GI230" si="629">FH228</f>
        <v>4</v>
      </c>
      <c r="GJ228" s="65">
        <f t="shared" ref="GJ228:GJ230" si="630">FI228</f>
        <v>0</v>
      </c>
      <c r="GK228" s="66">
        <f t="shared" ref="GK228:GK230" si="631">FJ228</f>
        <v>4</v>
      </c>
      <c r="GL228" s="67">
        <f t="shared" ref="GL228:GL230" si="632">FK228</f>
        <v>5</v>
      </c>
    </row>
    <row r="229" spans="14:194" ht="15" customHeight="1">
      <c r="N229" s="116">
        <f t="shared" si="501"/>
        <v>0</v>
      </c>
      <c r="O229" s="116">
        <f t="shared" si="501"/>
        <v>0</v>
      </c>
      <c r="P229" s="116">
        <f t="shared" si="501"/>
        <v>0</v>
      </c>
      <c r="Q229" s="116">
        <f t="shared" ref="Q229:CB229" si="633">Q226</f>
        <v>0</v>
      </c>
      <c r="R229" s="116">
        <f t="shared" si="633"/>
        <v>0</v>
      </c>
      <c r="S229" s="116">
        <f t="shared" si="633"/>
        <v>0</v>
      </c>
      <c r="T229" s="116">
        <f t="shared" si="633"/>
        <v>0</v>
      </c>
      <c r="U229" s="116">
        <f t="shared" si="633"/>
        <v>0</v>
      </c>
      <c r="V229" s="116">
        <f t="shared" si="633"/>
        <v>0</v>
      </c>
      <c r="W229" s="116">
        <f t="shared" si="633"/>
        <v>0</v>
      </c>
      <c r="X229" s="116">
        <f t="shared" si="633"/>
        <v>0</v>
      </c>
      <c r="Y229" s="116">
        <f t="shared" si="633"/>
        <v>0</v>
      </c>
      <c r="Z229" s="116">
        <f t="shared" si="633"/>
        <v>0</v>
      </c>
      <c r="AA229" s="116">
        <f t="shared" si="633"/>
        <v>0</v>
      </c>
      <c r="AB229" s="116">
        <f t="shared" si="633"/>
        <v>0</v>
      </c>
      <c r="AC229" s="116">
        <f t="shared" si="633"/>
        <v>0</v>
      </c>
      <c r="AD229" s="116">
        <f t="shared" si="633"/>
        <v>0</v>
      </c>
      <c r="AE229" s="116">
        <f t="shared" si="633"/>
        <v>0</v>
      </c>
      <c r="AF229" s="116">
        <f t="shared" si="633"/>
        <v>0</v>
      </c>
      <c r="AG229" s="116">
        <f t="shared" si="633"/>
        <v>0</v>
      </c>
      <c r="AH229" s="116">
        <f t="shared" si="633"/>
        <v>0</v>
      </c>
      <c r="AI229" s="116">
        <f t="shared" si="633"/>
        <v>0</v>
      </c>
      <c r="AJ229" s="116">
        <f t="shared" si="633"/>
        <v>0</v>
      </c>
      <c r="AK229" s="116">
        <f t="shared" si="633"/>
        <v>0</v>
      </c>
      <c r="AL229" s="116">
        <f t="shared" si="633"/>
        <v>0</v>
      </c>
      <c r="AM229" s="116">
        <f t="shared" si="633"/>
        <v>0</v>
      </c>
      <c r="AN229" s="116">
        <f t="shared" si="633"/>
        <v>0</v>
      </c>
      <c r="AO229" s="116">
        <f t="shared" si="633"/>
        <v>0</v>
      </c>
      <c r="AP229" s="116">
        <f t="shared" si="633"/>
        <v>0</v>
      </c>
      <c r="AQ229" s="116">
        <f t="shared" si="633"/>
        <v>0</v>
      </c>
      <c r="AR229" s="116">
        <f t="shared" si="633"/>
        <v>0</v>
      </c>
      <c r="AS229" s="116">
        <f t="shared" si="633"/>
        <v>0</v>
      </c>
      <c r="AT229" s="116">
        <f t="shared" si="633"/>
        <v>0</v>
      </c>
      <c r="AU229" s="116">
        <f t="shared" si="633"/>
        <v>0</v>
      </c>
      <c r="AV229" s="116">
        <f t="shared" si="633"/>
        <v>0</v>
      </c>
      <c r="AW229" s="116">
        <f t="shared" si="633"/>
        <v>0</v>
      </c>
      <c r="AX229" s="116">
        <f t="shared" si="633"/>
        <v>0</v>
      </c>
      <c r="AY229" s="116">
        <f t="shared" si="633"/>
        <v>0</v>
      </c>
      <c r="AZ229" s="116">
        <f t="shared" si="633"/>
        <v>0</v>
      </c>
      <c r="BA229" s="116">
        <f t="shared" si="633"/>
        <v>0</v>
      </c>
      <c r="BB229" s="116">
        <f t="shared" si="633"/>
        <v>0</v>
      </c>
      <c r="BC229" s="116">
        <f t="shared" si="633"/>
        <v>0</v>
      </c>
      <c r="BD229" s="116">
        <f t="shared" si="633"/>
        <v>0</v>
      </c>
      <c r="BE229" s="116">
        <f t="shared" si="633"/>
        <v>0</v>
      </c>
      <c r="BF229" s="116">
        <f t="shared" si="633"/>
        <v>0</v>
      </c>
      <c r="BG229" s="116">
        <f t="shared" si="633"/>
        <v>0</v>
      </c>
      <c r="BH229" s="116">
        <f t="shared" si="633"/>
        <v>0</v>
      </c>
      <c r="BI229" s="116">
        <f t="shared" si="633"/>
        <v>0</v>
      </c>
      <c r="BJ229" s="116">
        <f t="shared" si="633"/>
        <v>0</v>
      </c>
      <c r="BK229" s="116">
        <f t="shared" si="633"/>
        <v>0</v>
      </c>
      <c r="BL229" s="116">
        <f t="shared" si="633"/>
        <v>0</v>
      </c>
      <c r="BM229" s="116">
        <f t="shared" si="633"/>
        <v>0</v>
      </c>
      <c r="BN229" s="116">
        <f t="shared" si="633"/>
        <v>0</v>
      </c>
      <c r="BO229" s="116">
        <f t="shared" si="633"/>
        <v>0</v>
      </c>
      <c r="BP229" s="116">
        <f t="shared" si="633"/>
        <v>0</v>
      </c>
      <c r="BQ229" s="116">
        <f t="shared" si="633"/>
        <v>0</v>
      </c>
      <c r="BR229" s="116">
        <f t="shared" si="633"/>
        <v>0</v>
      </c>
      <c r="BS229" s="116">
        <f t="shared" si="633"/>
        <v>0</v>
      </c>
      <c r="BT229" s="116">
        <f t="shared" si="633"/>
        <v>0</v>
      </c>
      <c r="BU229" s="116">
        <f t="shared" si="633"/>
        <v>0</v>
      </c>
      <c r="BV229" s="116">
        <f t="shared" si="633"/>
        <v>0</v>
      </c>
      <c r="BW229" s="116">
        <f t="shared" si="633"/>
        <v>0</v>
      </c>
      <c r="BX229" s="116">
        <f t="shared" si="633"/>
        <v>0</v>
      </c>
      <c r="BY229" s="116">
        <f t="shared" si="633"/>
        <v>0</v>
      </c>
      <c r="BZ229" s="116">
        <f t="shared" si="633"/>
        <v>0</v>
      </c>
      <c r="CA229" s="116">
        <f t="shared" si="633"/>
        <v>0</v>
      </c>
      <c r="CB229" s="116">
        <f t="shared" si="633"/>
        <v>0</v>
      </c>
      <c r="CC229" s="116">
        <f t="shared" ref="CC229:CP229" si="634">CC226</f>
        <v>0</v>
      </c>
      <c r="CD229" s="116">
        <f t="shared" si="634"/>
        <v>0</v>
      </c>
      <c r="CE229" s="116">
        <f t="shared" si="634"/>
        <v>0</v>
      </c>
      <c r="CF229" s="116">
        <f t="shared" si="634"/>
        <v>0</v>
      </c>
      <c r="CG229" s="116">
        <f t="shared" si="634"/>
        <v>0</v>
      </c>
      <c r="CH229" s="116">
        <f t="shared" si="634"/>
        <v>0</v>
      </c>
      <c r="CI229" s="116">
        <f t="shared" si="634"/>
        <v>0</v>
      </c>
      <c r="CJ229" s="116">
        <f t="shared" si="634"/>
        <v>0</v>
      </c>
      <c r="CK229" s="116">
        <f t="shared" si="634"/>
        <v>0</v>
      </c>
      <c r="CL229" s="116">
        <f t="shared" si="634"/>
        <v>0</v>
      </c>
      <c r="CM229" s="116">
        <f t="shared" si="634"/>
        <v>0</v>
      </c>
      <c r="CN229" s="116">
        <f t="shared" si="634"/>
        <v>0</v>
      </c>
      <c r="CO229" s="116">
        <f t="shared" si="634"/>
        <v>0</v>
      </c>
      <c r="CP229" s="116">
        <f t="shared" si="634"/>
        <v>0</v>
      </c>
      <c r="DJ229" s="96">
        <f>DJ223+EK223+FL223</f>
        <v>5</v>
      </c>
      <c r="DK229" s="97">
        <f t="shared" si="554"/>
        <v>1</v>
      </c>
      <c r="DL229" s="98">
        <f t="shared" si="555"/>
        <v>0</v>
      </c>
      <c r="DM229" s="96">
        <f t="shared" si="556"/>
        <v>6</v>
      </c>
      <c r="DN229" s="97">
        <f t="shared" si="557"/>
        <v>1</v>
      </c>
      <c r="DO229" s="98">
        <f t="shared" si="558"/>
        <v>3</v>
      </c>
      <c r="DP229" s="96">
        <f t="shared" si="559"/>
        <v>2</v>
      </c>
      <c r="DQ229" s="97">
        <f t="shared" si="560"/>
        <v>1</v>
      </c>
      <c r="DR229" s="98">
        <f t="shared" si="561"/>
        <v>2</v>
      </c>
      <c r="DS229" s="96">
        <f t="shared" si="562"/>
        <v>6</v>
      </c>
      <c r="DT229" s="97">
        <f t="shared" si="563"/>
        <v>0</v>
      </c>
      <c r="DU229" s="98">
        <f t="shared" si="564"/>
        <v>3</v>
      </c>
      <c r="DV229" s="96">
        <f t="shared" si="565"/>
        <v>1</v>
      </c>
      <c r="DW229" s="97">
        <f t="shared" si="566"/>
        <v>0</v>
      </c>
      <c r="DX229" s="98">
        <f t="shared" si="567"/>
        <v>0</v>
      </c>
      <c r="DY229" s="96">
        <f t="shared" si="568"/>
        <v>3</v>
      </c>
      <c r="DZ229" s="97">
        <f t="shared" si="569"/>
        <v>0</v>
      </c>
      <c r="EA229" s="98">
        <f t="shared" si="570"/>
        <v>2</v>
      </c>
      <c r="EB229" s="96">
        <f t="shared" si="571"/>
        <v>2</v>
      </c>
      <c r="EC229" s="97">
        <f t="shared" si="572"/>
        <v>0</v>
      </c>
      <c r="ED229" s="98">
        <f t="shared" si="573"/>
        <v>2</v>
      </c>
      <c r="EE229" s="96">
        <f t="shared" si="574"/>
        <v>0</v>
      </c>
      <c r="EF229" s="97">
        <f t="shared" si="575"/>
        <v>1</v>
      </c>
      <c r="EG229" s="98">
        <f t="shared" si="576"/>
        <v>0</v>
      </c>
      <c r="EH229" s="96">
        <f t="shared" si="577"/>
        <v>3</v>
      </c>
      <c r="EI229" s="97">
        <f t="shared" si="578"/>
        <v>1</v>
      </c>
      <c r="EJ229" s="98">
        <f t="shared" si="579"/>
        <v>3</v>
      </c>
      <c r="EK229" s="72">
        <f>DJ229</f>
        <v>5</v>
      </c>
      <c r="EL229" s="73">
        <f t="shared" si="580"/>
        <v>1</v>
      </c>
      <c r="EM229" s="74">
        <f t="shared" si="581"/>
        <v>0</v>
      </c>
      <c r="EN229" s="72">
        <f t="shared" si="582"/>
        <v>6</v>
      </c>
      <c r="EO229" s="73">
        <f t="shared" si="583"/>
        <v>1</v>
      </c>
      <c r="EP229" s="74">
        <f t="shared" si="584"/>
        <v>3</v>
      </c>
      <c r="EQ229" s="72">
        <f t="shared" si="585"/>
        <v>2</v>
      </c>
      <c r="ER229" s="73">
        <f t="shared" si="586"/>
        <v>1</v>
      </c>
      <c r="ES229" s="74">
        <f t="shared" si="587"/>
        <v>2</v>
      </c>
      <c r="ET229" s="72">
        <f t="shared" si="588"/>
        <v>6</v>
      </c>
      <c r="EU229" s="73">
        <f t="shared" si="589"/>
        <v>0</v>
      </c>
      <c r="EV229" s="74">
        <f t="shared" si="590"/>
        <v>3</v>
      </c>
      <c r="EW229" s="72">
        <f t="shared" si="591"/>
        <v>1</v>
      </c>
      <c r="EX229" s="73">
        <f t="shared" si="592"/>
        <v>0</v>
      </c>
      <c r="EY229" s="74">
        <f t="shared" si="593"/>
        <v>0</v>
      </c>
      <c r="EZ229" s="72">
        <f t="shared" si="594"/>
        <v>3</v>
      </c>
      <c r="FA229" s="73">
        <f t="shared" si="595"/>
        <v>0</v>
      </c>
      <c r="FB229" s="74">
        <f t="shared" si="596"/>
        <v>2</v>
      </c>
      <c r="FC229" s="72">
        <f t="shared" si="597"/>
        <v>2</v>
      </c>
      <c r="FD229" s="73">
        <f t="shared" si="598"/>
        <v>0</v>
      </c>
      <c r="FE229" s="74">
        <f t="shared" si="599"/>
        <v>2</v>
      </c>
      <c r="FF229" s="72">
        <f t="shared" si="600"/>
        <v>0</v>
      </c>
      <c r="FG229" s="73">
        <f t="shared" si="601"/>
        <v>1</v>
      </c>
      <c r="FH229" s="74">
        <f t="shared" si="602"/>
        <v>0</v>
      </c>
      <c r="FI229" s="72">
        <f t="shared" si="603"/>
        <v>3</v>
      </c>
      <c r="FJ229" s="73">
        <f t="shared" si="604"/>
        <v>1</v>
      </c>
      <c r="FK229" s="74">
        <f t="shared" si="605"/>
        <v>3</v>
      </c>
      <c r="FL229" s="72">
        <f t="shared" si="606"/>
        <v>5</v>
      </c>
      <c r="FM229" s="73">
        <f t="shared" si="607"/>
        <v>1</v>
      </c>
      <c r="FN229" s="74">
        <f t="shared" si="608"/>
        <v>0</v>
      </c>
      <c r="FO229" s="72">
        <f t="shared" si="609"/>
        <v>6</v>
      </c>
      <c r="FP229" s="73">
        <f t="shared" si="610"/>
        <v>1</v>
      </c>
      <c r="FQ229" s="74">
        <f t="shared" si="611"/>
        <v>3</v>
      </c>
      <c r="FR229" s="72">
        <f t="shared" si="612"/>
        <v>2</v>
      </c>
      <c r="FS229" s="73">
        <f t="shared" si="613"/>
        <v>1</v>
      </c>
      <c r="FT229" s="74">
        <f t="shared" si="614"/>
        <v>2</v>
      </c>
      <c r="FU229" s="72">
        <f t="shared" si="615"/>
        <v>6</v>
      </c>
      <c r="FV229" s="73">
        <f t="shared" si="616"/>
        <v>0</v>
      </c>
      <c r="FW229" s="74">
        <f t="shared" si="617"/>
        <v>3</v>
      </c>
      <c r="FX229" s="72">
        <f t="shared" si="618"/>
        <v>1</v>
      </c>
      <c r="FY229" s="73">
        <f t="shared" si="619"/>
        <v>0</v>
      </c>
      <c r="FZ229" s="74">
        <f t="shared" si="620"/>
        <v>0</v>
      </c>
      <c r="GA229" s="72">
        <f t="shared" si="621"/>
        <v>3</v>
      </c>
      <c r="GB229" s="73">
        <f t="shared" si="622"/>
        <v>0</v>
      </c>
      <c r="GC229" s="74">
        <f t="shared" si="623"/>
        <v>2</v>
      </c>
      <c r="GD229" s="72">
        <f t="shared" si="624"/>
        <v>2</v>
      </c>
      <c r="GE229" s="73">
        <f t="shared" si="625"/>
        <v>0</v>
      </c>
      <c r="GF229" s="74">
        <f t="shared" si="626"/>
        <v>2</v>
      </c>
      <c r="GG229" s="72">
        <f t="shared" si="627"/>
        <v>0</v>
      </c>
      <c r="GH229" s="73">
        <f t="shared" si="628"/>
        <v>1</v>
      </c>
      <c r="GI229" s="74">
        <f t="shared" si="629"/>
        <v>0</v>
      </c>
      <c r="GJ229" s="72">
        <f t="shared" si="630"/>
        <v>3</v>
      </c>
      <c r="GK229" s="73">
        <f t="shared" si="631"/>
        <v>1</v>
      </c>
      <c r="GL229" s="74">
        <f t="shared" si="632"/>
        <v>3</v>
      </c>
    </row>
    <row r="230" spans="14:194" ht="15" customHeight="1" thickBot="1">
      <c r="N230" s="116">
        <f t="shared" si="501"/>
        <v>0</v>
      </c>
      <c r="O230" s="116">
        <f t="shared" si="501"/>
        <v>0</v>
      </c>
      <c r="P230" s="116">
        <f t="shared" si="501"/>
        <v>0</v>
      </c>
      <c r="Q230" s="116">
        <f t="shared" ref="Q230:CB230" si="635">Q227</f>
        <v>0</v>
      </c>
      <c r="R230" s="116">
        <f t="shared" si="635"/>
        <v>0</v>
      </c>
      <c r="S230" s="116">
        <f t="shared" si="635"/>
        <v>0</v>
      </c>
      <c r="T230" s="116">
        <f t="shared" si="635"/>
        <v>0</v>
      </c>
      <c r="U230" s="116">
        <f t="shared" si="635"/>
        <v>0</v>
      </c>
      <c r="V230" s="116">
        <f t="shared" si="635"/>
        <v>0</v>
      </c>
      <c r="W230" s="116">
        <f t="shared" si="635"/>
        <v>0</v>
      </c>
      <c r="X230" s="116">
        <f t="shared" si="635"/>
        <v>0</v>
      </c>
      <c r="Y230" s="116">
        <f t="shared" si="635"/>
        <v>0</v>
      </c>
      <c r="Z230" s="116">
        <f t="shared" si="635"/>
        <v>0</v>
      </c>
      <c r="AA230" s="116">
        <f t="shared" si="635"/>
        <v>0</v>
      </c>
      <c r="AB230" s="116">
        <f t="shared" si="635"/>
        <v>0</v>
      </c>
      <c r="AC230" s="116">
        <f t="shared" si="635"/>
        <v>0</v>
      </c>
      <c r="AD230" s="116">
        <f t="shared" si="635"/>
        <v>0</v>
      </c>
      <c r="AE230" s="116">
        <f t="shared" si="635"/>
        <v>0</v>
      </c>
      <c r="AF230" s="116">
        <f t="shared" si="635"/>
        <v>0</v>
      </c>
      <c r="AG230" s="116">
        <f t="shared" si="635"/>
        <v>0</v>
      </c>
      <c r="AH230" s="116">
        <f t="shared" si="635"/>
        <v>0</v>
      </c>
      <c r="AI230" s="116">
        <f t="shared" si="635"/>
        <v>0</v>
      </c>
      <c r="AJ230" s="116">
        <f t="shared" si="635"/>
        <v>0</v>
      </c>
      <c r="AK230" s="116">
        <f t="shared" si="635"/>
        <v>0</v>
      </c>
      <c r="AL230" s="116">
        <f t="shared" si="635"/>
        <v>0</v>
      </c>
      <c r="AM230" s="116">
        <f t="shared" si="635"/>
        <v>0</v>
      </c>
      <c r="AN230" s="116">
        <f t="shared" si="635"/>
        <v>0</v>
      </c>
      <c r="AO230" s="116">
        <f t="shared" si="635"/>
        <v>0</v>
      </c>
      <c r="AP230" s="116">
        <f t="shared" si="635"/>
        <v>0</v>
      </c>
      <c r="AQ230" s="116">
        <f t="shared" si="635"/>
        <v>0</v>
      </c>
      <c r="AR230" s="116">
        <f t="shared" si="635"/>
        <v>0</v>
      </c>
      <c r="AS230" s="116">
        <f t="shared" si="635"/>
        <v>0</v>
      </c>
      <c r="AT230" s="116">
        <f t="shared" si="635"/>
        <v>0</v>
      </c>
      <c r="AU230" s="116">
        <f t="shared" si="635"/>
        <v>0</v>
      </c>
      <c r="AV230" s="116">
        <f t="shared" si="635"/>
        <v>0</v>
      </c>
      <c r="AW230" s="116">
        <f t="shared" si="635"/>
        <v>0</v>
      </c>
      <c r="AX230" s="116">
        <f t="shared" si="635"/>
        <v>0</v>
      </c>
      <c r="AY230" s="116">
        <f t="shared" si="635"/>
        <v>0</v>
      </c>
      <c r="AZ230" s="116">
        <f t="shared" si="635"/>
        <v>0</v>
      </c>
      <c r="BA230" s="116">
        <f t="shared" si="635"/>
        <v>0</v>
      </c>
      <c r="BB230" s="116">
        <f t="shared" si="635"/>
        <v>0</v>
      </c>
      <c r="BC230" s="116">
        <f t="shared" si="635"/>
        <v>0</v>
      </c>
      <c r="BD230" s="116">
        <f t="shared" si="635"/>
        <v>0</v>
      </c>
      <c r="BE230" s="116">
        <f t="shared" si="635"/>
        <v>0</v>
      </c>
      <c r="BF230" s="116">
        <f t="shared" si="635"/>
        <v>0</v>
      </c>
      <c r="BG230" s="116">
        <f t="shared" si="635"/>
        <v>0</v>
      </c>
      <c r="BH230" s="116">
        <f t="shared" si="635"/>
        <v>0</v>
      </c>
      <c r="BI230" s="116">
        <f t="shared" si="635"/>
        <v>0</v>
      </c>
      <c r="BJ230" s="116">
        <f t="shared" si="635"/>
        <v>0</v>
      </c>
      <c r="BK230" s="116">
        <f t="shared" si="635"/>
        <v>0</v>
      </c>
      <c r="BL230" s="116">
        <f t="shared" si="635"/>
        <v>0</v>
      </c>
      <c r="BM230" s="116">
        <f t="shared" si="635"/>
        <v>0</v>
      </c>
      <c r="BN230" s="116">
        <f t="shared" si="635"/>
        <v>0</v>
      </c>
      <c r="BO230" s="116">
        <f t="shared" si="635"/>
        <v>0</v>
      </c>
      <c r="BP230" s="116">
        <f t="shared" si="635"/>
        <v>0</v>
      </c>
      <c r="BQ230" s="116">
        <f t="shared" si="635"/>
        <v>0</v>
      </c>
      <c r="BR230" s="116">
        <f t="shared" si="635"/>
        <v>0</v>
      </c>
      <c r="BS230" s="116">
        <f t="shared" si="635"/>
        <v>0</v>
      </c>
      <c r="BT230" s="116">
        <f t="shared" si="635"/>
        <v>0</v>
      </c>
      <c r="BU230" s="116">
        <f t="shared" si="635"/>
        <v>0</v>
      </c>
      <c r="BV230" s="116">
        <f t="shared" si="635"/>
        <v>0</v>
      </c>
      <c r="BW230" s="116">
        <f t="shared" si="635"/>
        <v>0</v>
      </c>
      <c r="BX230" s="116">
        <f t="shared" si="635"/>
        <v>0</v>
      </c>
      <c r="BY230" s="116">
        <f t="shared" si="635"/>
        <v>0</v>
      </c>
      <c r="BZ230" s="116">
        <f t="shared" si="635"/>
        <v>0</v>
      </c>
      <c r="CA230" s="116">
        <f t="shared" si="635"/>
        <v>0</v>
      </c>
      <c r="CB230" s="116">
        <f t="shared" si="635"/>
        <v>0</v>
      </c>
      <c r="CC230" s="116">
        <f t="shared" ref="CC230:CP230" si="636">CC227</f>
        <v>0</v>
      </c>
      <c r="CD230" s="116">
        <f t="shared" si="636"/>
        <v>0</v>
      </c>
      <c r="CE230" s="116">
        <f t="shared" si="636"/>
        <v>0</v>
      </c>
      <c r="CF230" s="116">
        <f t="shared" si="636"/>
        <v>0</v>
      </c>
      <c r="CG230" s="116">
        <f t="shared" si="636"/>
        <v>0</v>
      </c>
      <c r="CH230" s="116">
        <f t="shared" si="636"/>
        <v>0</v>
      </c>
      <c r="CI230" s="116">
        <f t="shared" si="636"/>
        <v>0</v>
      </c>
      <c r="CJ230" s="116">
        <f t="shared" si="636"/>
        <v>0</v>
      </c>
      <c r="CK230" s="116">
        <f t="shared" si="636"/>
        <v>0</v>
      </c>
      <c r="CL230" s="116">
        <f t="shared" si="636"/>
        <v>0</v>
      </c>
      <c r="CM230" s="116">
        <f t="shared" si="636"/>
        <v>0</v>
      </c>
      <c r="CN230" s="116">
        <f t="shared" si="636"/>
        <v>0</v>
      </c>
      <c r="CO230" s="116">
        <f t="shared" si="636"/>
        <v>0</v>
      </c>
      <c r="CP230" s="116">
        <f t="shared" si="636"/>
        <v>0</v>
      </c>
      <c r="DJ230" s="101">
        <f>DJ224+EK224+FL224</f>
        <v>1</v>
      </c>
      <c r="DK230" s="102">
        <f t="shared" si="554"/>
        <v>0</v>
      </c>
      <c r="DL230" s="103">
        <f t="shared" si="555"/>
        <v>0</v>
      </c>
      <c r="DM230" s="101">
        <f t="shared" si="556"/>
        <v>1</v>
      </c>
      <c r="DN230" s="102">
        <f t="shared" si="557"/>
        <v>1</v>
      </c>
      <c r="DO230" s="103">
        <f t="shared" si="558"/>
        <v>0</v>
      </c>
      <c r="DP230" s="101">
        <f t="shared" si="559"/>
        <v>0</v>
      </c>
      <c r="DQ230" s="102">
        <f t="shared" si="560"/>
        <v>2</v>
      </c>
      <c r="DR230" s="103">
        <f t="shared" si="561"/>
        <v>0</v>
      </c>
      <c r="DS230" s="101">
        <f t="shared" si="562"/>
        <v>1</v>
      </c>
      <c r="DT230" s="102">
        <f t="shared" si="563"/>
        <v>2</v>
      </c>
      <c r="DU230" s="103">
        <f t="shared" si="564"/>
        <v>0</v>
      </c>
      <c r="DV230" s="101">
        <f t="shared" si="565"/>
        <v>0</v>
      </c>
      <c r="DW230" s="102">
        <f t="shared" si="566"/>
        <v>0</v>
      </c>
      <c r="DX230" s="103">
        <f t="shared" si="567"/>
        <v>0</v>
      </c>
      <c r="DY230" s="101">
        <f t="shared" si="568"/>
        <v>1</v>
      </c>
      <c r="DZ230" s="102">
        <f t="shared" si="569"/>
        <v>3</v>
      </c>
      <c r="EA230" s="103">
        <f t="shared" si="570"/>
        <v>0</v>
      </c>
      <c r="EB230" s="101">
        <f t="shared" si="571"/>
        <v>1</v>
      </c>
      <c r="EC230" s="102">
        <f t="shared" si="572"/>
        <v>4</v>
      </c>
      <c r="ED230" s="103">
        <f t="shared" si="573"/>
        <v>0</v>
      </c>
      <c r="EE230" s="101">
        <f t="shared" si="574"/>
        <v>1</v>
      </c>
      <c r="EF230" s="102">
        <f t="shared" si="575"/>
        <v>4</v>
      </c>
      <c r="EG230" s="103">
        <f t="shared" si="576"/>
        <v>0</v>
      </c>
      <c r="EH230" s="101">
        <f t="shared" si="577"/>
        <v>0</v>
      </c>
      <c r="EI230" s="102">
        <f t="shared" si="578"/>
        <v>5</v>
      </c>
      <c r="EJ230" s="103">
        <f t="shared" si="579"/>
        <v>0</v>
      </c>
      <c r="EK230" s="78">
        <f>DJ230</f>
        <v>1</v>
      </c>
      <c r="EL230" s="79">
        <f t="shared" si="580"/>
        <v>0</v>
      </c>
      <c r="EM230" s="80">
        <f t="shared" si="581"/>
        <v>0</v>
      </c>
      <c r="EN230" s="78">
        <f t="shared" si="582"/>
        <v>1</v>
      </c>
      <c r="EO230" s="79">
        <f t="shared" si="583"/>
        <v>1</v>
      </c>
      <c r="EP230" s="80">
        <f t="shared" si="584"/>
        <v>0</v>
      </c>
      <c r="EQ230" s="78">
        <f t="shared" si="585"/>
        <v>0</v>
      </c>
      <c r="ER230" s="79">
        <f t="shared" si="586"/>
        <v>2</v>
      </c>
      <c r="ES230" s="80">
        <f t="shared" si="587"/>
        <v>0</v>
      </c>
      <c r="ET230" s="78">
        <f t="shared" si="588"/>
        <v>1</v>
      </c>
      <c r="EU230" s="79">
        <f t="shared" si="589"/>
        <v>2</v>
      </c>
      <c r="EV230" s="80">
        <f t="shared" si="590"/>
        <v>0</v>
      </c>
      <c r="EW230" s="78">
        <f t="shared" si="591"/>
        <v>0</v>
      </c>
      <c r="EX230" s="79">
        <f t="shared" si="592"/>
        <v>0</v>
      </c>
      <c r="EY230" s="80">
        <f t="shared" si="593"/>
        <v>0</v>
      </c>
      <c r="EZ230" s="78">
        <f t="shared" si="594"/>
        <v>1</v>
      </c>
      <c r="FA230" s="79">
        <f t="shared" si="595"/>
        <v>3</v>
      </c>
      <c r="FB230" s="80">
        <f t="shared" si="596"/>
        <v>0</v>
      </c>
      <c r="FC230" s="78">
        <f t="shared" si="597"/>
        <v>1</v>
      </c>
      <c r="FD230" s="79">
        <f t="shared" si="598"/>
        <v>4</v>
      </c>
      <c r="FE230" s="80">
        <f t="shared" si="599"/>
        <v>0</v>
      </c>
      <c r="FF230" s="78">
        <f t="shared" si="600"/>
        <v>1</v>
      </c>
      <c r="FG230" s="79">
        <f t="shared" si="601"/>
        <v>4</v>
      </c>
      <c r="FH230" s="80">
        <f t="shared" si="602"/>
        <v>0</v>
      </c>
      <c r="FI230" s="78">
        <f t="shared" si="603"/>
        <v>0</v>
      </c>
      <c r="FJ230" s="79">
        <f t="shared" si="604"/>
        <v>5</v>
      </c>
      <c r="FK230" s="80">
        <f t="shared" si="605"/>
        <v>0</v>
      </c>
      <c r="FL230" s="78">
        <f t="shared" si="606"/>
        <v>1</v>
      </c>
      <c r="FM230" s="79">
        <f t="shared" si="607"/>
        <v>0</v>
      </c>
      <c r="FN230" s="80">
        <f t="shared" si="608"/>
        <v>0</v>
      </c>
      <c r="FO230" s="78">
        <f t="shared" si="609"/>
        <v>1</v>
      </c>
      <c r="FP230" s="79">
        <f t="shared" si="610"/>
        <v>1</v>
      </c>
      <c r="FQ230" s="80">
        <f t="shared" si="611"/>
        <v>0</v>
      </c>
      <c r="FR230" s="78">
        <f t="shared" si="612"/>
        <v>0</v>
      </c>
      <c r="FS230" s="79">
        <f t="shared" si="613"/>
        <v>2</v>
      </c>
      <c r="FT230" s="80">
        <f t="shared" si="614"/>
        <v>0</v>
      </c>
      <c r="FU230" s="78">
        <f t="shared" si="615"/>
        <v>1</v>
      </c>
      <c r="FV230" s="79">
        <f t="shared" si="616"/>
        <v>2</v>
      </c>
      <c r="FW230" s="80">
        <f t="shared" si="617"/>
        <v>0</v>
      </c>
      <c r="FX230" s="78">
        <f t="shared" si="618"/>
        <v>0</v>
      </c>
      <c r="FY230" s="79">
        <f t="shared" si="619"/>
        <v>0</v>
      </c>
      <c r="FZ230" s="80">
        <f t="shared" si="620"/>
        <v>0</v>
      </c>
      <c r="GA230" s="78">
        <f t="shared" si="621"/>
        <v>1</v>
      </c>
      <c r="GB230" s="79">
        <f t="shared" si="622"/>
        <v>3</v>
      </c>
      <c r="GC230" s="80">
        <f t="shared" si="623"/>
        <v>0</v>
      </c>
      <c r="GD230" s="78">
        <f t="shared" si="624"/>
        <v>1</v>
      </c>
      <c r="GE230" s="79">
        <f t="shared" si="625"/>
        <v>4</v>
      </c>
      <c r="GF230" s="80">
        <f t="shared" si="626"/>
        <v>0</v>
      </c>
      <c r="GG230" s="78">
        <f t="shared" si="627"/>
        <v>1</v>
      </c>
      <c r="GH230" s="79">
        <f t="shared" si="628"/>
        <v>4</v>
      </c>
      <c r="GI230" s="80">
        <f t="shared" si="629"/>
        <v>0</v>
      </c>
      <c r="GJ230" s="78">
        <f t="shared" si="630"/>
        <v>0</v>
      </c>
      <c r="GK230" s="79">
        <f t="shared" si="631"/>
        <v>5</v>
      </c>
      <c r="GL230" s="80">
        <f t="shared" si="632"/>
        <v>0</v>
      </c>
    </row>
    <row r="231" spans="14:194" ht="15" customHeight="1">
      <c r="N231" s="116">
        <f t="shared" si="501"/>
        <v>0</v>
      </c>
      <c r="O231" s="116">
        <f t="shared" si="501"/>
        <v>0</v>
      </c>
      <c r="P231" s="116">
        <f t="shared" si="501"/>
        <v>0</v>
      </c>
      <c r="Q231" s="116">
        <f t="shared" ref="Q231:CB231" si="637">Q228</f>
        <v>0</v>
      </c>
      <c r="R231" s="116">
        <f t="shared" si="637"/>
        <v>0</v>
      </c>
      <c r="S231" s="116">
        <f t="shared" si="637"/>
        <v>0</v>
      </c>
      <c r="T231" s="116">
        <f t="shared" si="637"/>
        <v>0</v>
      </c>
      <c r="U231" s="116">
        <f t="shared" si="637"/>
        <v>0</v>
      </c>
      <c r="V231" s="116">
        <f t="shared" si="637"/>
        <v>0</v>
      </c>
      <c r="W231" s="116">
        <f t="shared" si="637"/>
        <v>0</v>
      </c>
      <c r="X231" s="116">
        <f t="shared" si="637"/>
        <v>0</v>
      </c>
      <c r="Y231" s="116">
        <f t="shared" si="637"/>
        <v>0</v>
      </c>
      <c r="Z231" s="116">
        <f t="shared" si="637"/>
        <v>0</v>
      </c>
      <c r="AA231" s="116">
        <f t="shared" si="637"/>
        <v>0</v>
      </c>
      <c r="AB231" s="116">
        <f t="shared" si="637"/>
        <v>0</v>
      </c>
      <c r="AC231" s="116">
        <f t="shared" si="637"/>
        <v>0</v>
      </c>
      <c r="AD231" s="116">
        <f t="shared" si="637"/>
        <v>0</v>
      </c>
      <c r="AE231" s="116">
        <f t="shared" si="637"/>
        <v>0</v>
      </c>
      <c r="AF231" s="116">
        <f t="shared" si="637"/>
        <v>0</v>
      </c>
      <c r="AG231" s="116">
        <f t="shared" si="637"/>
        <v>0</v>
      </c>
      <c r="AH231" s="116">
        <f t="shared" si="637"/>
        <v>0</v>
      </c>
      <c r="AI231" s="116">
        <f t="shared" si="637"/>
        <v>0</v>
      </c>
      <c r="AJ231" s="116">
        <f t="shared" si="637"/>
        <v>0</v>
      </c>
      <c r="AK231" s="116">
        <f t="shared" si="637"/>
        <v>0</v>
      </c>
      <c r="AL231" s="116">
        <f t="shared" si="637"/>
        <v>0</v>
      </c>
      <c r="AM231" s="116">
        <f t="shared" si="637"/>
        <v>0</v>
      </c>
      <c r="AN231" s="116">
        <f t="shared" si="637"/>
        <v>0</v>
      </c>
      <c r="AO231" s="116">
        <f t="shared" si="637"/>
        <v>0</v>
      </c>
      <c r="AP231" s="116">
        <f t="shared" si="637"/>
        <v>0</v>
      </c>
      <c r="AQ231" s="116">
        <f t="shared" si="637"/>
        <v>0</v>
      </c>
      <c r="AR231" s="116">
        <f t="shared" si="637"/>
        <v>0</v>
      </c>
      <c r="AS231" s="116">
        <f t="shared" si="637"/>
        <v>0</v>
      </c>
      <c r="AT231" s="116">
        <f t="shared" si="637"/>
        <v>0</v>
      </c>
      <c r="AU231" s="116">
        <f t="shared" si="637"/>
        <v>0</v>
      </c>
      <c r="AV231" s="116">
        <f t="shared" si="637"/>
        <v>0</v>
      </c>
      <c r="AW231" s="116">
        <f t="shared" si="637"/>
        <v>0</v>
      </c>
      <c r="AX231" s="116">
        <f t="shared" si="637"/>
        <v>0</v>
      </c>
      <c r="AY231" s="116">
        <f t="shared" si="637"/>
        <v>0</v>
      </c>
      <c r="AZ231" s="116">
        <f t="shared" si="637"/>
        <v>0</v>
      </c>
      <c r="BA231" s="116">
        <f t="shared" si="637"/>
        <v>0</v>
      </c>
      <c r="BB231" s="116">
        <f t="shared" si="637"/>
        <v>0</v>
      </c>
      <c r="BC231" s="116">
        <f t="shared" si="637"/>
        <v>0</v>
      </c>
      <c r="BD231" s="116">
        <f t="shared" si="637"/>
        <v>0</v>
      </c>
      <c r="BE231" s="116">
        <f t="shared" si="637"/>
        <v>0</v>
      </c>
      <c r="BF231" s="116">
        <f t="shared" si="637"/>
        <v>0</v>
      </c>
      <c r="BG231" s="116">
        <f t="shared" si="637"/>
        <v>0</v>
      </c>
      <c r="BH231" s="116">
        <f t="shared" si="637"/>
        <v>0</v>
      </c>
      <c r="BI231" s="116">
        <f t="shared" si="637"/>
        <v>0</v>
      </c>
      <c r="BJ231" s="116">
        <f t="shared" si="637"/>
        <v>0</v>
      </c>
      <c r="BK231" s="116">
        <f t="shared" si="637"/>
        <v>0</v>
      </c>
      <c r="BL231" s="116">
        <f t="shared" si="637"/>
        <v>0</v>
      </c>
      <c r="BM231" s="116">
        <f t="shared" si="637"/>
        <v>0</v>
      </c>
      <c r="BN231" s="116">
        <f t="shared" si="637"/>
        <v>0</v>
      </c>
      <c r="BO231" s="116">
        <f t="shared" si="637"/>
        <v>0</v>
      </c>
      <c r="BP231" s="116">
        <f t="shared" si="637"/>
        <v>0</v>
      </c>
      <c r="BQ231" s="116">
        <f t="shared" si="637"/>
        <v>0</v>
      </c>
      <c r="BR231" s="116">
        <f t="shared" si="637"/>
        <v>0</v>
      </c>
      <c r="BS231" s="116">
        <f t="shared" si="637"/>
        <v>0</v>
      </c>
      <c r="BT231" s="116">
        <f t="shared" si="637"/>
        <v>0</v>
      </c>
      <c r="BU231" s="116">
        <f t="shared" si="637"/>
        <v>0</v>
      </c>
      <c r="BV231" s="116">
        <f t="shared" si="637"/>
        <v>0</v>
      </c>
      <c r="BW231" s="116">
        <f t="shared" si="637"/>
        <v>0</v>
      </c>
      <c r="BX231" s="116">
        <f t="shared" si="637"/>
        <v>0</v>
      </c>
      <c r="BY231" s="116">
        <f t="shared" si="637"/>
        <v>0</v>
      </c>
      <c r="BZ231" s="116">
        <f t="shared" si="637"/>
        <v>0</v>
      </c>
      <c r="CA231" s="116">
        <f t="shared" si="637"/>
        <v>0</v>
      </c>
      <c r="CB231" s="116">
        <f t="shared" si="637"/>
        <v>0</v>
      </c>
      <c r="CC231" s="116">
        <f t="shared" ref="CC231:CP231" si="638">CC228</f>
        <v>0</v>
      </c>
      <c r="CD231" s="116">
        <f t="shared" si="638"/>
        <v>0</v>
      </c>
      <c r="CE231" s="116">
        <f t="shared" si="638"/>
        <v>0</v>
      </c>
      <c r="CF231" s="116">
        <f t="shared" si="638"/>
        <v>0</v>
      </c>
      <c r="CG231" s="116">
        <f t="shared" si="638"/>
        <v>0</v>
      </c>
      <c r="CH231" s="116">
        <f t="shared" si="638"/>
        <v>0</v>
      </c>
      <c r="CI231" s="116">
        <f t="shared" si="638"/>
        <v>0</v>
      </c>
      <c r="CJ231" s="116">
        <f t="shared" si="638"/>
        <v>0</v>
      </c>
      <c r="CK231" s="116">
        <f t="shared" si="638"/>
        <v>0</v>
      </c>
      <c r="CL231" s="116">
        <f t="shared" si="638"/>
        <v>0</v>
      </c>
      <c r="CM231" s="116">
        <f t="shared" si="638"/>
        <v>0</v>
      </c>
      <c r="CN231" s="116">
        <f t="shared" si="638"/>
        <v>0</v>
      </c>
      <c r="CO231" s="116">
        <f t="shared" si="638"/>
        <v>0</v>
      </c>
      <c r="CP231" s="116">
        <f t="shared" si="638"/>
        <v>0</v>
      </c>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GD231" s="29"/>
    </row>
    <row r="232" spans="14:194" ht="15" customHeight="1">
      <c r="N232" s="119">
        <f>COUNTIF(N134:AN160,1)</f>
        <v>0</v>
      </c>
      <c r="O232" s="120">
        <f>COUNTIF(N134:AN160,2)</f>
        <v>0</v>
      </c>
      <c r="P232" s="121">
        <f>COUNTIF(N134:AN160,3)</f>
        <v>0</v>
      </c>
      <c r="Q232" s="116">
        <f>N232</f>
        <v>0</v>
      </c>
      <c r="R232" s="116">
        <f t="shared" ref="R232:AN232" si="639">O232</f>
        <v>0</v>
      </c>
      <c r="S232" s="116">
        <f t="shared" si="639"/>
        <v>0</v>
      </c>
      <c r="T232" s="116">
        <f t="shared" si="639"/>
        <v>0</v>
      </c>
      <c r="U232" s="116">
        <f t="shared" si="639"/>
        <v>0</v>
      </c>
      <c r="V232" s="116">
        <f t="shared" si="639"/>
        <v>0</v>
      </c>
      <c r="W232" s="116">
        <f t="shared" si="639"/>
        <v>0</v>
      </c>
      <c r="X232" s="116">
        <f t="shared" si="639"/>
        <v>0</v>
      </c>
      <c r="Y232" s="116">
        <f t="shared" si="639"/>
        <v>0</v>
      </c>
      <c r="Z232" s="116">
        <f t="shared" si="639"/>
        <v>0</v>
      </c>
      <c r="AA232" s="116">
        <f t="shared" si="639"/>
        <v>0</v>
      </c>
      <c r="AB232" s="116">
        <f t="shared" si="639"/>
        <v>0</v>
      </c>
      <c r="AC232" s="116">
        <f t="shared" si="639"/>
        <v>0</v>
      </c>
      <c r="AD232" s="116">
        <f t="shared" si="639"/>
        <v>0</v>
      </c>
      <c r="AE232" s="116">
        <f t="shared" si="639"/>
        <v>0</v>
      </c>
      <c r="AF232" s="116">
        <f t="shared" si="639"/>
        <v>0</v>
      </c>
      <c r="AG232" s="116">
        <f t="shared" si="639"/>
        <v>0</v>
      </c>
      <c r="AH232" s="116">
        <f t="shared" si="639"/>
        <v>0</v>
      </c>
      <c r="AI232" s="116">
        <f t="shared" si="639"/>
        <v>0</v>
      </c>
      <c r="AJ232" s="116">
        <f t="shared" si="639"/>
        <v>0</v>
      </c>
      <c r="AK232" s="116">
        <f t="shared" si="639"/>
        <v>0</v>
      </c>
      <c r="AL232" s="116">
        <f t="shared" si="639"/>
        <v>0</v>
      </c>
      <c r="AM232" s="116">
        <f t="shared" si="639"/>
        <v>0</v>
      </c>
      <c r="AN232" s="116">
        <f t="shared" si="639"/>
        <v>0</v>
      </c>
      <c r="AO232" s="119">
        <f>COUNTIF(AO134:BO160,1)</f>
        <v>0</v>
      </c>
      <c r="AP232" s="120">
        <f>COUNTIF(AO134:BO160,2)</f>
        <v>0</v>
      </c>
      <c r="AQ232" s="121">
        <f>COUNTIF(AO134:BO160,3)</f>
        <v>0</v>
      </c>
      <c r="AR232" s="116">
        <f>AO232</f>
        <v>0</v>
      </c>
      <c r="AS232" s="116">
        <f t="shared" ref="AS232:BO232" si="640">AP232</f>
        <v>0</v>
      </c>
      <c r="AT232" s="116">
        <f t="shared" si="640"/>
        <v>0</v>
      </c>
      <c r="AU232" s="116">
        <f t="shared" si="640"/>
        <v>0</v>
      </c>
      <c r="AV232" s="116">
        <f t="shared" si="640"/>
        <v>0</v>
      </c>
      <c r="AW232" s="116">
        <f t="shared" si="640"/>
        <v>0</v>
      </c>
      <c r="AX232" s="116">
        <f t="shared" si="640"/>
        <v>0</v>
      </c>
      <c r="AY232" s="116">
        <f t="shared" si="640"/>
        <v>0</v>
      </c>
      <c r="AZ232" s="116">
        <f t="shared" si="640"/>
        <v>0</v>
      </c>
      <c r="BA232" s="116">
        <f t="shared" si="640"/>
        <v>0</v>
      </c>
      <c r="BB232" s="116">
        <f t="shared" si="640"/>
        <v>0</v>
      </c>
      <c r="BC232" s="116">
        <f t="shared" si="640"/>
        <v>0</v>
      </c>
      <c r="BD232" s="116">
        <f t="shared" si="640"/>
        <v>0</v>
      </c>
      <c r="BE232" s="116">
        <f t="shared" si="640"/>
        <v>0</v>
      </c>
      <c r="BF232" s="116">
        <f t="shared" si="640"/>
        <v>0</v>
      </c>
      <c r="BG232" s="116">
        <f t="shared" si="640"/>
        <v>0</v>
      </c>
      <c r="BH232" s="116">
        <f t="shared" si="640"/>
        <v>0</v>
      </c>
      <c r="BI232" s="116">
        <f t="shared" si="640"/>
        <v>0</v>
      </c>
      <c r="BJ232" s="116">
        <f t="shared" si="640"/>
        <v>0</v>
      </c>
      <c r="BK232" s="116">
        <f t="shared" si="640"/>
        <v>0</v>
      </c>
      <c r="BL232" s="116">
        <f t="shared" si="640"/>
        <v>0</v>
      </c>
      <c r="BM232" s="116">
        <f t="shared" si="640"/>
        <v>0</v>
      </c>
      <c r="BN232" s="116">
        <f t="shared" si="640"/>
        <v>0</v>
      </c>
      <c r="BO232" s="116">
        <f t="shared" si="640"/>
        <v>0</v>
      </c>
      <c r="BP232" s="119">
        <f>COUNTIF(BP134:CP160,1)</f>
        <v>0</v>
      </c>
      <c r="BQ232" s="120">
        <f>COUNTIF(BP134:CP160,2)</f>
        <v>0</v>
      </c>
      <c r="BR232" s="121">
        <f>COUNTIF(BP134:CP160,3)</f>
        <v>0</v>
      </c>
      <c r="BS232" s="116">
        <f>BP232</f>
        <v>0</v>
      </c>
      <c r="BT232" s="116">
        <f t="shared" ref="BT232:CP232" si="641">BQ232</f>
        <v>0</v>
      </c>
      <c r="BU232" s="116">
        <f t="shared" si="641"/>
        <v>0</v>
      </c>
      <c r="BV232" s="116">
        <f t="shared" si="641"/>
        <v>0</v>
      </c>
      <c r="BW232" s="116">
        <f t="shared" si="641"/>
        <v>0</v>
      </c>
      <c r="BX232" s="116">
        <f t="shared" si="641"/>
        <v>0</v>
      </c>
      <c r="BY232" s="116">
        <f t="shared" si="641"/>
        <v>0</v>
      </c>
      <c r="BZ232" s="116">
        <f t="shared" si="641"/>
        <v>0</v>
      </c>
      <c r="CA232" s="116">
        <f t="shared" si="641"/>
        <v>0</v>
      </c>
      <c r="CB232" s="116">
        <f t="shared" si="641"/>
        <v>0</v>
      </c>
      <c r="CC232" s="116">
        <f t="shared" si="641"/>
        <v>0</v>
      </c>
      <c r="CD232" s="116">
        <f t="shared" si="641"/>
        <v>0</v>
      </c>
      <c r="CE232" s="116">
        <f t="shared" si="641"/>
        <v>0</v>
      </c>
      <c r="CF232" s="116">
        <f t="shared" si="641"/>
        <v>0</v>
      </c>
      <c r="CG232" s="116">
        <f t="shared" si="641"/>
        <v>0</v>
      </c>
      <c r="CH232" s="116">
        <f t="shared" si="641"/>
        <v>0</v>
      </c>
      <c r="CI232" s="116">
        <f t="shared" si="641"/>
        <v>0</v>
      </c>
      <c r="CJ232" s="116">
        <f t="shared" si="641"/>
        <v>0</v>
      </c>
      <c r="CK232" s="116">
        <f t="shared" si="641"/>
        <v>0</v>
      </c>
      <c r="CL232" s="116">
        <f t="shared" si="641"/>
        <v>0</v>
      </c>
      <c r="CM232" s="116">
        <f t="shared" si="641"/>
        <v>0</v>
      </c>
      <c r="CN232" s="116">
        <f t="shared" si="641"/>
        <v>0</v>
      </c>
      <c r="CO232" s="116">
        <f t="shared" si="641"/>
        <v>0</v>
      </c>
      <c r="CP232" s="116">
        <f t="shared" si="641"/>
        <v>0</v>
      </c>
      <c r="DJ232" s="418"/>
      <c r="DK232" s="418"/>
      <c r="DL232" s="418"/>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GD232" s="29"/>
    </row>
    <row r="233" spans="14:194" ht="15" customHeight="1">
      <c r="N233" s="122">
        <f>COUNTIF(N134:AN160,4)</f>
        <v>0</v>
      </c>
      <c r="O233" s="97">
        <f>COUNTIF(N134:AN160,5)</f>
        <v>0</v>
      </c>
      <c r="P233" s="123">
        <f>COUNTIF(N134:AN160,6)</f>
        <v>0</v>
      </c>
      <c r="Q233" s="116">
        <f>N233</f>
        <v>0</v>
      </c>
      <c r="R233" s="116">
        <f t="shared" ref="R233:AA234" si="642">O233</f>
        <v>0</v>
      </c>
      <c r="S233" s="116">
        <f t="shared" si="642"/>
        <v>0</v>
      </c>
      <c r="T233" s="116">
        <f t="shared" si="642"/>
        <v>0</v>
      </c>
      <c r="U233" s="116">
        <f t="shared" si="642"/>
        <v>0</v>
      </c>
      <c r="V233" s="116">
        <f t="shared" si="642"/>
        <v>0</v>
      </c>
      <c r="W233" s="116">
        <f t="shared" si="642"/>
        <v>0</v>
      </c>
      <c r="X233" s="116">
        <f t="shared" si="642"/>
        <v>0</v>
      </c>
      <c r="Y233" s="116">
        <f t="shared" si="642"/>
        <v>0</v>
      </c>
      <c r="Z233" s="116">
        <f t="shared" si="642"/>
        <v>0</v>
      </c>
      <c r="AA233" s="116">
        <f t="shared" si="642"/>
        <v>0</v>
      </c>
      <c r="AB233" s="116">
        <f t="shared" ref="AB233:AK234" si="643">Y233</f>
        <v>0</v>
      </c>
      <c r="AC233" s="116">
        <f t="shared" si="643"/>
        <v>0</v>
      </c>
      <c r="AD233" s="116">
        <f t="shared" si="643"/>
        <v>0</v>
      </c>
      <c r="AE233" s="116">
        <f t="shared" si="643"/>
        <v>0</v>
      </c>
      <c r="AF233" s="116">
        <f t="shared" si="643"/>
        <v>0</v>
      </c>
      <c r="AG233" s="116">
        <f t="shared" si="643"/>
        <v>0</v>
      </c>
      <c r="AH233" s="116">
        <f t="shared" si="643"/>
        <v>0</v>
      </c>
      <c r="AI233" s="116">
        <f t="shared" si="643"/>
        <v>0</v>
      </c>
      <c r="AJ233" s="116">
        <f t="shared" si="643"/>
        <v>0</v>
      </c>
      <c r="AK233" s="116">
        <f t="shared" si="643"/>
        <v>0</v>
      </c>
      <c r="AL233" s="116">
        <f t="shared" ref="AL233:AN234" si="644">AI233</f>
        <v>0</v>
      </c>
      <c r="AM233" s="116">
        <f t="shared" si="644"/>
        <v>0</v>
      </c>
      <c r="AN233" s="116">
        <f t="shared" si="644"/>
        <v>0</v>
      </c>
      <c r="AO233" s="122">
        <f>COUNTIF(AO134:BO160,4)</f>
        <v>0</v>
      </c>
      <c r="AP233" s="97">
        <f>COUNTIF(AO134:BO160,5)</f>
        <v>0</v>
      </c>
      <c r="AQ233" s="123">
        <f>COUNTIF(AO134:BO160,6)</f>
        <v>0</v>
      </c>
      <c r="AR233" s="116">
        <f>AO233</f>
        <v>0</v>
      </c>
      <c r="AS233" s="116">
        <f t="shared" ref="AS233:BB234" si="645">AP233</f>
        <v>0</v>
      </c>
      <c r="AT233" s="116">
        <f t="shared" si="645"/>
        <v>0</v>
      </c>
      <c r="AU233" s="116">
        <f t="shared" si="645"/>
        <v>0</v>
      </c>
      <c r="AV233" s="116">
        <f t="shared" si="645"/>
        <v>0</v>
      </c>
      <c r="AW233" s="116">
        <f t="shared" si="645"/>
        <v>0</v>
      </c>
      <c r="AX233" s="116">
        <f t="shared" si="645"/>
        <v>0</v>
      </c>
      <c r="AY233" s="116">
        <f t="shared" si="645"/>
        <v>0</v>
      </c>
      <c r="AZ233" s="116">
        <f t="shared" si="645"/>
        <v>0</v>
      </c>
      <c r="BA233" s="116">
        <f t="shared" si="645"/>
        <v>0</v>
      </c>
      <c r="BB233" s="116">
        <f t="shared" si="645"/>
        <v>0</v>
      </c>
      <c r="BC233" s="116">
        <f t="shared" ref="BC233:BL234" si="646">AZ233</f>
        <v>0</v>
      </c>
      <c r="BD233" s="116">
        <f t="shared" si="646"/>
        <v>0</v>
      </c>
      <c r="BE233" s="116">
        <f t="shared" si="646"/>
        <v>0</v>
      </c>
      <c r="BF233" s="116">
        <f t="shared" si="646"/>
        <v>0</v>
      </c>
      <c r="BG233" s="116">
        <f t="shared" si="646"/>
        <v>0</v>
      </c>
      <c r="BH233" s="116">
        <f t="shared" si="646"/>
        <v>0</v>
      </c>
      <c r="BI233" s="116">
        <f t="shared" si="646"/>
        <v>0</v>
      </c>
      <c r="BJ233" s="116">
        <f t="shared" si="646"/>
        <v>0</v>
      </c>
      <c r="BK233" s="116">
        <f t="shared" si="646"/>
        <v>0</v>
      </c>
      <c r="BL233" s="116">
        <f t="shared" si="646"/>
        <v>0</v>
      </c>
      <c r="BM233" s="116">
        <f t="shared" ref="BM233:BO234" si="647">BJ233</f>
        <v>0</v>
      </c>
      <c r="BN233" s="116">
        <f t="shared" si="647"/>
        <v>0</v>
      </c>
      <c r="BO233" s="116">
        <f t="shared" si="647"/>
        <v>0</v>
      </c>
      <c r="BP233" s="122">
        <f>COUNTIF(BP134:CP160,4)</f>
        <v>0</v>
      </c>
      <c r="BQ233" s="97">
        <f>COUNTIF(BP134:CP160,5)</f>
        <v>0</v>
      </c>
      <c r="BR233" s="123">
        <f>COUNTIF(BP134:CP160,6)</f>
        <v>0</v>
      </c>
      <c r="BS233" s="116">
        <f>BP233</f>
        <v>0</v>
      </c>
      <c r="BT233" s="116">
        <f t="shared" ref="BT233:CC234" si="648">BQ233</f>
        <v>0</v>
      </c>
      <c r="BU233" s="116">
        <f t="shared" si="648"/>
        <v>0</v>
      </c>
      <c r="BV233" s="116">
        <f t="shared" si="648"/>
        <v>0</v>
      </c>
      <c r="BW233" s="116">
        <f t="shared" si="648"/>
        <v>0</v>
      </c>
      <c r="BX233" s="116">
        <f t="shared" si="648"/>
        <v>0</v>
      </c>
      <c r="BY233" s="116">
        <f t="shared" si="648"/>
        <v>0</v>
      </c>
      <c r="BZ233" s="116">
        <f t="shared" si="648"/>
        <v>0</v>
      </c>
      <c r="CA233" s="116">
        <f t="shared" si="648"/>
        <v>0</v>
      </c>
      <c r="CB233" s="116">
        <f t="shared" si="648"/>
        <v>0</v>
      </c>
      <c r="CC233" s="116">
        <f t="shared" si="648"/>
        <v>0</v>
      </c>
      <c r="CD233" s="116">
        <f t="shared" ref="CD233:CM234" si="649">CA233</f>
        <v>0</v>
      </c>
      <c r="CE233" s="116">
        <f t="shared" si="649"/>
        <v>0</v>
      </c>
      <c r="CF233" s="116">
        <f t="shared" si="649"/>
        <v>0</v>
      </c>
      <c r="CG233" s="116">
        <f t="shared" si="649"/>
        <v>0</v>
      </c>
      <c r="CH233" s="116">
        <f t="shared" si="649"/>
        <v>0</v>
      </c>
      <c r="CI233" s="116">
        <f t="shared" si="649"/>
        <v>0</v>
      </c>
      <c r="CJ233" s="116">
        <f t="shared" si="649"/>
        <v>0</v>
      </c>
      <c r="CK233" s="116">
        <f t="shared" si="649"/>
        <v>0</v>
      </c>
      <c r="CL233" s="116">
        <f t="shared" si="649"/>
        <v>0</v>
      </c>
      <c r="CM233" s="116">
        <f t="shared" si="649"/>
        <v>0</v>
      </c>
      <c r="CN233" s="116">
        <f t="shared" ref="CN233:CP234" si="650">CK233</f>
        <v>0</v>
      </c>
      <c r="CO233" s="116">
        <f t="shared" si="650"/>
        <v>0</v>
      </c>
      <c r="CP233" s="116">
        <f t="shared" si="650"/>
        <v>0</v>
      </c>
      <c r="GD233" s="29"/>
    </row>
    <row r="234" spans="14:194" ht="15" customHeight="1">
      <c r="N234" s="124">
        <f>COUNTIF(N134:AN160,7)</f>
        <v>0</v>
      </c>
      <c r="O234" s="125">
        <f>COUNTIF(N134:AN160,8)</f>
        <v>0</v>
      </c>
      <c r="P234" s="126">
        <f>COUNTIF(N134:AN160,9)</f>
        <v>0</v>
      </c>
      <c r="Q234" s="116">
        <f>N234</f>
        <v>0</v>
      </c>
      <c r="R234" s="116">
        <f t="shared" si="642"/>
        <v>0</v>
      </c>
      <c r="S234" s="116">
        <f t="shared" si="642"/>
        <v>0</v>
      </c>
      <c r="T234" s="116">
        <f t="shared" si="642"/>
        <v>0</v>
      </c>
      <c r="U234" s="116">
        <f t="shared" si="642"/>
        <v>0</v>
      </c>
      <c r="V234" s="116">
        <f t="shared" si="642"/>
        <v>0</v>
      </c>
      <c r="W234" s="116">
        <f t="shared" si="642"/>
        <v>0</v>
      </c>
      <c r="X234" s="116">
        <f t="shared" si="642"/>
        <v>0</v>
      </c>
      <c r="Y234" s="116">
        <f t="shared" si="642"/>
        <v>0</v>
      </c>
      <c r="Z234" s="116">
        <f t="shared" si="642"/>
        <v>0</v>
      </c>
      <c r="AA234" s="116">
        <f t="shared" si="642"/>
        <v>0</v>
      </c>
      <c r="AB234" s="116">
        <f t="shared" si="643"/>
        <v>0</v>
      </c>
      <c r="AC234" s="116">
        <f t="shared" si="643"/>
        <v>0</v>
      </c>
      <c r="AD234" s="116">
        <f t="shared" si="643"/>
        <v>0</v>
      </c>
      <c r="AE234" s="116">
        <f t="shared" si="643"/>
        <v>0</v>
      </c>
      <c r="AF234" s="116">
        <f t="shared" si="643"/>
        <v>0</v>
      </c>
      <c r="AG234" s="116">
        <f t="shared" si="643"/>
        <v>0</v>
      </c>
      <c r="AH234" s="116">
        <f t="shared" si="643"/>
        <v>0</v>
      </c>
      <c r="AI234" s="116">
        <f t="shared" si="643"/>
        <v>0</v>
      </c>
      <c r="AJ234" s="116">
        <f t="shared" si="643"/>
        <v>0</v>
      </c>
      <c r="AK234" s="116">
        <f t="shared" si="643"/>
        <v>0</v>
      </c>
      <c r="AL234" s="116">
        <f t="shared" si="644"/>
        <v>0</v>
      </c>
      <c r="AM234" s="116">
        <f t="shared" si="644"/>
        <v>0</v>
      </c>
      <c r="AN234" s="116">
        <f t="shared" si="644"/>
        <v>0</v>
      </c>
      <c r="AO234" s="124">
        <f>COUNTIF(AO134:BO160,7)</f>
        <v>0</v>
      </c>
      <c r="AP234" s="125">
        <f>COUNTIF(AO134:BO160,8)</f>
        <v>0</v>
      </c>
      <c r="AQ234" s="126">
        <f>COUNTIF(AO134:BO160,9)</f>
        <v>0</v>
      </c>
      <c r="AR234" s="116">
        <f>AO234</f>
        <v>0</v>
      </c>
      <c r="AS234" s="116">
        <f t="shared" si="645"/>
        <v>0</v>
      </c>
      <c r="AT234" s="116">
        <f t="shared" si="645"/>
        <v>0</v>
      </c>
      <c r="AU234" s="116">
        <f t="shared" si="645"/>
        <v>0</v>
      </c>
      <c r="AV234" s="116">
        <f t="shared" si="645"/>
        <v>0</v>
      </c>
      <c r="AW234" s="116">
        <f t="shared" si="645"/>
        <v>0</v>
      </c>
      <c r="AX234" s="116">
        <f t="shared" si="645"/>
        <v>0</v>
      </c>
      <c r="AY234" s="116">
        <f t="shared" si="645"/>
        <v>0</v>
      </c>
      <c r="AZ234" s="116">
        <f t="shared" si="645"/>
        <v>0</v>
      </c>
      <c r="BA234" s="116">
        <f t="shared" si="645"/>
        <v>0</v>
      </c>
      <c r="BB234" s="116">
        <f t="shared" si="645"/>
        <v>0</v>
      </c>
      <c r="BC234" s="116">
        <f t="shared" si="646"/>
        <v>0</v>
      </c>
      <c r="BD234" s="116">
        <f t="shared" si="646"/>
        <v>0</v>
      </c>
      <c r="BE234" s="116">
        <f t="shared" si="646"/>
        <v>0</v>
      </c>
      <c r="BF234" s="116">
        <f t="shared" si="646"/>
        <v>0</v>
      </c>
      <c r="BG234" s="116">
        <f t="shared" si="646"/>
        <v>0</v>
      </c>
      <c r="BH234" s="116">
        <f t="shared" si="646"/>
        <v>0</v>
      </c>
      <c r="BI234" s="116">
        <f t="shared" si="646"/>
        <v>0</v>
      </c>
      <c r="BJ234" s="116">
        <f t="shared" si="646"/>
        <v>0</v>
      </c>
      <c r="BK234" s="116">
        <f t="shared" si="646"/>
        <v>0</v>
      </c>
      <c r="BL234" s="116">
        <f t="shared" si="646"/>
        <v>0</v>
      </c>
      <c r="BM234" s="116">
        <f t="shared" si="647"/>
        <v>0</v>
      </c>
      <c r="BN234" s="116">
        <f t="shared" si="647"/>
        <v>0</v>
      </c>
      <c r="BO234" s="116">
        <f t="shared" si="647"/>
        <v>0</v>
      </c>
      <c r="BP234" s="124">
        <f>COUNTIF(BP134:CP160,7)</f>
        <v>0</v>
      </c>
      <c r="BQ234" s="125">
        <f>COUNTIF(BP134:CP160,8)</f>
        <v>0</v>
      </c>
      <c r="BR234" s="126">
        <f>COUNTIF(BP134:CP160,9)</f>
        <v>0</v>
      </c>
      <c r="BS234" s="116">
        <f>BP234</f>
        <v>0</v>
      </c>
      <c r="BT234" s="116">
        <f t="shared" si="648"/>
        <v>0</v>
      </c>
      <c r="BU234" s="116">
        <f t="shared" si="648"/>
        <v>0</v>
      </c>
      <c r="BV234" s="116">
        <f t="shared" si="648"/>
        <v>0</v>
      </c>
      <c r="BW234" s="116">
        <f t="shared" si="648"/>
        <v>0</v>
      </c>
      <c r="BX234" s="116">
        <f t="shared" si="648"/>
        <v>0</v>
      </c>
      <c r="BY234" s="116">
        <f t="shared" si="648"/>
        <v>0</v>
      </c>
      <c r="BZ234" s="116">
        <f t="shared" si="648"/>
        <v>0</v>
      </c>
      <c r="CA234" s="116">
        <f t="shared" si="648"/>
        <v>0</v>
      </c>
      <c r="CB234" s="116">
        <f t="shared" si="648"/>
        <v>0</v>
      </c>
      <c r="CC234" s="116">
        <f t="shared" si="648"/>
        <v>0</v>
      </c>
      <c r="CD234" s="116">
        <f t="shared" si="649"/>
        <v>0</v>
      </c>
      <c r="CE234" s="116">
        <f t="shared" si="649"/>
        <v>0</v>
      </c>
      <c r="CF234" s="116">
        <f t="shared" si="649"/>
        <v>0</v>
      </c>
      <c r="CG234" s="116">
        <f t="shared" si="649"/>
        <v>0</v>
      </c>
      <c r="CH234" s="116">
        <f t="shared" si="649"/>
        <v>0</v>
      </c>
      <c r="CI234" s="116">
        <f t="shared" si="649"/>
        <v>0</v>
      </c>
      <c r="CJ234" s="116">
        <f t="shared" si="649"/>
        <v>0</v>
      </c>
      <c r="CK234" s="116">
        <f t="shared" si="649"/>
        <v>0</v>
      </c>
      <c r="CL234" s="116">
        <f t="shared" si="649"/>
        <v>0</v>
      </c>
      <c r="CM234" s="116">
        <f t="shared" si="649"/>
        <v>0</v>
      </c>
      <c r="CN234" s="116">
        <f t="shared" si="650"/>
        <v>0</v>
      </c>
      <c r="CO234" s="116">
        <f t="shared" si="650"/>
        <v>0</v>
      </c>
      <c r="CP234" s="116">
        <f t="shared" si="650"/>
        <v>0</v>
      </c>
      <c r="GD234" s="29"/>
    </row>
    <row r="235" spans="14:194" ht="15" customHeight="1">
      <c r="N235" s="116">
        <f>N232</f>
        <v>0</v>
      </c>
      <c r="O235" s="116">
        <f t="shared" ref="O235:BZ235" si="651">O232</f>
        <v>0</v>
      </c>
      <c r="P235" s="116">
        <f t="shared" si="651"/>
        <v>0</v>
      </c>
      <c r="Q235" s="116">
        <f t="shared" si="651"/>
        <v>0</v>
      </c>
      <c r="R235" s="116">
        <f t="shared" si="651"/>
        <v>0</v>
      </c>
      <c r="S235" s="116">
        <f t="shared" si="651"/>
        <v>0</v>
      </c>
      <c r="T235" s="116">
        <f t="shared" si="651"/>
        <v>0</v>
      </c>
      <c r="U235" s="116">
        <f t="shared" si="651"/>
        <v>0</v>
      </c>
      <c r="V235" s="116">
        <f t="shared" si="651"/>
        <v>0</v>
      </c>
      <c r="W235" s="116">
        <f t="shared" si="651"/>
        <v>0</v>
      </c>
      <c r="X235" s="116">
        <f t="shared" si="651"/>
        <v>0</v>
      </c>
      <c r="Y235" s="116">
        <f t="shared" si="651"/>
        <v>0</v>
      </c>
      <c r="Z235" s="116">
        <f t="shared" si="651"/>
        <v>0</v>
      </c>
      <c r="AA235" s="116">
        <f t="shared" si="651"/>
        <v>0</v>
      </c>
      <c r="AB235" s="116">
        <f t="shared" si="651"/>
        <v>0</v>
      </c>
      <c r="AC235" s="116">
        <f t="shared" si="651"/>
        <v>0</v>
      </c>
      <c r="AD235" s="116">
        <f t="shared" si="651"/>
        <v>0</v>
      </c>
      <c r="AE235" s="116">
        <f t="shared" si="651"/>
        <v>0</v>
      </c>
      <c r="AF235" s="116">
        <f t="shared" si="651"/>
        <v>0</v>
      </c>
      <c r="AG235" s="116">
        <f t="shared" si="651"/>
        <v>0</v>
      </c>
      <c r="AH235" s="116">
        <f t="shared" si="651"/>
        <v>0</v>
      </c>
      <c r="AI235" s="116">
        <f t="shared" si="651"/>
        <v>0</v>
      </c>
      <c r="AJ235" s="116">
        <f t="shared" si="651"/>
        <v>0</v>
      </c>
      <c r="AK235" s="116">
        <f t="shared" si="651"/>
        <v>0</v>
      </c>
      <c r="AL235" s="116">
        <f t="shared" si="651"/>
        <v>0</v>
      </c>
      <c r="AM235" s="116">
        <f t="shared" si="651"/>
        <v>0</v>
      </c>
      <c r="AN235" s="116">
        <f t="shared" si="651"/>
        <v>0</v>
      </c>
      <c r="AO235" s="116">
        <f t="shared" si="651"/>
        <v>0</v>
      </c>
      <c r="AP235" s="116">
        <f t="shared" si="651"/>
        <v>0</v>
      </c>
      <c r="AQ235" s="116">
        <f t="shared" si="651"/>
        <v>0</v>
      </c>
      <c r="AR235" s="116">
        <f t="shared" si="651"/>
        <v>0</v>
      </c>
      <c r="AS235" s="116">
        <f t="shared" si="651"/>
        <v>0</v>
      </c>
      <c r="AT235" s="116">
        <f t="shared" si="651"/>
        <v>0</v>
      </c>
      <c r="AU235" s="116">
        <f t="shared" si="651"/>
        <v>0</v>
      </c>
      <c r="AV235" s="116">
        <f t="shared" si="651"/>
        <v>0</v>
      </c>
      <c r="AW235" s="116">
        <f t="shared" si="651"/>
        <v>0</v>
      </c>
      <c r="AX235" s="116">
        <f t="shared" si="651"/>
        <v>0</v>
      </c>
      <c r="AY235" s="116">
        <f t="shared" si="651"/>
        <v>0</v>
      </c>
      <c r="AZ235" s="116">
        <f t="shared" si="651"/>
        <v>0</v>
      </c>
      <c r="BA235" s="116">
        <f t="shared" si="651"/>
        <v>0</v>
      </c>
      <c r="BB235" s="116">
        <f t="shared" si="651"/>
        <v>0</v>
      </c>
      <c r="BC235" s="116">
        <f t="shared" si="651"/>
        <v>0</v>
      </c>
      <c r="BD235" s="116">
        <f t="shared" si="651"/>
        <v>0</v>
      </c>
      <c r="BE235" s="116">
        <f t="shared" si="651"/>
        <v>0</v>
      </c>
      <c r="BF235" s="116">
        <f t="shared" si="651"/>
        <v>0</v>
      </c>
      <c r="BG235" s="116">
        <f t="shared" si="651"/>
        <v>0</v>
      </c>
      <c r="BH235" s="116">
        <f t="shared" si="651"/>
        <v>0</v>
      </c>
      <c r="BI235" s="116">
        <f t="shared" si="651"/>
        <v>0</v>
      </c>
      <c r="BJ235" s="116">
        <f t="shared" si="651"/>
        <v>0</v>
      </c>
      <c r="BK235" s="116">
        <f t="shared" si="651"/>
        <v>0</v>
      </c>
      <c r="BL235" s="116">
        <f t="shared" si="651"/>
        <v>0</v>
      </c>
      <c r="BM235" s="116">
        <f t="shared" si="651"/>
        <v>0</v>
      </c>
      <c r="BN235" s="116">
        <f t="shared" si="651"/>
        <v>0</v>
      </c>
      <c r="BO235" s="116">
        <f t="shared" si="651"/>
        <v>0</v>
      </c>
      <c r="BP235" s="116">
        <f t="shared" si="651"/>
        <v>0</v>
      </c>
      <c r="BQ235" s="116">
        <f t="shared" si="651"/>
        <v>0</v>
      </c>
      <c r="BR235" s="116">
        <f t="shared" si="651"/>
        <v>0</v>
      </c>
      <c r="BS235" s="116">
        <f t="shared" si="651"/>
        <v>0</v>
      </c>
      <c r="BT235" s="116">
        <f t="shared" si="651"/>
        <v>0</v>
      </c>
      <c r="BU235" s="116">
        <f t="shared" si="651"/>
        <v>0</v>
      </c>
      <c r="BV235" s="116">
        <f t="shared" si="651"/>
        <v>0</v>
      </c>
      <c r="BW235" s="116">
        <f t="shared" si="651"/>
        <v>0</v>
      </c>
      <c r="BX235" s="116">
        <f t="shared" si="651"/>
        <v>0</v>
      </c>
      <c r="BY235" s="116">
        <f t="shared" si="651"/>
        <v>0</v>
      </c>
      <c r="BZ235" s="116">
        <f t="shared" si="651"/>
        <v>0</v>
      </c>
      <c r="CA235" s="116">
        <f t="shared" ref="CA235:CP235" si="652">CA232</f>
        <v>0</v>
      </c>
      <c r="CB235" s="116">
        <f t="shared" si="652"/>
        <v>0</v>
      </c>
      <c r="CC235" s="116">
        <f t="shared" si="652"/>
        <v>0</v>
      </c>
      <c r="CD235" s="116">
        <f t="shared" si="652"/>
        <v>0</v>
      </c>
      <c r="CE235" s="116">
        <f t="shared" si="652"/>
        <v>0</v>
      </c>
      <c r="CF235" s="116">
        <f t="shared" si="652"/>
        <v>0</v>
      </c>
      <c r="CG235" s="116">
        <f t="shared" si="652"/>
        <v>0</v>
      </c>
      <c r="CH235" s="116">
        <f t="shared" si="652"/>
        <v>0</v>
      </c>
      <c r="CI235" s="116">
        <f t="shared" si="652"/>
        <v>0</v>
      </c>
      <c r="CJ235" s="116">
        <f t="shared" si="652"/>
        <v>0</v>
      </c>
      <c r="CK235" s="116">
        <f t="shared" si="652"/>
        <v>0</v>
      </c>
      <c r="CL235" s="116">
        <f t="shared" si="652"/>
        <v>0</v>
      </c>
      <c r="CM235" s="116">
        <f t="shared" si="652"/>
        <v>0</v>
      </c>
      <c r="CN235" s="116">
        <f t="shared" si="652"/>
        <v>0</v>
      </c>
      <c r="CO235" s="116">
        <f t="shared" si="652"/>
        <v>0</v>
      </c>
      <c r="CP235" s="116">
        <f t="shared" si="652"/>
        <v>0</v>
      </c>
      <c r="DJ235" s="116"/>
      <c r="DK235" s="116"/>
      <c r="DL235" s="116"/>
      <c r="DM235" s="116"/>
      <c r="DN235" s="116"/>
      <c r="DO235" s="116"/>
      <c r="DP235" s="116"/>
      <c r="DQ235" s="116"/>
      <c r="DR235" s="116"/>
      <c r="DS235" s="116"/>
      <c r="DT235" s="116"/>
      <c r="DU235" s="116"/>
      <c r="DV235" s="116"/>
      <c r="DW235" s="116"/>
      <c r="DX235" s="116"/>
      <c r="DY235" s="116"/>
      <c r="DZ235" s="116"/>
      <c r="EA235" s="116"/>
      <c r="EB235" s="116"/>
      <c r="EC235" s="116"/>
      <c r="ED235" s="116"/>
      <c r="EE235" s="116"/>
      <c r="EF235" s="116"/>
      <c r="EG235" s="116"/>
      <c r="EH235" s="116"/>
      <c r="EI235" s="116"/>
      <c r="EJ235" s="116"/>
      <c r="EK235" s="116"/>
      <c r="EL235" s="116"/>
      <c r="EM235" s="116"/>
      <c r="EN235" s="116"/>
      <c r="EO235" s="116"/>
      <c r="EP235" s="116"/>
      <c r="EQ235" s="116"/>
      <c r="ER235" s="116"/>
      <c r="ES235" s="116"/>
      <c r="ET235" s="116"/>
      <c r="EU235" s="116"/>
      <c r="EV235" s="116"/>
      <c r="EW235" s="117"/>
      <c r="EX235" s="116"/>
      <c r="EY235" s="116"/>
      <c r="EZ235" s="116"/>
      <c r="FA235" s="116"/>
      <c r="FB235" s="116"/>
      <c r="FC235" s="116"/>
      <c r="FD235" s="116"/>
      <c r="FE235" s="116"/>
      <c r="FF235" s="116"/>
      <c r="FG235" s="116"/>
      <c r="FH235" s="116"/>
      <c r="FI235" s="116"/>
      <c r="FJ235" s="116"/>
      <c r="FK235" s="116"/>
      <c r="FL235" s="116"/>
      <c r="FM235" s="116"/>
      <c r="FN235" s="116"/>
      <c r="FO235" s="116"/>
      <c r="FP235" s="116"/>
      <c r="FQ235" s="116"/>
      <c r="FR235" s="116"/>
      <c r="FS235" s="116"/>
      <c r="FT235" s="116"/>
      <c r="FU235" s="116"/>
      <c r="FV235" s="116"/>
      <c r="FW235" s="116"/>
      <c r="FX235" s="116"/>
      <c r="FY235" s="116"/>
      <c r="FZ235" s="116"/>
      <c r="GA235" s="116"/>
      <c r="GB235" s="116"/>
      <c r="GC235" s="116"/>
      <c r="GD235" s="116"/>
      <c r="GE235" s="116"/>
      <c r="GF235" s="116"/>
      <c r="GG235" s="116"/>
      <c r="GH235" s="116"/>
      <c r="GI235" s="116"/>
      <c r="GJ235" s="116"/>
      <c r="GK235" s="116"/>
      <c r="GL235" s="116"/>
    </row>
    <row r="236" spans="14:194" ht="15" customHeight="1">
      <c r="N236" s="116">
        <f t="shared" ref="N236:BY236" si="653">N233</f>
        <v>0</v>
      </c>
      <c r="O236" s="116">
        <f t="shared" si="653"/>
        <v>0</v>
      </c>
      <c r="P236" s="116">
        <f t="shared" si="653"/>
        <v>0</v>
      </c>
      <c r="Q236" s="116">
        <f t="shared" si="653"/>
        <v>0</v>
      </c>
      <c r="R236" s="116">
        <f t="shared" si="653"/>
        <v>0</v>
      </c>
      <c r="S236" s="116">
        <f t="shared" si="653"/>
        <v>0</v>
      </c>
      <c r="T236" s="116">
        <f t="shared" si="653"/>
        <v>0</v>
      </c>
      <c r="U236" s="116">
        <f t="shared" si="653"/>
        <v>0</v>
      </c>
      <c r="V236" s="116">
        <f t="shared" si="653"/>
        <v>0</v>
      </c>
      <c r="W236" s="116">
        <f t="shared" si="653"/>
        <v>0</v>
      </c>
      <c r="X236" s="116">
        <f t="shared" si="653"/>
        <v>0</v>
      </c>
      <c r="Y236" s="116">
        <f t="shared" si="653"/>
        <v>0</v>
      </c>
      <c r="Z236" s="116">
        <f t="shared" si="653"/>
        <v>0</v>
      </c>
      <c r="AA236" s="116">
        <f t="shared" si="653"/>
        <v>0</v>
      </c>
      <c r="AB236" s="116">
        <f t="shared" si="653"/>
        <v>0</v>
      </c>
      <c r="AC236" s="116">
        <f t="shared" si="653"/>
        <v>0</v>
      </c>
      <c r="AD236" s="116">
        <f t="shared" si="653"/>
        <v>0</v>
      </c>
      <c r="AE236" s="116">
        <f t="shared" si="653"/>
        <v>0</v>
      </c>
      <c r="AF236" s="116">
        <f t="shared" si="653"/>
        <v>0</v>
      </c>
      <c r="AG236" s="116">
        <f t="shared" si="653"/>
        <v>0</v>
      </c>
      <c r="AH236" s="116">
        <f t="shared" si="653"/>
        <v>0</v>
      </c>
      <c r="AI236" s="116">
        <f t="shared" si="653"/>
        <v>0</v>
      </c>
      <c r="AJ236" s="116">
        <f t="shared" si="653"/>
        <v>0</v>
      </c>
      <c r="AK236" s="116">
        <f t="shared" si="653"/>
        <v>0</v>
      </c>
      <c r="AL236" s="116">
        <f t="shared" si="653"/>
        <v>0</v>
      </c>
      <c r="AM236" s="116">
        <f t="shared" si="653"/>
        <v>0</v>
      </c>
      <c r="AN236" s="116">
        <f t="shared" si="653"/>
        <v>0</v>
      </c>
      <c r="AO236" s="116">
        <f t="shared" si="653"/>
        <v>0</v>
      </c>
      <c r="AP236" s="116">
        <f t="shared" si="653"/>
        <v>0</v>
      </c>
      <c r="AQ236" s="116">
        <f t="shared" si="653"/>
        <v>0</v>
      </c>
      <c r="AR236" s="116">
        <f t="shared" si="653"/>
        <v>0</v>
      </c>
      <c r="AS236" s="116">
        <f t="shared" si="653"/>
        <v>0</v>
      </c>
      <c r="AT236" s="116">
        <f t="shared" si="653"/>
        <v>0</v>
      </c>
      <c r="AU236" s="116">
        <f t="shared" si="653"/>
        <v>0</v>
      </c>
      <c r="AV236" s="116">
        <f t="shared" si="653"/>
        <v>0</v>
      </c>
      <c r="AW236" s="116">
        <f t="shared" si="653"/>
        <v>0</v>
      </c>
      <c r="AX236" s="116">
        <f t="shared" si="653"/>
        <v>0</v>
      </c>
      <c r="AY236" s="116">
        <f t="shared" si="653"/>
        <v>0</v>
      </c>
      <c r="AZ236" s="116">
        <f t="shared" si="653"/>
        <v>0</v>
      </c>
      <c r="BA236" s="116">
        <f t="shared" si="653"/>
        <v>0</v>
      </c>
      <c r="BB236" s="116">
        <f t="shared" si="653"/>
        <v>0</v>
      </c>
      <c r="BC236" s="116">
        <f t="shared" si="653"/>
        <v>0</v>
      </c>
      <c r="BD236" s="116">
        <f t="shared" si="653"/>
        <v>0</v>
      </c>
      <c r="BE236" s="116">
        <f t="shared" si="653"/>
        <v>0</v>
      </c>
      <c r="BF236" s="116">
        <f t="shared" si="653"/>
        <v>0</v>
      </c>
      <c r="BG236" s="116">
        <f t="shared" si="653"/>
        <v>0</v>
      </c>
      <c r="BH236" s="116">
        <f t="shared" si="653"/>
        <v>0</v>
      </c>
      <c r="BI236" s="116">
        <f t="shared" si="653"/>
        <v>0</v>
      </c>
      <c r="BJ236" s="116">
        <f t="shared" si="653"/>
        <v>0</v>
      </c>
      <c r="BK236" s="116">
        <f t="shared" si="653"/>
        <v>0</v>
      </c>
      <c r="BL236" s="116">
        <f t="shared" si="653"/>
        <v>0</v>
      </c>
      <c r="BM236" s="116">
        <f t="shared" si="653"/>
        <v>0</v>
      </c>
      <c r="BN236" s="116">
        <f t="shared" si="653"/>
        <v>0</v>
      </c>
      <c r="BO236" s="116">
        <f t="shared" si="653"/>
        <v>0</v>
      </c>
      <c r="BP236" s="116">
        <f t="shared" si="653"/>
        <v>0</v>
      </c>
      <c r="BQ236" s="116">
        <f t="shared" si="653"/>
        <v>0</v>
      </c>
      <c r="BR236" s="116">
        <f t="shared" si="653"/>
        <v>0</v>
      </c>
      <c r="BS236" s="116">
        <f t="shared" si="653"/>
        <v>0</v>
      </c>
      <c r="BT236" s="116">
        <f t="shared" si="653"/>
        <v>0</v>
      </c>
      <c r="BU236" s="116">
        <f t="shared" si="653"/>
        <v>0</v>
      </c>
      <c r="BV236" s="116">
        <f t="shared" si="653"/>
        <v>0</v>
      </c>
      <c r="BW236" s="116">
        <f t="shared" si="653"/>
        <v>0</v>
      </c>
      <c r="BX236" s="116">
        <f t="shared" si="653"/>
        <v>0</v>
      </c>
      <c r="BY236" s="116">
        <f t="shared" si="653"/>
        <v>0</v>
      </c>
      <c r="BZ236" s="116">
        <f t="shared" ref="BZ236:CP236" si="654">BZ233</f>
        <v>0</v>
      </c>
      <c r="CA236" s="116">
        <f t="shared" si="654"/>
        <v>0</v>
      </c>
      <c r="CB236" s="116">
        <f t="shared" si="654"/>
        <v>0</v>
      </c>
      <c r="CC236" s="116">
        <f t="shared" si="654"/>
        <v>0</v>
      </c>
      <c r="CD236" s="116">
        <f t="shared" si="654"/>
        <v>0</v>
      </c>
      <c r="CE236" s="116">
        <f t="shared" si="654"/>
        <v>0</v>
      </c>
      <c r="CF236" s="116">
        <f t="shared" si="654"/>
        <v>0</v>
      </c>
      <c r="CG236" s="116">
        <f t="shared" si="654"/>
        <v>0</v>
      </c>
      <c r="CH236" s="116">
        <f t="shared" si="654"/>
        <v>0</v>
      </c>
      <c r="CI236" s="116">
        <f t="shared" si="654"/>
        <v>0</v>
      </c>
      <c r="CJ236" s="116">
        <f t="shared" si="654"/>
        <v>0</v>
      </c>
      <c r="CK236" s="116">
        <f t="shared" si="654"/>
        <v>0</v>
      </c>
      <c r="CL236" s="116">
        <f t="shared" si="654"/>
        <v>0</v>
      </c>
      <c r="CM236" s="116">
        <f t="shared" si="654"/>
        <v>0</v>
      </c>
      <c r="CN236" s="116">
        <f t="shared" si="654"/>
        <v>0</v>
      </c>
      <c r="CO236" s="116">
        <f t="shared" si="654"/>
        <v>0</v>
      </c>
      <c r="CP236" s="116">
        <f t="shared" si="654"/>
        <v>0</v>
      </c>
      <c r="DJ236" s="118" t="s">
        <v>10</v>
      </c>
      <c r="DK236" s="116"/>
      <c r="DL236" s="116"/>
      <c r="DM236" s="116"/>
      <c r="DN236" s="116"/>
      <c r="DO236" s="116"/>
      <c r="DP236" s="116"/>
      <c r="DQ236" s="116"/>
      <c r="DR236" s="116"/>
      <c r="DS236" s="116"/>
      <c r="DT236" s="116"/>
      <c r="DU236" s="116"/>
      <c r="DV236" s="116"/>
      <c r="DW236" s="116"/>
      <c r="DX236" s="116"/>
      <c r="DY236" s="116"/>
      <c r="DZ236" s="116"/>
      <c r="EA236" s="116"/>
      <c r="EB236" s="116"/>
      <c r="EC236" s="116"/>
      <c r="ED236" s="116"/>
      <c r="EE236" s="116"/>
      <c r="EF236" s="116"/>
      <c r="EG236" s="116"/>
      <c r="EH236" s="116"/>
      <c r="EI236" s="116"/>
      <c r="EJ236" s="116"/>
      <c r="EK236" s="116"/>
      <c r="EL236" s="116"/>
      <c r="EM236" s="116"/>
      <c r="EN236" s="116"/>
      <c r="EO236" s="116"/>
      <c r="EP236" s="116"/>
      <c r="EQ236" s="116"/>
      <c r="ER236" s="116"/>
      <c r="ES236" s="116"/>
      <c r="ET236" s="116"/>
      <c r="EU236" s="116"/>
      <c r="EV236" s="116"/>
      <c r="EW236" s="117"/>
      <c r="EX236" s="116"/>
      <c r="EY236" s="116"/>
      <c r="EZ236" s="116"/>
      <c r="FA236" s="116"/>
      <c r="FB236" s="116"/>
      <c r="FC236" s="116"/>
      <c r="FD236" s="116"/>
      <c r="FE236" s="116"/>
      <c r="FF236" s="116"/>
      <c r="FG236" s="116"/>
      <c r="FH236" s="116"/>
      <c r="FI236" s="116"/>
      <c r="FJ236" s="116"/>
      <c r="FK236" s="116"/>
      <c r="FL236" s="116"/>
      <c r="FM236" s="116"/>
      <c r="FN236" s="116"/>
      <c r="FO236" s="116"/>
      <c r="FP236" s="116"/>
      <c r="FQ236" s="116"/>
      <c r="FR236" s="116"/>
      <c r="FS236" s="116"/>
      <c r="FT236" s="116"/>
      <c r="FU236" s="116"/>
      <c r="FV236" s="116"/>
      <c r="FW236" s="116"/>
      <c r="FX236" s="116"/>
      <c r="FY236" s="116"/>
      <c r="FZ236" s="116"/>
      <c r="GA236" s="116"/>
      <c r="GB236" s="116"/>
      <c r="GC236" s="116"/>
      <c r="GD236" s="116"/>
      <c r="GE236" s="116"/>
      <c r="GF236" s="116"/>
      <c r="GG236" s="116"/>
      <c r="GH236" s="116"/>
      <c r="GI236" s="116"/>
      <c r="GJ236" s="116"/>
      <c r="GK236" s="116"/>
      <c r="GL236" s="116"/>
    </row>
    <row r="237" spans="14:194" ht="15" customHeight="1">
      <c r="N237" s="116">
        <f t="shared" ref="N237:BY237" si="655">N234</f>
        <v>0</v>
      </c>
      <c r="O237" s="116">
        <f t="shared" si="655"/>
        <v>0</v>
      </c>
      <c r="P237" s="116">
        <f t="shared" si="655"/>
        <v>0</v>
      </c>
      <c r="Q237" s="116">
        <f t="shared" si="655"/>
        <v>0</v>
      </c>
      <c r="R237" s="116">
        <f t="shared" si="655"/>
        <v>0</v>
      </c>
      <c r="S237" s="116">
        <f t="shared" si="655"/>
        <v>0</v>
      </c>
      <c r="T237" s="116">
        <f t="shared" si="655"/>
        <v>0</v>
      </c>
      <c r="U237" s="116">
        <f t="shared" si="655"/>
        <v>0</v>
      </c>
      <c r="V237" s="116">
        <f t="shared" si="655"/>
        <v>0</v>
      </c>
      <c r="W237" s="116">
        <f t="shared" si="655"/>
        <v>0</v>
      </c>
      <c r="X237" s="116">
        <f t="shared" si="655"/>
        <v>0</v>
      </c>
      <c r="Y237" s="116">
        <f t="shared" si="655"/>
        <v>0</v>
      </c>
      <c r="Z237" s="116">
        <f t="shared" si="655"/>
        <v>0</v>
      </c>
      <c r="AA237" s="116">
        <f t="shared" si="655"/>
        <v>0</v>
      </c>
      <c r="AB237" s="116">
        <f t="shared" si="655"/>
        <v>0</v>
      </c>
      <c r="AC237" s="116">
        <f t="shared" si="655"/>
        <v>0</v>
      </c>
      <c r="AD237" s="116">
        <f t="shared" si="655"/>
        <v>0</v>
      </c>
      <c r="AE237" s="116">
        <f t="shared" si="655"/>
        <v>0</v>
      </c>
      <c r="AF237" s="116">
        <f t="shared" si="655"/>
        <v>0</v>
      </c>
      <c r="AG237" s="116">
        <f t="shared" si="655"/>
        <v>0</v>
      </c>
      <c r="AH237" s="116">
        <f t="shared" si="655"/>
        <v>0</v>
      </c>
      <c r="AI237" s="116">
        <f t="shared" si="655"/>
        <v>0</v>
      </c>
      <c r="AJ237" s="116">
        <f t="shared" si="655"/>
        <v>0</v>
      </c>
      <c r="AK237" s="116">
        <f t="shared" si="655"/>
        <v>0</v>
      </c>
      <c r="AL237" s="116">
        <f t="shared" si="655"/>
        <v>0</v>
      </c>
      <c r="AM237" s="116">
        <f t="shared" si="655"/>
        <v>0</v>
      </c>
      <c r="AN237" s="116">
        <f t="shared" si="655"/>
        <v>0</v>
      </c>
      <c r="AO237" s="116">
        <f t="shared" si="655"/>
        <v>0</v>
      </c>
      <c r="AP237" s="116">
        <f t="shared" si="655"/>
        <v>0</v>
      </c>
      <c r="AQ237" s="116">
        <f t="shared" si="655"/>
        <v>0</v>
      </c>
      <c r="AR237" s="116">
        <f t="shared" si="655"/>
        <v>0</v>
      </c>
      <c r="AS237" s="116">
        <f t="shared" si="655"/>
        <v>0</v>
      </c>
      <c r="AT237" s="116">
        <f t="shared" si="655"/>
        <v>0</v>
      </c>
      <c r="AU237" s="116">
        <f t="shared" si="655"/>
        <v>0</v>
      </c>
      <c r="AV237" s="116">
        <f t="shared" si="655"/>
        <v>0</v>
      </c>
      <c r="AW237" s="116">
        <f t="shared" si="655"/>
        <v>0</v>
      </c>
      <c r="AX237" s="116">
        <f t="shared" si="655"/>
        <v>0</v>
      </c>
      <c r="AY237" s="116">
        <f t="shared" si="655"/>
        <v>0</v>
      </c>
      <c r="AZ237" s="116">
        <f t="shared" si="655"/>
        <v>0</v>
      </c>
      <c r="BA237" s="116">
        <f t="shared" si="655"/>
        <v>0</v>
      </c>
      <c r="BB237" s="116">
        <f t="shared" si="655"/>
        <v>0</v>
      </c>
      <c r="BC237" s="116">
        <f t="shared" si="655"/>
        <v>0</v>
      </c>
      <c r="BD237" s="116">
        <f t="shared" si="655"/>
        <v>0</v>
      </c>
      <c r="BE237" s="116">
        <f t="shared" si="655"/>
        <v>0</v>
      </c>
      <c r="BF237" s="116">
        <f t="shared" si="655"/>
        <v>0</v>
      </c>
      <c r="BG237" s="116">
        <f t="shared" si="655"/>
        <v>0</v>
      </c>
      <c r="BH237" s="116">
        <f t="shared" si="655"/>
        <v>0</v>
      </c>
      <c r="BI237" s="116">
        <f t="shared" si="655"/>
        <v>0</v>
      </c>
      <c r="BJ237" s="116">
        <f t="shared" si="655"/>
        <v>0</v>
      </c>
      <c r="BK237" s="116">
        <f t="shared" si="655"/>
        <v>0</v>
      </c>
      <c r="BL237" s="116">
        <f t="shared" si="655"/>
        <v>0</v>
      </c>
      <c r="BM237" s="116">
        <f t="shared" si="655"/>
        <v>0</v>
      </c>
      <c r="BN237" s="116">
        <f t="shared" si="655"/>
        <v>0</v>
      </c>
      <c r="BO237" s="116">
        <f t="shared" si="655"/>
        <v>0</v>
      </c>
      <c r="BP237" s="116">
        <f t="shared" si="655"/>
        <v>0</v>
      </c>
      <c r="BQ237" s="116">
        <f t="shared" si="655"/>
        <v>0</v>
      </c>
      <c r="BR237" s="116">
        <f t="shared" si="655"/>
        <v>0</v>
      </c>
      <c r="BS237" s="116">
        <f t="shared" si="655"/>
        <v>0</v>
      </c>
      <c r="BT237" s="116">
        <f t="shared" si="655"/>
        <v>0</v>
      </c>
      <c r="BU237" s="116">
        <f t="shared" si="655"/>
        <v>0</v>
      </c>
      <c r="BV237" s="116">
        <f t="shared" si="655"/>
        <v>0</v>
      </c>
      <c r="BW237" s="116">
        <f t="shared" si="655"/>
        <v>0</v>
      </c>
      <c r="BX237" s="116">
        <f t="shared" si="655"/>
        <v>0</v>
      </c>
      <c r="BY237" s="116">
        <f t="shared" si="655"/>
        <v>0</v>
      </c>
      <c r="BZ237" s="116">
        <f t="shared" ref="BZ237:CP237" si="656">BZ234</f>
        <v>0</v>
      </c>
      <c r="CA237" s="116">
        <f t="shared" si="656"/>
        <v>0</v>
      </c>
      <c r="CB237" s="116">
        <f t="shared" si="656"/>
        <v>0</v>
      </c>
      <c r="CC237" s="116">
        <f t="shared" si="656"/>
        <v>0</v>
      </c>
      <c r="CD237" s="116">
        <f t="shared" si="656"/>
        <v>0</v>
      </c>
      <c r="CE237" s="116">
        <f t="shared" si="656"/>
        <v>0</v>
      </c>
      <c r="CF237" s="116">
        <f t="shared" si="656"/>
        <v>0</v>
      </c>
      <c r="CG237" s="116">
        <f t="shared" si="656"/>
        <v>0</v>
      </c>
      <c r="CH237" s="116">
        <f t="shared" si="656"/>
        <v>0</v>
      </c>
      <c r="CI237" s="116">
        <f t="shared" si="656"/>
        <v>0</v>
      </c>
      <c r="CJ237" s="116">
        <f t="shared" si="656"/>
        <v>0</v>
      </c>
      <c r="CK237" s="116">
        <f t="shared" si="656"/>
        <v>0</v>
      </c>
      <c r="CL237" s="116">
        <f t="shared" si="656"/>
        <v>0</v>
      </c>
      <c r="CM237" s="116">
        <f t="shared" si="656"/>
        <v>0</v>
      </c>
      <c r="CN237" s="116">
        <f t="shared" si="656"/>
        <v>0</v>
      </c>
      <c r="CO237" s="116">
        <f t="shared" si="656"/>
        <v>0</v>
      </c>
      <c r="CP237" s="116">
        <f t="shared" si="656"/>
        <v>0</v>
      </c>
      <c r="DJ237" s="116"/>
      <c r="DK237" s="116"/>
      <c r="DL237" s="116"/>
      <c r="DM237" s="116"/>
      <c r="DN237" s="116"/>
      <c r="DO237" s="116"/>
      <c r="DP237" s="116"/>
      <c r="DQ237" s="116"/>
      <c r="DR237" s="116"/>
      <c r="DS237" s="116"/>
      <c r="DT237" s="116"/>
      <c r="DU237" s="116"/>
      <c r="DV237" s="116"/>
      <c r="DW237" s="116"/>
      <c r="DX237" s="116"/>
      <c r="DY237" s="116"/>
      <c r="DZ237" s="116"/>
      <c r="EA237" s="116"/>
      <c r="EB237" s="116"/>
      <c r="EC237" s="116"/>
      <c r="ED237" s="116"/>
      <c r="EE237" s="116"/>
      <c r="EF237" s="116"/>
      <c r="EG237" s="116"/>
      <c r="EH237" s="116"/>
      <c r="EI237" s="116"/>
      <c r="EJ237" s="116"/>
      <c r="EK237" s="116"/>
      <c r="EL237" s="116"/>
      <c r="EM237" s="116"/>
      <c r="EN237" s="116"/>
      <c r="EO237" s="116"/>
      <c r="EP237" s="116"/>
      <c r="EQ237" s="116"/>
      <c r="ER237" s="116"/>
      <c r="ES237" s="116"/>
      <c r="ET237" s="116"/>
      <c r="EU237" s="116"/>
      <c r="EV237" s="116"/>
      <c r="EW237" s="117"/>
      <c r="EX237" s="116"/>
      <c r="EY237" s="116"/>
      <c r="EZ237" s="116"/>
      <c r="FA237" s="116"/>
      <c r="FB237" s="116"/>
      <c r="FC237" s="116"/>
      <c r="FD237" s="116"/>
      <c r="FE237" s="116"/>
      <c r="FF237" s="116"/>
      <c r="FG237" s="116"/>
      <c r="FH237" s="116"/>
      <c r="FI237" s="116"/>
      <c r="FJ237" s="116"/>
      <c r="FK237" s="116"/>
      <c r="FL237" s="116"/>
      <c r="FM237" s="116"/>
      <c r="FN237" s="116"/>
      <c r="FO237" s="116"/>
      <c r="FP237" s="116"/>
      <c r="FQ237" s="116"/>
      <c r="FR237" s="116"/>
      <c r="FS237" s="116"/>
      <c r="FT237" s="116"/>
      <c r="FU237" s="116"/>
      <c r="FV237" s="116"/>
      <c r="FW237" s="116"/>
      <c r="FX237" s="116"/>
      <c r="FY237" s="116"/>
      <c r="FZ237" s="116"/>
      <c r="GA237" s="116"/>
      <c r="GB237" s="116"/>
      <c r="GC237" s="116"/>
      <c r="GD237" s="116"/>
      <c r="GE237" s="116"/>
      <c r="GF237" s="116"/>
      <c r="GG237" s="116"/>
      <c r="GH237" s="116"/>
      <c r="GI237" s="116"/>
      <c r="GJ237" s="116"/>
      <c r="GK237" s="116"/>
      <c r="GL237" s="116"/>
    </row>
    <row r="238" spans="14:194" ht="15" customHeight="1">
      <c r="N238" s="116">
        <f t="shared" ref="N238:BY238" si="657">N235</f>
        <v>0</v>
      </c>
      <c r="O238" s="116">
        <f t="shared" si="657"/>
        <v>0</v>
      </c>
      <c r="P238" s="116">
        <f t="shared" si="657"/>
        <v>0</v>
      </c>
      <c r="Q238" s="116">
        <f t="shared" si="657"/>
        <v>0</v>
      </c>
      <c r="R238" s="116">
        <f t="shared" si="657"/>
        <v>0</v>
      </c>
      <c r="S238" s="116">
        <f t="shared" si="657"/>
        <v>0</v>
      </c>
      <c r="T238" s="116">
        <f t="shared" si="657"/>
        <v>0</v>
      </c>
      <c r="U238" s="116">
        <f t="shared" si="657"/>
        <v>0</v>
      </c>
      <c r="V238" s="116">
        <f t="shared" si="657"/>
        <v>0</v>
      </c>
      <c r="W238" s="116">
        <f t="shared" si="657"/>
        <v>0</v>
      </c>
      <c r="X238" s="116">
        <f t="shared" si="657"/>
        <v>0</v>
      </c>
      <c r="Y238" s="116">
        <f t="shared" si="657"/>
        <v>0</v>
      </c>
      <c r="Z238" s="116">
        <f t="shared" si="657"/>
        <v>0</v>
      </c>
      <c r="AA238" s="116">
        <f t="shared" si="657"/>
        <v>0</v>
      </c>
      <c r="AB238" s="116">
        <f t="shared" si="657"/>
        <v>0</v>
      </c>
      <c r="AC238" s="116">
        <f t="shared" si="657"/>
        <v>0</v>
      </c>
      <c r="AD238" s="116">
        <f t="shared" si="657"/>
        <v>0</v>
      </c>
      <c r="AE238" s="116">
        <f t="shared" si="657"/>
        <v>0</v>
      </c>
      <c r="AF238" s="116">
        <f t="shared" si="657"/>
        <v>0</v>
      </c>
      <c r="AG238" s="116">
        <f t="shared" si="657"/>
        <v>0</v>
      </c>
      <c r="AH238" s="116">
        <f t="shared" si="657"/>
        <v>0</v>
      </c>
      <c r="AI238" s="116">
        <f t="shared" si="657"/>
        <v>0</v>
      </c>
      <c r="AJ238" s="116">
        <f t="shared" si="657"/>
        <v>0</v>
      </c>
      <c r="AK238" s="116">
        <f t="shared" si="657"/>
        <v>0</v>
      </c>
      <c r="AL238" s="116">
        <f t="shared" si="657"/>
        <v>0</v>
      </c>
      <c r="AM238" s="116">
        <f t="shared" si="657"/>
        <v>0</v>
      </c>
      <c r="AN238" s="116">
        <f t="shared" si="657"/>
        <v>0</v>
      </c>
      <c r="AO238" s="116">
        <f t="shared" si="657"/>
        <v>0</v>
      </c>
      <c r="AP238" s="116">
        <f t="shared" si="657"/>
        <v>0</v>
      </c>
      <c r="AQ238" s="116">
        <f t="shared" si="657"/>
        <v>0</v>
      </c>
      <c r="AR238" s="116">
        <f t="shared" si="657"/>
        <v>0</v>
      </c>
      <c r="AS238" s="116">
        <f t="shared" si="657"/>
        <v>0</v>
      </c>
      <c r="AT238" s="116">
        <f t="shared" si="657"/>
        <v>0</v>
      </c>
      <c r="AU238" s="116">
        <f t="shared" si="657"/>
        <v>0</v>
      </c>
      <c r="AV238" s="116">
        <f t="shared" si="657"/>
        <v>0</v>
      </c>
      <c r="AW238" s="116">
        <f t="shared" si="657"/>
        <v>0</v>
      </c>
      <c r="AX238" s="116">
        <f t="shared" si="657"/>
        <v>0</v>
      </c>
      <c r="AY238" s="116">
        <f t="shared" si="657"/>
        <v>0</v>
      </c>
      <c r="AZ238" s="116">
        <f t="shared" si="657"/>
        <v>0</v>
      </c>
      <c r="BA238" s="116">
        <f t="shared" si="657"/>
        <v>0</v>
      </c>
      <c r="BB238" s="116">
        <f t="shared" si="657"/>
        <v>0</v>
      </c>
      <c r="BC238" s="116">
        <f t="shared" si="657"/>
        <v>0</v>
      </c>
      <c r="BD238" s="116">
        <f t="shared" si="657"/>
        <v>0</v>
      </c>
      <c r="BE238" s="116">
        <f t="shared" si="657"/>
        <v>0</v>
      </c>
      <c r="BF238" s="116">
        <f t="shared" si="657"/>
        <v>0</v>
      </c>
      <c r="BG238" s="116">
        <f t="shared" si="657"/>
        <v>0</v>
      </c>
      <c r="BH238" s="116">
        <f t="shared" si="657"/>
        <v>0</v>
      </c>
      <c r="BI238" s="116">
        <f t="shared" si="657"/>
        <v>0</v>
      </c>
      <c r="BJ238" s="116">
        <f t="shared" si="657"/>
        <v>0</v>
      </c>
      <c r="BK238" s="116">
        <f t="shared" si="657"/>
        <v>0</v>
      </c>
      <c r="BL238" s="116">
        <f t="shared" si="657"/>
        <v>0</v>
      </c>
      <c r="BM238" s="116">
        <f t="shared" si="657"/>
        <v>0</v>
      </c>
      <c r="BN238" s="116">
        <f t="shared" si="657"/>
        <v>0</v>
      </c>
      <c r="BO238" s="116">
        <f t="shared" si="657"/>
        <v>0</v>
      </c>
      <c r="BP238" s="116">
        <f t="shared" si="657"/>
        <v>0</v>
      </c>
      <c r="BQ238" s="116">
        <f t="shared" si="657"/>
        <v>0</v>
      </c>
      <c r="BR238" s="116">
        <f t="shared" si="657"/>
        <v>0</v>
      </c>
      <c r="BS238" s="116">
        <f t="shared" si="657"/>
        <v>0</v>
      </c>
      <c r="BT238" s="116">
        <f t="shared" si="657"/>
        <v>0</v>
      </c>
      <c r="BU238" s="116">
        <f t="shared" si="657"/>
        <v>0</v>
      </c>
      <c r="BV238" s="116">
        <f t="shared" si="657"/>
        <v>0</v>
      </c>
      <c r="BW238" s="116">
        <f t="shared" si="657"/>
        <v>0</v>
      </c>
      <c r="BX238" s="116">
        <f t="shared" si="657"/>
        <v>0</v>
      </c>
      <c r="BY238" s="116">
        <f t="shared" si="657"/>
        <v>0</v>
      </c>
      <c r="BZ238" s="116">
        <f t="shared" ref="BZ238:CP238" si="658">BZ235</f>
        <v>0</v>
      </c>
      <c r="CA238" s="116">
        <f t="shared" si="658"/>
        <v>0</v>
      </c>
      <c r="CB238" s="116">
        <f t="shared" si="658"/>
        <v>0</v>
      </c>
      <c r="CC238" s="116">
        <f t="shared" si="658"/>
        <v>0</v>
      </c>
      <c r="CD238" s="116">
        <f t="shared" si="658"/>
        <v>0</v>
      </c>
      <c r="CE238" s="116">
        <f t="shared" si="658"/>
        <v>0</v>
      </c>
      <c r="CF238" s="116">
        <f t="shared" si="658"/>
        <v>0</v>
      </c>
      <c r="CG238" s="116">
        <f t="shared" si="658"/>
        <v>0</v>
      </c>
      <c r="CH238" s="116">
        <f t="shared" si="658"/>
        <v>0</v>
      </c>
      <c r="CI238" s="116">
        <f t="shared" si="658"/>
        <v>0</v>
      </c>
      <c r="CJ238" s="116">
        <f t="shared" si="658"/>
        <v>0</v>
      </c>
      <c r="CK238" s="116">
        <f t="shared" si="658"/>
        <v>0</v>
      </c>
      <c r="CL238" s="116">
        <f t="shared" si="658"/>
        <v>0</v>
      </c>
      <c r="CM238" s="116">
        <f t="shared" si="658"/>
        <v>0</v>
      </c>
      <c r="CN238" s="116">
        <f t="shared" si="658"/>
        <v>0</v>
      </c>
      <c r="CO238" s="116">
        <f t="shared" si="658"/>
        <v>0</v>
      </c>
      <c r="CP238" s="116">
        <f t="shared" si="658"/>
        <v>0</v>
      </c>
      <c r="DJ238" s="119">
        <f>COUNTIF(DJ140:EJ166,1)</f>
        <v>5</v>
      </c>
      <c r="DK238" s="120">
        <f>COUNTIF(DJ140:EJ166,2)</f>
        <v>4</v>
      </c>
      <c r="DL238" s="121">
        <f>COUNTIF(DJ140:EJ166,3)</f>
        <v>0</v>
      </c>
      <c r="DM238" s="116">
        <f>DJ238</f>
        <v>5</v>
      </c>
      <c r="DN238" s="116">
        <f t="shared" ref="DN238:DN240" si="659">DK238</f>
        <v>4</v>
      </c>
      <c r="DO238" s="116">
        <f t="shared" ref="DO238:DO240" si="660">DL238</f>
        <v>0</v>
      </c>
      <c r="DP238" s="116">
        <f t="shared" ref="DP238:DP240" si="661">DM238</f>
        <v>5</v>
      </c>
      <c r="DQ238" s="116">
        <f t="shared" ref="DQ238:DQ240" si="662">DN238</f>
        <v>4</v>
      </c>
      <c r="DR238" s="116">
        <f t="shared" ref="DR238:DR240" si="663">DO238</f>
        <v>0</v>
      </c>
      <c r="DS238" s="116">
        <f t="shared" ref="DS238:DS240" si="664">DP238</f>
        <v>5</v>
      </c>
      <c r="DT238" s="116">
        <f t="shared" ref="DT238:DT240" si="665">DQ238</f>
        <v>4</v>
      </c>
      <c r="DU238" s="116">
        <f t="shared" ref="DU238:DU240" si="666">DR238</f>
        <v>0</v>
      </c>
      <c r="DV238" s="116">
        <f t="shared" ref="DV238:DV240" si="667">DS238</f>
        <v>5</v>
      </c>
      <c r="DW238" s="116">
        <f t="shared" ref="DW238:DW240" si="668">DT238</f>
        <v>4</v>
      </c>
      <c r="DX238" s="116">
        <f t="shared" ref="DX238:DX240" si="669">DU238</f>
        <v>0</v>
      </c>
      <c r="DY238" s="116">
        <f t="shared" ref="DY238:DY240" si="670">DV238</f>
        <v>5</v>
      </c>
      <c r="DZ238" s="116">
        <f t="shared" ref="DZ238:DZ240" si="671">DW238</f>
        <v>4</v>
      </c>
      <c r="EA238" s="116">
        <f t="shared" ref="EA238:EA240" si="672">DX238</f>
        <v>0</v>
      </c>
      <c r="EB238" s="116">
        <f t="shared" ref="EB238:EB240" si="673">DY238</f>
        <v>5</v>
      </c>
      <c r="EC238" s="116">
        <f t="shared" ref="EC238:EC240" si="674">DZ238</f>
        <v>4</v>
      </c>
      <c r="ED238" s="116">
        <f t="shared" ref="ED238:ED240" si="675">EA238</f>
        <v>0</v>
      </c>
      <c r="EE238" s="116">
        <f t="shared" ref="EE238:EE240" si="676">EB238</f>
        <v>5</v>
      </c>
      <c r="EF238" s="116">
        <f t="shared" ref="EF238:EF240" si="677">EC238</f>
        <v>4</v>
      </c>
      <c r="EG238" s="116">
        <f t="shared" ref="EG238:EG240" si="678">ED238</f>
        <v>0</v>
      </c>
      <c r="EH238" s="116">
        <f t="shared" ref="EH238:EH240" si="679">EE238</f>
        <v>5</v>
      </c>
      <c r="EI238" s="116">
        <f t="shared" ref="EI238:EI240" si="680">EF238</f>
        <v>4</v>
      </c>
      <c r="EJ238" s="116">
        <f t="shared" ref="EJ238:EJ240" si="681">EG238</f>
        <v>0</v>
      </c>
      <c r="EK238" s="119">
        <f>COUNTIF(EK140:FK166,1)</f>
        <v>5</v>
      </c>
      <c r="EL238" s="120">
        <f>COUNTIF(EK140:FK166,2)</f>
        <v>4</v>
      </c>
      <c r="EM238" s="121">
        <f>COUNTIF(EK140:FK166,3)</f>
        <v>3</v>
      </c>
      <c r="EN238" s="116">
        <f>EK238</f>
        <v>5</v>
      </c>
      <c r="EO238" s="116">
        <f t="shared" ref="EO238:EO240" si="682">EL238</f>
        <v>4</v>
      </c>
      <c r="EP238" s="116">
        <f t="shared" ref="EP238:EP240" si="683">EM238</f>
        <v>3</v>
      </c>
      <c r="EQ238" s="116">
        <f t="shared" ref="EQ238:EQ240" si="684">EN238</f>
        <v>5</v>
      </c>
      <c r="ER238" s="116">
        <f t="shared" ref="ER238:ER240" si="685">EO238</f>
        <v>4</v>
      </c>
      <c r="ES238" s="116">
        <f t="shared" ref="ES238:ES240" si="686">EP238</f>
        <v>3</v>
      </c>
      <c r="ET238" s="116">
        <f t="shared" ref="ET238:ET240" si="687">EQ238</f>
        <v>5</v>
      </c>
      <c r="EU238" s="116">
        <f t="shared" ref="EU238:EU240" si="688">ER238</f>
        <v>4</v>
      </c>
      <c r="EV238" s="116">
        <f t="shared" ref="EV238:EV240" si="689">ES238</f>
        <v>3</v>
      </c>
      <c r="EW238" s="116">
        <f t="shared" ref="EW238:EW240" si="690">ET238</f>
        <v>5</v>
      </c>
      <c r="EX238" s="116">
        <f t="shared" ref="EX238:EX240" si="691">EU238</f>
        <v>4</v>
      </c>
      <c r="EY238" s="116">
        <f t="shared" ref="EY238:EY240" si="692">EV238</f>
        <v>3</v>
      </c>
      <c r="EZ238" s="116">
        <f t="shared" ref="EZ238:EZ240" si="693">EW238</f>
        <v>5</v>
      </c>
      <c r="FA238" s="116">
        <f t="shared" ref="FA238:FA240" si="694">EX238</f>
        <v>4</v>
      </c>
      <c r="FB238" s="116">
        <f t="shared" ref="FB238:FB240" si="695">EY238</f>
        <v>3</v>
      </c>
      <c r="FC238" s="116">
        <f t="shared" ref="FC238:FC240" si="696">EZ238</f>
        <v>5</v>
      </c>
      <c r="FD238" s="116">
        <f t="shared" ref="FD238:FD240" si="697">FA238</f>
        <v>4</v>
      </c>
      <c r="FE238" s="116">
        <f t="shared" ref="FE238:FE240" si="698">FB238</f>
        <v>3</v>
      </c>
      <c r="FF238" s="116">
        <f t="shared" ref="FF238:FF240" si="699">FC238</f>
        <v>5</v>
      </c>
      <c r="FG238" s="116">
        <f t="shared" ref="FG238:FG240" si="700">FD238</f>
        <v>4</v>
      </c>
      <c r="FH238" s="116">
        <f t="shared" ref="FH238:FH240" si="701">FE238</f>
        <v>3</v>
      </c>
      <c r="FI238" s="116">
        <f t="shared" ref="FI238:FI240" si="702">FF238</f>
        <v>5</v>
      </c>
      <c r="FJ238" s="116">
        <f t="shared" ref="FJ238:FJ240" si="703">FG238</f>
        <v>4</v>
      </c>
      <c r="FK238" s="116">
        <f t="shared" ref="FK238:FK240" si="704">FH238</f>
        <v>3</v>
      </c>
      <c r="FL238" s="119">
        <f>COUNTIF(FL140:GL166,1)</f>
        <v>0</v>
      </c>
      <c r="FM238" s="120">
        <f>COUNTIF(FL140:GL166,2)</f>
        <v>6</v>
      </c>
      <c r="FN238" s="121">
        <f>COUNTIF(FL140:GL166,3)</f>
        <v>4</v>
      </c>
      <c r="FO238" s="116">
        <f>FL238</f>
        <v>0</v>
      </c>
      <c r="FP238" s="116">
        <f t="shared" ref="FP238:FP240" si="705">FM238</f>
        <v>6</v>
      </c>
      <c r="FQ238" s="116">
        <f t="shared" ref="FQ238:FQ240" si="706">FN238</f>
        <v>4</v>
      </c>
      <c r="FR238" s="116">
        <f t="shared" ref="FR238:FR240" si="707">FO238</f>
        <v>0</v>
      </c>
      <c r="FS238" s="116">
        <f t="shared" ref="FS238:FS240" si="708">FP238</f>
        <v>6</v>
      </c>
      <c r="FT238" s="116">
        <f t="shared" ref="FT238:FT240" si="709">FQ238</f>
        <v>4</v>
      </c>
      <c r="FU238" s="116">
        <f t="shared" ref="FU238:FU240" si="710">FR238</f>
        <v>0</v>
      </c>
      <c r="FV238" s="116">
        <f t="shared" ref="FV238:FV240" si="711">FS238</f>
        <v>6</v>
      </c>
      <c r="FW238" s="116">
        <f t="shared" ref="FW238:FW240" si="712">FT238</f>
        <v>4</v>
      </c>
      <c r="FX238" s="116">
        <f t="shared" ref="FX238:FX240" si="713">FU238</f>
        <v>0</v>
      </c>
      <c r="FY238" s="116">
        <f t="shared" ref="FY238:FY240" si="714">FV238</f>
        <v>6</v>
      </c>
      <c r="FZ238" s="116">
        <f t="shared" ref="FZ238:FZ240" si="715">FW238</f>
        <v>4</v>
      </c>
      <c r="GA238" s="116">
        <f t="shared" ref="GA238:GA240" si="716">FX238</f>
        <v>0</v>
      </c>
      <c r="GB238" s="116">
        <f t="shared" ref="GB238:GB240" si="717">FY238</f>
        <v>6</v>
      </c>
      <c r="GC238" s="116">
        <f t="shared" ref="GC238:GC240" si="718">FZ238</f>
        <v>4</v>
      </c>
      <c r="GD238" s="116">
        <f t="shared" ref="GD238:GD240" si="719">GA238</f>
        <v>0</v>
      </c>
      <c r="GE238" s="116">
        <f t="shared" ref="GE238:GE240" si="720">GB238</f>
        <v>6</v>
      </c>
      <c r="GF238" s="116">
        <f t="shared" ref="GF238:GF240" si="721">GC238</f>
        <v>4</v>
      </c>
      <c r="GG238" s="116">
        <f t="shared" ref="GG238:GG240" si="722">GD238</f>
        <v>0</v>
      </c>
      <c r="GH238" s="116">
        <f t="shared" ref="GH238:GH240" si="723">GE238</f>
        <v>6</v>
      </c>
      <c r="GI238" s="116">
        <f t="shared" ref="GI238:GI240" si="724">GF238</f>
        <v>4</v>
      </c>
      <c r="GJ238" s="116">
        <f t="shared" ref="GJ238:GJ240" si="725">GG238</f>
        <v>0</v>
      </c>
      <c r="GK238" s="116">
        <f t="shared" ref="GK238:GK240" si="726">GH238</f>
        <v>6</v>
      </c>
      <c r="GL238" s="116">
        <f t="shared" ref="GL238:GL240" si="727">GI238</f>
        <v>4</v>
      </c>
    </row>
    <row r="239" spans="14:194" ht="15" customHeight="1">
      <c r="N239" s="116">
        <f t="shared" ref="N239:BY239" si="728">N236</f>
        <v>0</v>
      </c>
      <c r="O239" s="116">
        <f t="shared" si="728"/>
        <v>0</v>
      </c>
      <c r="P239" s="116">
        <f t="shared" si="728"/>
        <v>0</v>
      </c>
      <c r="Q239" s="116">
        <f t="shared" si="728"/>
        <v>0</v>
      </c>
      <c r="R239" s="116">
        <f t="shared" si="728"/>
        <v>0</v>
      </c>
      <c r="S239" s="116">
        <f t="shared" si="728"/>
        <v>0</v>
      </c>
      <c r="T239" s="116">
        <f t="shared" si="728"/>
        <v>0</v>
      </c>
      <c r="U239" s="116">
        <f t="shared" si="728"/>
        <v>0</v>
      </c>
      <c r="V239" s="116">
        <f t="shared" si="728"/>
        <v>0</v>
      </c>
      <c r="W239" s="116">
        <f t="shared" si="728"/>
        <v>0</v>
      </c>
      <c r="X239" s="116">
        <f t="shared" si="728"/>
        <v>0</v>
      </c>
      <c r="Y239" s="116">
        <f t="shared" si="728"/>
        <v>0</v>
      </c>
      <c r="Z239" s="116">
        <f t="shared" si="728"/>
        <v>0</v>
      </c>
      <c r="AA239" s="116">
        <f t="shared" si="728"/>
        <v>0</v>
      </c>
      <c r="AB239" s="116">
        <f t="shared" si="728"/>
        <v>0</v>
      </c>
      <c r="AC239" s="116">
        <f t="shared" si="728"/>
        <v>0</v>
      </c>
      <c r="AD239" s="116">
        <f t="shared" si="728"/>
        <v>0</v>
      </c>
      <c r="AE239" s="116">
        <f t="shared" si="728"/>
        <v>0</v>
      </c>
      <c r="AF239" s="116">
        <f t="shared" si="728"/>
        <v>0</v>
      </c>
      <c r="AG239" s="116">
        <f t="shared" si="728"/>
        <v>0</v>
      </c>
      <c r="AH239" s="116">
        <f t="shared" si="728"/>
        <v>0</v>
      </c>
      <c r="AI239" s="116">
        <f t="shared" si="728"/>
        <v>0</v>
      </c>
      <c r="AJ239" s="116">
        <f t="shared" si="728"/>
        <v>0</v>
      </c>
      <c r="AK239" s="116">
        <f t="shared" si="728"/>
        <v>0</v>
      </c>
      <c r="AL239" s="116">
        <f t="shared" si="728"/>
        <v>0</v>
      </c>
      <c r="AM239" s="116">
        <f t="shared" si="728"/>
        <v>0</v>
      </c>
      <c r="AN239" s="116">
        <f t="shared" si="728"/>
        <v>0</v>
      </c>
      <c r="AO239" s="116">
        <f t="shared" si="728"/>
        <v>0</v>
      </c>
      <c r="AP239" s="116">
        <f t="shared" si="728"/>
        <v>0</v>
      </c>
      <c r="AQ239" s="116">
        <f t="shared" si="728"/>
        <v>0</v>
      </c>
      <c r="AR239" s="116">
        <f t="shared" si="728"/>
        <v>0</v>
      </c>
      <c r="AS239" s="116">
        <f t="shared" si="728"/>
        <v>0</v>
      </c>
      <c r="AT239" s="116">
        <f t="shared" si="728"/>
        <v>0</v>
      </c>
      <c r="AU239" s="116">
        <f t="shared" si="728"/>
        <v>0</v>
      </c>
      <c r="AV239" s="116">
        <f t="shared" si="728"/>
        <v>0</v>
      </c>
      <c r="AW239" s="116">
        <f t="shared" si="728"/>
        <v>0</v>
      </c>
      <c r="AX239" s="116">
        <f t="shared" si="728"/>
        <v>0</v>
      </c>
      <c r="AY239" s="116">
        <f t="shared" si="728"/>
        <v>0</v>
      </c>
      <c r="AZ239" s="116">
        <f t="shared" si="728"/>
        <v>0</v>
      </c>
      <c r="BA239" s="116">
        <f t="shared" si="728"/>
        <v>0</v>
      </c>
      <c r="BB239" s="116">
        <f t="shared" si="728"/>
        <v>0</v>
      </c>
      <c r="BC239" s="116">
        <f t="shared" si="728"/>
        <v>0</v>
      </c>
      <c r="BD239" s="116">
        <f t="shared" si="728"/>
        <v>0</v>
      </c>
      <c r="BE239" s="116">
        <f t="shared" si="728"/>
        <v>0</v>
      </c>
      <c r="BF239" s="116">
        <f t="shared" si="728"/>
        <v>0</v>
      </c>
      <c r="BG239" s="116">
        <f t="shared" si="728"/>
        <v>0</v>
      </c>
      <c r="BH239" s="116">
        <f t="shared" si="728"/>
        <v>0</v>
      </c>
      <c r="BI239" s="116">
        <f t="shared" si="728"/>
        <v>0</v>
      </c>
      <c r="BJ239" s="116">
        <f t="shared" si="728"/>
        <v>0</v>
      </c>
      <c r="BK239" s="116">
        <f t="shared" si="728"/>
        <v>0</v>
      </c>
      <c r="BL239" s="116">
        <f t="shared" si="728"/>
        <v>0</v>
      </c>
      <c r="BM239" s="116">
        <f t="shared" si="728"/>
        <v>0</v>
      </c>
      <c r="BN239" s="116">
        <f t="shared" si="728"/>
        <v>0</v>
      </c>
      <c r="BO239" s="116">
        <f t="shared" si="728"/>
        <v>0</v>
      </c>
      <c r="BP239" s="116">
        <f t="shared" si="728"/>
        <v>0</v>
      </c>
      <c r="BQ239" s="116">
        <f t="shared" si="728"/>
        <v>0</v>
      </c>
      <c r="BR239" s="116">
        <f t="shared" si="728"/>
        <v>0</v>
      </c>
      <c r="BS239" s="116">
        <f t="shared" si="728"/>
        <v>0</v>
      </c>
      <c r="BT239" s="116">
        <f t="shared" si="728"/>
        <v>0</v>
      </c>
      <c r="BU239" s="116">
        <f t="shared" si="728"/>
        <v>0</v>
      </c>
      <c r="BV239" s="116">
        <f t="shared" si="728"/>
        <v>0</v>
      </c>
      <c r="BW239" s="116">
        <f t="shared" si="728"/>
        <v>0</v>
      </c>
      <c r="BX239" s="116">
        <f t="shared" si="728"/>
        <v>0</v>
      </c>
      <c r="BY239" s="116">
        <f t="shared" si="728"/>
        <v>0</v>
      </c>
      <c r="BZ239" s="116">
        <f t="shared" ref="BZ239:CP239" si="729">BZ236</f>
        <v>0</v>
      </c>
      <c r="CA239" s="116">
        <f t="shared" si="729"/>
        <v>0</v>
      </c>
      <c r="CB239" s="116">
        <f t="shared" si="729"/>
        <v>0</v>
      </c>
      <c r="CC239" s="116">
        <f t="shared" si="729"/>
        <v>0</v>
      </c>
      <c r="CD239" s="116">
        <f t="shared" si="729"/>
        <v>0</v>
      </c>
      <c r="CE239" s="116">
        <f t="shared" si="729"/>
        <v>0</v>
      </c>
      <c r="CF239" s="116">
        <f t="shared" si="729"/>
        <v>0</v>
      </c>
      <c r="CG239" s="116">
        <f t="shared" si="729"/>
        <v>0</v>
      </c>
      <c r="CH239" s="116">
        <f t="shared" si="729"/>
        <v>0</v>
      </c>
      <c r="CI239" s="116">
        <f t="shared" si="729"/>
        <v>0</v>
      </c>
      <c r="CJ239" s="116">
        <f t="shared" si="729"/>
        <v>0</v>
      </c>
      <c r="CK239" s="116">
        <f t="shared" si="729"/>
        <v>0</v>
      </c>
      <c r="CL239" s="116">
        <f t="shared" si="729"/>
        <v>0</v>
      </c>
      <c r="CM239" s="116">
        <f t="shared" si="729"/>
        <v>0</v>
      </c>
      <c r="CN239" s="116">
        <f t="shared" si="729"/>
        <v>0</v>
      </c>
      <c r="CO239" s="116">
        <f t="shared" si="729"/>
        <v>0</v>
      </c>
      <c r="CP239" s="116">
        <f t="shared" si="729"/>
        <v>0</v>
      </c>
      <c r="DJ239" s="122">
        <f>COUNTIF(DJ140:EJ166,4)</f>
        <v>5</v>
      </c>
      <c r="DK239" s="97">
        <f>COUNTIF(DJ140:EJ166,5)</f>
        <v>1</v>
      </c>
      <c r="DL239" s="123">
        <f>COUNTIF(DJ140:EJ166,6)</f>
        <v>0</v>
      </c>
      <c r="DM239" s="116">
        <f>DJ239</f>
        <v>5</v>
      </c>
      <c r="DN239" s="116">
        <f t="shared" si="659"/>
        <v>1</v>
      </c>
      <c r="DO239" s="116">
        <f t="shared" si="660"/>
        <v>0</v>
      </c>
      <c r="DP239" s="116">
        <f t="shared" si="661"/>
        <v>5</v>
      </c>
      <c r="DQ239" s="116">
        <f t="shared" si="662"/>
        <v>1</v>
      </c>
      <c r="DR239" s="116">
        <f t="shared" si="663"/>
        <v>0</v>
      </c>
      <c r="DS239" s="116">
        <f t="shared" si="664"/>
        <v>5</v>
      </c>
      <c r="DT239" s="116">
        <f t="shared" si="665"/>
        <v>1</v>
      </c>
      <c r="DU239" s="116">
        <f t="shared" si="666"/>
        <v>0</v>
      </c>
      <c r="DV239" s="116">
        <f t="shared" si="667"/>
        <v>5</v>
      </c>
      <c r="DW239" s="116">
        <f t="shared" si="668"/>
        <v>1</v>
      </c>
      <c r="DX239" s="116">
        <f t="shared" si="669"/>
        <v>0</v>
      </c>
      <c r="DY239" s="116">
        <f t="shared" si="670"/>
        <v>5</v>
      </c>
      <c r="DZ239" s="116">
        <f t="shared" si="671"/>
        <v>1</v>
      </c>
      <c r="EA239" s="116">
        <f t="shared" si="672"/>
        <v>0</v>
      </c>
      <c r="EB239" s="116">
        <f t="shared" si="673"/>
        <v>5</v>
      </c>
      <c r="EC239" s="116">
        <f t="shared" si="674"/>
        <v>1</v>
      </c>
      <c r="ED239" s="116">
        <f t="shared" si="675"/>
        <v>0</v>
      </c>
      <c r="EE239" s="116">
        <f t="shared" si="676"/>
        <v>5</v>
      </c>
      <c r="EF239" s="116">
        <f t="shared" si="677"/>
        <v>1</v>
      </c>
      <c r="EG239" s="116">
        <f t="shared" si="678"/>
        <v>0</v>
      </c>
      <c r="EH239" s="116">
        <f t="shared" si="679"/>
        <v>5</v>
      </c>
      <c r="EI239" s="116">
        <f t="shared" si="680"/>
        <v>1</v>
      </c>
      <c r="EJ239" s="116">
        <f t="shared" si="681"/>
        <v>0</v>
      </c>
      <c r="EK239" s="122">
        <f>COUNTIF(EK140:FK166,4)</f>
        <v>5</v>
      </c>
      <c r="EL239" s="97">
        <f>COUNTIF(EK140:FK166,5)</f>
        <v>0</v>
      </c>
      <c r="EM239" s="123">
        <f>COUNTIF(EK140:FK166,6)</f>
        <v>0</v>
      </c>
      <c r="EN239" s="116">
        <f>EK239</f>
        <v>5</v>
      </c>
      <c r="EO239" s="116">
        <f t="shared" si="682"/>
        <v>0</v>
      </c>
      <c r="EP239" s="116">
        <f t="shared" si="683"/>
        <v>0</v>
      </c>
      <c r="EQ239" s="116">
        <f t="shared" si="684"/>
        <v>5</v>
      </c>
      <c r="ER239" s="116">
        <f t="shared" si="685"/>
        <v>0</v>
      </c>
      <c r="ES239" s="116">
        <f t="shared" si="686"/>
        <v>0</v>
      </c>
      <c r="ET239" s="116">
        <f t="shared" si="687"/>
        <v>5</v>
      </c>
      <c r="EU239" s="116">
        <f t="shared" si="688"/>
        <v>0</v>
      </c>
      <c r="EV239" s="116">
        <f t="shared" si="689"/>
        <v>0</v>
      </c>
      <c r="EW239" s="116">
        <f t="shared" si="690"/>
        <v>5</v>
      </c>
      <c r="EX239" s="116">
        <f t="shared" si="691"/>
        <v>0</v>
      </c>
      <c r="EY239" s="116">
        <f t="shared" si="692"/>
        <v>0</v>
      </c>
      <c r="EZ239" s="116">
        <f t="shared" si="693"/>
        <v>5</v>
      </c>
      <c r="FA239" s="116">
        <f t="shared" si="694"/>
        <v>0</v>
      </c>
      <c r="FB239" s="116">
        <f t="shared" si="695"/>
        <v>0</v>
      </c>
      <c r="FC239" s="116">
        <f t="shared" si="696"/>
        <v>5</v>
      </c>
      <c r="FD239" s="116">
        <f t="shared" si="697"/>
        <v>0</v>
      </c>
      <c r="FE239" s="116">
        <f t="shared" si="698"/>
        <v>0</v>
      </c>
      <c r="FF239" s="116">
        <f t="shared" si="699"/>
        <v>5</v>
      </c>
      <c r="FG239" s="116">
        <f t="shared" si="700"/>
        <v>0</v>
      </c>
      <c r="FH239" s="116">
        <f t="shared" si="701"/>
        <v>0</v>
      </c>
      <c r="FI239" s="116">
        <f t="shared" si="702"/>
        <v>5</v>
      </c>
      <c r="FJ239" s="116">
        <f t="shared" si="703"/>
        <v>0</v>
      </c>
      <c r="FK239" s="116">
        <f t="shared" si="704"/>
        <v>0</v>
      </c>
      <c r="FL239" s="122">
        <f>COUNTIF(FL140:GL166,4)</f>
        <v>3</v>
      </c>
      <c r="FM239" s="97">
        <f>COUNTIF(FL140:GL166,5)</f>
        <v>1</v>
      </c>
      <c r="FN239" s="123">
        <f>COUNTIF(FL140:GL166,6)</f>
        <v>3</v>
      </c>
      <c r="FO239" s="116">
        <f>FL239</f>
        <v>3</v>
      </c>
      <c r="FP239" s="116">
        <f t="shared" si="705"/>
        <v>1</v>
      </c>
      <c r="FQ239" s="116">
        <f t="shared" si="706"/>
        <v>3</v>
      </c>
      <c r="FR239" s="116">
        <f t="shared" si="707"/>
        <v>3</v>
      </c>
      <c r="FS239" s="116">
        <f t="shared" si="708"/>
        <v>1</v>
      </c>
      <c r="FT239" s="116">
        <f t="shared" si="709"/>
        <v>3</v>
      </c>
      <c r="FU239" s="116">
        <f t="shared" si="710"/>
        <v>3</v>
      </c>
      <c r="FV239" s="116">
        <f t="shared" si="711"/>
        <v>1</v>
      </c>
      <c r="FW239" s="116">
        <f t="shared" si="712"/>
        <v>3</v>
      </c>
      <c r="FX239" s="116">
        <f t="shared" si="713"/>
        <v>3</v>
      </c>
      <c r="FY239" s="116">
        <f t="shared" si="714"/>
        <v>1</v>
      </c>
      <c r="FZ239" s="116">
        <f t="shared" si="715"/>
        <v>3</v>
      </c>
      <c r="GA239" s="116">
        <f t="shared" si="716"/>
        <v>3</v>
      </c>
      <c r="GB239" s="116">
        <f t="shared" si="717"/>
        <v>1</v>
      </c>
      <c r="GC239" s="116">
        <f t="shared" si="718"/>
        <v>3</v>
      </c>
      <c r="GD239" s="116">
        <f t="shared" si="719"/>
        <v>3</v>
      </c>
      <c r="GE239" s="116">
        <f t="shared" si="720"/>
        <v>1</v>
      </c>
      <c r="GF239" s="116">
        <f t="shared" si="721"/>
        <v>3</v>
      </c>
      <c r="GG239" s="116">
        <f t="shared" si="722"/>
        <v>3</v>
      </c>
      <c r="GH239" s="116">
        <f t="shared" si="723"/>
        <v>1</v>
      </c>
      <c r="GI239" s="116">
        <f t="shared" si="724"/>
        <v>3</v>
      </c>
      <c r="GJ239" s="116">
        <f t="shared" si="725"/>
        <v>3</v>
      </c>
      <c r="GK239" s="116">
        <f t="shared" si="726"/>
        <v>1</v>
      </c>
      <c r="GL239" s="116">
        <f t="shared" si="727"/>
        <v>3</v>
      </c>
    </row>
    <row r="240" spans="14:194" ht="15" customHeight="1">
      <c r="N240" s="116">
        <f t="shared" ref="N240:BY240" si="730">N237</f>
        <v>0</v>
      </c>
      <c r="O240" s="116">
        <f t="shared" si="730"/>
        <v>0</v>
      </c>
      <c r="P240" s="116">
        <f t="shared" si="730"/>
        <v>0</v>
      </c>
      <c r="Q240" s="116">
        <f t="shared" si="730"/>
        <v>0</v>
      </c>
      <c r="R240" s="116">
        <f t="shared" si="730"/>
        <v>0</v>
      </c>
      <c r="S240" s="116">
        <f t="shared" si="730"/>
        <v>0</v>
      </c>
      <c r="T240" s="116">
        <f t="shared" si="730"/>
        <v>0</v>
      </c>
      <c r="U240" s="116">
        <f t="shared" si="730"/>
        <v>0</v>
      </c>
      <c r="V240" s="116">
        <f t="shared" si="730"/>
        <v>0</v>
      </c>
      <c r="W240" s="116">
        <f t="shared" si="730"/>
        <v>0</v>
      </c>
      <c r="X240" s="116">
        <f t="shared" si="730"/>
        <v>0</v>
      </c>
      <c r="Y240" s="116">
        <f t="shared" si="730"/>
        <v>0</v>
      </c>
      <c r="Z240" s="116">
        <f t="shared" si="730"/>
        <v>0</v>
      </c>
      <c r="AA240" s="116">
        <f t="shared" si="730"/>
        <v>0</v>
      </c>
      <c r="AB240" s="116">
        <f t="shared" si="730"/>
        <v>0</v>
      </c>
      <c r="AC240" s="116">
        <f t="shared" si="730"/>
        <v>0</v>
      </c>
      <c r="AD240" s="116">
        <f t="shared" si="730"/>
        <v>0</v>
      </c>
      <c r="AE240" s="116">
        <f t="shared" si="730"/>
        <v>0</v>
      </c>
      <c r="AF240" s="116">
        <f t="shared" si="730"/>
        <v>0</v>
      </c>
      <c r="AG240" s="116">
        <f t="shared" si="730"/>
        <v>0</v>
      </c>
      <c r="AH240" s="116">
        <f t="shared" si="730"/>
        <v>0</v>
      </c>
      <c r="AI240" s="116">
        <f t="shared" si="730"/>
        <v>0</v>
      </c>
      <c r="AJ240" s="116">
        <f t="shared" si="730"/>
        <v>0</v>
      </c>
      <c r="AK240" s="116">
        <f t="shared" si="730"/>
        <v>0</v>
      </c>
      <c r="AL240" s="116">
        <f t="shared" si="730"/>
        <v>0</v>
      </c>
      <c r="AM240" s="116">
        <f t="shared" si="730"/>
        <v>0</v>
      </c>
      <c r="AN240" s="116">
        <f t="shared" si="730"/>
        <v>0</v>
      </c>
      <c r="AO240" s="116">
        <f t="shared" si="730"/>
        <v>0</v>
      </c>
      <c r="AP240" s="116">
        <f t="shared" si="730"/>
        <v>0</v>
      </c>
      <c r="AQ240" s="116">
        <f t="shared" si="730"/>
        <v>0</v>
      </c>
      <c r="AR240" s="116">
        <f t="shared" si="730"/>
        <v>0</v>
      </c>
      <c r="AS240" s="116">
        <f t="shared" si="730"/>
        <v>0</v>
      </c>
      <c r="AT240" s="116">
        <f t="shared" si="730"/>
        <v>0</v>
      </c>
      <c r="AU240" s="116">
        <f t="shared" si="730"/>
        <v>0</v>
      </c>
      <c r="AV240" s="116">
        <f t="shared" si="730"/>
        <v>0</v>
      </c>
      <c r="AW240" s="116">
        <f t="shared" si="730"/>
        <v>0</v>
      </c>
      <c r="AX240" s="116">
        <f t="shared" si="730"/>
        <v>0</v>
      </c>
      <c r="AY240" s="116">
        <f t="shared" si="730"/>
        <v>0</v>
      </c>
      <c r="AZ240" s="116">
        <f t="shared" si="730"/>
        <v>0</v>
      </c>
      <c r="BA240" s="116">
        <f t="shared" si="730"/>
        <v>0</v>
      </c>
      <c r="BB240" s="116">
        <f t="shared" si="730"/>
        <v>0</v>
      </c>
      <c r="BC240" s="116">
        <f t="shared" si="730"/>
        <v>0</v>
      </c>
      <c r="BD240" s="116">
        <f t="shared" si="730"/>
        <v>0</v>
      </c>
      <c r="BE240" s="116">
        <f t="shared" si="730"/>
        <v>0</v>
      </c>
      <c r="BF240" s="116">
        <f t="shared" si="730"/>
        <v>0</v>
      </c>
      <c r="BG240" s="116">
        <f t="shared" si="730"/>
        <v>0</v>
      </c>
      <c r="BH240" s="116">
        <f t="shared" si="730"/>
        <v>0</v>
      </c>
      <c r="BI240" s="116">
        <f t="shared" si="730"/>
        <v>0</v>
      </c>
      <c r="BJ240" s="116">
        <f t="shared" si="730"/>
        <v>0</v>
      </c>
      <c r="BK240" s="116">
        <f t="shared" si="730"/>
        <v>0</v>
      </c>
      <c r="BL240" s="116">
        <f t="shared" si="730"/>
        <v>0</v>
      </c>
      <c r="BM240" s="116">
        <f t="shared" si="730"/>
        <v>0</v>
      </c>
      <c r="BN240" s="116">
        <f t="shared" si="730"/>
        <v>0</v>
      </c>
      <c r="BO240" s="116">
        <f t="shared" si="730"/>
        <v>0</v>
      </c>
      <c r="BP240" s="116">
        <f t="shared" si="730"/>
        <v>0</v>
      </c>
      <c r="BQ240" s="116">
        <f t="shared" si="730"/>
        <v>0</v>
      </c>
      <c r="BR240" s="116">
        <f t="shared" si="730"/>
        <v>0</v>
      </c>
      <c r="BS240" s="116">
        <f t="shared" si="730"/>
        <v>0</v>
      </c>
      <c r="BT240" s="116">
        <f t="shared" si="730"/>
        <v>0</v>
      </c>
      <c r="BU240" s="116">
        <f t="shared" si="730"/>
        <v>0</v>
      </c>
      <c r="BV240" s="116">
        <f t="shared" si="730"/>
        <v>0</v>
      </c>
      <c r="BW240" s="116">
        <f t="shared" si="730"/>
        <v>0</v>
      </c>
      <c r="BX240" s="116">
        <f t="shared" si="730"/>
        <v>0</v>
      </c>
      <c r="BY240" s="116">
        <f t="shared" si="730"/>
        <v>0</v>
      </c>
      <c r="BZ240" s="116">
        <f t="shared" ref="BZ240:CP240" si="731">BZ237</f>
        <v>0</v>
      </c>
      <c r="CA240" s="116">
        <f t="shared" si="731"/>
        <v>0</v>
      </c>
      <c r="CB240" s="116">
        <f t="shared" si="731"/>
        <v>0</v>
      </c>
      <c r="CC240" s="116">
        <f t="shared" si="731"/>
        <v>0</v>
      </c>
      <c r="CD240" s="116">
        <f t="shared" si="731"/>
        <v>0</v>
      </c>
      <c r="CE240" s="116">
        <f t="shared" si="731"/>
        <v>0</v>
      </c>
      <c r="CF240" s="116">
        <f t="shared" si="731"/>
        <v>0</v>
      </c>
      <c r="CG240" s="116">
        <f t="shared" si="731"/>
        <v>0</v>
      </c>
      <c r="CH240" s="116">
        <f t="shared" si="731"/>
        <v>0</v>
      </c>
      <c r="CI240" s="116">
        <f t="shared" si="731"/>
        <v>0</v>
      </c>
      <c r="CJ240" s="116">
        <f t="shared" si="731"/>
        <v>0</v>
      </c>
      <c r="CK240" s="116">
        <f t="shared" si="731"/>
        <v>0</v>
      </c>
      <c r="CL240" s="116">
        <f t="shared" si="731"/>
        <v>0</v>
      </c>
      <c r="CM240" s="116">
        <f t="shared" si="731"/>
        <v>0</v>
      </c>
      <c r="CN240" s="116">
        <f t="shared" si="731"/>
        <v>0</v>
      </c>
      <c r="CO240" s="116">
        <f t="shared" si="731"/>
        <v>0</v>
      </c>
      <c r="CP240" s="116">
        <f t="shared" si="731"/>
        <v>0</v>
      </c>
      <c r="DJ240" s="124">
        <f>COUNTIF(DJ140:EJ166,7)</f>
        <v>1</v>
      </c>
      <c r="DK240" s="125">
        <f>COUNTIF(DJ140:EJ166,8)</f>
        <v>0</v>
      </c>
      <c r="DL240" s="126">
        <f>COUNTIF(DJ140:EJ166,9)</f>
        <v>0</v>
      </c>
      <c r="DM240" s="116">
        <f>DJ240</f>
        <v>1</v>
      </c>
      <c r="DN240" s="116">
        <f t="shared" si="659"/>
        <v>0</v>
      </c>
      <c r="DO240" s="116">
        <f t="shared" si="660"/>
        <v>0</v>
      </c>
      <c r="DP240" s="116">
        <f t="shared" si="661"/>
        <v>1</v>
      </c>
      <c r="DQ240" s="116">
        <f t="shared" si="662"/>
        <v>0</v>
      </c>
      <c r="DR240" s="116">
        <f t="shared" si="663"/>
        <v>0</v>
      </c>
      <c r="DS240" s="116">
        <f t="shared" si="664"/>
        <v>1</v>
      </c>
      <c r="DT240" s="116">
        <f t="shared" si="665"/>
        <v>0</v>
      </c>
      <c r="DU240" s="116">
        <f t="shared" si="666"/>
        <v>0</v>
      </c>
      <c r="DV240" s="116">
        <f t="shared" si="667"/>
        <v>1</v>
      </c>
      <c r="DW240" s="116">
        <f t="shared" si="668"/>
        <v>0</v>
      </c>
      <c r="DX240" s="116">
        <f t="shared" si="669"/>
        <v>0</v>
      </c>
      <c r="DY240" s="116">
        <f t="shared" si="670"/>
        <v>1</v>
      </c>
      <c r="DZ240" s="116">
        <f t="shared" si="671"/>
        <v>0</v>
      </c>
      <c r="EA240" s="116">
        <f t="shared" si="672"/>
        <v>0</v>
      </c>
      <c r="EB240" s="116">
        <f t="shared" si="673"/>
        <v>1</v>
      </c>
      <c r="EC240" s="116">
        <f t="shared" si="674"/>
        <v>0</v>
      </c>
      <c r="ED240" s="116">
        <f t="shared" si="675"/>
        <v>0</v>
      </c>
      <c r="EE240" s="116">
        <f t="shared" si="676"/>
        <v>1</v>
      </c>
      <c r="EF240" s="116">
        <f t="shared" si="677"/>
        <v>0</v>
      </c>
      <c r="EG240" s="116">
        <f t="shared" si="678"/>
        <v>0</v>
      </c>
      <c r="EH240" s="116">
        <f t="shared" si="679"/>
        <v>1</v>
      </c>
      <c r="EI240" s="116">
        <f t="shared" si="680"/>
        <v>0</v>
      </c>
      <c r="EJ240" s="116">
        <f t="shared" si="681"/>
        <v>0</v>
      </c>
      <c r="EK240" s="124">
        <f>COUNTIF(EK140:FK166,7)</f>
        <v>1</v>
      </c>
      <c r="EL240" s="125">
        <f>COUNTIF(EK140:FK166,8)</f>
        <v>0</v>
      </c>
      <c r="EM240" s="126">
        <f>COUNTIF(EK140:FK166,9)</f>
        <v>0</v>
      </c>
      <c r="EN240" s="116">
        <f>EK240</f>
        <v>1</v>
      </c>
      <c r="EO240" s="116">
        <f t="shared" si="682"/>
        <v>0</v>
      </c>
      <c r="EP240" s="116">
        <f t="shared" si="683"/>
        <v>0</v>
      </c>
      <c r="EQ240" s="116">
        <f t="shared" si="684"/>
        <v>1</v>
      </c>
      <c r="ER240" s="116">
        <f t="shared" si="685"/>
        <v>0</v>
      </c>
      <c r="ES240" s="116">
        <f t="shared" si="686"/>
        <v>0</v>
      </c>
      <c r="ET240" s="116">
        <f t="shared" si="687"/>
        <v>1</v>
      </c>
      <c r="EU240" s="116">
        <f t="shared" si="688"/>
        <v>0</v>
      </c>
      <c r="EV240" s="116">
        <f t="shared" si="689"/>
        <v>0</v>
      </c>
      <c r="EW240" s="116">
        <f t="shared" si="690"/>
        <v>1</v>
      </c>
      <c r="EX240" s="116">
        <f t="shared" si="691"/>
        <v>0</v>
      </c>
      <c r="EY240" s="116">
        <f t="shared" si="692"/>
        <v>0</v>
      </c>
      <c r="EZ240" s="116">
        <f t="shared" si="693"/>
        <v>1</v>
      </c>
      <c r="FA240" s="116">
        <f t="shared" si="694"/>
        <v>0</v>
      </c>
      <c r="FB240" s="116">
        <f t="shared" si="695"/>
        <v>0</v>
      </c>
      <c r="FC240" s="116">
        <f t="shared" si="696"/>
        <v>1</v>
      </c>
      <c r="FD240" s="116">
        <f t="shared" si="697"/>
        <v>0</v>
      </c>
      <c r="FE240" s="116">
        <f t="shared" si="698"/>
        <v>0</v>
      </c>
      <c r="FF240" s="116">
        <f t="shared" si="699"/>
        <v>1</v>
      </c>
      <c r="FG240" s="116">
        <f t="shared" si="700"/>
        <v>0</v>
      </c>
      <c r="FH240" s="116">
        <f t="shared" si="701"/>
        <v>0</v>
      </c>
      <c r="FI240" s="116">
        <f t="shared" si="702"/>
        <v>1</v>
      </c>
      <c r="FJ240" s="116">
        <f t="shared" si="703"/>
        <v>0</v>
      </c>
      <c r="FK240" s="116">
        <f t="shared" si="704"/>
        <v>0</v>
      </c>
      <c r="FL240" s="124">
        <f>COUNTIF(FL140:GL166,7)</f>
        <v>0</v>
      </c>
      <c r="FM240" s="125">
        <f>COUNTIF(FL140:GL166,8)</f>
        <v>4</v>
      </c>
      <c r="FN240" s="126">
        <f>COUNTIF(FL140:GL166,9)</f>
        <v>0</v>
      </c>
      <c r="FO240" s="116">
        <f>FL240</f>
        <v>0</v>
      </c>
      <c r="FP240" s="116">
        <f t="shared" si="705"/>
        <v>4</v>
      </c>
      <c r="FQ240" s="116">
        <f t="shared" si="706"/>
        <v>0</v>
      </c>
      <c r="FR240" s="116">
        <f t="shared" si="707"/>
        <v>0</v>
      </c>
      <c r="FS240" s="116">
        <f t="shared" si="708"/>
        <v>4</v>
      </c>
      <c r="FT240" s="116">
        <f t="shared" si="709"/>
        <v>0</v>
      </c>
      <c r="FU240" s="116">
        <f t="shared" si="710"/>
        <v>0</v>
      </c>
      <c r="FV240" s="116">
        <f t="shared" si="711"/>
        <v>4</v>
      </c>
      <c r="FW240" s="116">
        <f t="shared" si="712"/>
        <v>0</v>
      </c>
      <c r="FX240" s="116">
        <f t="shared" si="713"/>
        <v>0</v>
      </c>
      <c r="FY240" s="116">
        <f t="shared" si="714"/>
        <v>4</v>
      </c>
      <c r="FZ240" s="116">
        <f t="shared" si="715"/>
        <v>0</v>
      </c>
      <c r="GA240" s="116">
        <f t="shared" si="716"/>
        <v>0</v>
      </c>
      <c r="GB240" s="116">
        <f t="shared" si="717"/>
        <v>4</v>
      </c>
      <c r="GC240" s="116">
        <f t="shared" si="718"/>
        <v>0</v>
      </c>
      <c r="GD240" s="116">
        <f t="shared" si="719"/>
        <v>0</v>
      </c>
      <c r="GE240" s="116">
        <f t="shared" si="720"/>
        <v>4</v>
      </c>
      <c r="GF240" s="116">
        <f t="shared" si="721"/>
        <v>0</v>
      </c>
      <c r="GG240" s="116">
        <f t="shared" si="722"/>
        <v>0</v>
      </c>
      <c r="GH240" s="116">
        <f t="shared" si="723"/>
        <v>4</v>
      </c>
      <c r="GI240" s="116">
        <f t="shared" si="724"/>
        <v>0</v>
      </c>
      <c r="GJ240" s="116">
        <f t="shared" si="725"/>
        <v>0</v>
      </c>
      <c r="GK240" s="116">
        <f t="shared" si="726"/>
        <v>4</v>
      </c>
      <c r="GL240" s="116">
        <f t="shared" si="727"/>
        <v>0</v>
      </c>
    </row>
    <row r="241" spans="14:194" ht="15" customHeight="1">
      <c r="N241" s="116">
        <f t="shared" ref="N241:BY241" si="732">N238</f>
        <v>0</v>
      </c>
      <c r="O241" s="116">
        <f t="shared" si="732"/>
        <v>0</v>
      </c>
      <c r="P241" s="116">
        <f t="shared" si="732"/>
        <v>0</v>
      </c>
      <c r="Q241" s="116">
        <f t="shared" si="732"/>
        <v>0</v>
      </c>
      <c r="R241" s="116">
        <f t="shared" si="732"/>
        <v>0</v>
      </c>
      <c r="S241" s="116">
        <f t="shared" si="732"/>
        <v>0</v>
      </c>
      <c r="T241" s="116">
        <f t="shared" si="732"/>
        <v>0</v>
      </c>
      <c r="U241" s="116">
        <f t="shared" si="732"/>
        <v>0</v>
      </c>
      <c r="V241" s="116">
        <f t="shared" si="732"/>
        <v>0</v>
      </c>
      <c r="W241" s="116">
        <f t="shared" si="732"/>
        <v>0</v>
      </c>
      <c r="X241" s="116">
        <f t="shared" si="732"/>
        <v>0</v>
      </c>
      <c r="Y241" s="116">
        <f t="shared" si="732"/>
        <v>0</v>
      </c>
      <c r="Z241" s="116">
        <f t="shared" si="732"/>
        <v>0</v>
      </c>
      <c r="AA241" s="116">
        <f t="shared" si="732"/>
        <v>0</v>
      </c>
      <c r="AB241" s="116">
        <f t="shared" si="732"/>
        <v>0</v>
      </c>
      <c r="AC241" s="116">
        <f t="shared" si="732"/>
        <v>0</v>
      </c>
      <c r="AD241" s="116">
        <f t="shared" si="732"/>
        <v>0</v>
      </c>
      <c r="AE241" s="116">
        <f t="shared" si="732"/>
        <v>0</v>
      </c>
      <c r="AF241" s="116">
        <f t="shared" si="732"/>
        <v>0</v>
      </c>
      <c r="AG241" s="116">
        <f t="shared" si="732"/>
        <v>0</v>
      </c>
      <c r="AH241" s="116">
        <f t="shared" si="732"/>
        <v>0</v>
      </c>
      <c r="AI241" s="116">
        <f t="shared" si="732"/>
        <v>0</v>
      </c>
      <c r="AJ241" s="116">
        <f t="shared" si="732"/>
        <v>0</v>
      </c>
      <c r="AK241" s="116">
        <f t="shared" si="732"/>
        <v>0</v>
      </c>
      <c r="AL241" s="116">
        <f t="shared" si="732"/>
        <v>0</v>
      </c>
      <c r="AM241" s="116">
        <f t="shared" si="732"/>
        <v>0</v>
      </c>
      <c r="AN241" s="116">
        <f t="shared" si="732"/>
        <v>0</v>
      </c>
      <c r="AO241" s="116">
        <f t="shared" si="732"/>
        <v>0</v>
      </c>
      <c r="AP241" s="116">
        <f t="shared" si="732"/>
        <v>0</v>
      </c>
      <c r="AQ241" s="116">
        <f t="shared" si="732"/>
        <v>0</v>
      </c>
      <c r="AR241" s="116">
        <f t="shared" si="732"/>
        <v>0</v>
      </c>
      <c r="AS241" s="116">
        <f t="shared" si="732"/>
        <v>0</v>
      </c>
      <c r="AT241" s="116">
        <f t="shared" si="732"/>
        <v>0</v>
      </c>
      <c r="AU241" s="116">
        <f t="shared" si="732"/>
        <v>0</v>
      </c>
      <c r="AV241" s="116">
        <f t="shared" si="732"/>
        <v>0</v>
      </c>
      <c r="AW241" s="116">
        <f t="shared" si="732"/>
        <v>0</v>
      </c>
      <c r="AX241" s="116">
        <f t="shared" si="732"/>
        <v>0</v>
      </c>
      <c r="AY241" s="116">
        <f t="shared" si="732"/>
        <v>0</v>
      </c>
      <c r="AZ241" s="116">
        <f t="shared" si="732"/>
        <v>0</v>
      </c>
      <c r="BA241" s="116">
        <f t="shared" si="732"/>
        <v>0</v>
      </c>
      <c r="BB241" s="116">
        <f t="shared" si="732"/>
        <v>0</v>
      </c>
      <c r="BC241" s="116">
        <f t="shared" si="732"/>
        <v>0</v>
      </c>
      <c r="BD241" s="116">
        <f t="shared" si="732"/>
        <v>0</v>
      </c>
      <c r="BE241" s="116">
        <f t="shared" si="732"/>
        <v>0</v>
      </c>
      <c r="BF241" s="116">
        <f t="shared" si="732"/>
        <v>0</v>
      </c>
      <c r="BG241" s="116">
        <f t="shared" si="732"/>
        <v>0</v>
      </c>
      <c r="BH241" s="116">
        <f t="shared" si="732"/>
        <v>0</v>
      </c>
      <c r="BI241" s="116">
        <f t="shared" si="732"/>
        <v>0</v>
      </c>
      <c r="BJ241" s="116">
        <f t="shared" si="732"/>
        <v>0</v>
      </c>
      <c r="BK241" s="116">
        <f t="shared" si="732"/>
        <v>0</v>
      </c>
      <c r="BL241" s="116">
        <f t="shared" si="732"/>
        <v>0</v>
      </c>
      <c r="BM241" s="116">
        <f t="shared" si="732"/>
        <v>0</v>
      </c>
      <c r="BN241" s="116">
        <f t="shared" si="732"/>
        <v>0</v>
      </c>
      <c r="BO241" s="116">
        <f t="shared" si="732"/>
        <v>0</v>
      </c>
      <c r="BP241" s="116">
        <f t="shared" si="732"/>
        <v>0</v>
      </c>
      <c r="BQ241" s="116">
        <f t="shared" si="732"/>
        <v>0</v>
      </c>
      <c r="BR241" s="116">
        <f t="shared" si="732"/>
        <v>0</v>
      </c>
      <c r="BS241" s="116">
        <f t="shared" si="732"/>
        <v>0</v>
      </c>
      <c r="BT241" s="116">
        <f t="shared" si="732"/>
        <v>0</v>
      </c>
      <c r="BU241" s="116">
        <f t="shared" si="732"/>
        <v>0</v>
      </c>
      <c r="BV241" s="116">
        <f t="shared" si="732"/>
        <v>0</v>
      </c>
      <c r="BW241" s="116">
        <f t="shared" si="732"/>
        <v>0</v>
      </c>
      <c r="BX241" s="116">
        <f t="shared" si="732"/>
        <v>0</v>
      </c>
      <c r="BY241" s="116">
        <f t="shared" si="732"/>
        <v>0</v>
      </c>
      <c r="BZ241" s="116">
        <f t="shared" ref="BZ241:CP241" si="733">BZ238</f>
        <v>0</v>
      </c>
      <c r="CA241" s="116">
        <f t="shared" si="733"/>
        <v>0</v>
      </c>
      <c r="CB241" s="116">
        <f t="shared" si="733"/>
        <v>0</v>
      </c>
      <c r="CC241" s="116">
        <f t="shared" si="733"/>
        <v>0</v>
      </c>
      <c r="CD241" s="116">
        <f t="shared" si="733"/>
        <v>0</v>
      </c>
      <c r="CE241" s="116">
        <f t="shared" si="733"/>
        <v>0</v>
      </c>
      <c r="CF241" s="116">
        <f t="shared" si="733"/>
        <v>0</v>
      </c>
      <c r="CG241" s="116">
        <f t="shared" si="733"/>
        <v>0</v>
      </c>
      <c r="CH241" s="116">
        <f t="shared" si="733"/>
        <v>0</v>
      </c>
      <c r="CI241" s="116">
        <f t="shared" si="733"/>
        <v>0</v>
      </c>
      <c r="CJ241" s="116">
        <f t="shared" si="733"/>
        <v>0</v>
      </c>
      <c r="CK241" s="116">
        <f t="shared" si="733"/>
        <v>0</v>
      </c>
      <c r="CL241" s="116">
        <f t="shared" si="733"/>
        <v>0</v>
      </c>
      <c r="CM241" s="116">
        <f t="shared" si="733"/>
        <v>0</v>
      </c>
      <c r="CN241" s="116">
        <f t="shared" si="733"/>
        <v>0</v>
      </c>
      <c r="CO241" s="116">
        <f t="shared" si="733"/>
        <v>0</v>
      </c>
      <c r="CP241" s="116">
        <f t="shared" si="733"/>
        <v>0</v>
      </c>
      <c r="DJ241" s="116">
        <f>DJ238</f>
        <v>5</v>
      </c>
      <c r="DK241" s="116">
        <f>DK238</f>
        <v>4</v>
      </c>
      <c r="DL241" s="116">
        <f>DL238</f>
        <v>0</v>
      </c>
      <c r="DM241" s="116">
        <f>DM238</f>
        <v>5</v>
      </c>
      <c r="DN241" s="116">
        <f t="shared" ref="DN241:FY241" si="734">DN238</f>
        <v>4</v>
      </c>
      <c r="DO241" s="116">
        <f t="shared" si="734"/>
        <v>0</v>
      </c>
      <c r="DP241" s="116">
        <f t="shared" si="734"/>
        <v>5</v>
      </c>
      <c r="DQ241" s="116">
        <f t="shared" si="734"/>
        <v>4</v>
      </c>
      <c r="DR241" s="116">
        <f t="shared" si="734"/>
        <v>0</v>
      </c>
      <c r="DS241" s="116">
        <f t="shared" si="734"/>
        <v>5</v>
      </c>
      <c r="DT241" s="116">
        <f t="shared" si="734"/>
        <v>4</v>
      </c>
      <c r="DU241" s="116">
        <f t="shared" si="734"/>
        <v>0</v>
      </c>
      <c r="DV241" s="116">
        <f t="shared" si="734"/>
        <v>5</v>
      </c>
      <c r="DW241" s="116">
        <f t="shared" si="734"/>
        <v>4</v>
      </c>
      <c r="DX241" s="116">
        <f t="shared" si="734"/>
        <v>0</v>
      </c>
      <c r="DY241" s="116">
        <f t="shared" si="734"/>
        <v>5</v>
      </c>
      <c r="DZ241" s="116">
        <f t="shared" si="734"/>
        <v>4</v>
      </c>
      <c r="EA241" s="116">
        <f t="shared" si="734"/>
        <v>0</v>
      </c>
      <c r="EB241" s="116">
        <f t="shared" si="734"/>
        <v>5</v>
      </c>
      <c r="EC241" s="116">
        <f t="shared" si="734"/>
        <v>4</v>
      </c>
      <c r="ED241" s="116">
        <f t="shared" si="734"/>
        <v>0</v>
      </c>
      <c r="EE241" s="116">
        <f t="shared" si="734"/>
        <v>5</v>
      </c>
      <c r="EF241" s="116">
        <f t="shared" si="734"/>
        <v>4</v>
      </c>
      <c r="EG241" s="116">
        <f t="shared" si="734"/>
        <v>0</v>
      </c>
      <c r="EH241" s="116">
        <f t="shared" si="734"/>
        <v>5</v>
      </c>
      <c r="EI241" s="116">
        <f t="shared" si="734"/>
        <v>4</v>
      </c>
      <c r="EJ241" s="116">
        <f t="shared" si="734"/>
        <v>0</v>
      </c>
      <c r="EK241" s="116">
        <f t="shared" si="734"/>
        <v>5</v>
      </c>
      <c r="EL241" s="116">
        <f t="shared" si="734"/>
        <v>4</v>
      </c>
      <c r="EM241" s="116">
        <f t="shared" si="734"/>
        <v>3</v>
      </c>
      <c r="EN241" s="116">
        <f t="shared" si="734"/>
        <v>5</v>
      </c>
      <c r="EO241" s="116">
        <f t="shared" si="734"/>
        <v>4</v>
      </c>
      <c r="EP241" s="116">
        <f t="shared" si="734"/>
        <v>3</v>
      </c>
      <c r="EQ241" s="116">
        <f t="shared" si="734"/>
        <v>5</v>
      </c>
      <c r="ER241" s="116">
        <f t="shared" si="734"/>
        <v>4</v>
      </c>
      <c r="ES241" s="116">
        <f t="shared" si="734"/>
        <v>3</v>
      </c>
      <c r="ET241" s="116">
        <f t="shared" si="734"/>
        <v>5</v>
      </c>
      <c r="EU241" s="116">
        <f t="shared" si="734"/>
        <v>4</v>
      </c>
      <c r="EV241" s="116">
        <f t="shared" si="734"/>
        <v>3</v>
      </c>
      <c r="EW241" s="116">
        <f t="shared" si="734"/>
        <v>5</v>
      </c>
      <c r="EX241" s="116">
        <f t="shared" si="734"/>
        <v>4</v>
      </c>
      <c r="EY241" s="116">
        <f t="shared" si="734"/>
        <v>3</v>
      </c>
      <c r="EZ241" s="116">
        <f t="shared" si="734"/>
        <v>5</v>
      </c>
      <c r="FA241" s="116">
        <f t="shared" si="734"/>
        <v>4</v>
      </c>
      <c r="FB241" s="116">
        <f t="shared" si="734"/>
        <v>3</v>
      </c>
      <c r="FC241" s="116">
        <f t="shared" si="734"/>
        <v>5</v>
      </c>
      <c r="FD241" s="116">
        <f t="shared" si="734"/>
        <v>4</v>
      </c>
      <c r="FE241" s="116">
        <f t="shared" si="734"/>
        <v>3</v>
      </c>
      <c r="FF241" s="116">
        <f t="shared" si="734"/>
        <v>5</v>
      </c>
      <c r="FG241" s="116">
        <f t="shared" si="734"/>
        <v>4</v>
      </c>
      <c r="FH241" s="116">
        <f t="shared" si="734"/>
        <v>3</v>
      </c>
      <c r="FI241" s="116">
        <f t="shared" si="734"/>
        <v>5</v>
      </c>
      <c r="FJ241" s="116">
        <f t="shared" si="734"/>
        <v>4</v>
      </c>
      <c r="FK241" s="116">
        <f t="shared" si="734"/>
        <v>3</v>
      </c>
      <c r="FL241" s="116">
        <f t="shared" si="734"/>
        <v>0</v>
      </c>
      <c r="FM241" s="116">
        <f t="shared" si="734"/>
        <v>6</v>
      </c>
      <c r="FN241" s="116">
        <f t="shared" si="734"/>
        <v>4</v>
      </c>
      <c r="FO241" s="116">
        <f t="shared" si="734"/>
        <v>0</v>
      </c>
      <c r="FP241" s="116">
        <f t="shared" si="734"/>
        <v>6</v>
      </c>
      <c r="FQ241" s="116">
        <f t="shared" si="734"/>
        <v>4</v>
      </c>
      <c r="FR241" s="116">
        <f t="shared" si="734"/>
        <v>0</v>
      </c>
      <c r="FS241" s="116">
        <f t="shared" si="734"/>
        <v>6</v>
      </c>
      <c r="FT241" s="116">
        <f t="shared" si="734"/>
        <v>4</v>
      </c>
      <c r="FU241" s="116">
        <f t="shared" si="734"/>
        <v>0</v>
      </c>
      <c r="FV241" s="116">
        <f t="shared" si="734"/>
        <v>6</v>
      </c>
      <c r="FW241" s="116">
        <f t="shared" si="734"/>
        <v>4</v>
      </c>
      <c r="FX241" s="116">
        <f t="shared" si="734"/>
        <v>0</v>
      </c>
      <c r="FY241" s="116">
        <f t="shared" si="734"/>
        <v>6</v>
      </c>
      <c r="FZ241" s="116">
        <f t="shared" ref="FZ241:GL241" si="735">FZ238</f>
        <v>4</v>
      </c>
      <c r="GA241" s="116">
        <f t="shared" si="735"/>
        <v>0</v>
      </c>
      <c r="GB241" s="116">
        <f t="shared" si="735"/>
        <v>6</v>
      </c>
      <c r="GC241" s="116">
        <f t="shared" si="735"/>
        <v>4</v>
      </c>
      <c r="GD241" s="116">
        <f t="shared" si="735"/>
        <v>0</v>
      </c>
      <c r="GE241" s="116">
        <f t="shared" si="735"/>
        <v>6</v>
      </c>
      <c r="GF241" s="116">
        <f t="shared" si="735"/>
        <v>4</v>
      </c>
      <c r="GG241" s="116">
        <f t="shared" si="735"/>
        <v>0</v>
      </c>
      <c r="GH241" s="116">
        <f t="shared" si="735"/>
        <v>6</v>
      </c>
      <c r="GI241" s="116">
        <f t="shared" si="735"/>
        <v>4</v>
      </c>
      <c r="GJ241" s="116">
        <f t="shared" si="735"/>
        <v>0</v>
      </c>
      <c r="GK241" s="116">
        <f t="shared" si="735"/>
        <v>6</v>
      </c>
      <c r="GL241" s="116">
        <f t="shared" si="735"/>
        <v>4</v>
      </c>
    </row>
    <row r="242" spans="14:194" ht="15" customHeight="1">
      <c r="N242" s="116">
        <f t="shared" ref="N242:BY242" si="736">N239</f>
        <v>0</v>
      </c>
      <c r="O242" s="116">
        <f t="shared" si="736"/>
        <v>0</v>
      </c>
      <c r="P242" s="116">
        <f t="shared" si="736"/>
        <v>0</v>
      </c>
      <c r="Q242" s="116">
        <f t="shared" si="736"/>
        <v>0</v>
      </c>
      <c r="R242" s="116">
        <f t="shared" si="736"/>
        <v>0</v>
      </c>
      <c r="S242" s="116">
        <f t="shared" si="736"/>
        <v>0</v>
      </c>
      <c r="T242" s="116">
        <f t="shared" si="736"/>
        <v>0</v>
      </c>
      <c r="U242" s="116">
        <f t="shared" si="736"/>
        <v>0</v>
      </c>
      <c r="V242" s="116">
        <f t="shared" si="736"/>
        <v>0</v>
      </c>
      <c r="W242" s="116">
        <f t="shared" si="736"/>
        <v>0</v>
      </c>
      <c r="X242" s="116">
        <f t="shared" si="736"/>
        <v>0</v>
      </c>
      <c r="Y242" s="116">
        <f t="shared" si="736"/>
        <v>0</v>
      </c>
      <c r="Z242" s="116">
        <f t="shared" si="736"/>
        <v>0</v>
      </c>
      <c r="AA242" s="116">
        <f t="shared" si="736"/>
        <v>0</v>
      </c>
      <c r="AB242" s="116">
        <f t="shared" si="736"/>
        <v>0</v>
      </c>
      <c r="AC242" s="116">
        <f t="shared" si="736"/>
        <v>0</v>
      </c>
      <c r="AD242" s="116">
        <f t="shared" si="736"/>
        <v>0</v>
      </c>
      <c r="AE242" s="116">
        <f t="shared" si="736"/>
        <v>0</v>
      </c>
      <c r="AF242" s="116">
        <f t="shared" si="736"/>
        <v>0</v>
      </c>
      <c r="AG242" s="116">
        <f t="shared" si="736"/>
        <v>0</v>
      </c>
      <c r="AH242" s="116">
        <f t="shared" si="736"/>
        <v>0</v>
      </c>
      <c r="AI242" s="116">
        <f t="shared" si="736"/>
        <v>0</v>
      </c>
      <c r="AJ242" s="116">
        <f t="shared" si="736"/>
        <v>0</v>
      </c>
      <c r="AK242" s="116">
        <f t="shared" si="736"/>
        <v>0</v>
      </c>
      <c r="AL242" s="116">
        <f t="shared" si="736"/>
        <v>0</v>
      </c>
      <c r="AM242" s="116">
        <f t="shared" si="736"/>
        <v>0</v>
      </c>
      <c r="AN242" s="116">
        <f t="shared" si="736"/>
        <v>0</v>
      </c>
      <c r="AO242" s="116">
        <f t="shared" si="736"/>
        <v>0</v>
      </c>
      <c r="AP242" s="116">
        <f t="shared" si="736"/>
        <v>0</v>
      </c>
      <c r="AQ242" s="116">
        <f t="shared" si="736"/>
        <v>0</v>
      </c>
      <c r="AR242" s="116">
        <f t="shared" si="736"/>
        <v>0</v>
      </c>
      <c r="AS242" s="116">
        <f t="shared" si="736"/>
        <v>0</v>
      </c>
      <c r="AT242" s="116">
        <f t="shared" si="736"/>
        <v>0</v>
      </c>
      <c r="AU242" s="116">
        <f t="shared" si="736"/>
        <v>0</v>
      </c>
      <c r="AV242" s="116">
        <f t="shared" si="736"/>
        <v>0</v>
      </c>
      <c r="AW242" s="116">
        <f t="shared" si="736"/>
        <v>0</v>
      </c>
      <c r="AX242" s="116">
        <f t="shared" si="736"/>
        <v>0</v>
      </c>
      <c r="AY242" s="116">
        <f t="shared" si="736"/>
        <v>0</v>
      </c>
      <c r="AZ242" s="116">
        <f t="shared" si="736"/>
        <v>0</v>
      </c>
      <c r="BA242" s="116">
        <f t="shared" si="736"/>
        <v>0</v>
      </c>
      <c r="BB242" s="116">
        <f t="shared" si="736"/>
        <v>0</v>
      </c>
      <c r="BC242" s="116">
        <f t="shared" si="736"/>
        <v>0</v>
      </c>
      <c r="BD242" s="116">
        <f t="shared" si="736"/>
        <v>0</v>
      </c>
      <c r="BE242" s="116">
        <f t="shared" si="736"/>
        <v>0</v>
      </c>
      <c r="BF242" s="116">
        <f t="shared" si="736"/>
        <v>0</v>
      </c>
      <c r="BG242" s="116">
        <f t="shared" si="736"/>
        <v>0</v>
      </c>
      <c r="BH242" s="116">
        <f t="shared" si="736"/>
        <v>0</v>
      </c>
      <c r="BI242" s="116">
        <f t="shared" si="736"/>
        <v>0</v>
      </c>
      <c r="BJ242" s="116">
        <f t="shared" si="736"/>
        <v>0</v>
      </c>
      <c r="BK242" s="116">
        <f t="shared" si="736"/>
        <v>0</v>
      </c>
      <c r="BL242" s="116">
        <f t="shared" si="736"/>
        <v>0</v>
      </c>
      <c r="BM242" s="116">
        <f t="shared" si="736"/>
        <v>0</v>
      </c>
      <c r="BN242" s="116">
        <f t="shared" si="736"/>
        <v>0</v>
      </c>
      <c r="BO242" s="116">
        <f t="shared" si="736"/>
        <v>0</v>
      </c>
      <c r="BP242" s="116">
        <f t="shared" si="736"/>
        <v>0</v>
      </c>
      <c r="BQ242" s="116">
        <f t="shared" si="736"/>
        <v>0</v>
      </c>
      <c r="BR242" s="116">
        <f t="shared" si="736"/>
        <v>0</v>
      </c>
      <c r="BS242" s="116">
        <f t="shared" si="736"/>
        <v>0</v>
      </c>
      <c r="BT242" s="116">
        <f t="shared" si="736"/>
        <v>0</v>
      </c>
      <c r="BU242" s="116">
        <f t="shared" si="736"/>
        <v>0</v>
      </c>
      <c r="BV242" s="116">
        <f t="shared" si="736"/>
        <v>0</v>
      </c>
      <c r="BW242" s="116">
        <f t="shared" si="736"/>
        <v>0</v>
      </c>
      <c r="BX242" s="116">
        <f t="shared" si="736"/>
        <v>0</v>
      </c>
      <c r="BY242" s="116">
        <f t="shared" si="736"/>
        <v>0</v>
      </c>
      <c r="BZ242" s="116">
        <f t="shared" ref="BZ242:CP242" si="737">BZ239</f>
        <v>0</v>
      </c>
      <c r="CA242" s="116">
        <f t="shared" si="737"/>
        <v>0</v>
      </c>
      <c r="CB242" s="116">
        <f t="shared" si="737"/>
        <v>0</v>
      </c>
      <c r="CC242" s="116">
        <f t="shared" si="737"/>
        <v>0</v>
      </c>
      <c r="CD242" s="116">
        <f t="shared" si="737"/>
        <v>0</v>
      </c>
      <c r="CE242" s="116">
        <f t="shared" si="737"/>
        <v>0</v>
      </c>
      <c r="CF242" s="116">
        <f t="shared" si="737"/>
        <v>0</v>
      </c>
      <c r="CG242" s="116">
        <f t="shared" si="737"/>
        <v>0</v>
      </c>
      <c r="CH242" s="116">
        <f t="shared" si="737"/>
        <v>0</v>
      </c>
      <c r="CI242" s="116">
        <f t="shared" si="737"/>
        <v>0</v>
      </c>
      <c r="CJ242" s="116">
        <f t="shared" si="737"/>
        <v>0</v>
      </c>
      <c r="CK242" s="116">
        <f t="shared" si="737"/>
        <v>0</v>
      </c>
      <c r="CL242" s="116">
        <f t="shared" si="737"/>
        <v>0</v>
      </c>
      <c r="CM242" s="116">
        <f t="shared" si="737"/>
        <v>0</v>
      </c>
      <c r="CN242" s="116">
        <f t="shared" si="737"/>
        <v>0</v>
      </c>
      <c r="CO242" s="116">
        <f t="shared" si="737"/>
        <v>0</v>
      </c>
      <c r="CP242" s="116">
        <f t="shared" si="737"/>
        <v>0</v>
      </c>
      <c r="DJ242" s="116">
        <f t="shared" ref="DJ242:FU242" si="738">DJ239</f>
        <v>5</v>
      </c>
      <c r="DK242" s="116">
        <f t="shared" si="738"/>
        <v>1</v>
      </c>
      <c r="DL242" s="116">
        <f t="shared" si="738"/>
        <v>0</v>
      </c>
      <c r="DM242" s="116">
        <f t="shared" si="738"/>
        <v>5</v>
      </c>
      <c r="DN242" s="116">
        <f t="shared" si="738"/>
        <v>1</v>
      </c>
      <c r="DO242" s="116">
        <f t="shared" si="738"/>
        <v>0</v>
      </c>
      <c r="DP242" s="116">
        <f t="shared" si="738"/>
        <v>5</v>
      </c>
      <c r="DQ242" s="116">
        <f t="shared" si="738"/>
        <v>1</v>
      </c>
      <c r="DR242" s="116">
        <f t="shared" si="738"/>
        <v>0</v>
      </c>
      <c r="DS242" s="116">
        <f t="shared" si="738"/>
        <v>5</v>
      </c>
      <c r="DT242" s="116">
        <f t="shared" si="738"/>
        <v>1</v>
      </c>
      <c r="DU242" s="116">
        <f t="shared" si="738"/>
        <v>0</v>
      </c>
      <c r="DV242" s="116">
        <f t="shared" si="738"/>
        <v>5</v>
      </c>
      <c r="DW242" s="116">
        <f t="shared" si="738"/>
        <v>1</v>
      </c>
      <c r="DX242" s="116">
        <f t="shared" si="738"/>
        <v>0</v>
      </c>
      <c r="DY242" s="116">
        <f t="shared" si="738"/>
        <v>5</v>
      </c>
      <c r="DZ242" s="116">
        <f t="shared" si="738"/>
        <v>1</v>
      </c>
      <c r="EA242" s="116">
        <f t="shared" si="738"/>
        <v>0</v>
      </c>
      <c r="EB242" s="116">
        <f t="shared" si="738"/>
        <v>5</v>
      </c>
      <c r="EC242" s="116">
        <f t="shared" si="738"/>
        <v>1</v>
      </c>
      <c r="ED242" s="116">
        <f t="shared" si="738"/>
        <v>0</v>
      </c>
      <c r="EE242" s="116">
        <f t="shared" si="738"/>
        <v>5</v>
      </c>
      <c r="EF242" s="116">
        <f t="shared" si="738"/>
        <v>1</v>
      </c>
      <c r="EG242" s="116">
        <f t="shared" si="738"/>
        <v>0</v>
      </c>
      <c r="EH242" s="116">
        <f t="shared" si="738"/>
        <v>5</v>
      </c>
      <c r="EI242" s="116">
        <f t="shared" si="738"/>
        <v>1</v>
      </c>
      <c r="EJ242" s="116">
        <f t="shared" si="738"/>
        <v>0</v>
      </c>
      <c r="EK242" s="116">
        <f t="shared" si="738"/>
        <v>5</v>
      </c>
      <c r="EL242" s="116">
        <f t="shared" si="738"/>
        <v>0</v>
      </c>
      <c r="EM242" s="116">
        <f t="shared" si="738"/>
        <v>0</v>
      </c>
      <c r="EN242" s="116">
        <f t="shared" si="738"/>
        <v>5</v>
      </c>
      <c r="EO242" s="116">
        <f t="shared" si="738"/>
        <v>0</v>
      </c>
      <c r="EP242" s="116">
        <f t="shared" si="738"/>
        <v>0</v>
      </c>
      <c r="EQ242" s="116">
        <f t="shared" si="738"/>
        <v>5</v>
      </c>
      <c r="ER242" s="116">
        <f t="shared" si="738"/>
        <v>0</v>
      </c>
      <c r="ES242" s="116">
        <f t="shared" si="738"/>
        <v>0</v>
      </c>
      <c r="ET242" s="116">
        <f t="shared" si="738"/>
        <v>5</v>
      </c>
      <c r="EU242" s="116">
        <f t="shared" si="738"/>
        <v>0</v>
      </c>
      <c r="EV242" s="116">
        <f t="shared" si="738"/>
        <v>0</v>
      </c>
      <c r="EW242" s="116">
        <f t="shared" si="738"/>
        <v>5</v>
      </c>
      <c r="EX242" s="116">
        <f t="shared" si="738"/>
        <v>0</v>
      </c>
      <c r="EY242" s="116">
        <f t="shared" si="738"/>
        <v>0</v>
      </c>
      <c r="EZ242" s="116">
        <f t="shared" si="738"/>
        <v>5</v>
      </c>
      <c r="FA242" s="116">
        <f t="shared" si="738"/>
        <v>0</v>
      </c>
      <c r="FB242" s="116">
        <f t="shared" si="738"/>
        <v>0</v>
      </c>
      <c r="FC242" s="116">
        <f t="shared" si="738"/>
        <v>5</v>
      </c>
      <c r="FD242" s="116">
        <f t="shared" si="738"/>
        <v>0</v>
      </c>
      <c r="FE242" s="116">
        <f t="shared" si="738"/>
        <v>0</v>
      </c>
      <c r="FF242" s="116">
        <f t="shared" si="738"/>
        <v>5</v>
      </c>
      <c r="FG242" s="116">
        <f t="shared" si="738"/>
        <v>0</v>
      </c>
      <c r="FH242" s="116">
        <f t="shared" si="738"/>
        <v>0</v>
      </c>
      <c r="FI242" s="116">
        <f t="shared" si="738"/>
        <v>5</v>
      </c>
      <c r="FJ242" s="116">
        <f t="shared" si="738"/>
        <v>0</v>
      </c>
      <c r="FK242" s="116">
        <f t="shared" si="738"/>
        <v>0</v>
      </c>
      <c r="FL242" s="116">
        <f t="shared" si="738"/>
        <v>3</v>
      </c>
      <c r="FM242" s="116">
        <f t="shared" si="738"/>
        <v>1</v>
      </c>
      <c r="FN242" s="116">
        <f t="shared" si="738"/>
        <v>3</v>
      </c>
      <c r="FO242" s="116">
        <f t="shared" si="738"/>
        <v>3</v>
      </c>
      <c r="FP242" s="116">
        <f t="shared" si="738"/>
        <v>1</v>
      </c>
      <c r="FQ242" s="116">
        <f t="shared" si="738"/>
        <v>3</v>
      </c>
      <c r="FR242" s="116">
        <f t="shared" si="738"/>
        <v>3</v>
      </c>
      <c r="FS242" s="116">
        <f t="shared" si="738"/>
        <v>1</v>
      </c>
      <c r="FT242" s="116">
        <f t="shared" si="738"/>
        <v>3</v>
      </c>
      <c r="FU242" s="116">
        <f t="shared" si="738"/>
        <v>3</v>
      </c>
      <c r="FV242" s="116">
        <f t="shared" ref="FV242:GL242" si="739">FV239</f>
        <v>1</v>
      </c>
      <c r="FW242" s="116">
        <f t="shared" si="739"/>
        <v>3</v>
      </c>
      <c r="FX242" s="116">
        <f t="shared" si="739"/>
        <v>3</v>
      </c>
      <c r="FY242" s="116">
        <f t="shared" si="739"/>
        <v>1</v>
      </c>
      <c r="FZ242" s="116">
        <f t="shared" si="739"/>
        <v>3</v>
      </c>
      <c r="GA242" s="116">
        <f t="shared" si="739"/>
        <v>3</v>
      </c>
      <c r="GB242" s="116">
        <f t="shared" si="739"/>
        <v>1</v>
      </c>
      <c r="GC242" s="116">
        <f t="shared" si="739"/>
        <v>3</v>
      </c>
      <c r="GD242" s="116">
        <f t="shared" si="739"/>
        <v>3</v>
      </c>
      <c r="GE242" s="116">
        <f t="shared" si="739"/>
        <v>1</v>
      </c>
      <c r="GF242" s="116">
        <f t="shared" si="739"/>
        <v>3</v>
      </c>
      <c r="GG242" s="116">
        <f t="shared" si="739"/>
        <v>3</v>
      </c>
      <c r="GH242" s="116">
        <f t="shared" si="739"/>
        <v>1</v>
      </c>
      <c r="GI242" s="116">
        <f t="shared" si="739"/>
        <v>3</v>
      </c>
      <c r="GJ242" s="116">
        <f t="shared" si="739"/>
        <v>3</v>
      </c>
      <c r="GK242" s="116">
        <f t="shared" si="739"/>
        <v>1</v>
      </c>
      <c r="GL242" s="116">
        <f t="shared" si="739"/>
        <v>3</v>
      </c>
    </row>
    <row r="243" spans="14:194" ht="15" customHeight="1">
      <c r="N243" s="116">
        <f t="shared" ref="N243:BY243" si="740">N240</f>
        <v>0</v>
      </c>
      <c r="O243" s="116">
        <f t="shared" si="740"/>
        <v>0</v>
      </c>
      <c r="P243" s="116">
        <f t="shared" si="740"/>
        <v>0</v>
      </c>
      <c r="Q243" s="116">
        <f t="shared" si="740"/>
        <v>0</v>
      </c>
      <c r="R243" s="116">
        <f t="shared" si="740"/>
        <v>0</v>
      </c>
      <c r="S243" s="116">
        <f t="shared" si="740"/>
        <v>0</v>
      </c>
      <c r="T243" s="116">
        <f t="shared" si="740"/>
        <v>0</v>
      </c>
      <c r="U243" s="116">
        <f t="shared" si="740"/>
        <v>0</v>
      </c>
      <c r="V243" s="116">
        <f t="shared" si="740"/>
        <v>0</v>
      </c>
      <c r="W243" s="116">
        <f t="shared" si="740"/>
        <v>0</v>
      </c>
      <c r="X243" s="116">
        <f t="shared" si="740"/>
        <v>0</v>
      </c>
      <c r="Y243" s="116">
        <f t="shared" si="740"/>
        <v>0</v>
      </c>
      <c r="Z243" s="116">
        <f t="shared" si="740"/>
        <v>0</v>
      </c>
      <c r="AA243" s="116">
        <f t="shared" si="740"/>
        <v>0</v>
      </c>
      <c r="AB243" s="116">
        <f t="shared" si="740"/>
        <v>0</v>
      </c>
      <c r="AC243" s="116">
        <f t="shared" si="740"/>
        <v>0</v>
      </c>
      <c r="AD243" s="116">
        <f t="shared" si="740"/>
        <v>0</v>
      </c>
      <c r="AE243" s="116">
        <f t="shared" si="740"/>
        <v>0</v>
      </c>
      <c r="AF243" s="116">
        <f t="shared" si="740"/>
        <v>0</v>
      </c>
      <c r="AG243" s="116">
        <f t="shared" si="740"/>
        <v>0</v>
      </c>
      <c r="AH243" s="116">
        <f t="shared" si="740"/>
        <v>0</v>
      </c>
      <c r="AI243" s="116">
        <f t="shared" si="740"/>
        <v>0</v>
      </c>
      <c r="AJ243" s="116">
        <f t="shared" si="740"/>
        <v>0</v>
      </c>
      <c r="AK243" s="116">
        <f t="shared" si="740"/>
        <v>0</v>
      </c>
      <c r="AL243" s="116">
        <f t="shared" si="740"/>
        <v>0</v>
      </c>
      <c r="AM243" s="116">
        <f t="shared" si="740"/>
        <v>0</v>
      </c>
      <c r="AN243" s="116">
        <f t="shared" si="740"/>
        <v>0</v>
      </c>
      <c r="AO243" s="116">
        <f t="shared" si="740"/>
        <v>0</v>
      </c>
      <c r="AP243" s="116">
        <f t="shared" si="740"/>
        <v>0</v>
      </c>
      <c r="AQ243" s="116">
        <f t="shared" si="740"/>
        <v>0</v>
      </c>
      <c r="AR243" s="116">
        <f t="shared" si="740"/>
        <v>0</v>
      </c>
      <c r="AS243" s="116">
        <f t="shared" si="740"/>
        <v>0</v>
      </c>
      <c r="AT243" s="116">
        <f t="shared" si="740"/>
        <v>0</v>
      </c>
      <c r="AU243" s="116">
        <f t="shared" si="740"/>
        <v>0</v>
      </c>
      <c r="AV243" s="116">
        <f t="shared" si="740"/>
        <v>0</v>
      </c>
      <c r="AW243" s="116">
        <f t="shared" si="740"/>
        <v>0</v>
      </c>
      <c r="AX243" s="116">
        <f t="shared" si="740"/>
        <v>0</v>
      </c>
      <c r="AY243" s="116">
        <f t="shared" si="740"/>
        <v>0</v>
      </c>
      <c r="AZ243" s="116">
        <f t="shared" si="740"/>
        <v>0</v>
      </c>
      <c r="BA243" s="116">
        <f t="shared" si="740"/>
        <v>0</v>
      </c>
      <c r="BB243" s="116">
        <f t="shared" si="740"/>
        <v>0</v>
      </c>
      <c r="BC243" s="116">
        <f t="shared" si="740"/>
        <v>0</v>
      </c>
      <c r="BD243" s="116">
        <f t="shared" si="740"/>
        <v>0</v>
      </c>
      <c r="BE243" s="116">
        <f t="shared" si="740"/>
        <v>0</v>
      </c>
      <c r="BF243" s="116">
        <f t="shared" si="740"/>
        <v>0</v>
      </c>
      <c r="BG243" s="116">
        <f t="shared" si="740"/>
        <v>0</v>
      </c>
      <c r="BH243" s="116">
        <f t="shared" si="740"/>
        <v>0</v>
      </c>
      <c r="BI243" s="116">
        <f t="shared" si="740"/>
        <v>0</v>
      </c>
      <c r="BJ243" s="116">
        <f t="shared" si="740"/>
        <v>0</v>
      </c>
      <c r="BK243" s="116">
        <f t="shared" si="740"/>
        <v>0</v>
      </c>
      <c r="BL243" s="116">
        <f t="shared" si="740"/>
        <v>0</v>
      </c>
      <c r="BM243" s="116">
        <f t="shared" si="740"/>
        <v>0</v>
      </c>
      <c r="BN243" s="116">
        <f t="shared" si="740"/>
        <v>0</v>
      </c>
      <c r="BO243" s="116">
        <f t="shared" si="740"/>
        <v>0</v>
      </c>
      <c r="BP243" s="116">
        <f t="shared" si="740"/>
        <v>0</v>
      </c>
      <c r="BQ243" s="116">
        <f t="shared" si="740"/>
        <v>0</v>
      </c>
      <c r="BR243" s="116">
        <f t="shared" si="740"/>
        <v>0</v>
      </c>
      <c r="BS243" s="116">
        <f t="shared" si="740"/>
        <v>0</v>
      </c>
      <c r="BT243" s="116">
        <f t="shared" si="740"/>
        <v>0</v>
      </c>
      <c r="BU243" s="116">
        <f t="shared" si="740"/>
        <v>0</v>
      </c>
      <c r="BV243" s="116">
        <f t="shared" si="740"/>
        <v>0</v>
      </c>
      <c r="BW243" s="116">
        <f t="shared" si="740"/>
        <v>0</v>
      </c>
      <c r="BX243" s="116">
        <f t="shared" si="740"/>
        <v>0</v>
      </c>
      <c r="BY243" s="116">
        <f t="shared" si="740"/>
        <v>0</v>
      </c>
      <c r="BZ243" s="116">
        <f t="shared" ref="BZ243:CP243" si="741">BZ240</f>
        <v>0</v>
      </c>
      <c r="CA243" s="116">
        <f t="shared" si="741"/>
        <v>0</v>
      </c>
      <c r="CB243" s="116">
        <f t="shared" si="741"/>
        <v>0</v>
      </c>
      <c r="CC243" s="116">
        <f t="shared" si="741"/>
        <v>0</v>
      </c>
      <c r="CD243" s="116">
        <f t="shared" si="741"/>
        <v>0</v>
      </c>
      <c r="CE243" s="116">
        <f t="shared" si="741"/>
        <v>0</v>
      </c>
      <c r="CF243" s="116">
        <f t="shared" si="741"/>
        <v>0</v>
      </c>
      <c r="CG243" s="116">
        <f t="shared" si="741"/>
        <v>0</v>
      </c>
      <c r="CH243" s="116">
        <f t="shared" si="741"/>
        <v>0</v>
      </c>
      <c r="CI243" s="116">
        <f t="shared" si="741"/>
        <v>0</v>
      </c>
      <c r="CJ243" s="116">
        <f t="shared" si="741"/>
        <v>0</v>
      </c>
      <c r="CK243" s="116">
        <f t="shared" si="741"/>
        <v>0</v>
      </c>
      <c r="CL243" s="116">
        <f t="shared" si="741"/>
        <v>0</v>
      </c>
      <c r="CM243" s="116">
        <f t="shared" si="741"/>
        <v>0</v>
      </c>
      <c r="CN243" s="116">
        <f t="shared" si="741"/>
        <v>0</v>
      </c>
      <c r="CO243" s="116">
        <f t="shared" si="741"/>
        <v>0</v>
      </c>
      <c r="CP243" s="116">
        <f t="shared" si="741"/>
        <v>0</v>
      </c>
      <c r="DJ243" s="116">
        <f t="shared" ref="DJ243:FU243" si="742">DJ240</f>
        <v>1</v>
      </c>
      <c r="DK243" s="116">
        <f t="shared" si="742"/>
        <v>0</v>
      </c>
      <c r="DL243" s="116">
        <f t="shared" si="742"/>
        <v>0</v>
      </c>
      <c r="DM243" s="116">
        <f t="shared" si="742"/>
        <v>1</v>
      </c>
      <c r="DN243" s="116">
        <f t="shared" si="742"/>
        <v>0</v>
      </c>
      <c r="DO243" s="116">
        <f t="shared" si="742"/>
        <v>0</v>
      </c>
      <c r="DP243" s="116">
        <f t="shared" si="742"/>
        <v>1</v>
      </c>
      <c r="DQ243" s="116">
        <f t="shared" si="742"/>
        <v>0</v>
      </c>
      <c r="DR243" s="116">
        <f t="shared" si="742"/>
        <v>0</v>
      </c>
      <c r="DS243" s="116">
        <f t="shared" si="742"/>
        <v>1</v>
      </c>
      <c r="DT243" s="116">
        <f t="shared" si="742"/>
        <v>0</v>
      </c>
      <c r="DU243" s="116">
        <f t="shared" si="742"/>
        <v>0</v>
      </c>
      <c r="DV243" s="116">
        <f t="shared" si="742"/>
        <v>1</v>
      </c>
      <c r="DW243" s="116">
        <f t="shared" si="742"/>
        <v>0</v>
      </c>
      <c r="DX243" s="116">
        <f t="shared" si="742"/>
        <v>0</v>
      </c>
      <c r="DY243" s="116">
        <f t="shared" si="742"/>
        <v>1</v>
      </c>
      <c r="DZ243" s="116">
        <f t="shared" si="742"/>
        <v>0</v>
      </c>
      <c r="EA243" s="116">
        <f t="shared" si="742"/>
        <v>0</v>
      </c>
      <c r="EB243" s="116">
        <f t="shared" si="742"/>
        <v>1</v>
      </c>
      <c r="EC243" s="116">
        <f t="shared" si="742"/>
        <v>0</v>
      </c>
      <c r="ED243" s="116">
        <f t="shared" si="742"/>
        <v>0</v>
      </c>
      <c r="EE243" s="116">
        <f t="shared" si="742"/>
        <v>1</v>
      </c>
      <c r="EF243" s="116">
        <f t="shared" si="742"/>
        <v>0</v>
      </c>
      <c r="EG243" s="116">
        <f t="shared" si="742"/>
        <v>0</v>
      </c>
      <c r="EH243" s="116">
        <f t="shared" si="742"/>
        <v>1</v>
      </c>
      <c r="EI243" s="116">
        <f t="shared" si="742"/>
        <v>0</v>
      </c>
      <c r="EJ243" s="116">
        <f t="shared" si="742"/>
        <v>0</v>
      </c>
      <c r="EK243" s="116">
        <f t="shared" si="742"/>
        <v>1</v>
      </c>
      <c r="EL243" s="116">
        <f t="shared" si="742"/>
        <v>0</v>
      </c>
      <c r="EM243" s="116">
        <f t="shared" si="742"/>
        <v>0</v>
      </c>
      <c r="EN243" s="116">
        <f t="shared" si="742"/>
        <v>1</v>
      </c>
      <c r="EO243" s="116">
        <f t="shared" si="742"/>
        <v>0</v>
      </c>
      <c r="EP243" s="116">
        <f t="shared" si="742"/>
        <v>0</v>
      </c>
      <c r="EQ243" s="116">
        <f t="shared" si="742"/>
        <v>1</v>
      </c>
      <c r="ER243" s="116">
        <f t="shared" si="742"/>
        <v>0</v>
      </c>
      <c r="ES243" s="116">
        <f t="shared" si="742"/>
        <v>0</v>
      </c>
      <c r="ET243" s="116">
        <f t="shared" si="742"/>
        <v>1</v>
      </c>
      <c r="EU243" s="116">
        <f t="shared" si="742"/>
        <v>0</v>
      </c>
      <c r="EV243" s="116">
        <f t="shared" si="742"/>
        <v>0</v>
      </c>
      <c r="EW243" s="116">
        <f t="shared" si="742"/>
        <v>1</v>
      </c>
      <c r="EX243" s="116">
        <f t="shared" si="742"/>
        <v>0</v>
      </c>
      <c r="EY243" s="116">
        <f t="shared" si="742"/>
        <v>0</v>
      </c>
      <c r="EZ243" s="116">
        <f t="shared" si="742"/>
        <v>1</v>
      </c>
      <c r="FA243" s="116">
        <f t="shared" si="742"/>
        <v>0</v>
      </c>
      <c r="FB243" s="116">
        <f t="shared" si="742"/>
        <v>0</v>
      </c>
      <c r="FC243" s="116">
        <f t="shared" si="742"/>
        <v>1</v>
      </c>
      <c r="FD243" s="116">
        <f t="shared" si="742"/>
        <v>0</v>
      </c>
      <c r="FE243" s="116">
        <f t="shared" si="742"/>
        <v>0</v>
      </c>
      <c r="FF243" s="116">
        <f t="shared" si="742"/>
        <v>1</v>
      </c>
      <c r="FG243" s="116">
        <f t="shared" si="742"/>
        <v>0</v>
      </c>
      <c r="FH243" s="116">
        <f t="shared" si="742"/>
        <v>0</v>
      </c>
      <c r="FI243" s="116">
        <f t="shared" si="742"/>
        <v>1</v>
      </c>
      <c r="FJ243" s="116">
        <f t="shared" si="742"/>
        <v>0</v>
      </c>
      <c r="FK243" s="116">
        <f t="shared" si="742"/>
        <v>0</v>
      </c>
      <c r="FL243" s="116">
        <f t="shared" si="742"/>
        <v>0</v>
      </c>
      <c r="FM243" s="116">
        <f t="shared" si="742"/>
        <v>4</v>
      </c>
      <c r="FN243" s="116">
        <f t="shared" si="742"/>
        <v>0</v>
      </c>
      <c r="FO243" s="116">
        <f t="shared" si="742"/>
        <v>0</v>
      </c>
      <c r="FP243" s="116">
        <f t="shared" si="742"/>
        <v>4</v>
      </c>
      <c r="FQ243" s="116">
        <f t="shared" si="742"/>
        <v>0</v>
      </c>
      <c r="FR243" s="116">
        <f t="shared" si="742"/>
        <v>0</v>
      </c>
      <c r="FS243" s="116">
        <f t="shared" si="742"/>
        <v>4</v>
      </c>
      <c r="FT243" s="116">
        <f t="shared" si="742"/>
        <v>0</v>
      </c>
      <c r="FU243" s="116">
        <f t="shared" si="742"/>
        <v>0</v>
      </c>
      <c r="FV243" s="116">
        <f t="shared" ref="FV243:GL243" si="743">FV240</f>
        <v>4</v>
      </c>
      <c r="FW243" s="116">
        <f t="shared" si="743"/>
        <v>0</v>
      </c>
      <c r="FX243" s="116">
        <f t="shared" si="743"/>
        <v>0</v>
      </c>
      <c r="FY243" s="116">
        <f t="shared" si="743"/>
        <v>4</v>
      </c>
      <c r="FZ243" s="116">
        <f t="shared" si="743"/>
        <v>0</v>
      </c>
      <c r="GA243" s="116">
        <f t="shared" si="743"/>
        <v>0</v>
      </c>
      <c r="GB243" s="116">
        <f t="shared" si="743"/>
        <v>4</v>
      </c>
      <c r="GC243" s="116">
        <f t="shared" si="743"/>
        <v>0</v>
      </c>
      <c r="GD243" s="116">
        <f t="shared" si="743"/>
        <v>0</v>
      </c>
      <c r="GE243" s="116">
        <f t="shared" si="743"/>
        <v>4</v>
      </c>
      <c r="GF243" s="116">
        <f t="shared" si="743"/>
        <v>0</v>
      </c>
      <c r="GG243" s="116">
        <f t="shared" si="743"/>
        <v>0</v>
      </c>
      <c r="GH243" s="116">
        <f t="shared" si="743"/>
        <v>4</v>
      </c>
      <c r="GI243" s="116">
        <f t="shared" si="743"/>
        <v>0</v>
      </c>
      <c r="GJ243" s="116">
        <f t="shared" si="743"/>
        <v>0</v>
      </c>
      <c r="GK243" s="116">
        <f t="shared" si="743"/>
        <v>4</v>
      </c>
      <c r="GL243" s="116">
        <f t="shared" si="743"/>
        <v>0</v>
      </c>
    </row>
    <row r="244" spans="14:194" ht="15" customHeight="1">
      <c r="N244" s="116">
        <f t="shared" ref="N244:BY244" si="744">N241</f>
        <v>0</v>
      </c>
      <c r="O244" s="116">
        <f t="shared" si="744"/>
        <v>0</v>
      </c>
      <c r="P244" s="116">
        <f t="shared" si="744"/>
        <v>0</v>
      </c>
      <c r="Q244" s="116">
        <f t="shared" si="744"/>
        <v>0</v>
      </c>
      <c r="R244" s="116">
        <f t="shared" si="744"/>
        <v>0</v>
      </c>
      <c r="S244" s="116">
        <f t="shared" si="744"/>
        <v>0</v>
      </c>
      <c r="T244" s="116">
        <f t="shared" si="744"/>
        <v>0</v>
      </c>
      <c r="U244" s="116">
        <f t="shared" si="744"/>
        <v>0</v>
      </c>
      <c r="V244" s="116">
        <f t="shared" si="744"/>
        <v>0</v>
      </c>
      <c r="W244" s="116">
        <f t="shared" si="744"/>
        <v>0</v>
      </c>
      <c r="X244" s="116">
        <f t="shared" si="744"/>
        <v>0</v>
      </c>
      <c r="Y244" s="116">
        <f t="shared" si="744"/>
        <v>0</v>
      </c>
      <c r="Z244" s="116">
        <f t="shared" si="744"/>
        <v>0</v>
      </c>
      <c r="AA244" s="116">
        <f t="shared" si="744"/>
        <v>0</v>
      </c>
      <c r="AB244" s="116">
        <f t="shared" si="744"/>
        <v>0</v>
      </c>
      <c r="AC244" s="116">
        <f t="shared" si="744"/>
        <v>0</v>
      </c>
      <c r="AD244" s="116">
        <f t="shared" si="744"/>
        <v>0</v>
      </c>
      <c r="AE244" s="116">
        <f t="shared" si="744"/>
        <v>0</v>
      </c>
      <c r="AF244" s="116">
        <f t="shared" si="744"/>
        <v>0</v>
      </c>
      <c r="AG244" s="116">
        <f t="shared" si="744"/>
        <v>0</v>
      </c>
      <c r="AH244" s="116">
        <f t="shared" si="744"/>
        <v>0</v>
      </c>
      <c r="AI244" s="116">
        <f t="shared" si="744"/>
        <v>0</v>
      </c>
      <c r="AJ244" s="116">
        <f t="shared" si="744"/>
        <v>0</v>
      </c>
      <c r="AK244" s="116">
        <f t="shared" si="744"/>
        <v>0</v>
      </c>
      <c r="AL244" s="116">
        <f t="shared" si="744"/>
        <v>0</v>
      </c>
      <c r="AM244" s="116">
        <f t="shared" si="744"/>
        <v>0</v>
      </c>
      <c r="AN244" s="116">
        <f t="shared" si="744"/>
        <v>0</v>
      </c>
      <c r="AO244" s="116">
        <f t="shared" si="744"/>
        <v>0</v>
      </c>
      <c r="AP244" s="116">
        <f t="shared" si="744"/>
        <v>0</v>
      </c>
      <c r="AQ244" s="116">
        <f t="shared" si="744"/>
        <v>0</v>
      </c>
      <c r="AR244" s="116">
        <f t="shared" si="744"/>
        <v>0</v>
      </c>
      <c r="AS244" s="116">
        <f t="shared" si="744"/>
        <v>0</v>
      </c>
      <c r="AT244" s="116">
        <f t="shared" si="744"/>
        <v>0</v>
      </c>
      <c r="AU244" s="116">
        <f t="shared" si="744"/>
        <v>0</v>
      </c>
      <c r="AV244" s="116">
        <f t="shared" si="744"/>
        <v>0</v>
      </c>
      <c r="AW244" s="116">
        <f t="shared" si="744"/>
        <v>0</v>
      </c>
      <c r="AX244" s="116">
        <f t="shared" si="744"/>
        <v>0</v>
      </c>
      <c r="AY244" s="116">
        <f t="shared" si="744"/>
        <v>0</v>
      </c>
      <c r="AZ244" s="116">
        <f t="shared" si="744"/>
        <v>0</v>
      </c>
      <c r="BA244" s="116">
        <f t="shared" si="744"/>
        <v>0</v>
      </c>
      <c r="BB244" s="116">
        <f t="shared" si="744"/>
        <v>0</v>
      </c>
      <c r="BC244" s="116">
        <f t="shared" si="744"/>
        <v>0</v>
      </c>
      <c r="BD244" s="116">
        <f t="shared" si="744"/>
        <v>0</v>
      </c>
      <c r="BE244" s="116">
        <f t="shared" si="744"/>
        <v>0</v>
      </c>
      <c r="BF244" s="116">
        <f t="shared" si="744"/>
        <v>0</v>
      </c>
      <c r="BG244" s="116">
        <f t="shared" si="744"/>
        <v>0</v>
      </c>
      <c r="BH244" s="116">
        <f t="shared" si="744"/>
        <v>0</v>
      </c>
      <c r="BI244" s="116">
        <f t="shared" si="744"/>
        <v>0</v>
      </c>
      <c r="BJ244" s="116">
        <f t="shared" si="744"/>
        <v>0</v>
      </c>
      <c r="BK244" s="116">
        <f t="shared" si="744"/>
        <v>0</v>
      </c>
      <c r="BL244" s="116">
        <f t="shared" si="744"/>
        <v>0</v>
      </c>
      <c r="BM244" s="116">
        <f t="shared" si="744"/>
        <v>0</v>
      </c>
      <c r="BN244" s="116">
        <f t="shared" si="744"/>
        <v>0</v>
      </c>
      <c r="BO244" s="116">
        <f t="shared" si="744"/>
        <v>0</v>
      </c>
      <c r="BP244" s="116">
        <f t="shared" si="744"/>
        <v>0</v>
      </c>
      <c r="BQ244" s="116">
        <f t="shared" si="744"/>
        <v>0</v>
      </c>
      <c r="BR244" s="116">
        <f t="shared" si="744"/>
        <v>0</v>
      </c>
      <c r="BS244" s="116">
        <f t="shared" si="744"/>
        <v>0</v>
      </c>
      <c r="BT244" s="116">
        <f t="shared" si="744"/>
        <v>0</v>
      </c>
      <c r="BU244" s="116">
        <f t="shared" si="744"/>
        <v>0</v>
      </c>
      <c r="BV244" s="116">
        <f t="shared" si="744"/>
        <v>0</v>
      </c>
      <c r="BW244" s="116">
        <f t="shared" si="744"/>
        <v>0</v>
      </c>
      <c r="BX244" s="116">
        <f t="shared" si="744"/>
        <v>0</v>
      </c>
      <c r="BY244" s="116">
        <f t="shared" si="744"/>
        <v>0</v>
      </c>
      <c r="BZ244" s="116">
        <f t="shared" ref="BZ244:CP244" si="745">BZ241</f>
        <v>0</v>
      </c>
      <c r="CA244" s="116">
        <f t="shared" si="745"/>
        <v>0</v>
      </c>
      <c r="CB244" s="116">
        <f t="shared" si="745"/>
        <v>0</v>
      </c>
      <c r="CC244" s="116">
        <f t="shared" si="745"/>
        <v>0</v>
      </c>
      <c r="CD244" s="116">
        <f t="shared" si="745"/>
        <v>0</v>
      </c>
      <c r="CE244" s="116">
        <f t="shared" si="745"/>
        <v>0</v>
      </c>
      <c r="CF244" s="116">
        <f t="shared" si="745"/>
        <v>0</v>
      </c>
      <c r="CG244" s="116">
        <f t="shared" si="745"/>
        <v>0</v>
      </c>
      <c r="CH244" s="116">
        <f t="shared" si="745"/>
        <v>0</v>
      </c>
      <c r="CI244" s="116">
        <f t="shared" si="745"/>
        <v>0</v>
      </c>
      <c r="CJ244" s="116">
        <f t="shared" si="745"/>
        <v>0</v>
      </c>
      <c r="CK244" s="116">
        <f t="shared" si="745"/>
        <v>0</v>
      </c>
      <c r="CL244" s="116">
        <f t="shared" si="745"/>
        <v>0</v>
      </c>
      <c r="CM244" s="116">
        <f t="shared" si="745"/>
        <v>0</v>
      </c>
      <c r="CN244" s="116">
        <f t="shared" si="745"/>
        <v>0</v>
      </c>
      <c r="CO244" s="116">
        <f t="shared" si="745"/>
        <v>0</v>
      </c>
      <c r="CP244" s="116">
        <f t="shared" si="745"/>
        <v>0</v>
      </c>
      <c r="DJ244" s="116">
        <f t="shared" ref="DJ244:FU244" si="746">DJ241</f>
        <v>5</v>
      </c>
      <c r="DK244" s="116">
        <f t="shared" si="746"/>
        <v>4</v>
      </c>
      <c r="DL244" s="116">
        <f t="shared" si="746"/>
        <v>0</v>
      </c>
      <c r="DM244" s="116">
        <f t="shared" si="746"/>
        <v>5</v>
      </c>
      <c r="DN244" s="116">
        <f t="shared" si="746"/>
        <v>4</v>
      </c>
      <c r="DO244" s="116">
        <f t="shared" si="746"/>
        <v>0</v>
      </c>
      <c r="DP244" s="116">
        <f t="shared" si="746"/>
        <v>5</v>
      </c>
      <c r="DQ244" s="116">
        <f t="shared" si="746"/>
        <v>4</v>
      </c>
      <c r="DR244" s="116">
        <f t="shared" si="746"/>
        <v>0</v>
      </c>
      <c r="DS244" s="116">
        <f t="shared" si="746"/>
        <v>5</v>
      </c>
      <c r="DT244" s="116">
        <f t="shared" si="746"/>
        <v>4</v>
      </c>
      <c r="DU244" s="116">
        <f t="shared" si="746"/>
        <v>0</v>
      </c>
      <c r="DV244" s="116">
        <f t="shared" si="746"/>
        <v>5</v>
      </c>
      <c r="DW244" s="116">
        <f t="shared" si="746"/>
        <v>4</v>
      </c>
      <c r="DX244" s="116">
        <f t="shared" si="746"/>
        <v>0</v>
      </c>
      <c r="DY244" s="116">
        <f t="shared" si="746"/>
        <v>5</v>
      </c>
      <c r="DZ244" s="116">
        <f t="shared" si="746"/>
        <v>4</v>
      </c>
      <c r="EA244" s="116">
        <f t="shared" si="746"/>
        <v>0</v>
      </c>
      <c r="EB244" s="116">
        <f t="shared" si="746"/>
        <v>5</v>
      </c>
      <c r="EC244" s="116">
        <f t="shared" si="746"/>
        <v>4</v>
      </c>
      <c r="ED244" s="116">
        <f t="shared" si="746"/>
        <v>0</v>
      </c>
      <c r="EE244" s="116">
        <f t="shared" si="746"/>
        <v>5</v>
      </c>
      <c r="EF244" s="116">
        <f t="shared" si="746"/>
        <v>4</v>
      </c>
      <c r="EG244" s="116">
        <f t="shared" si="746"/>
        <v>0</v>
      </c>
      <c r="EH244" s="116">
        <f t="shared" si="746"/>
        <v>5</v>
      </c>
      <c r="EI244" s="116">
        <f t="shared" si="746"/>
        <v>4</v>
      </c>
      <c r="EJ244" s="116">
        <f t="shared" si="746"/>
        <v>0</v>
      </c>
      <c r="EK244" s="116">
        <f t="shared" si="746"/>
        <v>5</v>
      </c>
      <c r="EL244" s="116">
        <f t="shared" si="746"/>
        <v>4</v>
      </c>
      <c r="EM244" s="116">
        <f t="shared" si="746"/>
        <v>3</v>
      </c>
      <c r="EN244" s="116">
        <f t="shared" si="746"/>
        <v>5</v>
      </c>
      <c r="EO244" s="116">
        <f t="shared" si="746"/>
        <v>4</v>
      </c>
      <c r="EP244" s="116">
        <f t="shared" si="746"/>
        <v>3</v>
      </c>
      <c r="EQ244" s="116">
        <f t="shared" si="746"/>
        <v>5</v>
      </c>
      <c r="ER244" s="116">
        <f t="shared" si="746"/>
        <v>4</v>
      </c>
      <c r="ES244" s="116">
        <f t="shared" si="746"/>
        <v>3</v>
      </c>
      <c r="ET244" s="116">
        <f t="shared" si="746"/>
        <v>5</v>
      </c>
      <c r="EU244" s="116">
        <f t="shared" si="746"/>
        <v>4</v>
      </c>
      <c r="EV244" s="116">
        <f t="shared" si="746"/>
        <v>3</v>
      </c>
      <c r="EW244" s="116">
        <f t="shared" si="746"/>
        <v>5</v>
      </c>
      <c r="EX244" s="116">
        <f t="shared" si="746"/>
        <v>4</v>
      </c>
      <c r="EY244" s="116">
        <f t="shared" si="746"/>
        <v>3</v>
      </c>
      <c r="EZ244" s="116">
        <f t="shared" si="746"/>
        <v>5</v>
      </c>
      <c r="FA244" s="116">
        <f t="shared" si="746"/>
        <v>4</v>
      </c>
      <c r="FB244" s="116">
        <f t="shared" si="746"/>
        <v>3</v>
      </c>
      <c r="FC244" s="116">
        <f t="shared" si="746"/>
        <v>5</v>
      </c>
      <c r="FD244" s="116">
        <f t="shared" si="746"/>
        <v>4</v>
      </c>
      <c r="FE244" s="116">
        <f t="shared" si="746"/>
        <v>3</v>
      </c>
      <c r="FF244" s="116">
        <f t="shared" si="746"/>
        <v>5</v>
      </c>
      <c r="FG244" s="116">
        <f t="shared" si="746"/>
        <v>4</v>
      </c>
      <c r="FH244" s="116">
        <f t="shared" si="746"/>
        <v>3</v>
      </c>
      <c r="FI244" s="116">
        <f t="shared" si="746"/>
        <v>5</v>
      </c>
      <c r="FJ244" s="116">
        <f t="shared" si="746"/>
        <v>4</v>
      </c>
      <c r="FK244" s="116">
        <f t="shared" si="746"/>
        <v>3</v>
      </c>
      <c r="FL244" s="116">
        <f t="shared" si="746"/>
        <v>0</v>
      </c>
      <c r="FM244" s="116">
        <f t="shared" si="746"/>
        <v>6</v>
      </c>
      <c r="FN244" s="116">
        <f t="shared" si="746"/>
        <v>4</v>
      </c>
      <c r="FO244" s="116">
        <f t="shared" si="746"/>
        <v>0</v>
      </c>
      <c r="FP244" s="116">
        <f t="shared" si="746"/>
        <v>6</v>
      </c>
      <c r="FQ244" s="116">
        <f t="shared" si="746"/>
        <v>4</v>
      </c>
      <c r="FR244" s="116">
        <f t="shared" si="746"/>
        <v>0</v>
      </c>
      <c r="FS244" s="116">
        <f t="shared" si="746"/>
        <v>6</v>
      </c>
      <c r="FT244" s="116">
        <f t="shared" si="746"/>
        <v>4</v>
      </c>
      <c r="FU244" s="116">
        <f t="shared" si="746"/>
        <v>0</v>
      </c>
      <c r="FV244" s="116">
        <f t="shared" ref="FV244:GL244" si="747">FV241</f>
        <v>6</v>
      </c>
      <c r="FW244" s="116">
        <f t="shared" si="747"/>
        <v>4</v>
      </c>
      <c r="FX244" s="116">
        <f t="shared" si="747"/>
        <v>0</v>
      </c>
      <c r="FY244" s="116">
        <f t="shared" si="747"/>
        <v>6</v>
      </c>
      <c r="FZ244" s="116">
        <f t="shared" si="747"/>
        <v>4</v>
      </c>
      <c r="GA244" s="116">
        <f t="shared" si="747"/>
        <v>0</v>
      </c>
      <c r="GB244" s="116">
        <f t="shared" si="747"/>
        <v>6</v>
      </c>
      <c r="GC244" s="116">
        <f t="shared" si="747"/>
        <v>4</v>
      </c>
      <c r="GD244" s="116">
        <f t="shared" si="747"/>
        <v>0</v>
      </c>
      <c r="GE244" s="116">
        <f t="shared" si="747"/>
        <v>6</v>
      </c>
      <c r="GF244" s="116">
        <f t="shared" si="747"/>
        <v>4</v>
      </c>
      <c r="GG244" s="116">
        <f t="shared" si="747"/>
        <v>0</v>
      </c>
      <c r="GH244" s="116">
        <f t="shared" si="747"/>
        <v>6</v>
      </c>
      <c r="GI244" s="116">
        <f t="shared" si="747"/>
        <v>4</v>
      </c>
      <c r="GJ244" s="116">
        <f t="shared" si="747"/>
        <v>0</v>
      </c>
      <c r="GK244" s="116">
        <f t="shared" si="747"/>
        <v>6</v>
      </c>
      <c r="GL244" s="116">
        <f t="shared" si="747"/>
        <v>4</v>
      </c>
    </row>
    <row r="245" spans="14:194" ht="15" customHeight="1">
      <c r="N245" s="116">
        <f t="shared" ref="N245:BY245" si="748">N242</f>
        <v>0</v>
      </c>
      <c r="O245" s="116">
        <f t="shared" si="748"/>
        <v>0</v>
      </c>
      <c r="P245" s="116">
        <f t="shared" si="748"/>
        <v>0</v>
      </c>
      <c r="Q245" s="116">
        <f t="shared" si="748"/>
        <v>0</v>
      </c>
      <c r="R245" s="116">
        <f t="shared" si="748"/>
        <v>0</v>
      </c>
      <c r="S245" s="116">
        <f t="shared" si="748"/>
        <v>0</v>
      </c>
      <c r="T245" s="116">
        <f t="shared" si="748"/>
        <v>0</v>
      </c>
      <c r="U245" s="116">
        <f t="shared" si="748"/>
        <v>0</v>
      </c>
      <c r="V245" s="116">
        <f t="shared" si="748"/>
        <v>0</v>
      </c>
      <c r="W245" s="116">
        <f t="shared" si="748"/>
        <v>0</v>
      </c>
      <c r="X245" s="116">
        <f t="shared" si="748"/>
        <v>0</v>
      </c>
      <c r="Y245" s="116">
        <f t="shared" si="748"/>
        <v>0</v>
      </c>
      <c r="Z245" s="116">
        <f t="shared" si="748"/>
        <v>0</v>
      </c>
      <c r="AA245" s="116">
        <f t="shared" si="748"/>
        <v>0</v>
      </c>
      <c r="AB245" s="116">
        <f t="shared" si="748"/>
        <v>0</v>
      </c>
      <c r="AC245" s="116">
        <f t="shared" si="748"/>
        <v>0</v>
      </c>
      <c r="AD245" s="116">
        <f t="shared" si="748"/>
        <v>0</v>
      </c>
      <c r="AE245" s="116">
        <f t="shared" si="748"/>
        <v>0</v>
      </c>
      <c r="AF245" s="116">
        <f t="shared" si="748"/>
        <v>0</v>
      </c>
      <c r="AG245" s="116">
        <f t="shared" si="748"/>
        <v>0</v>
      </c>
      <c r="AH245" s="116">
        <f t="shared" si="748"/>
        <v>0</v>
      </c>
      <c r="AI245" s="116">
        <f t="shared" si="748"/>
        <v>0</v>
      </c>
      <c r="AJ245" s="116">
        <f t="shared" si="748"/>
        <v>0</v>
      </c>
      <c r="AK245" s="116">
        <f t="shared" si="748"/>
        <v>0</v>
      </c>
      <c r="AL245" s="116">
        <f t="shared" si="748"/>
        <v>0</v>
      </c>
      <c r="AM245" s="116">
        <f t="shared" si="748"/>
        <v>0</v>
      </c>
      <c r="AN245" s="116">
        <f t="shared" si="748"/>
        <v>0</v>
      </c>
      <c r="AO245" s="116">
        <f t="shared" si="748"/>
        <v>0</v>
      </c>
      <c r="AP245" s="116">
        <f t="shared" si="748"/>
        <v>0</v>
      </c>
      <c r="AQ245" s="116">
        <f t="shared" si="748"/>
        <v>0</v>
      </c>
      <c r="AR245" s="116">
        <f t="shared" si="748"/>
        <v>0</v>
      </c>
      <c r="AS245" s="116">
        <f t="shared" si="748"/>
        <v>0</v>
      </c>
      <c r="AT245" s="116">
        <f t="shared" si="748"/>
        <v>0</v>
      </c>
      <c r="AU245" s="116">
        <f t="shared" si="748"/>
        <v>0</v>
      </c>
      <c r="AV245" s="116">
        <f t="shared" si="748"/>
        <v>0</v>
      </c>
      <c r="AW245" s="116">
        <f t="shared" si="748"/>
        <v>0</v>
      </c>
      <c r="AX245" s="116">
        <f t="shared" si="748"/>
        <v>0</v>
      </c>
      <c r="AY245" s="116">
        <f t="shared" si="748"/>
        <v>0</v>
      </c>
      <c r="AZ245" s="116">
        <f t="shared" si="748"/>
        <v>0</v>
      </c>
      <c r="BA245" s="116">
        <f t="shared" si="748"/>
        <v>0</v>
      </c>
      <c r="BB245" s="116">
        <f t="shared" si="748"/>
        <v>0</v>
      </c>
      <c r="BC245" s="116">
        <f t="shared" si="748"/>
        <v>0</v>
      </c>
      <c r="BD245" s="116">
        <f t="shared" si="748"/>
        <v>0</v>
      </c>
      <c r="BE245" s="116">
        <f t="shared" si="748"/>
        <v>0</v>
      </c>
      <c r="BF245" s="116">
        <f t="shared" si="748"/>
        <v>0</v>
      </c>
      <c r="BG245" s="116">
        <f t="shared" si="748"/>
        <v>0</v>
      </c>
      <c r="BH245" s="116">
        <f t="shared" si="748"/>
        <v>0</v>
      </c>
      <c r="BI245" s="116">
        <f t="shared" si="748"/>
        <v>0</v>
      </c>
      <c r="BJ245" s="116">
        <f t="shared" si="748"/>
        <v>0</v>
      </c>
      <c r="BK245" s="116">
        <f t="shared" si="748"/>
        <v>0</v>
      </c>
      <c r="BL245" s="116">
        <f t="shared" si="748"/>
        <v>0</v>
      </c>
      <c r="BM245" s="116">
        <f t="shared" si="748"/>
        <v>0</v>
      </c>
      <c r="BN245" s="116">
        <f t="shared" si="748"/>
        <v>0</v>
      </c>
      <c r="BO245" s="116">
        <f t="shared" si="748"/>
        <v>0</v>
      </c>
      <c r="BP245" s="116">
        <f t="shared" si="748"/>
        <v>0</v>
      </c>
      <c r="BQ245" s="116">
        <f t="shared" si="748"/>
        <v>0</v>
      </c>
      <c r="BR245" s="116">
        <f t="shared" si="748"/>
        <v>0</v>
      </c>
      <c r="BS245" s="116">
        <f t="shared" si="748"/>
        <v>0</v>
      </c>
      <c r="BT245" s="116">
        <f t="shared" si="748"/>
        <v>0</v>
      </c>
      <c r="BU245" s="116">
        <f t="shared" si="748"/>
        <v>0</v>
      </c>
      <c r="BV245" s="116">
        <f t="shared" si="748"/>
        <v>0</v>
      </c>
      <c r="BW245" s="116">
        <f t="shared" si="748"/>
        <v>0</v>
      </c>
      <c r="BX245" s="116">
        <f t="shared" si="748"/>
        <v>0</v>
      </c>
      <c r="BY245" s="116">
        <f t="shared" si="748"/>
        <v>0</v>
      </c>
      <c r="BZ245" s="116">
        <f t="shared" ref="BZ245:CP245" si="749">BZ242</f>
        <v>0</v>
      </c>
      <c r="CA245" s="116">
        <f t="shared" si="749"/>
        <v>0</v>
      </c>
      <c r="CB245" s="116">
        <f t="shared" si="749"/>
        <v>0</v>
      </c>
      <c r="CC245" s="116">
        <f t="shared" si="749"/>
        <v>0</v>
      </c>
      <c r="CD245" s="116">
        <f t="shared" si="749"/>
        <v>0</v>
      </c>
      <c r="CE245" s="116">
        <f t="shared" si="749"/>
        <v>0</v>
      </c>
      <c r="CF245" s="116">
        <f t="shared" si="749"/>
        <v>0</v>
      </c>
      <c r="CG245" s="116">
        <f t="shared" si="749"/>
        <v>0</v>
      </c>
      <c r="CH245" s="116">
        <f t="shared" si="749"/>
        <v>0</v>
      </c>
      <c r="CI245" s="116">
        <f t="shared" si="749"/>
        <v>0</v>
      </c>
      <c r="CJ245" s="116">
        <f t="shared" si="749"/>
        <v>0</v>
      </c>
      <c r="CK245" s="116">
        <f t="shared" si="749"/>
        <v>0</v>
      </c>
      <c r="CL245" s="116">
        <f t="shared" si="749"/>
        <v>0</v>
      </c>
      <c r="CM245" s="116">
        <f t="shared" si="749"/>
        <v>0</v>
      </c>
      <c r="CN245" s="116">
        <f t="shared" si="749"/>
        <v>0</v>
      </c>
      <c r="CO245" s="116">
        <f t="shared" si="749"/>
        <v>0</v>
      </c>
      <c r="CP245" s="116">
        <f t="shared" si="749"/>
        <v>0</v>
      </c>
      <c r="DJ245" s="116">
        <f t="shared" ref="DJ245:FU245" si="750">DJ242</f>
        <v>5</v>
      </c>
      <c r="DK245" s="116">
        <f t="shared" si="750"/>
        <v>1</v>
      </c>
      <c r="DL245" s="116">
        <f t="shared" si="750"/>
        <v>0</v>
      </c>
      <c r="DM245" s="116">
        <f t="shared" si="750"/>
        <v>5</v>
      </c>
      <c r="DN245" s="116">
        <f t="shared" si="750"/>
        <v>1</v>
      </c>
      <c r="DO245" s="116">
        <f t="shared" si="750"/>
        <v>0</v>
      </c>
      <c r="DP245" s="116">
        <f t="shared" si="750"/>
        <v>5</v>
      </c>
      <c r="DQ245" s="116">
        <f t="shared" si="750"/>
        <v>1</v>
      </c>
      <c r="DR245" s="116">
        <f t="shared" si="750"/>
        <v>0</v>
      </c>
      <c r="DS245" s="116">
        <f t="shared" si="750"/>
        <v>5</v>
      </c>
      <c r="DT245" s="116">
        <f t="shared" si="750"/>
        <v>1</v>
      </c>
      <c r="DU245" s="116">
        <f t="shared" si="750"/>
        <v>0</v>
      </c>
      <c r="DV245" s="116">
        <f t="shared" si="750"/>
        <v>5</v>
      </c>
      <c r="DW245" s="116">
        <f t="shared" si="750"/>
        <v>1</v>
      </c>
      <c r="DX245" s="116">
        <f t="shared" si="750"/>
        <v>0</v>
      </c>
      <c r="DY245" s="116">
        <f t="shared" si="750"/>
        <v>5</v>
      </c>
      <c r="DZ245" s="116">
        <f t="shared" si="750"/>
        <v>1</v>
      </c>
      <c r="EA245" s="116">
        <f t="shared" si="750"/>
        <v>0</v>
      </c>
      <c r="EB245" s="116">
        <f t="shared" si="750"/>
        <v>5</v>
      </c>
      <c r="EC245" s="116">
        <f t="shared" si="750"/>
        <v>1</v>
      </c>
      <c r="ED245" s="116">
        <f t="shared" si="750"/>
        <v>0</v>
      </c>
      <c r="EE245" s="116">
        <f t="shared" si="750"/>
        <v>5</v>
      </c>
      <c r="EF245" s="116">
        <f t="shared" si="750"/>
        <v>1</v>
      </c>
      <c r="EG245" s="116">
        <f t="shared" si="750"/>
        <v>0</v>
      </c>
      <c r="EH245" s="116">
        <f t="shared" si="750"/>
        <v>5</v>
      </c>
      <c r="EI245" s="116">
        <f t="shared" si="750"/>
        <v>1</v>
      </c>
      <c r="EJ245" s="116">
        <f t="shared" si="750"/>
        <v>0</v>
      </c>
      <c r="EK245" s="116">
        <f t="shared" si="750"/>
        <v>5</v>
      </c>
      <c r="EL245" s="116">
        <f t="shared" si="750"/>
        <v>0</v>
      </c>
      <c r="EM245" s="116">
        <f t="shared" si="750"/>
        <v>0</v>
      </c>
      <c r="EN245" s="116">
        <f t="shared" si="750"/>
        <v>5</v>
      </c>
      <c r="EO245" s="116">
        <f t="shared" si="750"/>
        <v>0</v>
      </c>
      <c r="EP245" s="116">
        <f t="shared" si="750"/>
        <v>0</v>
      </c>
      <c r="EQ245" s="116">
        <f t="shared" si="750"/>
        <v>5</v>
      </c>
      <c r="ER245" s="116">
        <f t="shared" si="750"/>
        <v>0</v>
      </c>
      <c r="ES245" s="116">
        <f t="shared" si="750"/>
        <v>0</v>
      </c>
      <c r="ET245" s="116">
        <f t="shared" si="750"/>
        <v>5</v>
      </c>
      <c r="EU245" s="116">
        <f t="shared" si="750"/>
        <v>0</v>
      </c>
      <c r="EV245" s="116">
        <f t="shared" si="750"/>
        <v>0</v>
      </c>
      <c r="EW245" s="116">
        <f t="shared" si="750"/>
        <v>5</v>
      </c>
      <c r="EX245" s="116">
        <f t="shared" si="750"/>
        <v>0</v>
      </c>
      <c r="EY245" s="116">
        <f t="shared" si="750"/>
        <v>0</v>
      </c>
      <c r="EZ245" s="116">
        <f t="shared" si="750"/>
        <v>5</v>
      </c>
      <c r="FA245" s="116">
        <f t="shared" si="750"/>
        <v>0</v>
      </c>
      <c r="FB245" s="116">
        <f t="shared" si="750"/>
        <v>0</v>
      </c>
      <c r="FC245" s="116">
        <f t="shared" si="750"/>
        <v>5</v>
      </c>
      <c r="FD245" s="116">
        <f t="shared" si="750"/>
        <v>0</v>
      </c>
      <c r="FE245" s="116">
        <f t="shared" si="750"/>
        <v>0</v>
      </c>
      <c r="FF245" s="116">
        <f t="shared" si="750"/>
        <v>5</v>
      </c>
      <c r="FG245" s="116">
        <f t="shared" si="750"/>
        <v>0</v>
      </c>
      <c r="FH245" s="116">
        <f t="shared" si="750"/>
        <v>0</v>
      </c>
      <c r="FI245" s="116">
        <f t="shared" si="750"/>
        <v>5</v>
      </c>
      <c r="FJ245" s="116">
        <f t="shared" si="750"/>
        <v>0</v>
      </c>
      <c r="FK245" s="116">
        <f t="shared" si="750"/>
        <v>0</v>
      </c>
      <c r="FL245" s="116">
        <f t="shared" si="750"/>
        <v>3</v>
      </c>
      <c r="FM245" s="116">
        <f t="shared" si="750"/>
        <v>1</v>
      </c>
      <c r="FN245" s="116">
        <f t="shared" si="750"/>
        <v>3</v>
      </c>
      <c r="FO245" s="116">
        <f t="shared" si="750"/>
        <v>3</v>
      </c>
      <c r="FP245" s="116">
        <f t="shared" si="750"/>
        <v>1</v>
      </c>
      <c r="FQ245" s="116">
        <f t="shared" si="750"/>
        <v>3</v>
      </c>
      <c r="FR245" s="116">
        <f t="shared" si="750"/>
        <v>3</v>
      </c>
      <c r="FS245" s="116">
        <f t="shared" si="750"/>
        <v>1</v>
      </c>
      <c r="FT245" s="116">
        <f t="shared" si="750"/>
        <v>3</v>
      </c>
      <c r="FU245" s="116">
        <f t="shared" si="750"/>
        <v>3</v>
      </c>
      <c r="FV245" s="116">
        <f t="shared" ref="FV245:GL245" si="751">FV242</f>
        <v>1</v>
      </c>
      <c r="FW245" s="116">
        <f t="shared" si="751"/>
        <v>3</v>
      </c>
      <c r="FX245" s="116">
        <f t="shared" si="751"/>
        <v>3</v>
      </c>
      <c r="FY245" s="116">
        <f t="shared" si="751"/>
        <v>1</v>
      </c>
      <c r="FZ245" s="116">
        <f t="shared" si="751"/>
        <v>3</v>
      </c>
      <c r="GA245" s="116">
        <f t="shared" si="751"/>
        <v>3</v>
      </c>
      <c r="GB245" s="116">
        <f t="shared" si="751"/>
        <v>1</v>
      </c>
      <c r="GC245" s="116">
        <f t="shared" si="751"/>
        <v>3</v>
      </c>
      <c r="GD245" s="116">
        <f t="shared" si="751"/>
        <v>3</v>
      </c>
      <c r="GE245" s="116">
        <f t="shared" si="751"/>
        <v>1</v>
      </c>
      <c r="GF245" s="116">
        <f t="shared" si="751"/>
        <v>3</v>
      </c>
      <c r="GG245" s="116">
        <f t="shared" si="751"/>
        <v>3</v>
      </c>
      <c r="GH245" s="116">
        <f t="shared" si="751"/>
        <v>1</v>
      </c>
      <c r="GI245" s="116">
        <f t="shared" si="751"/>
        <v>3</v>
      </c>
      <c r="GJ245" s="116">
        <f t="shared" si="751"/>
        <v>3</v>
      </c>
      <c r="GK245" s="116">
        <f t="shared" si="751"/>
        <v>1</v>
      </c>
      <c r="GL245" s="116">
        <f t="shared" si="751"/>
        <v>3</v>
      </c>
    </row>
    <row r="246" spans="14:194" ht="15" customHeight="1">
      <c r="N246" s="116">
        <f t="shared" ref="N246:BY246" si="752">N243</f>
        <v>0</v>
      </c>
      <c r="O246" s="116">
        <f t="shared" si="752"/>
        <v>0</v>
      </c>
      <c r="P246" s="116">
        <f t="shared" si="752"/>
        <v>0</v>
      </c>
      <c r="Q246" s="116">
        <f t="shared" si="752"/>
        <v>0</v>
      </c>
      <c r="R246" s="116">
        <f t="shared" si="752"/>
        <v>0</v>
      </c>
      <c r="S246" s="116">
        <f t="shared" si="752"/>
        <v>0</v>
      </c>
      <c r="T246" s="116">
        <f t="shared" si="752"/>
        <v>0</v>
      </c>
      <c r="U246" s="116">
        <f t="shared" si="752"/>
        <v>0</v>
      </c>
      <c r="V246" s="116">
        <f t="shared" si="752"/>
        <v>0</v>
      </c>
      <c r="W246" s="116">
        <f t="shared" si="752"/>
        <v>0</v>
      </c>
      <c r="X246" s="116">
        <f t="shared" si="752"/>
        <v>0</v>
      </c>
      <c r="Y246" s="116">
        <f t="shared" si="752"/>
        <v>0</v>
      </c>
      <c r="Z246" s="116">
        <f t="shared" si="752"/>
        <v>0</v>
      </c>
      <c r="AA246" s="116">
        <f t="shared" si="752"/>
        <v>0</v>
      </c>
      <c r="AB246" s="116">
        <f t="shared" si="752"/>
        <v>0</v>
      </c>
      <c r="AC246" s="116">
        <f t="shared" si="752"/>
        <v>0</v>
      </c>
      <c r="AD246" s="116">
        <f t="shared" si="752"/>
        <v>0</v>
      </c>
      <c r="AE246" s="116">
        <f t="shared" si="752"/>
        <v>0</v>
      </c>
      <c r="AF246" s="116">
        <f t="shared" si="752"/>
        <v>0</v>
      </c>
      <c r="AG246" s="116">
        <f t="shared" si="752"/>
        <v>0</v>
      </c>
      <c r="AH246" s="116">
        <f t="shared" si="752"/>
        <v>0</v>
      </c>
      <c r="AI246" s="116">
        <f t="shared" si="752"/>
        <v>0</v>
      </c>
      <c r="AJ246" s="116">
        <f t="shared" si="752"/>
        <v>0</v>
      </c>
      <c r="AK246" s="116">
        <f t="shared" si="752"/>
        <v>0</v>
      </c>
      <c r="AL246" s="116">
        <f t="shared" si="752"/>
        <v>0</v>
      </c>
      <c r="AM246" s="116">
        <f t="shared" si="752"/>
        <v>0</v>
      </c>
      <c r="AN246" s="116">
        <f t="shared" si="752"/>
        <v>0</v>
      </c>
      <c r="AO246" s="116">
        <f t="shared" si="752"/>
        <v>0</v>
      </c>
      <c r="AP246" s="116">
        <f t="shared" si="752"/>
        <v>0</v>
      </c>
      <c r="AQ246" s="116">
        <f t="shared" si="752"/>
        <v>0</v>
      </c>
      <c r="AR246" s="116">
        <f t="shared" si="752"/>
        <v>0</v>
      </c>
      <c r="AS246" s="116">
        <f t="shared" si="752"/>
        <v>0</v>
      </c>
      <c r="AT246" s="116">
        <f t="shared" si="752"/>
        <v>0</v>
      </c>
      <c r="AU246" s="116">
        <f t="shared" si="752"/>
        <v>0</v>
      </c>
      <c r="AV246" s="116">
        <f t="shared" si="752"/>
        <v>0</v>
      </c>
      <c r="AW246" s="116">
        <f t="shared" si="752"/>
        <v>0</v>
      </c>
      <c r="AX246" s="116">
        <f t="shared" si="752"/>
        <v>0</v>
      </c>
      <c r="AY246" s="116">
        <f t="shared" si="752"/>
        <v>0</v>
      </c>
      <c r="AZ246" s="116">
        <f t="shared" si="752"/>
        <v>0</v>
      </c>
      <c r="BA246" s="116">
        <f t="shared" si="752"/>
        <v>0</v>
      </c>
      <c r="BB246" s="116">
        <f t="shared" si="752"/>
        <v>0</v>
      </c>
      <c r="BC246" s="116">
        <f t="shared" si="752"/>
        <v>0</v>
      </c>
      <c r="BD246" s="116">
        <f t="shared" si="752"/>
        <v>0</v>
      </c>
      <c r="BE246" s="116">
        <f t="shared" si="752"/>
        <v>0</v>
      </c>
      <c r="BF246" s="116">
        <f t="shared" si="752"/>
        <v>0</v>
      </c>
      <c r="BG246" s="116">
        <f t="shared" si="752"/>
        <v>0</v>
      </c>
      <c r="BH246" s="116">
        <f t="shared" si="752"/>
        <v>0</v>
      </c>
      <c r="BI246" s="116">
        <f t="shared" si="752"/>
        <v>0</v>
      </c>
      <c r="BJ246" s="116">
        <f t="shared" si="752"/>
        <v>0</v>
      </c>
      <c r="BK246" s="116">
        <f t="shared" si="752"/>
        <v>0</v>
      </c>
      <c r="BL246" s="116">
        <f t="shared" si="752"/>
        <v>0</v>
      </c>
      <c r="BM246" s="116">
        <f t="shared" si="752"/>
        <v>0</v>
      </c>
      <c r="BN246" s="116">
        <f t="shared" si="752"/>
        <v>0</v>
      </c>
      <c r="BO246" s="116">
        <f t="shared" si="752"/>
        <v>0</v>
      </c>
      <c r="BP246" s="116">
        <f t="shared" si="752"/>
        <v>0</v>
      </c>
      <c r="BQ246" s="116">
        <f t="shared" si="752"/>
        <v>0</v>
      </c>
      <c r="BR246" s="116">
        <f t="shared" si="752"/>
        <v>0</v>
      </c>
      <c r="BS246" s="116">
        <f t="shared" si="752"/>
        <v>0</v>
      </c>
      <c r="BT246" s="116">
        <f t="shared" si="752"/>
        <v>0</v>
      </c>
      <c r="BU246" s="116">
        <f t="shared" si="752"/>
        <v>0</v>
      </c>
      <c r="BV246" s="116">
        <f t="shared" si="752"/>
        <v>0</v>
      </c>
      <c r="BW246" s="116">
        <f t="shared" si="752"/>
        <v>0</v>
      </c>
      <c r="BX246" s="116">
        <f t="shared" si="752"/>
        <v>0</v>
      </c>
      <c r="BY246" s="116">
        <f t="shared" si="752"/>
        <v>0</v>
      </c>
      <c r="BZ246" s="116">
        <f t="shared" ref="BZ246:CP246" si="753">BZ243</f>
        <v>0</v>
      </c>
      <c r="CA246" s="116">
        <f t="shared" si="753"/>
        <v>0</v>
      </c>
      <c r="CB246" s="116">
        <f t="shared" si="753"/>
        <v>0</v>
      </c>
      <c r="CC246" s="116">
        <f t="shared" si="753"/>
        <v>0</v>
      </c>
      <c r="CD246" s="116">
        <f t="shared" si="753"/>
        <v>0</v>
      </c>
      <c r="CE246" s="116">
        <f t="shared" si="753"/>
        <v>0</v>
      </c>
      <c r="CF246" s="116">
        <f t="shared" si="753"/>
        <v>0</v>
      </c>
      <c r="CG246" s="116">
        <f t="shared" si="753"/>
        <v>0</v>
      </c>
      <c r="CH246" s="116">
        <f t="shared" si="753"/>
        <v>0</v>
      </c>
      <c r="CI246" s="116">
        <f t="shared" si="753"/>
        <v>0</v>
      </c>
      <c r="CJ246" s="116">
        <f t="shared" si="753"/>
        <v>0</v>
      </c>
      <c r="CK246" s="116">
        <f t="shared" si="753"/>
        <v>0</v>
      </c>
      <c r="CL246" s="116">
        <f t="shared" si="753"/>
        <v>0</v>
      </c>
      <c r="CM246" s="116">
        <f t="shared" si="753"/>
        <v>0</v>
      </c>
      <c r="CN246" s="116">
        <f t="shared" si="753"/>
        <v>0</v>
      </c>
      <c r="CO246" s="116">
        <f t="shared" si="753"/>
        <v>0</v>
      </c>
      <c r="CP246" s="116">
        <f t="shared" si="753"/>
        <v>0</v>
      </c>
      <c r="DJ246" s="116">
        <f t="shared" ref="DJ246:FU246" si="754">DJ243</f>
        <v>1</v>
      </c>
      <c r="DK246" s="116">
        <f t="shared" si="754"/>
        <v>0</v>
      </c>
      <c r="DL246" s="116">
        <f t="shared" si="754"/>
        <v>0</v>
      </c>
      <c r="DM246" s="116">
        <f t="shared" si="754"/>
        <v>1</v>
      </c>
      <c r="DN246" s="116">
        <f t="shared" si="754"/>
        <v>0</v>
      </c>
      <c r="DO246" s="116">
        <f t="shared" si="754"/>
        <v>0</v>
      </c>
      <c r="DP246" s="116">
        <f t="shared" si="754"/>
        <v>1</v>
      </c>
      <c r="DQ246" s="116">
        <f t="shared" si="754"/>
        <v>0</v>
      </c>
      <c r="DR246" s="116">
        <f t="shared" si="754"/>
        <v>0</v>
      </c>
      <c r="DS246" s="116">
        <f t="shared" si="754"/>
        <v>1</v>
      </c>
      <c r="DT246" s="116">
        <f t="shared" si="754"/>
        <v>0</v>
      </c>
      <c r="DU246" s="116">
        <f t="shared" si="754"/>
        <v>0</v>
      </c>
      <c r="DV246" s="116">
        <f t="shared" si="754"/>
        <v>1</v>
      </c>
      <c r="DW246" s="116">
        <f t="shared" si="754"/>
        <v>0</v>
      </c>
      <c r="DX246" s="116">
        <f t="shared" si="754"/>
        <v>0</v>
      </c>
      <c r="DY246" s="116">
        <f t="shared" si="754"/>
        <v>1</v>
      </c>
      <c r="DZ246" s="116">
        <f t="shared" si="754"/>
        <v>0</v>
      </c>
      <c r="EA246" s="116">
        <f t="shared" si="754"/>
        <v>0</v>
      </c>
      <c r="EB246" s="116">
        <f t="shared" si="754"/>
        <v>1</v>
      </c>
      <c r="EC246" s="116">
        <f t="shared" si="754"/>
        <v>0</v>
      </c>
      <c r="ED246" s="116">
        <f t="shared" si="754"/>
        <v>0</v>
      </c>
      <c r="EE246" s="116">
        <f t="shared" si="754"/>
        <v>1</v>
      </c>
      <c r="EF246" s="116">
        <f t="shared" si="754"/>
        <v>0</v>
      </c>
      <c r="EG246" s="116">
        <f t="shared" si="754"/>
        <v>0</v>
      </c>
      <c r="EH246" s="116">
        <f t="shared" si="754"/>
        <v>1</v>
      </c>
      <c r="EI246" s="116">
        <f t="shared" si="754"/>
        <v>0</v>
      </c>
      <c r="EJ246" s="116">
        <f t="shared" si="754"/>
        <v>0</v>
      </c>
      <c r="EK246" s="116">
        <f t="shared" si="754"/>
        <v>1</v>
      </c>
      <c r="EL246" s="116">
        <f t="shared" si="754"/>
        <v>0</v>
      </c>
      <c r="EM246" s="116">
        <f t="shared" si="754"/>
        <v>0</v>
      </c>
      <c r="EN246" s="116">
        <f t="shared" si="754"/>
        <v>1</v>
      </c>
      <c r="EO246" s="116">
        <f t="shared" si="754"/>
        <v>0</v>
      </c>
      <c r="EP246" s="116">
        <f t="shared" si="754"/>
        <v>0</v>
      </c>
      <c r="EQ246" s="116">
        <f t="shared" si="754"/>
        <v>1</v>
      </c>
      <c r="ER246" s="116">
        <f t="shared" si="754"/>
        <v>0</v>
      </c>
      <c r="ES246" s="116">
        <f t="shared" si="754"/>
        <v>0</v>
      </c>
      <c r="ET246" s="116">
        <f t="shared" si="754"/>
        <v>1</v>
      </c>
      <c r="EU246" s="116">
        <f t="shared" si="754"/>
        <v>0</v>
      </c>
      <c r="EV246" s="116">
        <f t="shared" si="754"/>
        <v>0</v>
      </c>
      <c r="EW246" s="116">
        <f t="shared" si="754"/>
        <v>1</v>
      </c>
      <c r="EX246" s="116">
        <f t="shared" si="754"/>
        <v>0</v>
      </c>
      <c r="EY246" s="116">
        <f t="shared" si="754"/>
        <v>0</v>
      </c>
      <c r="EZ246" s="116">
        <f t="shared" si="754"/>
        <v>1</v>
      </c>
      <c r="FA246" s="116">
        <f t="shared" si="754"/>
        <v>0</v>
      </c>
      <c r="FB246" s="116">
        <f t="shared" si="754"/>
        <v>0</v>
      </c>
      <c r="FC246" s="116">
        <f t="shared" si="754"/>
        <v>1</v>
      </c>
      <c r="FD246" s="116">
        <f t="shared" si="754"/>
        <v>0</v>
      </c>
      <c r="FE246" s="116">
        <f t="shared" si="754"/>
        <v>0</v>
      </c>
      <c r="FF246" s="116">
        <f t="shared" si="754"/>
        <v>1</v>
      </c>
      <c r="FG246" s="116">
        <f t="shared" si="754"/>
        <v>0</v>
      </c>
      <c r="FH246" s="116">
        <f t="shared" si="754"/>
        <v>0</v>
      </c>
      <c r="FI246" s="116">
        <f t="shared" si="754"/>
        <v>1</v>
      </c>
      <c r="FJ246" s="116">
        <f t="shared" si="754"/>
        <v>0</v>
      </c>
      <c r="FK246" s="116">
        <f t="shared" si="754"/>
        <v>0</v>
      </c>
      <c r="FL246" s="116">
        <f t="shared" si="754"/>
        <v>0</v>
      </c>
      <c r="FM246" s="116">
        <f t="shared" si="754"/>
        <v>4</v>
      </c>
      <c r="FN246" s="116">
        <f t="shared" si="754"/>
        <v>0</v>
      </c>
      <c r="FO246" s="116">
        <f t="shared" si="754"/>
        <v>0</v>
      </c>
      <c r="FP246" s="116">
        <f t="shared" si="754"/>
        <v>4</v>
      </c>
      <c r="FQ246" s="116">
        <f t="shared" si="754"/>
        <v>0</v>
      </c>
      <c r="FR246" s="116">
        <f t="shared" si="754"/>
        <v>0</v>
      </c>
      <c r="FS246" s="116">
        <f t="shared" si="754"/>
        <v>4</v>
      </c>
      <c r="FT246" s="116">
        <f t="shared" si="754"/>
        <v>0</v>
      </c>
      <c r="FU246" s="116">
        <f t="shared" si="754"/>
        <v>0</v>
      </c>
      <c r="FV246" s="116">
        <f t="shared" ref="FV246:GL246" si="755">FV243</f>
        <v>4</v>
      </c>
      <c r="FW246" s="116">
        <f t="shared" si="755"/>
        <v>0</v>
      </c>
      <c r="FX246" s="116">
        <f t="shared" si="755"/>
        <v>0</v>
      </c>
      <c r="FY246" s="116">
        <f t="shared" si="755"/>
        <v>4</v>
      </c>
      <c r="FZ246" s="116">
        <f t="shared" si="755"/>
        <v>0</v>
      </c>
      <c r="GA246" s="116">
        <f t="shared" si="755"/>
        <v>0</v>
      </c>
      <c r="GB246" s="116">
        <f t="shared" si="755"/>
        <v>4</v>
      </c>
      <c r="GC246" s="116">
        <f t="shared" si="755"/>
        <v>0</v>
      </c>
      <c r="GD246" s="116">
        <f t="shared" si="755"/>
        <v>0</v>
      </c>
      <c r="GE246" s="116">
        <f t="shared" si="755"/>
        <v>4</v>
      </c>
      <c r="GF246" s="116">
        <f t="shared" si="755"/>
        <v>0</v>
      </c>
      <c r="GG246" s="116">
        <f t="shared" si="755"/>
        <v>0</v>
      </c>
      <c r="GH246" s="116">
        <f t="shared" si="755"/>
        <v>4</v>
      </c>
      <c r="GI246" s="116">
        <f t="shared" si="755"/>
        <v>0</v>
      </c>
      <c r="GJ246" s="116">
        <f t="shared" si="755"/>
        <v>0</v>
      </c>
      <c r="GK246" s="116">
        <f t="shared" si="755"/>
        <v>4</v>
      </c>
      <c r="GL246" s="116">
        <f t="shared" si="755"/>
        <v>0</v>
      </c>
    </row>
    <row r="247" spans="14:194" ht="15" customHeight="1">
      <c r="N247" s="116">
        <f t="shared" ref="N247:BY247" si="756">N244</f>
        <v>0</v>
      </c>
      <c r="O247" s="116">
        <f t="shared" si="756"/>
        <v>0</v>
      </c>
      <c r="P247" s="116">
        <f t="shared" si="756"/>
        <v>0</v>
      </c>
      <c r="Q247" s="116">
        <f t="shared" si="756"/>
        <v>0</v>
      </c>
      <c r="R247" s="116">
        <f t="shared" si="756"/>
        <v>0</v>
      </c>
      <c r="S247" s="116">
        <f t="shared" si="756"/>
        <v>0</v>
      </c>
      <c r="T247" s="116">
        <f t="shared" si="756"/>
        <v>0</v>
      </c>
      <c r="U247" s="116">
        <f t="shared" si="756"/>
        <v>0</v>
      </c>
      <c r="V247" s="116">
        <f t="shared" si="756"/>
        <v>0</v>
      </c>
      <c r="W247" s="116">
        <f t="shared" si="756"/>
        <v>0</v>
      </c>
      <c r="X247" s="116">
        <f t="shared" si="756"/>
        <v>0</v>
      </c>
      <c r="Y247" s="116">
        <f t="shared" si="756"/>
        <v>0</v>
      </c>
      <c r="Z247" s="116">
        <f t="shared" si="756"/>
        <v>0</v>
      </c>
      <c r="AA247" s="116">
        <f t="shared" si="756"/>
        <v>0</v>
      </c>
      <c r="AB247" s="116">
        <f t="shared" si="756"/>
        <v>0</v>
      </c>
      <c r="AC247" s="116">
        <f t="shared" si="756"/>
        <v>0</v>
      </c>
      <c r="AD247" s="116">
        <f t="shared" si="756"/>
        <v>0</v>
      </c>
      <c r="AE247" s="116">
        <f t="shared" si="756"/>
        <v>0</v>
      </c>
      <c r="AF247" s="116">
        <f t="shared" si="756"/>
        <v>0</v>
      </c>
      <c r="AG247" s="116">
        <f t="shared" si="756"/>
        <v>0</v>
      </c>
      <c r="AH247" s="116">
        <f t="shared" si="756"/>
        <v>0</v>
      </c>
      <c r="AI247" s="116">
        <f t="shared" si="756"/>
        <v>0</v>
      </c>
      <c r="AJ247" s="116">
        <f t="shared" si="756"/>
        <v>0</v>
      </c>
      <c r="AK247" s="116">
        <f t="shared" si="756"/>
        <v>0</v>
      </c>
      <c r="AL247" s="116">
        <f t="shared" si="756"/>
        <v>0</v>
      </c>
      <c r="AM247" s="116">
        <f t="shared" si="756"/>
        <v>0</v>
      </c>
      <c r="AN247" s="116">
        <f t="shared" si="756"/>
        <v>0</v>
      </c>
      <c r="AO247" s="116">
        <f t="shared" si="756"/>
        <v>0</v>
      </c>
      <c r="AP247" s="116">
        <f t="shared" si="756"/>
        <v>0</v>
      </c>
      <c r="AQ247" s="116">
        <f t="shared" si="756"/>
        <v>0</v>
      </c>
      <c r="AR247" s="116">
        <f t="shared" si="756"/>
        <v>0</v>
      </c>
      <c r="AS247" s="116">
        <f t="shared" si="756"/>
        <v>0</v>
      </c>
      <c r="AT247" s="116">
        <f t="shared" si="756"/>
        <v>0</v>
      </c>
      <c r="AU247" s="116">
        <f t="shared" si="756"/>
        <v>0</v>
      </c>
      <c r="AV247" s="116">
        <f t="shared" si="756"/>
        <v>0</v>
      </c>
      <c r="AW247" s="116">
        <f t="shared" si="756"/>
        <v>0</v>
      </c>
      <c r="AX247" s="116">
        <f t="shared" si="756"/>
        <v>0</v>
      </c>
      <c r="AY247" s="116">
        <f t="shared" si="756"/>
        <v>0</v>
      </c>
      <c r="AZ247" s="116">
        <f t="shared" si="756"/>
        <v>0</v>
      </c>
      <c r="BA247" s="116">
        <f t="shared" si="756"/>
        <v>0</v>
      </c>
      <c r="BB247" s="116">
        <f t="shared" si="756"/>
        <v>0</v>
      </c>
      <c r="BC247" s="116">
        <f t="shared" si="756"/>
        <v>0</v>
      </c>
      <c r="BD247" s="116">
        <f t="shared" si="756"/>
        <v>0</v>
      </c>
      <c r="BE247" s="116">
        <f t="shared" si="756"/>
        <v>0</v>
      </c>
      <c r="BF247" s="116">
        <f t="shared" si="756"/>
        <v>0</v>
      </c>
      <c r="BG247" s="116">
        <f t="shared" si="756"/>
        <v>0</v>
      </c>
      <c r="BH247" s="116">
        <f t="shared" si="756"/>
        <v>0</v>
      </c>
      <c r="BI247" s="116">
        <f t="shared" si="756"/>
        <v>0</v>
      </c>
      <c r="BJ247" s="116">
        <f t="shared" si="756"/>
        <v>0</v>
      </c>
      <c r="BK247" s="116">
        <f t="shared" si="756"/>
        <v>0</v>
      </c>
      <c r="BL247" s="116">
        <f t="shared" si="756"/>
        <v>0</v>
      </c>
      <c r="BM247" s="116">
        <f t="shared" si="756"/>
        <v>0</v>
      </c>
      <c r="BN247" s="116">
        <f t="shared" si="756"/>
        <v>0</v>
      </c>
      <c r="BO247" s="116">
        <f t="shared" si="756"/>
        <v>0</v>
      </c>
      <c r="BP247" s="116">
        <f t="shared" si="756"/>
        <v>0</v>
      </c>
      <c r="BQ247" s="116">
        <f t="shared" si="756"/>
        <v>0</v>
      </c>
      <c r="BR247" s="116">
        <f t="shared" si="756"/>
        <v>0</v>
      </c>
      <c r="BS247" s="116">
        <f t="shared" si="756"/>
        <v>0</v>
      </c>
      <c r="BT247" s="116">
        <f t="shared" si="756"/>
        <v>0</v>
      </c>
      <c r="BU247" s="116">
        <f t="shared" si="756"/>
        <v>0</v>
      </c>
      <c r="BV247" s="116">
        <f t="shared" si="756"/>
        <v>0</v>
      </c>
      <c r="BW247" s="116">
        <f t="shared" si="756"/>
        <v>0</v>
      </c>
      <c r="BX247" s="116">
        <f t="shared" si="756"/>
        <v>0</v>
      </c>
      <c r="BY247" s="116">
        <f t="shared" si="756"/>
        <v>0</v>
      </c>
      <c r="BZ247" s="116">
        <f t="shared" ref="BZ247:CP247" si="757">BZ244</f>
        <v>0</v>
      </c>
      <c r="CA247" s="116">
        <f t="shared" si="757"/>
        <v>0</v>
      </c>
      <c r="CB247" s="116">
        <f t="shared" si="757"/>
        <v>0</v>
      </c>
      <c r="CC247" s="116">
        <f t="shared" si="757"/>
        <v>0</v>
      </c>
      <c r="CD247" s="116">
        <f t="shared" si="757"/>
        <v>0</v>
      </c>
      <c r="CE247" s="116">
        <f t="shared" si="757"/>
        <v>0</v>
      </c>
      <c r="CF247" s="116">
        <f t="shared" si="757"/>
        <v>0</v>
      </c>
      <c r="CG247" s="116">
        <f t="shared" si="757"/>
        <v>0</v>
      </c>
      <c r="CH247" s="116">
        <f t="shared" si="757"/>
        <v>0</v>
      </c>
      <c r="CI247" s="116">
        <f t="shared" si="757"/>
        <v>0</v>
      </c>
      <c r="CJ247" s="116">
        <f t="shared" si="757"/>
        <v>0</v>
      </c>
      <c r="CK247" s="116">
        <f t="shared" si="757"/>
        <v>0</v>
      </c>
      <c r="CL247" s="116">
        <f t="shared" si="757"/>
        <v>0</v>
      </c>
      <c r="CM247" s="116">
        <f t="shared" si="757"/>
        <v>0</v>
      </c>
      <c r="CN247" s="116">
        <f t="shared" si="757"/>
        <v>0</v>
      </c>
      <c r="CO247" s="116">
        <f t="shared" si="757"/>
        <v>0</v>
      </c>
      <c r="CP247" s="116">
        <f t="shared" si="757"/>
        <v>0</v>
      </c>
      <c r="DJ247" s="116">
        <f t="shared" ref="DJ247:FU247" si="758">DJ244</f>
        <v>5</v>
      </c>
      <c r="DK247" s="116">
        <f t="shared" si="758"/>
        <v>4</v>
      </c>
      <c r="DL247" s="116">
        <f t="shared" si="758"/>
        <v>0</v>
      </c>
      <c r="DM247" s="116">
        <f t="shared" si="758"/>
        <v>5</v>
      </c>
      <c r="DN247" s="116">
        <f t="shared" si="758"/>
        <v>4</v>
      </c>
      <c r="DO247" s="116">
        <f t="shared" si="758"/>
        <v>0</v>
      </c>
      <c r="DP247" s="116">
        <f t="shared" si="758"/>
        <v>5</v>
      </c>
      <c r="DQ247" s="116">
        <f t="shared" si="758"/>
        <v>4</v>
      </c>
      <c r="DR247" s="116">
        <f t="shared" si="758"/>
        <v>0</v>
      </c>
      <c r="DS247" s="116">
        <f t="shared" si="758"/>
        <v>5</v>
      </c>
      <c r="DT247" s="116">
        <f t="shared" si="758"/>
        <v>4</v>
      </c>
      <c r="DU247" s="116">
        <f t="shared" si="758"/>
        <v>0</v>
      </c>
      <c r="DV247" s="116">
        <f t="shared" si="758"/>
        <v>5</v>
      </c>
      <c r="DW247" s="116">
        <f t="shared" si="758"/>
        <v>4</v>
      </c>
      <c r="DX247" s="116">
        <f t="shared" si="758"/>
        <v>0</v>
      </c>
      <c r="DY247" s="116">
        <f t="shared" si="758"/>
        <v>5</v>
      </c>
      <c r="DZ247" s="116">
        <f t="shared" si="758"/>
        <v>4</v>
      </c>
      <c r="EA247" s="116">
        <f t="shared" si="758"/>
        <v>0</v>
      </c>
      <c r="EB247" s="116">
        <f t="shared" si="758"/>
        <v>5</v>
      </c>
      <c r="EC247" s="116">
        <f t="shared" si="758"/>
        <v>4</v>
      </c>
      <c r="ED247" s="116">
        <f t="shared" si="758"/>
        <v>0</v>
      </c>
      <c r="EE247" s="116">
        <f t="shared" si="758"/>
        <v>5</v>
      </c>
      <c r="EF247" s="116">
        <f t="shared" si="758"/>
        <v>4</v>
      </c>
      <c r="EG247" s="116">
        <f t="shared" si="758"/>
        <v>0</v>
      </c>
      <c r="EH247" s="116">
        <f t="shared" si="758"/>
        <v>5</v>
      </c>
      <c r="EI247" s="116">
        <f t="shared" si="758"/>
        <v>4</v>
      </c>
      <c r="EJ247" s="116">
        <f t="shared" si="758"/>
        <v>0</v>
      </c>
      <c r="EK247" s="116">
        <f t="shared" si="758"/>
        <v>5</v>
      </c>
      <c r="EL247" s="116">
        <f t="shared" si="758"/>
        <v>4</v>
      </c>
      <c r="EM247" s="116">
        <f t="shared" si="758"/>
        <v>3</v>
      </c>
      <c r="EN247" s="116">
        <f t="shared" si="758"/>
        <v>5</v>
      </c>
      <c r="EO247" s="116">
        <f t="shared" si="758"/>
        <v>4</v>
      </c>
      <c r="EP247" s="116">
        <f t="shared" si="758"/>
        <v>3</v>
      </c>
      <c r="EQ247" s="116">
        <f t="shared" si="758"/>
        <v>5</v>
      </c>
      <c r="ER247" s="116">
        <f t="shared" si="758"/>
        <v>4</v>
      </c>
      <c r="ES247" s="116">
        <f t="shared" si="758"/>
        <v>3</v>
      </c>
      <c r="ET247" s="116">
        <f t="shared" si="758"/>
        <v>5</v>
      </c>
      <c r="EU247" s="116">
        <f t="shared" si="758"/>
        <v>4</v>
      </c>
      <c r="EV247" s="116">
        <f t="shared" si="758"/>
        <v>3</v>
      </c>
      <c r="EW247" s="116">
        <f t="shared" si="758"/>
        <v>5</v>
      </c>
      <c r="EX247" s="116">
        <f t="shared" si="758"/>
        <v>4</v>
      </c>
      <c r="EY247" s="116">
        <f t="shared" si="758"/>
        <v>3</v>
      </c>
      <c r="EZ247" s="116">
        <f t="shared" si="758"/>
        <v>5</v>
      </c>
      <c r="FA247" s="116">
        <f t="shared" si="758"/>
        <v>4</v>
      </c>
      <c r="FB247" s="116">
        <f t="shared" si="758"/>
        <v>3</v>
      </c>
      <c r="FC247" s="116">
        <f t="shared" si="758"/>
        <v>5</v>
      </c>
      <c r="FD247" s="116">
        <f t="shared" si="758"/>
        <v>4</v>
      </c>
      <c r="FE247" s="116">
        <f t="shared" si="758"/>
        <v>3</v>
      </c>
      <c r="FF247" s="116">
        <f t="shared" si="758"/>
        <v>5</v>
      </c>
      <c r="FG247" s="116">
        <f t="shared" si="758"/>
        <v>4</v>
      </c>
      <c r="FH247" s="116">
        <f t="shared" si="758"/>
        <v>3</v>
      </c>
      <c r="FI247" s="116">
        <f t="shared" si="758"/>
        <v>5</v>
      </c>
      <c r="FJ247" s="116">
        <f t="shared" si="758"/>
        <v>4</v>
      </c>
      <c r="FK247" s="116">
        <f t="shared" si="758"/>
        <v>3</v>
      </c>
      <c r="FL247" s="116">
        <f t="shared" si="758"/>
        <v>0</v>
      </c>
      <c r="FM247" s="116">
        <f t="shared" si="758"/>
        <v>6</v>
      </c>
      <c r="FN247" s="116">
        <f t="shared" si="758"/>
        <v>4</v>
      </c>
      <c r="FO247" s="116">
        <f t="shared" si="758"/>
        <v>0</v>
      </c>
      <c r="FP247" s="116">
        <f t="shared" si="758"/>
        <v>6</v>
      </c>
      <c r="FQ247" s="116">
        <f t="shared" si="758"/>
        <v>4</v>
      </c>
      <c r="FR247" s="116">
        <f t="shared" si="758"/>
        <v>0</v>
      </c>
      <c r="FS247" s="116">
        <f t="shared" si="758"/>
        <v>6</v>
      </c>
      <c r="FT247" s="116">
        <f t="shared" si="758"/>
        <v>4</v>
      </c>
      <c r="FU247" s="116">
        <f t="shared" si="758"/>
        <v>0</v>
      </c>
      <c r="FV247" s="116">
        <f t="shared" ref="FV247:GL247" si="759">FV244</f>
        <v>6</v>
      </c>
      <c r="FW247" s="116">
        <f t="shared" si="759"/>
        <v>4</v>
      </c>
      <c r="FX247" s="116">
        <f t="shared" si="759"/>
        <v>0</v>
      </c>
      <c r="FY247" s="116">
        <f t="shared" si="759"/>
        <v>6</v>
      </c>
      <c r="FZ247" s="116">
        <f t="shared" si="759"/>
        <v>4</v>
      </c>
      <c r="GA247" s="116">
        <f t="shared" si="759"/>
        <v>0</v>
      </c>
      <c r="GB247" s="116">
        <f t="shared" si="759"/>
        <v>6</v>
      </c>
      <c r="GC247" s="116">
        <f t="shared" si="759"/>
        <v>4</v>
      </c>
      <c r="GD247" s="116">
        <f t="shared" si="759"/>
        <v>0</v>
      </c>
      <c r="GE247" s="116">
        <f t="shared" si="759"/>
        <v>6</v>
      </c>
      <c r="GF247" s="116">
        <f t="shared" si="759"/>
        <v>4</v>
      </c>
      <c r="GG247" s="116">
        <f t="shared" si="759"/>
        <v>0</v>
      </c>
      <c r="GH247" s="116">
        <f t="shared" si="759"/>
        <v>6</v>
      </c>
      <c r="GI247" s="116">
        <f t="shared" si="759"/>
        <v>4</v>
      </c>
      <c r="GJ247" s="116">
        <f t="shared" si="759"/>
        <v>0</v>
      </c>
      <c r="GK247" s="116">
        <f t="shared" si="759"/>
        <v>6</v>
      </c>
      <c r="GL247" s="116">
        <f t="shared" si="759"/>
        <v>4</v>
      </c>
    </row>
    <row r="248" spans="14:194" ht="15" customHeight="1">
      <c r="N248" s="116">
        <f t="shared" ref="N248:BY248" si="760">N245</f>
        <v>0</v>
      </c>
      <c r="O248" s="116">
        <f t="shared" si="760"/>
        <v>0</v>
      </c>
      <c r="P248" s="116">
        <f t="shared" si="760"/>
        <v>0</v>
      </c>
      <c r="Q248" s="116">
        <f t="shared" si="760"/>
        <v>0</v>
      </c>
      <c r="R248" s="116">
        <f t="shared" si="760"/>
        <v>0</v>
      </c>
      <c r="S248" s="116">
        <f t="shared" si="760"/>
        <v>0</v>
      </c>
      <c r="T248" s="116">
        <f t="shared" si="760"/>
        <v>0</v>
      </c>
      <c r="U248" s="116">
        <f t="shared" si="760"/>
        <v>0</v>
      </c>
      <c r="V248" s="116">
        <f t="shared" si="760"/>
        <v>0</v>
      </c>
      <c r="W248" s="116">
        <f t="shared" si="760"/>
        <v>0</v>
      </c>
      <c r="X248" s="116">
        <f t="shared" si="760"/>
        <v>0</v>
      </c>
      <c r="Y248" s="116">
        <f t="shared" si="760"/>
        <v>0</v>
      </c>
      <c r="Z248" s="116">
        <f t="shared" si="760"/>
        <v>0</v>
      </c>
      <c r="AA248" s="116">
        <f t="shared" si="760"/>
        <v>0</v>
      </c>
      <c r="AB248" s="116">
        <f t="shared" si="760"/>
        <v>0</v>
      </c>
      <c r="AC248" s="116">
        <f t="shared" si="760"/>
        <v>0</v>
      </c>
      <c r="AD248" s="116">
        <f t="shared" si="760"/>
        <v>0</v>
      </c>
      <c r="AE248" s="116">
        <f t="shared" si="760"/>
        <v>0</v>
      </c>
      <c r="AF248" s="116">
        <f t="shared" si="760"/>
        <v>0</v>
      </c>
      <c r="AG248" s="116">
        <f t="shared" si="760"/>
        <v>0</v>
      </c>
      <c r="AH248" s="116">
        <f t="shared" si="760"/>
        <v>0</v>
      </c>
      <c r="AI248" s="116">
        <f t="shared" si="760"/>
        <v>0</v>
      </c>
      <c r="AJ248" s="116">
        <f t="shared" si="760"/>
        <v>0</v>
      </c>
      <c r="AK248" s="116">
        <f t="shared" si="760"/>
        <v>0</v>
      </c>
      <c r="AL248" s="116">
        <f t="shared" si="760"/>
        <v>0</v>
      </c>
      <c r="AM248" s="116">
        <f t="shared" si="760"/>
        <v>0</v>
      </c>
      <c r="AN248" s="116">
        <f t="shared" si="760"/>
        <v>0</v>
      </c>
      <c r="AO248" s="116">
        <f t="shared" si="760"/>
        <v>0</v>
      </c>
      <c r="AP248" s="116">
        <f t="shared" si="760"/>
        <v>0</v>
      </c>
      <c r="AQ248" s="116">
        <f t="shared" si="760"/>
        <v>0</v>
      </c>
      <c r="AR248" s="116">
        <f t="shared" si="760"/>
        <v>0</v>
      </c>
      <c r="AS248" s="116">
        <f t="shared" si="760"/>
        <v>0</v>
      </c>
      <c r="AT248" s="116">
        <f t="shared" si="760"/>
        <v>0</v>
      </c>
      <c r="AU248" s="116">
        <f t="shared" si="760"/>
        <v>0</v>
      </c>
      <c r="AV248" s="116">
        <f t="shared" si="760"/>
        <v>0</v>
      </c>
      <c r="AW248" s="116">
        <f t="shared" si="760"/>
        <v>0</v>
      </c>
      <c r="AX248" s="116">
        <f t="shared" si="760"/>
        <v>0</v>
      </c>
      <c r="AY248" s="116">
        <f t="shared" si="760"/>
        <v>0</v>
      </c>
      <c r="AZ248" s="116">
        <f t="shared" si="760"/>
        <v>0</v>
      </c>
      <c r="BA248" s="116">
        <f t="shared" si="760"/>
        <v>0</v>
      </c>
      <c r="BB248" s="116">
        <f t="shared" si="760"/>
        <v>0</v>
      </c>
      <c r="BC248" s="116">
        <f t="shared" si="760"/>
        <v>0</v>
      </c>
      <c r="BD248" s="116">
        <f t="shared" si="760"/>
        <v>0</v>
      </c>
      <c r="BE248" s="116">
        <f t="shared" si="760"/>
        <v>0</v>
      </c>
      <c r="BF248" s="116">
        <f t="shared" si="760"/>
        <v>0</v>
      </c>
      <c r="BG248" s="116">
        <f t="shared" si="760"/>
        <v>0</v>
      </c>
      <c r="BH248" s="116">
        <f t="shared" si="760"/>
        <v>0</v>
      </c>
      <c r="BI248" s="116">
        <f t="shared" si="760"/>
        <v>0</v>
      </c>
      <c r="BJ248" s="116">
        <f t="shared" si="760"/>
        <v>0</v>
      </c>
      <c r="BK248" s="116">
        <f t="shared" si="760"/>
        <v>0</v>
      </c>
      <c r="BL248" s="116">
        <f t="shared" si="760"/>
        <v>0</v>
      </c>
      <c r="BM248" s="116">
        <f t="shared" si="760"/>
        <v>0</v>
      </c>
      <c r="BN248" s="116">
        <f t="shared" si="760"/>
        <v>0</v>
      </c>
      <c r="BO248" s="116">
        <f t="shared" si="760"/>
        <v>0</v>
      </c>
      <c r="BP248" s="116">
        <f t="shared" si="760"/>
        <v>0</v>
      </c>
      <c r="BQ248" s="116">
        <f t="shared" si="760"/>
        <v>0</v>
      </c>
      <c r="BR248" s="116">
        <f t="shared" si="760"/>
        <v>0</v>
      </c>
      <c r="BS248" s="116">
        <f t="shared" si="760"/>
        <v>0</v>
      </c>
      <c r="BT248" s="116">
        <f t="shared" si="760"/>
        <v>0</v>
      </c>
      <c r="BU248" s="116">
        <f t="shared" si="760"/>
        <v>0</v>
      </c>
      <c r="BV248" s="116">
        <f t="shared" si="760"/>
        <v>0</v>
      </c>
      <c r="BW248" s="116">
        <f t="shared" si="760"/>
        <v>0</v>
      </c>
      <c r="BX248" s="116">
        <f t="shared" si="760"/>
        <v>0</v>
      </c>
      <c r="BY248" s="116">
        <f t="shared" si="760"/>
        <v>0</v>
      </c>
      <c r="BZ248" s="116">
        <f t="shared" ref="BZ248:CP248" si="761">BZ245</f>
        <v>0</v>
      </c>
      <c r="CA248" s="116">
        <f t="shared" si="761"/>
        <v>0</v>
      </c>
      <c r="CB248" s="116">
        <f t="shared" si="761"/>
        <v>0</v>
      </c>
      <c r="CC248" s="116">
        <f t="shared" si="761"/>
        <v>0</v>
      </c>
      <c r="CD248" s="116">
        <f t="shared" si="761"/>
        <v>0</v>
      </c>
      <c r="CE248" s="116">
        <f t="shared" si="761"/>
        <v>0</v>
      </c>
      <c r="CF248" s="116">
        <f t="shared" si="761"/>
        <v>0</v>
      </c>
      <c r="CG248" s="116">
        <f t="shared" si="761"/>
        <v>0</v>
      </c>
      <c r="CH248" s="116">
        <f t="shared" si="761"/>
        <v>0</v>
      </c>
      <c r="CI248" s="116">
        <f t="shared" si="761"/>
        <v>0</v>
      </c>
      <c r="CJ248" s="116">
        <f t="shared" si="761"/>
        <v>0</v>
      </c>
      <c r="CK248" s="116">
        <f t="shared" si="761"/>
        <v>0</v>
      </c>
      <c r="CL248" s="116">
        <f t="shared" si="761"/>
        <v>0</v>
      </c>
      <c r="CM248" s="116">
        <f t="shared" si="761"/>
        <v>0</v>
      </c>
      <c r="CN248" s="116">
        <f t="shared" si="761"/>
        <v>0</v>
      </c>
      <c r="CO248" s="116">
        <f t="shared" si="761"/>
        <v>0</v>
      </c>
      <c r="CP248" s="116">
        <f t="shared" si="761"/>
        <v>0</v>
      </c>
      <c r="DJ248" s="116">
        <f t="shared" ref="DJ248:FU248" si="762">DJ245</f>
        <v>5</v>
      </c>
      <c r="DK248" s="116">
        <f t="shared" si="762"/>
        <v>1</v>
      </c>
      <c r="DL248" s="116">
        <f t="shared" si="762"/>
        <v>0</v>
      </c>
      <c r="DM248" s="116">
        <f t="shared" si="762"/>
        <v>5</v>
      </c>
      <c r="DN248" s="116">
        <f t="shared" si="762"/>
        <v>1</v>
      </c>
      <c r="DO248" s="116">
        <f t="shared" si="762"/>
        <v>0</v>
      </c>
      <c r="DP248" s="116">
        <f t="shared" si="762"/>
        <v>5</v>
      </c>
      <c r="DQ248" s="116">
        <f t="shared" si="762"/>
        <v>1</v>
      </c>
      <c r="DR248" s="116">
        <f t="shared" si="762"/>
        <v>0</v>
      </c>
      <c r="DS248" s="116">
        <f t="shared" si="762"/>
        <v>5</v>
      </c>
      <c r="DT248" s="116">
        <f t="shared" si="762"/>
        <v>1</v>
      </c>
      <c r="DU248" s="116">
        <f t="shared" si="762"/>
        <v>0</v>
      </c>
      <c r="DV248" s="116">
        <f t="shared" si="762"/>
        <v>5</v>
      </c>
      <c r="DW248" s="116">
        <f t="shared" si="762"/>
        <v>1</v>
      </c>
      <c r="DX248" s="116">
        <f t="shared" si="762"/>
        <v>0</v>
      </c>
      <c r="DY248" s="116">
        <f t="shared" si="762"/>
        <v>5</v>
      </c>
      <c r="DZ248" s="116">
        <f t="shared" si="762"/>
        <v>1</v>
      </c>
      <c r="EA248" s="116">
        <f t="shared" si="762"/>
        <v>0</v>
      </c>
      <c r="EB248" s="116">
        <f t="shared" si="762"/>
        <v>5</v>
      </c>
      <c r="EC248" s="116">
        <f t="shared" si="762"/>
        <v>1</v>
      </c>
      <c r="ED248" s="116">
        <f t="shared" si="762"/>
        <v>0</v>
      </c>
      <c r="EE248" s="116">
        <f t="shared" si="762"/>
        <v>5</v>
      </c>
      <c r="EF248" s="116">
        <f t="shared" si="762"/>
        <v>1</v>
      </c>
      <c r="EG248" s="116">
        <f t="shared" si="762"/>
        <v>0</v>
      </c>
      <c r="EH248" s="116">
        <f t="shared" si="762"/>
        <v>5</v>
      </c>
      <c r="EI248" s="116">
        <f t="shared" si="762"/>
        <v>1</v>
      </c>
      <c r="EJ248" s="116">
        <f t="shared" si="762"/>
        <v>0</v>
      </c>
      <c r="EK248" s="116">
        <f t="shared" si="762"/>
        <v>5</v>
      </c>
      <c r="EL248" s="116">
        <f t="shared" si="762"/>
        <v>0</v>
      </c>
      <c r="EM248" s="116">
        <f t="shared" si="762"/>
        <v>0</v>
      </c>
      <c r="EN248" s="116">
        <f t="shared" si="762"/>
        <v>5</v>
      </c>
      <c r="EO248" s="116">
        <f t="shared" si="762"/>
        <v>0</v>
      </c>
      <c r="EP248" s="116">
        <f t="shared" si="762"/>
        <v>0</v>
      </c>
      <c r="EQ248" s="116">
        <f t="shared" si="762"/>
        <v>5</v>
      </c>
      <c r="ER248" s="116">
        <f t="shared" si="762"/>
        <v>0</v>
      </c>
      <c r="ES248" s="116">
        <f t="shared" si="762"/>
        <v>0</v>
      </c>
      <c r="ET248" s="116">
        <f t="shared" si="762"/>
        <v>5</v>
      </c>
      <c r="EU248" s="116">
        <f t="shared" si="762"/>
        <v>0</v>
      </c>
      <c r="EV248" s="116">
        <f t="shared" si="762"/>
        <v>0</v>
      </c>
      <c r="EW248" s="116">
        <f t="shared" si="762"/>
        <v>5</v>
      </c>
      <c r="EX248" s="116">
        <f t="shared" si="762"/>
        <v>0</v>
      </c>
      <c r="EY248" s="116">
        <f t="shared" si="762"/>
        <v>0</v>
      </c>
      <c r="EZ248" s="116">
        <f t="shared" si="762"/>
        <v>5</v>
      </c>
      <c r="FA248" s="116">
        <f t="shared" si="762"/>
        <v>0</v>
      </c>
      <c r="FB248" s="116">
        <f t="shared" si="762"/>
        <v>0</v>
      </c>
      <c r="FC248" s="116">
        <f t="shared" si="762"/>
        <v>5</v>
      </c>
      <c r="FD248" s="116">
        <f t="shared" si="762"/>
        <v>0</v>
      </c>
      <c r="FE248" s="116">
        <f t="shared" si="762"/>
        <v>0</v>
      </c>
      <c r="FF248" s="116">
        <f t="shared" si="762"/>
        <v>5</v>
      </c>
      <c r="FG248" s="116">
        <f t="shared" si="762"/>
        <v>0</v>
      </c>
      <c r="FH248" s="116">
        <f t="shared" si="762"/>
        <v>0</v>
      </c>
      <c r="FI248" s="116">
        <f t="shared" si="762"/>
        <v>5</v>
      </c>
      <c r="FJ248" s="116">
        <f t="shared" si="762"/>
        <v>0</v>
      </c>
      <c r="FK248" s="116">
        <f t="shared" si="762"/>
        <v>0</v>
      </c>
      <c r="FL248" s="116">
        <f t="shared" si="762"/>
        <v>3</v>
      </c>
      <c r="FM248" s="116">
        <f t="shared" si="762"/>
        <v>1</v>
      </c>
      <c r="FN248" s="116">
        <f t="shared" si="762"/>
        <v>3</v>
      </c>
      <c r="FO248" s="116">
        <f t="shared" si="762"/>
        <v>3</v>
      </c>
      <c r="FP248" s="116">
        <f t="shared" si="762"/>
        <v>1</v>
      </c>
      <c r="FQ248" s="116">
        <f t="shared" si="762"/>
        <v>3</v>
      </c>
      <c r="FR248" s="116">
        <f t="shared" si="762"/>
        <v>3</v>
      </c>
      <c r="FS248" s="116">
        <f t="shared" si="762"/>
        <v>1</v>
      </c>
      <c r="FT248" s="116">
        <f t="shared" si="762"/>
        <v>3</v>
      </c>
      <c r="FU248" s="116">
        <f t="shared" si="762"/>
        <v>3</v>
      </c>
      <c r="FV248" s="116">
        <f t="shared" ref="FV248:GL248" si="763">FV245</f>
        <v>1</v>
      </c>
      <c r="FW248" s="116">
        <f t="shared" si="763"/>
        <v>3</v>
      </c>
      <c r="FX248" s="116">
        <f t="shared" si="763"/>
        <v>3</v>
      </c>
      <c r="FY248" s="116">
        <f t="shared" si="763"/>
        <v>1</v>
      </c>
      <c r="FZ248" s="116">
        <f t="shared" si="763"/>
        <v>3</v>
      </c>
      <c r="GA248" s="116">
        <f t="shared" si="763"/>
        <v>3</v>
      </c>
      <c r="GB248" s="116">
        <f t="shared" si="763"/>
        <v>1</v>
      </c>
      <c r="GC248" s="116">
        <f t="shared" si="763"/>
        <v>3</v>
      </c>
      <c r="GD248" s="116">
        <f t="shared" si="763"/>
        <v>3</v>
      </c>
      <c r="GE248" s="116">
        <f t="shared" si="763"/>
        <v>1</v>
      </c>
      <c r="GF248" s="116">
        <f t="shared" si="763"/>
        <v>3</v>
      </c>
      <c r="GG248" s="116">
        <f t="shared" si="763"/>
        <v>3</v>
      </c>
      <c r="GH248" s="116">
        <f t="shared" si="763"/>
        <v>1</v>
      </c>
      <c r="GI248" s="116">
        <f t="shared" si="763"/>
        <v>3</v>
      </c>
      <c r="GJ248" s="116">
        <f t="shared" si="763"/>
        <v>3</v>
      </c>
      <c r="GK248" s="116">
        <f t="shared" si="763"/>
        <v>1</v>
      </c>
      <c r="GL248" s="116">
        <f t="shared" si="763"/>
        <v>3</v>
      </c>
    </row>
    <row r="249" spans="14:194" ht="15" customHeight="1">
      <c r="N249" s="116">
        <f t="shared" ref="N249:BY249" si="764">N246</f>
        <v>0</v>
      </c>
      <c r="O249" s="116">
        <f t="shared" si="764"/>
        <v>0</v>
      </c>
      <c r="P249" s="116">
        <f t="shared" si="764"/>
        <v>0</v>
      </c>
      <c r="Q249" s="116">
        <f t="shared" si="764"/>
        <v>0</v>
      </c>
      <c r="R249" s="116">
        <f t="shared" si="764"/>
        <v>0</v>
      </c>
      <c r="S249" s="116">
        <f t="shared" si="764"/>
        <v>0</v>
      </c>
      <c r="T249" s="116">
        <f t="shared" si="764"/>
        <v>0</v>
      </c>
      <c r="U249" s="116">
        <f t="shared" si="764"/>
        <v>0</v>
      </c>
      <c r="V249" s="116">
        <f t="shared" si="764"/>
        <v>0</v>
      </c>
      <c r="W249" s="116">
        <f t="shared" si="764"/>
        <v>0</v>
      </c>
      <c r="X249" s="116">
        <f t="shared" si="764"/>
        <v>0</v>
      </c>
      <c r="Y249" s="116">
        <f t="shared" si="764"/>
        <v>0</v>
      </c>
      <c r="Z249" s="116">
        <f t="shared" si="764"/>
        <v>0</v>
      </c>
      <c r="AA249" s="116">
        <f t="shared" si="764"/>
        <v>0</v>
      </c>
      <c r="AB249" s="116">
        <f t="shared" si="764"/>
        <v>0</v>
      </c>
      <c r="AC249" s="116">
        <f t="shared" si="764"/>
        <v>0</v>
      </c>
      <c r="AD249" s="116">
        <f t="shared" si="764"/>
        <v>0</v>
      </c>
      <c r="AE249" s="116">
        <f t="shared" si="764"/>
        <v>0</v>
      </c>
      <c r="AF249" s="116">
        <f t="shared" si="764"/>
        <v>0</v>
      </c>
      <c r="AG249" s="116">
        <f t="shared" si="764"/>
        <v>0</v>
      </c>
      <c r="AH249" s="116">
        <f t="shared" si="764"/>
        <v>0</v>
      </c>
      <c r="AI249" s="116">
        <f t="shared" si="764"/>
        <v>0</v>
      </c>
      <c r="AJ249" s="116">
        <f t="shared" si="764"/>
        <v>0</v>
      </c>
      <c r="AK249" s="116">
        <f t="shared" si="764"/>
        <v>0</v>
      </c>
      <c r="AL249" s="116">
        <f t="shared" si="764"/>
        <v>0</v>
      </c>
      <c r="AM249" s="116">
        <f t="shared" si="764"/>
        <v>0</v>
      </c>
      <c r="AN249" s="116">
        <f t="shared" si="764"/>
        <v>0</v>
      </c>
      <c r="AO249" s="116">
        <f t="shared" si="764"/>
        <v>0</v>
      </c>
      <c r="AP249" s="116">
        <f t="shared" si="764"/>
        <v>0</v>
      </c>
      <c r="AQ249" s="116">
        <f t="shared" si="764"/>
        <v>0</v>
      </c>
      <c r="AR249" s="116">
        <f t="shared" si="764"/>
        <v>0</v>
      </c>
      <c r="AS249" s="116">
        <f t="shared" si="764"/>
        <v>0</v>
      </c>
      <c r="AT249" s="116">
        <f t="shared" si="764"/>
        <v>0</v>
      </c>
      <c r="AU249" s="116">
        <f t="shared" si="764"/>
        <v>0</v>
      </c>
      <c r="AV249" s="116">
        <f t="shared" si="764"/>
        <v>0</v>
      </c>
      <c r="AW249" s="116">
        <f t="shared" si="764"/>
        <v>0</v>
      </c>
      <c r="AX249" s="116">
        <f t="shared" si="764"/>
        <v>0</v>
      </c>
      <c r="AY249" s="116">
        <f t="shared" si="764"/>
        <v>0</v>
      </c>
      <c r="AZ249" s="116">
        <f t="shared" si="764"/>
        <v>0</v>
      </c>
      <c r="BA249" s="116">
        <f t="shared" si="764"/>
        <v>0</v>
      </c>
      <c r="BB249" s="116">
        <f t="shared" si="764"/>
        <v>0</v>
      </c>
      <c r="BC249" s="116">
        <f t="shared" si="764"/>
        <v>0</v>
      </c>
      <c r="BD249" s="116">
        <f t="shared" si="764"/>
        <v>0</v>
      </c>
      <c r="BE249" s="116">
        <f t="shared" si="764"/>
        <v>0</v>
      </c>
      <c r="BF249" s="116">
        <f t="shared" si="764"/>
        <v>0</v>
      </c>
      <c r="BG249" s="116">
        <f t="shared" si="764"/>
        <v>0</v>
      </c>
      <c r="BH249" s="116">
        <f t="shared" si="764"/>
        <v>0</v>
      </c>
      <c r="BI249" s="116">
        <f t="shared" si="764"/>
        <v>0</v>
      </c>
      <c r="BJ249" s="116">
        <f t="shared" si="764"/>
        <v>0</v>
      </c>
      <c r="BK249" s="116">
        <f t="shared" si="764"/>
        <v>0</v>
      </c>
      <c r="BL249" s="116">
        <f t="shared" si="764"/>
        <v>0</v>
      </c>
      <c r="BM249" s="116">
        <f t="shared" si="764"/>
        <v>0</v>
      </c>
      <c r="BN249" s="116">
        <f t="shared" si="764"/>
        <v>0</v>
      </c>
      <c r="BO249" s="116">
        <f t="shared" si="764"/>
        <v>0</v>
      </c>
      <c r="BP249" s="116">
        <f t="shared" si="764"/>
        <v>0</v>
      </c>
      <c r="BQ249" s="116">
        <f t="shared" si="764"/>
        <v>0</v>
      </c>
      <c r="BR249" s="116">
        <f t="shared" si="764"/>
        <v>0</v>
      </c>
      <c r="BS249" s="116">
        <f t="shared" si="764"/>
        <v>0</v>
      </c>
      <c r="BT249" s="116">
        <f t="shared" si="764"/>
        <v>0</v>
      </c>
      <c r="BU249" s="116">
        <f t="shared" si="764"/>
        <v>0</v>
      </c>
      <c r="BV249" s="116">
        <f t="shared" si="764"/>
        <v>0</v>
      </c>
      <c r="BW249" s="116">
        <f t="shared" si="764"/>
        <v>0</v>
      </c>
      <c r="BX249" s="116">
        <f t="shared" si="764"/>
        <v>0</v>
      </c>
      <c r="BY249" s="116">
        <f t="shared" si="764"/>
        <v>0</v>
      </c>
      <c r="BZ249" s="116">
        <f t="shared" ref="BZ249:CP249" si="765">BZ246</f>
        <v>0</v>
      </c>
      <c r="CA249" s="116">
        <f t="shared" si="765"/>
        <v>0</v>
      </c>
      <c r="CB249" s="116">
        <f t="shared" si="765"/>
        <v>0</v>
      </c>
      <c r="CC249" s="116">
        <f t="shared" si="765"/>
        <v>0</v>
      </c>
      <c r="CD249" s="116">
        <f t="shared" si="765"/>
        <v>0</v>
      </c>
      <c r="CE249" s="116">
        <f t="shared" si="765"/>
        <v>0</v>
      </c>
      <c r="CF249" s="116">
        <f t="shared" si="765"/>
        <v>0</v>
      </c>
      <c r="CG249" s="116">
        <f t="shared" si="765"/>
        <v>0</v>
      </c>
      <c r="CH249" s="116">
        <f t="shared" si="765"/>
        <v>0</v>
      </c>
      <c r="CI249" s="116">
        <f t="shared" si="765"/>
        <v>0</v>
      </c>
      <c r="CJ249" s="116">
        <f t="shared" si="765"/>
        <v>0</v>
      </c>
      <c r="CK249" s="116">
        <f t="shared" si="765"/>
        <v>0</v>
      </c>
      <c r="CL249" s="116">
        <f t="shared" si="765"/>
        <v>0</v>
      </c>
      <c r="CM249" s="116">
        <f t="shared" si="765"/>
        <v>0</v>
      </c>
      <c r="CN249" s="116">
        <f t="shared" si="765"/>
        <v>0</v>
      </c>
      <c r="CO249" s="116">
        <f t="shared" si="765"/>
        <v>0</v>
      </c>
      <c r="CP249" s="116">
        <f t="shared" si="765"/>
        <v>0</v>
      </c>
      <c r="DJ249" s="116">
        <f t="shared" ref="DJ249:FU249" si="766">DJ246</f>
        <v>1</v>
      </c>
      <c r="DK249" s="116">
        <f t="shared" si="766"/>
        <v>0</v>
      </c>
      <c r="DL249" s="116">
        <f t="shared" si="766"/>
        <v>0</v>
      </c>
      <c r="DM249" s="116">
        <f t="shared" si="766"/>
        <v>1</v>
      </c>
      <c r="DN249" s="116">
        <f t="shared" si="766"/>
        <v>0</v>
      </c>
      <c r="DO249" s="116">
        <f t="shared" si="766"/>
        <v>0</v>
      </c>
      <c r="DP249" s="116">
        <f t="shared" si="766"/>
        <v>1</v>
      </c>
      <c r="DQ249" s="116">
        <f t="shared" si="766"/>
        <v>0</v>
      </c>
      <c r="DR249" s="116">
        <f t="shared" si="766"/>
        <v>0</v>
      </c>
      <c r="DS249" s="116">
        <f t="shared" si="766"/>
        <v>1</v>
      </c>
      <c r="DT249" s="116">
        <f t="shared" si="766"/>
        <v>0</v>
      </c>
      <c r="DU249" s="116">
        <f t="shared" si="766"/>
        <v>0</v>
      </c>
      <c r="DV249" s="116">
        <f t="shared" si="766"/>
        <v>1</v>
      </c>
      <c r="DW249" s="116">
        <f t="shared" si="766"/>
        <v>0</v>
      </c>
      <c r="DX249" s="116">
        <f t="shared" si="766"/>
        <v>0</v>
      </c>
      <c r="DY249" s="116">
        <f t="shared" si="766"/>
        <v>1</v>
      </c>
      <c r="DZ249" s="116">
        <f t="shared" si="766"/>
        <v>0</v>
      </c>
      <c r="EA249" s="116">
        <f t="shared" si="766"/>
        <v>0</v>
      </c>
      <c r="EB249" s="116">
        <f t="shared" si="766"/>
        <v>1</v>
      </c>
      <c r="EC249" s="116">
        <f t="shared" si="766"/>
        <v>0</v>
      </c>
      <c r="ED249" s="116">
        <f t="shared" si="766"/>
        <v>0</v>
      </c>
      <c r="EE249" s="116">
        <f t="shared" si="766"/>
        <v>1</v>
      </c>
      <c r="EF249" s="116">
        <f t="shared" si="766"/>
        <v>0</v>
      </c>
      <c r="EG249" s="116">
        <f t="shared" si="766"/>
        <v>0</v>
      </c>
      <c r="EH249" s="116">
        <f t="shared" si="766"/>
        <v>1</v>
      </c>
      <c r="EI249" s="116">
        <f t="shared" si="766"/>
        <v>0</v>
      </c>
      <c r="EJ249" s="116">
        <f t="shared" si="766"/>
        <v>0</v>
      </c>
      <c r="EK249" s="116">
        <f t="shared" si="766"/>
        <v>1</v>
      </c>
      <c r="EL249" s="116">
        <f t="shared" si="766"/>
        <v>0</v>
      </c>
      <c r="EM249" s="116">
        <f t="shared" si="766"/>
        <v>0</v>
      </c>
      <c r="EN249" s="116">
        <f t="shared" si="766"/>
        <v>1</v>
      </c>
      <c r="EO249" s="116">
        <f t="shared" si="766"/>
        <v>0</v>
      </c>
      <c r="EP249" s="116">
        <f t="shared" si="766"/>
        <v>0</v>
      </c>
      <c r="EQ249" s="116">
        <f t="shared" si="766"/>
        <v>1</v>
      </c>
      <c r="ER249" s="116">
        <f t="shared" si="766"/>
        <v>0</v>
      </c>
      <c r="ES249" s="116">
        <f t="shared" si="766"/>
        <v>0</v>
      </c>
      <c r="ET249" s="116">
        <f t="shared" si="766"/>
        <v>1</v>
      </c>
      <c r="EU249" s="116">
        <f t="shared" si="766"/>
        <v>0</v>
      </c>
      <c r="EV249" s="116">
        <f t="shared" si="766"/>
        <v>0</v>
      </c>
      <c r="EW249" s="116">
        <f t="shared" si="766"/>
        <v>1</v>
      </c>
      <c r="EX249" s="116">
        <f t="shared" si="766"/>
        <v>0</v>
      </c>
      <c r="EY249" s="116">
        <f t="shared" si="766"/>
        <v>0</v>
      </c>
      <c r="EZ249" s="116">
        <f t="shared" si="766"/>
        <v>1</v>
      </c>
      <c r="FA249" s="116">
        <f t="shared" si="766"/>
        <v>0</v>
      </c>
      <c r="FB249" s="116">
        <f t="shared" si="766"/>
        <v>0</v>
      </c>
      <c r="FC249" s="116">
        <f t="shared" si="766"/>
        <v>1</v>
      </c>
      <c r="FD249" s="116">
        <f t="shared" si="766"/>
        <v>0</v>
      </c>
      <c r="FE249" s="116">
        <f t="shared" si="766"/>
        <v>0</v>
      </c>
      <c r="FF249" s="116">
        <f t="shared" si="766"/>
        <v>1</v>
      </c>
      <c r="FG249" s="116">
        <f t="shared" si="766"/>
        <v>0</v>
      </c>
      <c r="FH249" s="116">
        <f t="shared" si="766"/>
        <v>0</v>
      </c>
      <c r="FI249" s="116">
        <f t="shared" si="766"/>
        <v>1</v>
      </c>
      <c r="FJ249" s="116">
        <f t="shared" si="766"/>
        <v>0</v>
      </c>
      <c r="FK249" s="116">
        <f t="shared" si="766"/>
        <v>0</v>
      </c>
      <c r="FL249" s="116">
        <f t="shared" si="766"/>
        <v>0</v>
      </c>
      <c r="FM249" s="116">
        <f t="shared" si="766"/>
        <v>4</v>
      </c>
      <c r="FN249" s="116">
        <f t="shared" si="766"/>
        <v>0</v>
      </c>
      <c r="FO249" s="116">
        <f t="shared" si="766"/>
        <v>0</v>
      </c>
      <c r="FP249" s="116">
        <f t="shared" si="766"/>
        <v>4</v>
      </c>
      <c r="FQ249" s="116">
        <f t="shared" si="766"/>
        <v>0</v>
      </c>
      <c r="FR249" s="116">
        <f t="shared" si="766"/>
        <v>0</v>
      </c>
      <c r="FS249" s="116">
        <f t="shared" si="766"/>
        <v>4</v>
      </c>
      <c r="FT249" s="116">
        <f t="shared" si="766"/>
        <v>0</v>
      </c>
      <c r="FU249" s="116">
        <f t="shared" si="766"/>
        <v>0</v>
      </c>
      <c r="FV249" s="116">
        <f t="shared" ref="FV249:GL249" si="767">FV246</f>
        <v>4</v>
      </c>
      <c r="FW249" s="116">
        <f t="shared" si="767"/>
        <v>0</v>
      </c>
      <c r="FX249" s="116">
        <f t="shared" si="767"/>
        <v>0</v>
      </c>
      <c r="FY249" s="116">
        <f t="shared" si="767"/>
        <v>4</v>
      </c>
      <c r="FZ249" s="116">
        <f t="shared" si="767"/>
        <v>0</v>
      </c>
      <c r="GA249" s="116">
        <f t="shared" si="767"/>
        <v>0</v>
      </c>
      <c r="GB249" s="116">
        <f t="shared" si="767"/>
        <v>4</v>
      </c>
      <c r="GC249" s="116">
        <f t="shared" si="767"/>
        <v>0</v>
      </c>
      <c r="GD249" s="116">
        <f t="shared" si="767"/>
        <v>0</v>
      </c>
      <c r="GE249" s="116">
        <f t="shared" si="767"/>
        <v>4</v>
      </c>
      <c r="GF249" s="116">
        <f t="shared" si="767"/>
        <v>0</v>
      </c>
      <c r="GG249" s="116">
        <f t="shared" si="767"/>
        <v>0</v>
      </c>
      <c r="GH249" s="116">
        <f t="shared" si="767"/>
        <v>4</v>
      </c>
      <c r="GI249" s="116">
        <f t="shared" si="767"/>
        <v>0</v>
      </c>
      <c r="GJ249" s="116">
        <f t="shared" si="767"/>
        <v>0</v>
      </c>
      <c r="GK249" s="116">
        <f t="shared" si="767"/>
        <v>4</v>
      </c>
      <c r="GL249" s="116">
        <f t="shared" si="767"/>
        <v>0</v>
      </c>
    </row>
    <row r="250" spans="14:194" ht="15" customHeight="1">
      <c r="N250" s="116">
        <f t="shared" ref="N250:BY250" si="768">N247</f>
        <v>0</v>
      </c>
      <c r="O250" s="116">
        <f t="shared" si="768"/>
        <v>0</v>
      </c>
      <c r="P250" s="116">
        <f t="shared" si="768"/>
        <v>0</v>
      </c>
      <c r="Q250" s="116">
        <f t="shared" si="768"/>
        <v>0</v>
      </c>
      <c r="R250" s="116">
        <f t="shared" si="768"/>
        <v>0</v>
      </c>
      <c r="S250" s="116">
        <f t="shared" si="768"/>
        <v>0</v>
      </c>
      <c r="T250" s="116">
        <f t="shared" si="768"/>
        <v>0</v>
      </c>
      <c r="U250" s="116">
        <f t="shared" si="768"/>
        <v>0</v>
      </c>
      <c r="V250" s="116">
        <f t="shared" si="768"/>
        <v>0</v>
      </c>
      <c r="W250" s="116">
        <f t="shared" si="768"/>
        <v>0</v>
      </c>
      <c r="X250" s="116">
        <f t="shared" si="768"/>
        <v>0</v>
      </c>
      <c r="Y250" s="116">
        <f t="shared" si="768"/>
        <v>0</v>
      </c>
      <c r="Z250" s="116">
        <f t="shared" si="768"/>
        <v>0</v>
      </c>
      <c r="AA250" s="116">
        <f t="shared" si="768"/>
        <v>0</v>
      </c>
      <c r="AB250" s="116">
        <f t="shared" si="768"/>
        <v>0</v>
      </c>
      <c r="AC250" s="116">
        <f t="shared" si="768"/>
        <v>0</v>
      </c>
      <c r="AD250" s="116">
        <f t="shared" si="768"/>
        <v>0</v>
      </c>
      <c r="AE250" s="116">
        <f t="shared" si="768"/>
        <v>0</v>
      </c>
      <c r="AF250" s="116">
        <f t="shared" si="768"/>
        <v>0</v>
      </c>
      <c r="AG250" s="116">
        <f t="shared" si="768"/>
        <v>0</v>
      </c>
      <c r="AH250" s="116">
        <f t="shared" si="768"/>
        <v>0</v>
      </c>
      <c r="AI250" s="116">
        <f t="shared" si="768"/>
        <v>0</v>
      </c>
      <c r="AJ250" s="116">
        <f t="shared" si="768"/>
        <v>0</v>
      </c>
      <c r="AK250" s="116">
        <f t="shared" si="768"/>
        <v>0</v>
      </c>
      <c r="AL250" s="116">
        <f t="shared" si="768"/>
        <v>0</v>
      </c>
      <c r="AM250" s="116">
        <f t="shared" si="768"/>
        <v>0</v>
      </c>
      <c r="AN250" s="116">
        <f t="shared" si="768"/>
        <v>0</v>
      </c>
      <c r="AO250" s="116">
        <f t="shared" si="768"/>
        <v>0</v>
      </c>
      <c r="AP250" s="116">
        <f t="shared" si="768"/>
        <v>0</v>
      </c>
      <c r="AQ250" s="116">
        <f t="shared" si="768"/>
        <v>0</v>
      </c>
      <c r="AR250" s="116">
        <f t="shared" si="768"/>
        <v>0</v>
      </c>
      <c r="AS250" s="116">
        <f t="shared" si="768"/>
        <v>0</v>
      </c>
      <c r="AT250" s="116">
        <f t="shared" si="768"/>
        <v>0</v>
      </c>
      <c r="AU250" s="116">
        <f t="shared" si="768"/>
        <v>0</v>
      </c>
      <c r="AV250" s="116">
        <f t="shared" si="768"/>
        <v>0</v>
      </c>
      <c r="AW250" s="116">
        <f t="shared" si="768"/>
        <v>0</v>
      </c>
      <c r="AX250" s="116">
        <f t="shared" si="768"/>
        <v>0</v>
      </c>
      <c r="AY250" s="116">
        <f t="shared" si="768"/>
        <v>0</v>
      </c>
      <c r="AZ250" s="116">
        <f t="shared" si="768"/>
        <v>0</v>
      </c>
      <c r="BA250" s="116">
        <f t="shared" si="768"/>
        <v>0</v>
      </c>
      <c r="BB250" s="116">
        <f t="shared" si="768"/>
        <v>0</v>
      </c>
      <c r="BC250" s="116">
        <f t="shared" si="768"/>
        <v>0</v>
      </c>
      <c r="BD250" s="116">
        <f t="shared" si="768"/>
        <v>0</v>
      </c>
      <c r="BE250" s="116">
        <f t="shared" si="768"/>
        <v>0</v>
      </c>
      <c r="BF250" s="116">
        <f t="shared" si="768"/>
        <v>0</v>
      </c>
      <c r="BG250" s="116">
        <f t="shared" si="768"/>
        <v>0</v>
      </c>
      <c r="BH250" s="116">
        <f t="shared" si="768"/>
        <v>0</v>
      </c>
      <c r="BI250" s="116">
        <f t="shared" si="768"/>
        <v>0</v>
      </c>
      <c r="BJ250" s="116">
        <f t="shared" si="768"/>
        <v>0</v>
      </c>
      <c r="BK250" s="116">
        <f t="shared" si="768"/>
        <v>0</v>
      </c>
      <c r="BL250" s="116">
        <f t="shared" si="768"/>
        <v>0</v>
      </c>
      <c r="BM250" s="116">
        <f t="shared" si="768"/>
        <v>0</v>
      </c>
      <c r="BN250" s="116">
        <f t="shared" si="768"/>
        <v>0</v>
      </c>
      <c r="BO250" s="116">
        <f t="shared" si="768"/>
        <v>0</v>
      </c>
      <c r="BP250" s="116">
        <f t="shared" si="768"/>
        <v>0</v>
      </c>
      <c r="BQ250" s="116">
        <f t="shared" si="768"/>
        <v>0</v>
      </c>
      <c r="BR250" s="116">
        <f t="shared" si="768"/>
        <v>0</v>
      </c>
      <c r="BS250" s="116">
        <f t="shared" si="768"/>
        <v>0</v>
      </c>
      <c r="BT250" s="116">
        <f t="shared" si="768"/>
        <v>0</v>
      </c>
      <c r="BU250" s="116">
        <f t="shared" si="768"/>
        <v>0</v>
      </c>
      <c r="BV250" s="116">
        <f t="shared" si="768"/>
        <v>0</v>
      </c>
      <c r="BW250" s="116">
        <f t="shared" si="768"/>
        <v>0</v>
      </c>
      <c r="BX250" s="116">
        <f t="shared" si="768"/>
        <v>0</v>
      </c>
      <c r="BY250" s="116">
        <f t="shared" si="768"/>
        <v>0</v>
      </c>
      <c r="BZ250" s="116">
        <f t="shared" ref="BZ250:CP250" si="769">BZ247</f>
        <v>0</v>
      </c>
      <c r="CA250" s="116">
        <f t="shared" si="769"/>
        <v>0</v>
      </c>
      <c r="CB250" s="116">
        <f t="shared" si="769"/>
        <v>0</v>
      </c>
      <c r="CC250" s="116">
        <f t="shared" si="769"/>
        <v>0</v>
      </c>
      <c r="CD250" s="116">
        <f t="shared" si="769"/>
        <v>0</v>
      </c>
      <c r="CE250" s="116">
        <f t="shared" si="769"/>
        <v>0</v>
      </c>
      <c r="CF250" s="116">
        <f t="shared" si="769"/>
        <v>0</v>
      </c>
      <c r="CG250" s="116">
        <f t="shared" si="769"/>
        <v>0</v>
      </c>
      <c r="CH250" s="116">
        <f t="shared" si="769"/>
        <v>0</v>
      </c>
      <c r="CI250" s="116">
        <f t="shared" si="769"/>
        <v>0</v>
      </c>
      <c r="CJ250" s="116">
        <f t="shared" si="769"/>
        <v>0</v>
      </c>
      <c r="CK250" s="116">
        <f t="shared" si="769"/>
        <v>0</v>
      </c>
      <c r="CL250" s="116">
        <f t="shared" si="769"/>
        <v>0</v>
      </c>
      <c r="CM250" s="116">
        <f t="shared" si="769"/>
        <v>0</v>
      </c>
      <c r="CN250" s="116">
        <f t="shared" si="769"/>
        <v>0</v>
      </c>
      <c r="CO250" s="116">
        <f t="shared" si="769"/>
        <v>0</v>
      </c>
      <c r="CP250" s="116">
        <f t="shared" si="769"/>
        <v>0</v>
      </c>
      <c r="DJ250" s="116">
        <f t="shared" ref="DJ250:FU250" si="770">DJ247</f>
        <v>5</v>
      </c>
      <c r="DK250" s="116">
        <f t="shared" si="770"/>
        <v>4</v>
      </c>
      <c r="DL250" s="116">
        <f t="shared" si="770"/>
        <v>0</v>
      </c>
      <c r="DM250" s="116">
        <f t="shared" si="770"/>
        <v>5</v>
      </c>
      <c r="DN250" s="116">
        <f t="shared" si="770"/>
        <v>4</v>
      </c>
      <c r="DO250" s="116">
        <f t="shared" si="770"/>
        <v>0</v>
      </c>
      <c r="DP250" s="116">
        <f t="shared" si="770"/>
        <v>5</v>
      </c>
      <c r="DQ250" s="116">
        <f t="shared" si="770"/>
        <v>4</v>
      </c>
      <c r="DR250" s="116">
        <f t="shared" si="770"/>
        <v>0</v>
      </c>
      <c r="DS250" s="116">
        <f t="shared" si="770"/>
        <v>5</v>
      </c>
      <c r="DT250" s="116">
        <f t="shared" si="770"/>
        <v>4</v>
      </c>
      <c r="DU250" s="116">
        <f t="shared" si="770"/>
        <v>0</v>
      </c>
      <c r="DV250" s="116">
        <f t="shared" si="770"/>
        <v>5</v>
      </c>
      <c r="DW250" s="116">
        <f t="shared" si="770"/>
        <v>4</v>
      </c>
      <c r="DX250" s="116">
        <f t="shared" si="770"/>
        <v>0</v>
      </c>
      <c r="DY250" s="116">
        <f t="shared" si="770"/>
        <v>5</v>
      </c>
      <c r="DZ250" s="116">
        <f t="shared" si="770"/>
        <v>4</v>
      </c>
      <c r="EA250" s="116">
        <f t="shared" si="770"/>
        <v>0</v>
      </c>
      <c r="EB250" s="116">
        <f t="shared" si="770"/>
        <v>5</v>
      </c>
      <c r="EC250" s="116">
        <f t="shared" si="770"/>
        <v>4</v>
      </c>
      <c r="ED250" s="116">
        <f t="shared" si="770"/>
        <v>0</v>
      </c>
      <c r="EE250" s="116">
        <f t="shared" si="770"/>
        <v>5</v>
      </c>
      <c r="EF250" s="116">
        <f t="shared" si="770"/>
        <v>4</v>
      </c>
      <c r="EG250" s="116">
        <f t="shared" si="770"/>
        <v>0</v>
      </c>
      <c r="EH250" s="116">
        <f t="shared" si="770"/>
        <v>5</v>
      </c>
      <c r="EI250" s="116">
        <f t="shared" si="770"/>
        <v>4</v>
      </c>
      <c r="EJ250" s="116">
        <f t="shared" si="770"/>
        <v>0</v>
      </c>
      <c r="EK250" s="116">
        <f t="shared" si="770"/>
        <v>5</v>
      </c>
      <c r="EL250" s="116">
        <f t="shared" si="770"/>
        <v>4</v>
      </c>
      <c r="EM250" s="116">
        <f t="shared" si="770"/>
        <v>3</v>
      </c>
      <c r="EN250" s="116">
        <f t="shared" si="770"/>
        <v>5</v>
      </c>
      <c r="EO250" s="116">
        <f t="shared" si="770"/>
        <v>4</v>
      </c>
      <c r="EP250" s="116">
        <f t="shared" si="770"/>
        <v>3</v>
      </c>
      <c r="EQ250" s="116">
        <f t="shared" si="770"/>
        <v>5</v>
      </c>
      <c r="ER250" s="116">
        <f t="shared" si="770"/>
        <v>4</v>
      </c>
      <c r="ES250" s="116">
        <f t="shared" si="770"/>
        <v>3</v>
      </c>
      <c r="ET250" s="116">
        <f t="shared" si="770"/>
        <v>5</v>
      </c>
      <c r="EU250" s="116">
        <f t="shared" si="770"/>
        <v>4</v>
      </c>
      <c r="EV250" s="116">
        <f t="shared" si="770"/>
        <v>3</v>
      </c>
      <c r="EW250" s="116">
        <f t="shared" si="770"/>
        <v>5</v>
      </c>
      <c r="EX250" s="116">
        <f t="shared" si="770"/>
        <v>4</v>
      </c>
      <c r="EY250" s="116">
        <f t="shared" si="770"/>
        <v>3</v>
      </c>
      <c r="EZ250" s="116">
        <f t="shared" si="770"/>
        <v>5</v>
      </c>
      <c r="FA250" s="116">
        <f t="shared" si="770"/>
        <v>4</v>
      </c>
      <c r="FB250" s="116">
        <f t="shared" si="770"/>
        <v>3</v>
      </c>
      <c r="FC250" s="116">
        <f t="shared" si="770"/>
        <v>5</v>
      </c>
      <c r="FD250" s="116">
        <f t="shared" si="770"/>
        <v>4</v>
      </c>
      <c r="FE250" s="116">
        <f t="shared" si="770"/>
        <v>3</v>
      </c>
      <c r="FF250" s="116">
        <f t="shared" si="770"/>
        <v>5</v>
      </c>
      <c r="FG250" s="116">
        <f t="shared" si="770"/>
        <v>4</v>
      </c>
      <c r="FH250" s="116">
        <f t="shared" si="770"/>
        <v>3</v>
      </c>
      <c r="FI250" s="116">
        <f t="shared" si="770"/>
        <v>5</v>
      </c>
      <c r="FJ250" s="116">
        <f t="shared" si="770"/>
        <v>4</v>
      </c>
      <c r="FK250" s="116">
        <f t="shared" si="770"/>
        <v>3</v>
      </c>
      <c r="FL250" s="116">
        <f t="shared" si="770"/>
        <v>0</v>
      </c>
      <c r="FM250" s="116">
        <f t="shared" si="770"/>
        <v>6</v>
      </c>
      <c r="FN250" s="116">
        <f t="shared" si="770"/>
        <v>4</v>
      </c>
      <c r="FO250" s="116">
        <f t="shared" si="770"/>
        <v>0</v>
      </c>
      <c r="FP250" s="116">
        <f t="shared" si="770"/>
        <v>6</v>
      </c>
      <c r="FQ250" s="116">
        <f t="shared" si="770"/>
        <v>4</v>
      </c>
      <c r="FR250" s="116">
        <f t="shared" si="770"/>
        <v>0</v>
      </c>
      <c r="FS250" s="116">
        <f t="shared" si="770"/>
        <v>6</v>
      </c>
      <c r="FT250" s="116">
        <f t="shared" si="770"/>
        <v>4</v>
      </c>
      <c r="FU250" s="116">
        <f t="shared" si="770"/>
        <v>0</v>
      </c>
      <c r="FV250" s="116">
        <f t="shared" ref="FV250:GL250" si="771">FV247</f>
        <v>6</v>
      </c>
      <c r="FW250" s="116">
        <f t="shared" si="771"/>
        <v>4</v>
      </c>
      <c r="FX250" s="116">
        <f t="shared" si="771"/>
        <v>0</v>
      </c>
      <c r="FY250" s="116">
        <f t="shared" si="771"/>
        <v>6</v>
      </c>
      <c r="FZ250" s="116">
        <f t="shared" si="771"/>
        <v>4</v>
      </c>
      <c r="GA250" s="116">
        <f t="shared" si="771"/>
        <v>0</v>
      </c>
      <c r="GB250" s="116">
        <f t="shared" si="771"/>
        <v>6</v>
      </c>
      <c r="GC250" s="116">
        <f t="shared" si="771"/>
        <v>4</v>
      </c>
      <c r="GD250" s="116">
        <f t="shared" si="771"/>
        <v>0</v>
      </c>
      <c r="GE250" s="116">
        <f t="shared" si="771"/>
        <v>6</v>
      </c>
      <c r="GF250" s="116">
        <f t="shared" si="771"/>
        <v>4</v>
      </c>
      <c r="GG250" s="116">
        <f t="shared" si="771"/>
        <v>0</v>
      </c>
      <c r="GH250" s="116">
        <f t="shared" si="771"/>
        <v>6</v>
      </c>
      <c r="GI250" s="116">
        <f t="shared" si="771"/>
        <v>4</v>
      </c>
      <c r="GJ250" s="116">
        <f t="shared" si="771"/>
        <v>0</v>
      </c>
      <c r="GK250" s="116">
        <f t="shared" si="771"/>
        <v>6</v>
      </c>
      <c r="GL250" s="116">
        <f t="shared" si="771"/>
        <v>4</v>
      </c>
    </row>
    <row r="251" spans="14:194" ht="15" customHeight="1">
      <c r="N251" s="116">
        <f t="shared" ref="N251:BY251" si="772">N248</f>
        <v>0</v>
      </c>
      <c r="O251" s="116">
        <f t="shared" si="772"/>
        <v>0</v>
      </c>
      <c r="P251" s="116">
        <f t="shared" si="772"/>
        <v>0</v>
      </c>
      <c r="Q251" s="116">
        <f t="shared" si="772"/>
        <v>0</v>
      </c>
      <c r="R251" s="116">
        <f t="shared" si="772"/>
        <v>0</v>
      </c>
      <c r="S251" s="116">
        <f t="shared" si="772"/>
        <v>0</v>
      </c>
      <c r="T251" s="116">
        <f t="shared" si="772"/>
        <v>0</v>
      </c>
      <c r="U251" s="116">
        <f t="shared" si="772"/>
        <v>0</v>
      </c>
      <c r="V251" s="116">
        <f t="shared" si="772"/>
        <v>0</v>
      </c>
      <c r="W251" s="116">
        <f t="shared" si="772"/>
        <v>0</v>
      </c>
      <c r="X251" s="116">
        <f t="shared" si="772"/>
        <v>0</v>
      </c>
      <c r="Y251" s="116">
        <f t="shared" si="772"/>
        <v>0</v>
      </c>
      <c r="Z251" s="116">
        <f t="shared" si="772"/>
        <v>0</v>
      </c>
      <c r="AA251" s="116">
        <f t="shared" si="772"/>
        <v>0</v>
      </c>
      <c r="AB251" s="116">
        <f t="shared" si="772"/>
        <v>0</v>
      </c>
      <c r="AC251" s="116">
        <f t="shared" si="772"/>
        <v>0</v>
      </c>
      <c r="AD251" s="116">
        <f t="shared" si="772"/>
        <v>0</v>
      </c>
      <c r="AE251" s="116">
        <f t="shared" si="772"/>
        <v>0</v>
      </c>
      <c r="AF251" s="116">
        <f t="shared" si="772"/>
        <v>0</v>
      </c>
      <c r="AG251" s="116">
        <f t="shared" si="772"/>
        <v>0</v>
      </c>
      <c r="AH251" s="116">
        <f t="shared" si="772"/>
        <v>0</v>
      </c>
      <c r="AI251" s="116">
        <f t="shared" si="772"/>
        <v>0</v>
      </c>
      <c r="AJ251" s="116">
        <f t="shared" si="772"/>
        <v>0</v>
      </c>
      <c r="AK251" s="116">
        <f t="shared" si="772"/>
        <v>0</v>
      </c>
      <c r="AL251" s="116">
        <f t="shared" si="772"/>
        <v>0</v>
      </c>
      <c r="AM251" s="116">
        <f t="shared" si="772"/>
        <v>0</v>
      </c>
      <c r="AN251" s="116">
        <f t="shared" si="772"/>
        <v>0</v>
      </c>
      <c r="AO251" s="116">
        <f t="shared" si="772"/>
        <v>0</v>
      </c>
      <c r="AP251" s="116">
        <f t="shared" si="772"/>
        <v>0</v>
      </c>
      <c r="AQ251" s="116">
        <f t="shared" si="772"/>
        <v>0</v>
      </c>
      <c r="AR251" s="116">
        <f t="shared" si="772"/>
        <v>0</v>
      </c>
      <c r="AS251" s="116">
        <f t="shared" si="772"/>
        <v>0</v>
      </c>
      <c r="AT251" s="116">
        <f t="shared" si="772"/>
        <v>0</v>
      </c>
      <c r="AU251" s="116">
        <f t="shared" si="772"/>
        <v>0</v>
      </c>
      <c r="AV251" s="116">
        <f t="shared" si="772"/>
        <v>0</v>
      </c>
      <c r="AW251" s="116">
        <f t="shared" si="772"/>
        <v>0</v>
      </c>
      <c r="AX251" s="116">
        <f t="shared" si="772"/>
        <v>0</v>
      </c>
      <c r="AY251" s="116">
        <f t="shared" si="772"/>
        <v>0</v>
      </c>
      <c r="AZ251" s="116">
        <f t="shared" si="772"/>
        <v>0</v>
      </c>
      <c r="BA251" s="116">
        <f t="shared" si="772"/>
        <v>0</v>
      </c>
      <c r="BB251" s="116">
        <f t="shared" si="772"/>
        <v>0</v>
      </c>
      <c r="BC251" s="116">
        <f t="shared" si="772"/>
        <v>0</v>
      </c>
      <c r="BD251" s="116">
        <f t="shared" si="772"/>
        <v>0</v>
      </c>
      <c r="BE251" s="116">
        <f t="shared" si="772"/>
        <v>0</v>
      </c>
      <c r="BF251" s="116">
        <f t="shared" si="772"/>
        <v>0</v>
      </c>
      <c r="BG251" s="116">
        <f t="shared" si="772"/>
        <v>0</v>
      </c>
      <c r="BH251" s="116">
        <f t="shared" si="772"/>
        <v>0</v>
      </c>
      <c r="BI251" s="116">
        <f t="shared" si="772"/>
        <v>0</v>
      </c>
      <c r="BJ251" s="116">
        <f t="shared" si="772"/>
        <v>0</v>
      </c>
      <c r="BK251" s="116">
        <f t="shared" si="772"/>
        <v>0</v>
      </c>
      <c r="BL251" s="116">
        <f t="shared" si="772"/>
        <v>0</v>
      </c>
      <c r="BM251" s="116">
        <f t="shared" si="772"/>
        <v>0</v>
      </c>
      <c r="BN251" s="116">
        <f t="shared" si="772"/>
        <v>0</v>
      </c>
      <c r="BO251" s="116">
        <f t="shared" si="772"/>
        <v>0</v>
      </c>
      <c r="BP251" s="116">
        <f t="shared" si="772"/>
        <v>0</v>
      </c>
      <c r="BQ251" s="116">
        <f t="shared" si="772"/>
        <v>0</v>
      </c>
      <c r="BR251" s="116">
        <f t="shared" si="772"/>
        <v>0</v>
      </c>
      <c r="BS251" s="116">
        <f t="shared" si="772"/>
        <v>0</v>
      </c>
      <c r="BT251" s="116">
        <f t="shared" si="772"/>
        <v>0</v>
      </c>
      <c r="BU251" s="116">
        <f t="shared" si="772"/>
        <v>0</v>
      </c>
      <c r="BV251" s="116">
        <f t="shared" si="772"/>
        <v>0</v>
      </c>
      <c r="BW251" s="116">
        <f t="shared" si="772"/>
        <v>0</v>
      </c>
      <c r="BX251" s="116">
        <f t="shared" si="772"/>
        <v>0</v>
      </c>
      <c r="BY251" s="116">
        <f t="shared" si="772"/>
        <v>0</v>
      </c>
      <c r="BZ251" s="116">
        <f t="shared" ref="BZ251:CP251" si="773">BZ248</f>
        <v>0</v>
      </c>
      <c r="CA251" s="116">
        <f t="shared" si="773"/>
        <v>0</v>
      </c>
      <c r="CB251" s="116">
        <f t="shared" si="773"/>
        <v>0</v>
      </c>
      <c r="CC251" s="116">
        <f t="shared" si="773"/>
        <v>0</v>
      </c>
      <c r="CD251" s="116">
        <f t="shared" si="773"/>
        <v>0</v>
      </c>
      <c r="CE251" s="116">
        <f t="shared" si="773"/>
        <v>0</v>
      </c>
      <c r="CF251" s="116">
        <f t="shared" si="773"/>
        <v>0</v>
      </c>
      <c r="CG251" s="116">
        <f t="shared" si="773"/>
        <v>0</v>
      </c>
      <c r="CH251" s="116">
        <f t="shared" si="773"/>
        <v>0</v>
      </c>
      <c r="CI251" s="116">
        <f t="shared" si="773"/>
        <v>0</v>
      </c>
      <c r="CJ251" s="116">
        <f t="shared" si="773"/>
        <v>0</v>
      </c>
      <c r="CK251" s="116">
        <f t="shared" si="773"/>
        <v>0</v>
      </c>
      <c r="CL251" s="116">
        <f t="shared" si="773"/>
        <v>0</v>
      </c>
      <c r="CM251" s="116">
        <f t="shared" si="773"/>
        <v>0</v>
      </c>
      <c r="CN251" s="116">
        <f t="shared" si="773"/>
        <v>0</v>
      </c>
      <c r="CO251" s="116">
        <f t="shared" si="773"/>
        <v>0</v>
      </c>
      <c r="CP251" s="116">
        <f t="shared" si="773"/>
        <v>0</v>
      </c>
      <c r="DJ251" s="116">
        <f t="shared" ref="DJ251:FU251" si="774">DJ248</f>
        <v>5</v>
      </c>
      <c r="DK251" s="116">
        <f t="shared" si="774"/>
        <v>1</v>
      </c>
      <c r="DL251" s="116">
        <f t="shared" si="774"/>
        <v>0</v>
      </c>
      <c r="DM251" s="116">
        <f t="shared" si="774"/>
        <v>5</v>
      </c>
      <c r="DN251" s="116">
        <f t="shared" si="774"/>
        <v>1</v>
      </c>
      <c r="DO251" s="116">
        <f t="shared" si="774"/>
        <v>0</v>
      </c>
      <c r="DP251" s="116">
        <f t="shared" si="774"/>
        <v>5</v>
      </c>
      <c r="DQ251" s="116">
        <f t="shared" si="774"/>
        <v>1</v>
      </c>
      <c r="DR251" s="116">
        <f t="shared" si="774"/>
        <v>0</v>
      </c>
      <c r="DS251" s="116">
        <f t="shared" si="774"/>
        <v>5</v>
      </c>
      <c r="DT251" s="116">
        <f t="shared" si="774"/>
        <v>1</v>
      </c>
      <c r="DU251" s="116">
        <f t="shared" si="774"/>
        <v>0</v>
      </c>
      <c r="DV251" s="116">
        <f t="shared" si="774"/>
        <v>5</v>
      </c>
      <c r="DW251" s="116">
        <f t="shared" si="774"/>
        <v>1</v>
      </c>
      <c r="DX251" s="116">
        <f t="shared" si="774"/>
        <v>0</v>
      </c>
      <c r="DY251" s="116">
        <f t="shared" si="774"/>
        <v>5</v>
      </c>
      <c r="DZ251" s="116">
        <f t="shared" si="774"/>
        <v>1</v>
      </c>
      <c r="EA251" s="116">
        <f t="shared" si="774"/>
        <v>0</v>
      </c>
      <c r="EB251" s="116">
        <f t="shared" si="774"/>
        <v>5</v>
      </c>
      <c r="EC251" s="116">
        <f t="shared" si="774"/>
        <v>1</v>
      </c>
      <c r="ED251" s="116">
        <f t="shared" si="774"/>
        <v>0</v>
      </c>
      <c r="EE251" s="116">
        <f t="shared" si="774"/>
        <v>5</v>
      </c>
      <c r="EF251" s="116">
        <f t="shared" si="774"/>
        <v>1</v>
      </c>
      <c r="EG251" s="116">
        <f t="shared" si="774"/>
        <v>0</v>
      </c>
      <c r="EH251" s="116">
        <f t="shared" si="774"/>
        <v>5</v>
      </c>
      <c r="EI251" s="116">
        <f t="shared" si="774"/>
        <v>1</v>
      </c>
      <c r="EJ251" s="116">
        <f t="shared" si="774"/>
        <v>0</v>
      </c>
      <c r="EK251" s="116">
        <f t="shared" si="774"/>
        <v>5</v>
      </c>
      <c r="EL251" s="116">
        <f t="shared" si="774"/>
        <v>0</v>
      </c>
      <c r="EM251" s="116">
        <f t="shared" si="774"/>
        <v>0</v>
      </c>
      <c r="EN251" s="116">
        <f t="shared" si="774"/>
        <v>5</v>
      </c>
      <c r="EO251" s="116">
        <f t="shared" si="774"/>
        <v>0</v>
      </c>
      <c r="EP251" s="116">
        <f t="shared" si="774"/>
        <v>0</v>
      </c>
      <c r="EQ251" s="116">
        <f t="shared" si="774"/>
        <v>5</v>
      </c>
      <c r="ER251" s="116">
        <f t="shared" si="774"/>
        <v>0</v>
      </c>
      <c r="ES251" s="116">
        <f t="shared" si="774"/>
        <v>0</v>
      </c>
      <c r="ET251" s="116">
        <f t="shared" si="774"/>
        <v>5</v>
      </c>
      <c r="EU251" s="116">
        <f t="shared" si="774"/>
        <v>0</v>
      </c>
      <c r="EV251" s="116">
        <f t="shared" si="774"/>
        <v>0</v>
      </c>
      <c r="EW251" s="116">
        <f t="shared" si="774"/>
        <v>5</v>
      </c>
      <c r="EX251" s="116">
        <f t="shared" si="774"/>
        <v>0</v>
      </c>
      <c r="EY251" s="116">
        <f t="shared" si="774"/>
        <v>0</v>
      </c>
      <c r="EZ251" s="116">
        <f t="shared" si="774"/>
        <v>5</v>
      </c>
      <c r="FA251" s="116">
        <f t="shared" si="774"/>
        <v>0</v>
      </c>
      <c r="FB251" s="116">
        <f t="shared" si="774"/>
        <v>0</v>
      </c>
      <c r="FC251" s="116">
        <f t="shared" si="774"/>
        <v>5</v>
      </c>
      <c r="FD251" s="116">
        <f t="shared" si="774"/>
        <v>0</v>
      </c>
      <c r="FE251" s="116">
        <f t="shared" si="774"/>
        <v>0</v>
      </c>
      <c r="FF251" s="116">
        <f t="shared" si="774"/>
        <v>5</v>
      </c>
      <c r="FG251" s="116">
        <f t="shared" si="774"/>
        <v>0</v>
      </c>
      <c r="FH251" s="116">
        <f t="shared" si="774"/>
        <v>0</v>
      </c>
      <c r="FI251" s="116">
        <f t="shared" si="774"/>
        <v>5</v>
      </c>
      <c r="FJ251" s="116">
        <f t="shared" si="774"/>
        <v>0</v>
      </c>
      <c r="FK251" s="116">
        <f t="shared" si="774"/>
        <v>0</v>
      </c>
      <c r="FL251" s="116">
        <f t="shared" si="774"/>
        <v>3</v>
      </c>
      <c r="FM251" s="116">
        <f t="shared" si="774"/>
        <v>1</v>
      </c>
      <c r="FN251" s="116">
        <f t="shared" si="774"/>
        <v>3</v>
      </c>
      <c r="FO251" s="116">
        <f t="shared" si="774"/>
        <v>3</v>
      </c>
      <c r="FP251" s="116">
        <f t="shared" si="774"/>
        <v>1</v>
      </c>
      <c r="FQ251" s="116">
        <f t="shared" si="774"/>
        <v>3</v>
      </c>
      <c r="FR251" s="116">
        <f t="shared" si="774"/>
        <v>3</v>
      </c>
      <c r="FS251" s="116">
        <f t="shared" si="774"/>
        <v>1</v>
      </c>
      <c r="FT251" s="116">
        <f t="shared" si="774"/>
        <v>3</v>
      </c>
      <c r="FU251" s="116">
        <f t="shared" si="774"/>
        <v>3</v>
      </c>
      <c r="FV251" s="116">
        <f t="shared" ref="FV251:GL251" si="775">FV248</f>
        <v>1</v>
      </c>
      <c r="FW251" s="116">
        <f t="shared" si="775"/>
        <v>3</v>
      </c>
      <c r="FX251" s="116">
        <f t="shared" si="775"/>
        <v>3</v>
      </c>
      <c r="FY251" s="116">
        <f t="shared" si="775"/>
        <v>1</v>
      </c>
      <c r="FZ251" s="116">
        <f t="shared" si="775"/>
        <v>3</v>
      </c>
      <c r="GA251" s="116">
        <f t="shared" si="775"/>
        <v>3</v>
      </c>
      <c r="GB251" s="116">
        <f t="shared" si="775"/>
        <v>1</v>
      </c>
      <c r="GC251" s="116">
        <f t="shared" si="775"/>
        <v>3</v>
      </c>
      <c r="GD251" s="116">
        <f t="shared" si="775"/>
        <v>3</v>
      </c>
      <c r="GE251" s="116">
        <f t="shared" si="775"/>
        <v>1</v>
      </c>
      <c r="GF251" s="116">
        <f t="shared" si="775"/>
        <v>3</v>
      </c>
      <c r="GG251" s="116">
        <f t="shared" si="775"/>
        <v>3</v>
      </c>
      <c r="GH251" s="116">
        <f t="shared" si="775"/>
        <v>1</v>
      </c>
      <c r="GI251" s="116">
        <f t="shared" si="775"/>
        <v>3</v>
      </c>
      <c r="GJ251" s="116">
        <f t="shared" si="775"/>
        <v>3</v>
      </c>
      <c r="GK251" s="116">
        <f t="shared" si="775"/>
        <v>1</v>
      </c>
      <c r="GL251" s="116">
        <f t="shared" si="775"/>
        <v>3</v>
      </c>
    </row>
    <row r="252" spans="14:194" ht="15" customHeight="1">
      <c r="N252" s="116">
        <f t="shared" ref="N252:BY252" si="776">N249</f>
        <v>0</v>
      </c>
      <c r="O252" s="116">
        <f t="shared" si="776"/>
        <v>0</v>
      </c>
      <c r="P252" s="116">
        <f t="shared" si="776"/>
        <v>0</v>
      </c>
      <c r="Q252" s="116">
        <f t="shared" si="776"/>
        <v>0</v>
      </c>
      <c r="R252" s="116">
        <f t="shared" si="776"/>
        <v>0</v>
      </c>
      <c r="S252" s="116">
        <f t="shared" si="776"/>
        <v>0</v>
      </c>
      <c r="T252" s="116">
        <f t="shared" si="776"/>
        <v>0</v>
      </c>
      <c r="U252" s="116">
        <f t="shared" si="776"/>
        <v>0</v>
      </c>
      <c r="V252" s="116">
        <f t="shared" si="776"/>
        <v>0</v>
      </c>
      <c r="W252" s="116">
        <f t="shared" si="776"/>
        <v>0</v>
      </c>
      <c r="X252" s="116">
        <f t="shared" si="776"/>
        <v>0</v>
      </c>
      <c r="Y252" s="116">
        <f t="shared" si="776"/>
        <v>0</v>
      </c>
      <c r="Z252" s="116">
        <f t="shared" si="776"/>
        <v>0</v>
      </c>
      <c r="AA252" s="116">
        <f t="shared" si="776"/>
        <v>0</v>
      </c>
      <c r="AB252" s="116">
        <f t="shared" si="776"/>
        <v>0</v>
      </c>
      <c r="AC252" s="116">
        <f t="shared" si="776"/>
        <v>0</v>
      </c>
      <c r="AD252" s="116">
        <f t="shared" si="776"/>
        <v>0</v>
      </c>
      <c r="AE252" s="116">
        <f t="shared" si="776"/>
        <v>0</v>
      </c>
      <c r="AF252" s="116">
        <f t="shared" si="776"/>
        <v>0</v>
      </c>
      <c r="AG252" s="116">
        <f t="shared" si="776"/>
        <v>0</v>
      </c>
      <c r="AH252" s="116">
        <f t="shared" si="776"/>
        <v>0</v>
      </c>
      <c r="AI252" s="116">
        <f t="shared" si="776"/>
        <v>0</v>
      </c>
      <c r="AJ252" s="116">
        <f t="shared" si="776"/>
        <v>0</v>
      </c>
      <c r="AK252" s="116">
        <f t="shared" si="776"/>
        <v>0</v>
      </c>
      <c r="AL252" s="116">
        <f t="shared" si="776"/>
        <v>0</v>
      </c>
      <c r="AM252" s="116">
        <f t="shared" si="776"/>
        <v>0</v>
      </c>
      <c r="AN252" s="116">
        <f t="shared" si="776"/>
        <v>0</v>
      </c>
      <c r="AO252" s="116">
        <f t="shared" si="776"/>
        <v>0</v>
      </c>
      <c r="AP252" s="116">
        <f t="shared" si="776"/>
        <v>0</v>
      </c>
      <c r="AQ252" s="116">
        <f t="shared" si="776"/>
        <v>0</v>
      </c>
      <c r="AR252" s="116">
        <f t="shared" si="776"/>
        <v>0</v>
      </c>
      <c r="AS252" s="116">
        <f t="shared" si="776"/>
        <v>0</v>
      </c>
      <c r="AT252" s="116">
        <f t="shared" si="776"/>
        <v>0</v>
      </c>
      <c r="AU252" s="116">
        <f t="shared" si="776"/>
        <v>0</v>
      </c>
      <c r="AV252" s="116">
        <f t="shared" si="776"/>
        <v>0</v>
      </c>
      <c r="AW252" s="116">
        <f t="shared" si="776"/>
        <v>0</v>
      </c>
      <c r="AX252" s="116">
        <f t="shared" si="776"/>
        <v>0</v>
      </c>
      <c r="AY252" s="116">
        <f t="shared" si="776"/>
        <v>0</v>
      </c>
      <c r="AZ252" s="116">
        <f t="shared" si="776"/>
        <v>0</v>
      </c>
      <c r="BA252" s="116">
        <f t="shared" si="776"/>
        <v>0</v>
      </c>
      <c r="BB252" s="116">
        <f t="shared" si="776"/>
        <v>0</v>
      </c>
      <c r="BC252" s="116">
        <f t="shared" si="776"/>
        <v>0</v>
      </c>
      <c r="BD252" s="116">
        <f t="shared" si="776"/>
        <v>0</v>
      </c>
      <c r="BE252" s="116">
        <f t="shared" si="776"/>
        <v>0</v>
      </c>
      <c r="BF252" s="116">
        <f t="shared" si="776"/>
        <v>0</v>
      </c>
      <c r="BG252" s="116">
        <f t="shared" si="776"/>
        <v>0</v>
      </c>
      <c r="BH252" s="116">
        <f t="shared" si="776"/>
        <v>0</v>
      </c>
      <c r="BI252" s="116">
        <f t="shared" si="776"/>
        <v>0</v>
      </c>
      <c r="BJ252" s="116">
        <f t="shared" si="776"/>
        <v>0</v>
      </c>
      <c r="BK252" s="116">
        <f t="shared" si="776"/>
        <v>0</v>
      </c>
      <c r="BL252" s="116">
        <f t="shared" si="776"/>
        <v>0</v>
      </c>
      <c r="BM252" s="116">
        <f t="shared" si="776"/>
        <v>0</v>
      </c>
      <c r="BN252" s="116">
        <f t="shared" si="776"/>
        <v>0</v>
      </c>
      <c r="BO252" s="116">
        <f t="shared" si="776"/>
        <v>0</v>
      </c>
      <c r="BP252" s="116">
        <f t="shared" si="776"/>
        <v>0</v>
      </c>
      <c r="BQ252" s="116">
        <f t="shared" si="776"/>
        <v>0</v>
      </c>
      <c r="BR252" s="116">
        <f t="shared" si="776"/>
        <v>0</v>
      </c>
      <c r="BS252" s="116">
        <f t="shared" si="776"/>
        <v>0</v>
      </c>
      <c r="BT252" s="116">
        <f t="shared" si="776"/>
        <v>0</v>
      </c>
      <c r="BU252" s="116">
        <f t="shared" si="776"/>
        <v>0</v>
      </c>
      <c r="BV252" s="116">
        <f t="shared" si="776"/>
        <v>0</v>
      </c>
      <c r="BW252" s="116">
        <f t="shared" si="776"/>
        <v>0</v>
      </c>
      <c r="BX252" s="116">
        <f t="shared" si="776"/>
        <v>0</v>
      </c>
      <c r="BY252" s="116">
        <f t="shared" si="776"/>
        <v>0</v>
      </c>
      <c r="BZ252" s="116">
        <f t="shared" ref="BZ252:CP252" si="777">BZ249</f>
        <v>0</v>
      </c>
      <c r="CA252" s="116">
        <f t="shared" si="777"/>
        <v>0</v>
      </c>
      <c r="CB252" s="116">
        <f t="shared" si="777"/>
        <v>0</v>
      </c>
      <c r="CC252" s="116">
        <f t="shared" si="777"/>
        <v>0</v>
      </c>
      <c r="CD252" s="116">
        <f t="shared" si="777"/>
        <v>0</v>
      </c>
      <c r="CE252" s="116">
        <f t="shared" si="777"/>
        <v>0</v>
      </c>
      <c r="CF252" s="116">
        <f t="shared" si="777"/>
        <v>0</v>
      </c>
      <c r="CG252" s="116">
        <f t="shared" si="777"/>
        <v>0</v>
      </c>
      <c r="CH252" s="116">
        <f t="shared" si="777"/>
        <v>0</v>
      </c>
      <c r="CI252" s="116">
        <f t="shared" si="777"/>
        <v>0</v>
      </c>
      <c r="CJ252" s="116">
        <f t="shared" si="777"/>
        <v>0</v>
      </c>
      <c r="CK252" s="116">
        <f t="shared" si="777"/>
        <v>0</v>
      </c>
      <c r="CL252" s="116">
        <f t="shared" si="777"/>
        <v>0</v>
      </c>
      <c r="CM252" s="116">
        <f t="shared" si="777"/>
        <v>0</v>
      </c>
      <c r="CN252" s="116">
        <f t="shared" si="777"/>
        <v>0</v>
      </c>
      <c r="CO252" s="116">
        <f t="shared" si="777"/>
        <v>0</v>
      </c>
      <c r="CP252" s="116">
        <f t="shared" si="777"/>
        <v>0</v>
      </c>
      <c r="DJ252" s="116">
        <f t="shared" ref="DJ252:FU252" si="778">DJ249</f>
        <v>1</v>
      </c>
      <c r="DK252" s="116">
        <f t="shared" si="778"/>
        <v>0</v>
      </c>
      <c r="DL252" s="116">
        <f t="shared" si="778"/>
        <v>0</v>
      </c>
      <c r="DM252" s="116">
        <f t="shared" si="778"/>
        <v>1</v>
      </c>
      <c r="DN252" s="116">
        <f t="shared" si="778"/>
        <v>0</v>
      </c>
      <c r="DO252" s="116">
        <f t="shared" si="778"/>
        <v>0</v>
      </c>
      <c r="DP252" s="116">
        <f t="shared" si="778"/>
        <v>1</v>
      </c>
      <c r="DQ252" s="116">
        <f t="shared" si="778"/>
        <v>0</v>
      </c>
      <c r="DR252" s="116">
        <f t="shared" si="778"/>
        <v>0</v>
      </c>
      <c r="DS252" s="116">
        <f t="shared" si="778"/>
        <v>1</v>
      </c>
      <c r="DT252" s="116">
        <f t="shared" si="778"/>
        <v>0</v>
      </c>
      <c r="DU252" s="116">
        <f t="shared" si="778"/>
        <v>0</v>
      </c>
      <c r="DV252" s="116">
        <f t="shared" si="778"/>
        <v>1</v>
      </c>
      <c r="DW252" s="116">
        <f t="shared" si="778"/>
        <v>0</v>
      </c>
      <c r="DX252" s="116">
        <f t="shared" si="778"/>
        <v>0</v>
      </c>
      <c r="DY252" s="116">
        <f t="shared" si="778"/>
        <v>1</v>
      </c>
      <c r="DZ252" s="116">
        <f t="shared" si="778"/>
        <v>0</v>
      </c>
      <c r="EA252" s="116">
        <f t="shared" si="778"/>
        <v>0</v>
      </c>
      <c r="EB252" s="116">
        <f t="shared" si="778"/>
        <v>1</v>
      </c>
      <c r="EC252" s="116">
        <f t="shared" si="778"/>
        <v>0</v>
      </c>
      <c r="ED252" s="116">
        <f t="shared" si="778"/>
        <v>0</v>
      </c>
      <c r="EE252" s="116">
        <f t="shared" si="778"/>
        <v>1</v>
      </c>
      <c r="EF252" s="116">
        <f t="shared" si="778"/>
        <v>0</v>
      </c>
      <c r="EG252" s="116">
        <f t="shared" si="778"/>
        <v>0</v>
      </c>
      <c r="EH252" s="116">
        <f t="shared" si="778"/>
        <v>1</v>
      </c>
      <c r="EI252" s="116">
        <f t="shared" si="778"/>
        <v>0</v>
      </c>
      <c r="EJ252" s="116">
        <f t="shared" si="778"/>
        <v>0</v>
      </c>
      <c r="EK252" s="116">
        <f t="shared" si="778"/>
        <v>1</v>
      </c>
      <c r="EL252" s="116">
        <f t="shared" si="778"/>
        <v>0</v>
      </c>
      <c r="EM252" s="116">
        <f t="shared" si="778"/>
        <v>0</v>
      </c>
      <c r="EN252" s="116">
        <f t="shared" si="778"/>
        <v>1</v>
      </c>
      <c r="EO252" s="116">
        <f t="shared" si="778"/>
        <v>0</v>
      </c>
      <c r="EP252" s="116">
        <f t="shared" si="778"/>
        <v>0</v>
      </c>
      <c r="EQ252" s="116">
        <f t="shared" si="778"/>
        <v>1</v>
      </c>
      <c r="ER252" s="116">
        <f t="shared" si="778"/>
        <v>0</v>
      </c>
      <c r="ES252" s="116">
        <f t="shared" si="778"/>
        <v>0</v>
      </c>
      <c r="ET252" s="116">
        <f t="shared" si="778"/>
        <v>1</v>
      </c>
      <c r="EU252" s="116">
        <f t="shared" si="778"/>
        <v>0</v>
      </c>
      <c r="EV252" s="116">
        <f t="shared" si="778"/>
        <v>0</v>
      </c>
      <c r="EW252" s="116">
        <f t="shared" si="778"/>
        <v>1</v>
      </c>
      <c r="EX252" s="116">
        <f t="shared" si="778"/>
        <v>0</v>
      </c>
      <c r="EY252" s="116">
        <f t="shared" si="778"/>
        <v>0</v>
      </c>
      <c r="EZ252" s="116">
        <f t="shared" si="778"/>
        <v>1</v>
      </c>
      <c r="FA252" s="116">
        <f t="shared" si="778"/>
        <v>0</v>
      </c>
      <c r="FB252" s="116">
        <f t="shared" si="778"/>
        <v>0</v>
      </c>
      <c r="FC252" s="116">
        <f t="shared" si="778"/>
        <v>1</v>
      </c>
      <c r="FD252" s="116">
        <f t="shared" si="778"/>
        <v>0</v>
      </c>
      <c r="FE252" s="116">
        <f t="shared" si="778"/>
        <v>0</v>
      </c>
      <c r="FF252" s="116">
        <f t="shared" si="778"/>
        <v>1</v>
      </c>
      <c r="FG252" s="116">
        <f t="shared" si="778"/>
        <v>0</v>
      </c>
      <c r="FH252" s="116">
        <f t="shared" si="778"/>
        <v>0</v>
      </c>
      <c r="FI252" s="116">
        <f t="shared" si="778"/>
        <v>1</v>
      </c>
      <c r="FJ252" s="116">
        <f t="shared" si="778"/>
        <v>0</v>
      </c>
      <c r="FK252" s="116">
        <f t="shared" si="778"/>
        <v>0</v>
      </c>
      <c r="FL252" s="116">
        <f t="shared" si="778"/>
        <v>0</v>
      </c>
      <c r="FM252" s="116">
        <f t="shared" si="778"/>
        <v>4</v>
      </c>
      <c r="FN252" s="116">
        <f t="shared" si="778"/>
        <v>0</v>
      </c>
      <c r="FO252" s="116">
        <f t="shared" si="778"/>
        <v>0</v>
      </c>
      <c r="FP252" s="116">
        <f t="shared" si="778"/>
        <v>4</v>
      </c>
      <c r="FQ252" s="116">
        <f t="shared" si="778"/>
        <v>0</v>
      </c>
      <c r="FR252" s="116">
        <f t="shared" si="778"/>
        <v>0</v>
      </c>
      <c r="FS252" s="116">
        <f t="shared" si="778"/>
        <v>4</v>
      </c>
      <c r="FT252" s="116">
        <f t="shared" si="778"/>
        <v>0</v>
      </c>
      <c r="FU252" s="116">
        <f t="shared" si="778"/>
        <v>0</v>
      </c>
      <c r="FV252" s="116">
        <f t="shared" ref="FV252:GL252" si="779">FV249</f>
        <v>4</v>
      </c>
      <c r="FW252" s="116">
        <f t="shared" si="779"/>
        <v>0</v>
      </c>
      <c r="FX252" s="116">
        <f t="shared" si="779"/>
        <v>0</v>
      </c>
      <c r="FY252" s="116">
        <f t="shared" si="779"/>
        <v>4</v>
      </c>
      <c r="FZ252" s="116">
        <f t="shared" si="779"/>
        <v>0</v>
      </c>
      <c r="GA252" s="116">
        <f t="shared" si="779"/>
        <v>0</v>
      </c>
      <c r="GB252" s="116">
        <f t="shared" si="779"/>
        <v>4</v>
      </c>
      <c r="GC252" s="116">
        <f t="shared" si="779"/>
        <v>0</v>
      </c>
      <c r="GD252" s="116">
        <f t="shared" si="779"/>
        <v>0</v>
      </c>
      <c r="GE252" s="116">
        <f t="shared" si="779"/>
        <v>4</v>
      </c>
      <c r="GF252" s="116">
        <f t="shared" si="779"/>
        <v>0</v>
      </c>
      <c r="GG252" s="116">
        <f t="shared" si="779"/>
        <v>0</v>
      </c>
      <c r="GH252" s="116">
        <f t="shared" si="779"/>
        <v>4</v>
      </c>
      <c r="GI252" s="116">
        <f t="shared" si="779"/>
        <v>0</v>
      </c>
      <c r="GJ252" s="116">
        <f t="shared" si="779"/>
        <v>0</v>
      </c>
      <c r="GK252" s="116">
        <f t="shared" si="779"/>
        <v>4</v>
      </c>
      <c r="GL252" s="116">
        <f t="shared" si="779"/>
        <v>0</v>
      </c>
    </row>
    <row r="253" spans="14:194" ht="15" customHeight="1">
      <c r="N253" s="116">
        <f t="shared" ref="N253:BY253" si="780">N250</f>
        <v>0</v>
      </c>
      <c r="O253" s="116">
        <f t="shared" si="780"/>
        <v>0</v>
      </c>
      <c r="P253" s="116">
        <f t="shared" si="780"/>
        <v>0</v>
      </c>
      <c r="Q253" s="116">
        <f t="shared" si="780"/>
        <v>0</v>
      </c>
      <c r="R253" s="116">
        <f t="shared" si="780"/>
        <v>0</v>
      </c>
      <c r="S253" s="116">
        <f t="shared" si="780"/>
        <v>0</v>
      </c>
      <c r="T253" s="116">
        <f t="shared" si="780"/>
        <v>0</v>
      </c>
      <c r="U253" s="116">
        <f t="shared" si="780"/>
        <v>0</v>
      </c>
      <c r="V253" s="116">
        <f t="shared" si="780"/>
        <v>0</v>
      </c>
      <c r="W253" s="116">
        <f t="shared" si="780"/>
        <v>0</v>
      </c>
      <c r="X253" s="116">
        <f t="shared" si="780"/>
        <v>0</v>
      </c>
      <c r="Y253" s="116">
        <f t="shared" si="780"/>
        <v>0</v>
      </c>
      <c r="Z253" s="116">
        <f t="shared" si="780"/>
        <v>0</v>
      </c>
      <c r="AA253" s="116">
        <f t="shared" si="780"/>
        <v>0</v>
      </c>
      <c r="AB253" s="116">
        <f t="shared" si="780"/>
        <v>0</v>
      </c>
      <c r="AC253" s="116">
        <f t="shared" si="780"/>
        <v>0</v>
      </c>
      <c r="AD253" s="116">
        <f t="shared" si="780"/>
        <v>0</v>
      </c>
      <c r="AE253" s="116">
        <f t="shared" si="780"/>
        <v>0</v>
      </c>
      <c r="AF253" s="116">
        <f t="shared" si="780"/>
        <v>0</v>
      </c>
      <c r="AG253" s="116">
        <f t="shared" si="780"/>
        <v>0</v>
      </c>
      <c r="AH253" s="116">
        <f t="shared" si="780"/>
        <v>0</v>
      </c>
      <c r="AI253" s="116">
        <f t="shared" si="780"/>
        <v>0</v>
      </c>
      <c r="AJ253" s="116">
        <f t="shared" si="780"/>
        <v>0</v>
      </c>
      <c r="AK253" s="116">
        <f t="shared" si="780"/>
        <v>0</v>
      </c>
      <c r="AL253" s="116">
        <f t="shared" si="780"/>
        <v>0</v>
      </c>
      <c r="AM253" s="116">
        <f t="shared" si="780"/>
        <v>0</v>
      </c>
      <c r="AN253" s="116">
        <f t="shared" si="780"/>
        <v>0</v>
      </c>
      <c r="AO253" s="116">
        <f t="shared" si="780"/>
        <v>0</v>
      </c>
      <c r="AP253" s="116">
        <f t="shared" si="780"/>
        <v>0</v>
      </c>
      <c r="AQ253" s="116">
        <f t="shared" si="780"/>
        <v>0</v>
      </c>
      <c r="AR253" s="116">
        <f t="shared" si="780"/>
        <v>0</v>
      </c>
      <c r="AS253" s="116">
        <f t="shared" si="780"/>
        <v>0</v>
      </c>
      <c r="AT253" s="116">
        <f t="shared" si="780"/>
        <v>0</v>
      </c>
      <c r="AU253" s="116">
        <f t="shared" si="780"/>
        <v>0</v>
      </c>
      <c r="AV253" s="116">
        <f t="shared" si="780"/>
        <v>0</v>
      </c>
      <c r="AW253" s="116">
        <f t="shared" si="780"/>
        <v>0</v>
      </c>
      <c r="AX253" s="116">
        <f t="shared" si="780"/>
        <v>0</v>
      </c>
      <c r="AY253" s="116">
        <f t="shared" si="780"/>
        <v>0</v>
      </c>
      <c r="AZ253" s="116">
        <f t="shared" si="780"/>
        <v>0</v>
      </c>
      <c r="BA253" s="116">
        <f t="shared" si="780"/>
        <v>0</v>
      </c>
      <c r="BB253" s="116">
        <f t="shared" si="780"/>
        <v>0</v>
      </c>
      <c r="BC253" s="116">
        <f t="shared" si="780"/>
        <v>0</v>
      </c>
      <c r="BD253" s="116">
        <f t="shared" si="780"/>
        <v>0</v>
      </c>
      <c r="BE253" s="116">
        <f t="shared" si="780"/>
        <v>0</v>
      </c>
      <c r="BF253" s="116">
        <f t="shared" si="780"/>
        <v>0</v>
      </c>
      <c r="BG253" s="116">
        <f t="shared" si="780"/>
        <v>0</v>
      </c>
      <c r="BH253" s="116">
        <f t="shared" si="780"/>
        <v>0</v>
      </c>
      <c r="BI253" s="116">
        <f t="shared" si="780"/>
        <v>0</v>
      </c>
      <c r="BJ253" s="116">
        <f t="shared" si="780"/>
        <v>0</v>
      </c>
      <c r="BK253" s="116">
        <f t="shared" si="780"/>
        <v>0</v>
      </c>
      <c r="BL253" s="116">
        <f t="shared" si="780"/>
        <v>0</v>
      </c>
      <c r="BM253" s="116">
        <f t="shared" si="780"/>
        <v>0</v>
      </c>
      <c r="BN253" s="116">
        <f t="shared" si="780"/>
        <v>0</v>
      </c>
      <c r="BO253" s="116">
        <f t="shared" si="780"/>
        <v>0</v>
      </c>
      <c r="BP253" s="116">
        <f t="shared" si="780"/>
        <v>0</v>
      </c>
      <c r="BQ253" s="116">
        <f t="shared" si="780"/>
        <v>0</v>
      </c>
      <c r="BR253" s="116">
        <f t="shared" si="780"/>
        <v>0</v>
      </c>
      <c r="BS253" s="116">
        <f t="shared" si="780"/>
        <v>0</v>
      </c>
      <c r="BT253" s="116">
        <f t="shared" si="780"/>
        <v>0</v>
      </c>
      <c r="BU253" s="116">
        <f t="shared" si="780"/>
        <v>0</v>
      </c>
      <c r="BV253" s="116">
        <f t="shared" si="780"/>
        <v>0</v>
      </c>
      <c r="BW253" s="116">
        <f t="shared" si="780"/>
        <v>0</v>
      </c>
      <c r="BX253" s="116">
        <f t="shared" si="780"/>
        <v>0</v>
      </c>
      <c r="BY253" s="116">
        <f t="shared" si="780"/>
        <v>0</v>
      </c>
      <c r="BZ253" s="116">
        <f t="shared" ref="BZ253:CP253" si="781">BZ250</f>
        <v>0</v>
      </c>
      <c r="CA253" s="116">
        <f t="shared" si="781"/>
        <v>0</v>
      </c>
      <c r="CB253" s="116">
        <f t="shared" si="781"/>
        <v>0</v>
      </c>
      <c r="CC253" s="116">
        <f t="shared" si="781"/>
        <v>0</v>
      </c>
      <c r="CD253" s="116">
        <f t="shared" si="781"/>
        <v>0</v>
      </c>
      <c r="CE253" s="116">
        <f t="shared" si="781"/>
        <v>0</v>
      </c>
      <c r="CF253" s="116">
        <f t="shared" si="781"/>
        <v>0</v>
      </c>
      <c r="CG253" s="116">
        <f t="shared" si="781"/>
        <v>0</v>
      </c>
      <c r="CH253" s="116">
        <f t="shared" si="781"/>
        <v>0</v>
      </c>
      <c r="CI253" s="116">
        <f t="shared" si="781"/>
        <v>0</v>
      </c>
      <c r="CJ253" s="116">
        <f t="shared" si="781"/>
        <v>0</v>
      </c>
      <c r="CK253" s="116">
        <f t="shared" si="781"/>
        <v>0</v>
      </c>
      <c r="CL253" s="116">
        <f t="shared" si="781"/>
        <v>0</v>
      </c>
      <c r="CM253" s="116">
        <f t="shared" si="781"/>
        <v>0</v>
      </c>
      <c r="CN253" s="116">
        <f t="shared" si="781"/>
        <v>0</v>
      </c>
      <c r="CO253" s="116">
        <f t="shared" si="781"/>
        <v>0</v>
      </c>
      <c r="CP253" s="116">
        <f t="shared" si="781"/>
        <v>0</v>
      </c>
      <c r="DJ253" s="116">
        <f t="shared" ref="DJ253:FU253" si="782">DJ250</f>
        <v>5</v>
      </c>
      <c r="DK253" s="116">
        <f t="shared" si="782"/>
        <v>4</v>
      </c>
      <c r="DL253" s="116">
        <f t="shared" si="782"/>
        <v>0</v>
      </c>
      <c r="DM253" s="116">
        <f t="shared" si="782"/>
        <v>5</v>
      </c>
      <c r="DN253" s="116">
        <f t="shared" si="782"/>
        <v>4</v>
      </c>
      <c r="DO253" s="116">
        <f t="shared" si="782"/>
        <v>0</v>
      </c>
      <c r="DP253" s="116">
        <f t="shared" si="782"/>
        <v>5</v>
      </c>
      <c r="DQ253" s="116">
        <f t="shared" si="782"/>
        <v>4</v>
      </c>
      <c r="DR253" s="116">
        <f t="shared" si="782"/>
        <v>0</v>
      </c>
      <c r="DS253" s="116">
        <f t="shared" si="782"/>
        <v>5</v>
      </c>
      <c r="DT253" s="116">
        <f t="shared" si="782"/>
        <v>4</v>
      </c>
      <c r="DU253" s="116">
        <f t="shared" si="782"/>
        <v>0</v>
      </c>
      <c r="DV253" s="116">
        <f t="shared" si="782"/>
        <v>5</v>
      </c>
      <c r="DW253" s="116">
        <f t="shared" si="782"/>
        <v>4</v>
      </c>
      <c r="DX253" s="116">
        <f t="shared" si="782"/>
        <v>0</v>
      </c>
      <c r="DY253" s="116">
        <f t="shared" si="782"/>
        <v>5</v>
      </c>
      <c r="DZ253" s="116">
        <f t="shared" si="782"/>
        <v>4</v>
      </c>
      <c r="EA253" s="116">
        <f t="shared" si="782"/>
        <v>0</v>
      </c>
      <c r="EB253" s="116">
        <f t="shared" si="782"/>
        <v>5</v>
      </c>
      <c r="EC253" s="116">
        <f t="shared" si="782"/>
        <v>4</v>
      </c>
      <c r="ED253" s="116">
        <f t="shared" si="782"/>
        <v>0</v>
      </c>
      <c r="EE253" s="116">
        <f t="shared" si="782"/>
        <v>5</v>
      </c>
      <c r="EF253" s="116">
        <f t="shared" si="782"/>
        <v>4</v>
      </c>
      <c r="EG253" s="116">
        <f t="shared" si="782"/>
        <v>0</v>
      </c>
      <c r="EH253" s="116">
        <f t="shared" si="782"/>
        <v>5</v>
      </c>
      <c r="EI253" s="116">
        <f t="shared" si="782"/>
        <v>4</v>
      </c>
      <c r="EJ253" s="116">
        <f t="shared" si="782"/>
        <v>0</v>
      </c>
      <c r="EK253" s="116">
        <f t="shared" si="782"/>
        <v>5</v>
      </c>
      <c r="EL253" s="116">
        <f t="shared" si="782"/>
        <v>4</v>
      </c>
      <c r="EM253" s="116">
        <f t="shared" si="782"/>
        <v>3</v>
      </c>
      <c r="EN253" s="116">
        <f t="shared" si="782"/>
        <v>5</v>
      </c>
      <c r="EO253" s="116">
        <f t="shared" si="782"/>
        <v>4</v>
      </c>
      <c r="EP253" s="116">
        <f t="shared" si="782"/>
        <v>3</v>
      </c>
      <c r="EQ253" s="116">
        <f t="shared" si="782"/>
        <v>5</v>
      </c>
      <c r="ER253" s="116">
        <f t="shared" si="782"/>
        <v>4</v>
      </c>
      <c r="ES253" s="116">
        <f t="shared" si="782"/>
        <v>3</v>
      </c>
      <c r="ET253" s="116">
        <f t="shared" si="782"/>
        <v>5</v>
      </c>
      <c r="EU253" s="116">
        <f t="shared" si="782"/>
        <v>4</v>
      </c>
      <c r="EV253" s="116">
        <f t="shared" si="782"/>
        <v>3</v>
      </c>
      <c r="EW253" s="116">
        <f t="shared" si="782"/>
        <v>5</v>
      </c>
      <c r="EX253" s="116">
        <f t="shared" si="782"/>
        <v>4</v>
      </c>
      <c r="EY253" s="116">
        <f t="shared" si="782"/>
        <v>3</v>
      </c>
      <c r="EZ253" s="116">
        <f t="shared" si="782"/>
        <v>5</v>
      </c>
      <c r="FA253" s="116">
        <f t="shared" si="782"/>
        <v>4</v>
      </c>
      <c r="FB253" s="116">
        <f t="shared" si="782"/>
        <v>3</v>
      </c>
      <c r="FC253" s="116">
        <f t="shared" si="782"/>
        <v>5</v>
      </c>
      <c r="FD253" s="116">
        <f t="shared" si="782"/>
        <v>4</v>
      </c>
      <c r="FE253" s="116">
        <f t="shared" si="782"/>
        <v>3</v>
      </c>
      <c r="FF253" s="116">
        <f t="shared" si="782"/>
        <v>5</v>
      </c>
      <c r="FG253" s="116">
        <f t="shared" si="782"/>
        <v>4</v>
      </c>
      <c r="FH253" s="116">
        <f t="shared" si="782"/>
        <v>3</v>
      </c>
      <c r="FI253" s="116">
        <f t="shared" si="782"/>
        <v>5</v>
      </c>
      <c r="FJ253" s="116">
        <f t="shared" si="782"/>
        <v>4</v>
      </c>
      <c r="FK253" s="116">
        <f t="shared" si="782"/>
        <v>3</v>
      </c>
      <c r="FL253" s="116">
        <f t="shared" si="782"/>
        <v>0</v>
      </c>
      <c r="FM253" s="116">
        <f t="shared" si="782"/>
        <v>6</v>
      </c>
      <c r="FN253" s="116">
        <f t="shared" si="782"/>
        <v>4</v>
      </c>
      <c r="FO253" s="116">
        <f t="shared" si="782"/>
        <v>0</v>
      </c>
      <c r="FP253" s="116">
        <f t="shared" si="782"/>
        <v>6</v>
      </c>
      <c r="FQ253" s="116">
        <f t="shared" si="782"/>
        <v>4</v>
      </c>
      <c r="FR253" s="116">
        <f t="shared" si="782"/>
        <v>0</v>
      </c>
      <c r="FS253" s="116">
        <f t="shared" si="782"/>
        <v>6</v>
      </c>
      <c r="FT253" s="116">
        <f t="shared" si="782"/>
        <v>4</v>
      </c>
      <c r="FU253" s="116">
        <f t="shared" si="782"/>
        <v>0</v>
      </c>
      <c r="FV253" s="116">
        <f t="shared" ref="FV253:GL253" si="783">FV250</f>
        <v>6</v>
      </c>
      <c r="FW253" s="116">
        <f t="shared" si="783"/>
        <v>4</v>
      </c>
      <c r="FX253" s="116">
        <f t="shared" si="783"/>
        <v>0</v>
      </c>
      <c r="FY253" s="116">
        <f t="shared" si="783"/>
        <v>6</v>
      </c>
      <c r="FZ253" s="116">
        <f t="shared" si="783"/>
        <v>4</v>
      </c>
      <c r="GA253" s="116">
        <f t="shared" si="783"/>
        <v>0</v>
      </c>
      <c r="GB253" s="116">
        <f t="shared" si="783"/>
        <v>6</v>
      </c>
      <c r="GC253" s="116">
        <f t="shared" si="783"/>
        <v>4</v>
      </c>
      <c r="GD253" s="116">
        <f t="shared" si="783"/>
        <v>0</v>
      </c>
      <c r="GE253" s="116">
        <f t="shared" si="783"/>
        <v>6</v>
      </c>
      <c r="GF253" s="116">
        <f t="shared" si="783"/>
        <v>4</v>
      </c>
      <c r="GG253" s="116">
        <f t="shared" si="783"/>
        <v>0</v>
      </c>
      <c r="GH253" s="116">
        <f t="shared" si="783"/>
        <v>6</v>
      </c>
      <c r="GI253" s="116">
        <f t="shared" si="783"/>
        <v>4</v>
      </c>
      <c r="GJ253" s="116">
        <f t="shared" si="783"/>
        <v>0</v>
      </c>
      <c r="GK253" s="116">
        <f t="shared" si="783"/>
        <v>6</v>
      </c>
      <c r="GL253" s="116">
        <f t="shared" si="783"/>
        <v>4</v>
      </c>
    </row>
    <row r="254" spans="14:194" ht="15" customHeight="1">
      <c r="N254" s="116">
        <f t="shared" ref="N254:BY254" si="784">N251</f>
        <v>0</v>
      </c>
      <c r="O254" s="116">
        <f t="shared" si="784"/>
        <v>0</v>
      </c>
      <c r="P254" s="116">
        <f t="shared" si="784"/>
        <v>0</v>
      </c>
      <c r="Q254" s="116">
        <f t="shared" si="784"/>
        <v>0</v>
      </c>
      <c r="R254" s="116">
        <f t="shared" si="784"/>
        <v>0</v>
      </c>
      <c r="S254" s="116">
        <f t="shared" si="784"/>
        <v>0</v>
      </c>
      <c r="T254" s="116">
        <f t="shared" si="784"/>
        <v>0</v>
      </c>
      <c r="U254" s="116">
        <f t="shared" si="784"/>
        <v>0</v>
      </c>
      <c r="V254" s="116">
        <f t="shared" si="784"/>
        <v>0</v>
      </c>
      <c r="W254" s="116">
        <f t="shared" si="784"/>
        <v>0</v>
      </c>
      <c r="X254" s="116">
        <f t="shared" si="784"/>
        <v>0</v>
      </c>
      <c r="Y254" s="116">
        <f t="shared" si="784"/>
        <v>0</v>
      </c>
      <c r="Z254" s="116">
        <f t="shared" si="784"/>
        <v>0</v>
      </c>
      <c r="AA254" s="116">
        <f t="shared" si="784"/>
        <v>0</v>
      </c>
      <c r="AB254" s="116">
        <f t="shared" si="784"/>
        <v>0</v>
      </c>
      <c r="AC254" s="116">
        <f t="shared" si="784"/>
        <v>0</v>
      </c>
      <c r="AD254" s="116">
        <f t="shared" si="784"/>
        <v>0</v>
      </c>
      <c r="AE254" s="116">
        <f t="shared" si="784"/>
        <v>0</v>
      </c>
      <c r="AF254" s="116">
        <f t="shared" si="784"/>
        <v>0</v>
      </c>
      <c r="AG254" s="116">
        <f t="shared" si="784"/>
        <v>0</v>
      </c>
      <c r="AH254" s="116">
        <f t="shared" si="784"/>
        <v>0</v>
      </c>
      <c r="AI254" s="116">
        <f t="shared" si="784"/>
        <v>0</v>
      </c>
      <c r="AJ254" s="116">
        <f t="shared" si="784"/>
        <v>0</v>
      </c>
      <c r="AK254" s="116">
        <f t="shared" si="784"/>
        <v>0</v>
      </c>
      <c r="AL254" s="116">
        <f t="shared" si="784"/>
        <v>0</v>
      </c>
      <c r="AM254" s="116">
        <f t="shared" si="784"/>
        <v>0</v>
      </c>
      <c r="AN254" s="116">
        <f t="shared" si="784"/>
        <v>0</v>
      </c>
      <c r="AO254" s="116">
        <f t="shared" si="784"/>
        <v>0</v>
      </c>
      <c r="AP254" s="116">
        <f t="shared" si="784"/>
        <v>0</v>
      </c>
      <c r="AQ254" s="116">
        <f t="shared" si="784"/>
        <v>0</v>
      </c>
      <c r="AR254" s="116">
        <f t="shared" si="784"/>
        <v>0</v>
      </c>
      <c r="AS254" s="116">
        <f t="shared" si="784"/>
        <v>0</v>
      </c>
      <c r="AT254" s="116">
        <f t="shared" si="784"/>
        <v>0</v>
      </c>
      <c r="AU254" s="116">
        <f t="shared" si="784"/>
        <v>0</v>
      </c>
      <c r="AV254" s="116">
        <f t="shared" si="784"/>
        <v>0</v>
      </c>
      <c r="AW254" s="116">
        <f t="shared" si="784"/>
        <v>0</v>
      </c>
      <c r="AX254" s="116">
        <f t="shared" si="784"/>
        <v>0</v>
      </c>
      <c r="AY254" s="116">
        <f t="shared" si="784"/>
        <v>0</v>
      </c>
      <c r="AZ254" s="116">
        <f t="shared" si="784"/>
        <v>0</v>
      </c>
      <c r="BA254" s="116">
        <f t="shared" si="784"/>
        <v>0</v>
      </c>
      <c r="BB254" s="116">
        <f t="shared" si="784"/>
        <v>0</v>
      </c>
      <c r="BC254" s="116">
        <f t="shared" si="784"/>
        <v>0</v>
      </c>
      <c r="BD254" s="116">
        <f t="shared" si="784"/>
        <v>0</v>
      </c>
      <c r="BE254" s="116">
        <f t="shared" si="784"/>
        <v>0</v>
      </c>
      <c r="BF254" s="116">
        <f t="shared" si="784"/>
        <v>0</v>
      </c>
      <c r="BG254" s="116">
        <f t="shared" si="784"/>
        <v>0</v>
      </c>
      <c r="BH254" s="116">
        <f t="shared" si="784"/>
        <v>0</v>
      </c>
      <c r="BI254" s="116">
        <f t="shared" si="784"/>
        <v>0</v>
      </c>
      <c r="BJ254" s="116">
        <f t="shared" si="784"/>
        <v>0</v>
      </c>
      <c r="BK254" s="116">
        <f t="shared" si="784"/>
        <v>0</v>
      </c>
      <c r="BL254" s="116">
        <f t="shared" si="784"/>
        <v>0</v>
      </c>
      <c r="BM254" s="116">
        <f t="shared" si="784"/>
        <v>0</v>
      </c>
      <c r="BN254" s="116">
        <f t="shared" si="784"/>
        <v>0</v>
      </c>
      <c r="BO254" s="116">
        <f t="shared" si="784"/>
        <v>0</v>
      </c>
      <c r="BP254" s="116">
        <f t="shared" si="784"/>
        <v>0</v>
      </c>
      <c r="BQ254" s="116">
        <f t="shared" si="784"/>
        <v>0</v>
      </c>
      <c r="BR254" s="116">
        <f t="shared" si="784"/>
        <v>0</v>
      </c>
      <c r="BS254" s="116">
        <f t="shared" si="784"/>
        <v>0</v>
      </c>
      <c r="BT254" s="116">
        <f t="shared" si="784"/>
        <v>0</v>
      </c>
      <c r="BU254" s="116">
        <f t="shared" si="784"/>
        <v>0</v>
      </c>
      <c r="BV254" s="116">
        <f t="shared" si="784"/>
        <v>0</v>
      </c>
      <c r="BW254" s="116">
        <f t="shared" si="784"/>
        <v>0</v>
      </c>
      <c r="BX254" s="116">
        <f t="shared" si="784"/>
        <v>0</v>
      </c>
      <c r="BY254" s="116">
        <f t="shared" si="784"/>
        <v>0</v>
      </c>
      <c r="BZ254" s="116">
        <f t="shared" ref="BZ254:CP254" si="785">BZ251</f>
        <v>0</v>
      </c>
      <c r="CA254" s="116">
        <f t="shared" si="785"/>
        <v>0</v>
      </c>
      <c r="CB254" s="116">
        <f t="shared" si="785"/>
        <v>0</v>
      </c>
      <c r="CC254" s="116">
        <f t="shared" si="785"/>
        <v>0</v>
      </c>
      <c r="CD254" s="116">
        <f t="shared" si="785"/>
        <v>0</v>
      </c>
      <c r="CE254" s="116">
        <f t="shared" si="785"/>
        <v>0</v>
      </c>
      <c r="CF254" s="116">
        <f t="shared" si="785"/>
        <v>0</v>
      </c>
      <c r="CG254" s="116">
        <f t="shared" si="785"/>
        <v>0</v>
      </c>
      <c r="CH254" s="116">
        <f t="shared" si="785"/>
        <v>0</v>
      </c>
      <c r="CI254" s="116">
        <f t="shared" si="785"/>
        <v>0</v>
      </c>
      <c r="CJ254" s="116">
        <f t="shared" si="785"/>
        <v>0</v>
      </c>
      <c r="CK254" s="116">
        <f t="shared" si="785"/>
        <v>0</v>
      </c>
      <c r="CL254" s="116">
        <f t="shared" si="785"/>
        <v>0</v>
      </c>
      <c r="CM254" s="116">
        <f t="shared" si="785"/>
        <v>0</v>
      </c>
      <c r="CN254" s="116">
        <f t="shared" si="785"/>
        <v>0</v>
      </c>
      <c r="CO254" s="116">
        <f t="shared" si="785"/>
        <v>0</v>
      </c>
      <c r="CP254" s="116">
        <f t="shared" si="785"/>
        <v>0</v>
      </c>
      <c r="DJ254" s="116">
        <f t="shared" ref="DJ254:FU254" si="786">DJ251</f>
        <v>5</v>
      </c>
      <c r="DK254" s="116">
        <f t="shared" si="786"/>
        <v>1</v>
      </c>
      <c r="DL254" s="116">
        <f t="shared" si="786"/>
        <v>0</v>
      </c>
      <c r="DM254" s="116">
        <f t="shared" si="786"/>
        <v>5</v>
      </c>
      <c r="DN254" s="116">
        <f t="shared" si="786"/>
        <v>1</v>
      </c>
      <c r="DO254" s="116">
        <f t="shared" si="786"/>
        <v>0</v>
      </c>
      <c r="DP254" s="116">
        <f t="shared" si="786"/>
        <v>5</v>
      </c>
      <c r="DQ254" s="116">
        <f t="shared" si="786"/>
        <v>1</v>
      </c>
      <c r="DR254" s="116">
        <f t="shared" si="786"/>
        <v>0</v>
      </c>
      <c r="DS254" s="116">
        <f t="shared" si="786"/>
        <v>5</v>
      </c>
      <c r="DT254" s="116">
        <f t="shared" si="786"/>
        <v>1</v>
      </c>
      <c r="DU254" s="116">
        <f t="shared" si="786"/>
        <v>0</v>
      </c>
      <c r="DV254" s="116">
        <f t="shared" si="786"/>
        <v>5</v>
      </c>
      <c r="DW254" s="116">
        <f t="shared" si="786"/>
        <v>1</v>
      </c>
      <c r="DX254" s="116">
        <f t="shared" si="786"/>
        <v>0</v>
      </c>
      <c r="DY254" s="116">
        <f t="shared" si="786"/>
        <v>5</v>
      </c>
      <c r="DZ254" s="116">
        <f t="shared" si="786"/>
        <v>1</v>
      </c>
      <c r="EA254" s="116">
        <f t="shared" si="786"/>
        <v>0</v>
      </c>
      <c r="EB254" s="116">
        <f t="shared" si="786"/>
        <v>5</v>
      </c>
      <c r="EC254" s="116">
        <f t="shared" si="786"/>
        <v>1</v>
      </c>
      <c r="ED254" s="116">
        <f t="shared" si="786"/>
        <v>0</v>
      </c>
      <c r="EE254" s="116">
        <f t="shared" si="786"/>
        <v>5</v>
      </c>
      <c r="EF254" s="116">
        <f t="shared" si="786"/>
        <v>1</v>
      </c>
      <c r="EG254" s="116">
        <f t="shared" si="786"/>
        <v>0</v>
      </c>
      <c r="EH254" s="116">
        <f t="shared" si="786"/>
        <v>5</v>
      </c>
      <c r="EI254" s="116">
        <f t="shared" si="786"/>
        <v>1</v>
      </c>
      <c r="EJ254" s="116">
        <f t="shared" si="786"/>
        <v>0</v>
      </c>
      <c r="EK254" s="116">
        <f t="shared" si="786"/>
        <v>5</v>
      </c>
      <c r="EL254" s="116">
        <f t="shared" si="786"/>
        <v>0</v>
      </c>
      <c r="EM254" s="116">
        <f t="shared" si="786"/>
        <v>0</v>
      </c>
      <c r="EN254" s="116">
        <f t="shared" si="786"/>
        <v>5</v>
      </c>
      <c r="EO254" s="116">
        <f t="shared" si="786"/>
        <v>0</v>
      </c>
      <c r="EP254" s="116">
        <f t="shared" si="786"/>
        <v>0</v>
      </c>
      <c r="EQ254" s="116">
        <f t="shared" si="786"/>
        <v>5</v>
      </c>
      <c r="ER254" s="116">
        <f t="shared" si="786"/>
        <v>0</v>
      </c>
      <c r="ES254" s="116">
        <f t="shared" si="786"/>
        <v>0</v>
      </c>
      <c r="ET254" s="116">
        <f t="shared" si="786"/>
        <v>5</v>
      </c>
      <c r="EU254" s="116">
        <f t="shared" si="786"/>
        <v>0</v>
      </c>
      <c r="EV254" s="116">
        <f t="shared" si="786"/>
        <v>0</v>
      </c>
      <c r="EW254" s="116">
        <f t="shared" si="786"/>
        <v>5</v>
      </c>
      <c r="EX254" s="116">
        <f t="shared" si="786"/>
        <v>0</v>
      </c>
      <c r="EY254" s="116">
        <f t="shared" si="786"/>
        <v>0</v>
      </c>
      <c r="EZ254" s="116">
        <f t="shared" si="786"/>
        <v>5</v>
      </c>
      <c r="FA254" s="116">
        <f t="shared" si="786"/>
        <v>0</v>
      </c>
      <c r="FB254" s="116">
        <f t="shared" si="786"/>
        <v>0</v>
      </c>
      <c r="FC254" s="116">
        <f t="shared" si="786"/>
        <v>5</v>
      </c>
      <c r="FD254" s="116">
        <f t="shared" si="786"/>
        <v>0</v>
      </c>
      <c r="FE254" s="116">
        <f t="shared" si="786"/>
        <v>0</v>
      </c>
      <c r="FF254" s="116">
        <f t="shared" si="786"/>
        <v>5</v>
      </c>
      <c r="FG254" s="116">
        <f t="shared" si="786"/>
        <v>0</v>
      </c>
      <c r="FH254" s="116">
        <f t="shared" si="786"/>
        <v>0</v>
      </c>
      <c r="FI254" s="116">
        <f t="shared" si="786"/>
        <v>5</v>
      </c>
      <c r="FJ254" s="116">
        <f t="shared" si="786"/>
        <v>0</v>
      </c>
      <c r="FK254" s="116">
        <f t="shared" si="786"/>
        <v>0</v>
      </c>
      <c r="FL254" s="116">
        <f t="shared" si="786"/>
        <v>3</v>
      </c>
      <c r="FM254" s="116">
        <f t="shared" si="786"/>
        <v>1</v>
      </c>
      <c r="FN254" s="116">
        <f t="shared" si="786"/>
        <v>3</v>
      </c>
      <c r="FO254" s="116">
        <f t="shared" si="786"/>
        <v>3</v>
      </c>
      <c r="FP254" s="116">
        <f t="shared" si="786"/>
        <v>1</v>
      </c>
      <c r="FQ254" s="116">
        <f t="shared" si="786"/>
        <v>3</v>
      </c>
      <c r="FR254" s="116">
        <f t="shared" si="786"/>
        <v>3</v>
      </c>
      <c r="FS254" s="116">
        <f t="shared" si="786"/>
        <v>1</v>
      </c>
      <c r="FT254" s="116">
        <f t="shared" si="786"/>
        <v>3</v>
      </c>
      <c r="FU254" s="116">
        <f t="shared" si="786"/>
        <v>3</v>
      </c>
      <c r="FV254" s="116">
        <f t="shared" ref="FV254:GL254" si="787">FV251</f>
        <v>1</v>
      </c>
      <c r="FW254" s="116">
        <f t="shared" si="787"/>
        <v>3</v>
      </c>
      <c r="FX254" s="116">
        <f t="shared" si="787"/>
        <v>3</v>
      </c>
      <c r="FY254" s="116">
        <f t="shared" si="787"/>
        <v>1</v>
      </c>
      <c r="FZ254" s="116">
        <f t="shared" si="787"/>
        <v>3</v>
      </c>
      <c r="GA254" s="116">
        <f t="shared" si="787"/>
        <v>3</v>
      </c>
      <c r="GB254" s="116">
        <f t="shared" si="787"/>
        <v>1</v>
      </c>
      <c r="GC254" s="116">
        <f t="shared" si="787"/>
        <v>3</v>
      </c>
      <c r="GD254" s="116">
        <f t="shared" si="787"/>
        <v>3</v>
      </c>
      <c r="GE254" s="116">
        <f t="shared" si="787"/>
        <v>1</v>
      </c>
      <c r="GF254" s="116">
        <f t="shared" si="787"/>
        <v>3</v>
      </c>
      <c r="GG254" s="116">
        <f t="shared" si="787"/>
        <v>3</v>
      </c>
      <c r="GH254" s="116">
        <f t="shared" si="787"/>
        <v>1</v>
      </c>
      <c r="GI254" s="116">
        <f t="shared" si="787"/>
        <v>3</v>
      </c>
      <c r="GJ254" s="116">
        <f t="shared" si="787"/>
        <v>3</v>
      </c>
      <c r="GK254" s="116">
        <f t="shared" si="787"/>
        <v>1</v>
      </c>
      <c r="GL254" s="116">
        <f t="shared" si="787"/>
        <v>3</v>
      </c>
    </row>
    <row r="255" spans="14:194" ht="15" customHeight="1">
      <c r="N255" s="116">
        <f t="shared" ref="N255:BY255" si="788">N252</f>
        <v>0</v>
      </c>
      <c r="O255" s="116">
        <f t="shared" si="788"/>
        <v>0</v>
      </c>
      <c r="P255" s="116">
        <f t="shared" si="788"/>
        <v>0</v>
      </c>
      <c r="Q255" s="116">
        <f t="shared" si="788"/>
        <v>0</v>
      </c>
      <c r="R255" s="116">
        <f t="shared" si="788"/>
        <v>0</v>
      </c>
      <c r="S255" s="116">
        <f t="shared" si="788"/>
        <v>0</v>
      </c>
      <c r="T255" s="116">
        <f t="shared" si="788"/>
        <v>0</v>
      </c>
      <c r="U255" s="116">
        <f t="shared" si="788"/>
        <v>0</v>
      </c>
      <c r="V255" s="116">
        <f t="shared" si="788"/>
        <v>0</v>
      </c>
      <c r="W255" s="116">
        <f t="shared" si="788"/>
        <v>0</v>
      </c>
      <c r="X255" s="116">
        <f t="shared" si="788"/>
        <v>0</v>
      </c>
      <c r="Y255" s="116">
        <f t="shared" si="788"/>
        <v>0</v>
      </c>
      <c r="Z255" s="116">
        <f t="shared" si="788"/>
        <v>0</v>
      </c>
      <c r="AA255" s="116">
        <f t="shared" si="788"/>
        <v>0</v>
      </c>
      <c r="AB255" s="116">
        <f t="shared" si="788"/>
        <v>0</v>
      </c>
      <c r="AC255" s="116">
        <f t="shared" si="788"/>
        <v>0</v>
      </c>
      <c r="AD255" s="116">
        <f t="shared" si="788"/>
        <v>0</v>
      </c>
      <c r="AE255" s="116">
        <f t="shared" si="788"/>
        <v>0</v>
      </c>
      <c r="AF255" s="116">
        <f t="shared" si="788"/>
        <v>0</v>
      </c>
      <c r="AG255" s="116">
        <f t="shared" si="788"/>
        <v>0</v>
      </c>
      <c r="AH255" s="116">
        <f t="shared" si="788"/>
        <v>0</v>
      </c>
      <c r="AI255" s="116">
        <f t="shared" si="788"/>
        <v>0</v>
      </c>
      <c r="AJ255" s="116">
        <f t="shared" si="788"/>
        <v>0</v>
      </c>
      <c r="AK255" s="116">
        <f t="shared" si="788"/>
        <v>0</v>
      </c>
      <c r="AL255" s="116">
        <f t="shared" si="788"/>
        <v>0</v>
      </c>
      <c r="AM255" s="116">
        <f t="shared" si="788"/>
        <v>0</v>
      </c>
      <c r="AN255" s="116">
        <f t="shared" si="788"/>
        <v>0</v>
      </c>
      <c r="AO255" s="116">
        <f t="shared" si="788"/>
        <v>0</v>
      </c>
      <c r="AP255" s="116">
        <f t="shared" si="788"/>
        <v>0</v>
      </c>
      <c r="AQ255" s="116">
        <f t="shared" si="788"/>
        <v>0</v>
      </c>
      <c r="AR255" s="116">
        <f t="shared" si="788"/>
        <v>0</v>
      </c>
      <c r="AS255" s="116">
        <f t="shared" si="788"/>
        <v>0</v>
      </c>
      <c r="AT255" s="116">
        <f t="shared" si="788"/>
        <v>0</v>
      </c>
      <c r="AU255" s="116">
        <f t="shared" si="788"/>
        <v>0</v>
      </c>
      <c r="AV255" s="116">
        <f t="shared" si="788"/>
        <v>0</v>
      </c>
      <c r="AW255" s="116">
        <f t="shared" si="788"/>
        <v>0</v>
      </c>
      <c r="AX255" s="116">
        <f t="shared" si="788"/>
        <v>0</v>
      </c>
      <c r="AY255" s="116">
        <f t="shared" si="788"/>
        <v>0</v>
      </c>
      <c r="AZ255" s="116">
        <f t="shared" si="788"/>
        <v>0</v>
      </c>
      <c r="BA255" s="116">
        <f t="shared" si="788"/>
        <v>0</v>
      </c>
      <c r="BB255" s="116">
        <f t="shared" si="788"/>
        <v>0</v>
      </c>
      <c r="BC255" s="116">
        <f t="shared" si="788"/>
        <v>0</v>
      </c>
      <c r="BD255" s="116">
        <f t="shared" si="788"/>
        <v>0</v>
      </c>
      <c r="BE255" s="116">
        <f t="shared" si="788"/>
        <v>0</v>
      </c>
      <c r="BF255" s="116">
        <f t="shared" si="788"/>
        <v>0</v>
      </c>
      <c r="BG255" s="116">
        <f t="shared" si="788"/>
        <v>0</v>
      </c>
      <c r="BH255" s="116">
        <f t="shared" si="788"/>
        <v>0</v>
      </c>
      <c r="BI255" s="116">
        <f t="shared" si="788"/>
        <v>0</v>
      </c>
      <c r="BJ255" s="116">
        <f t="shared" si="788"/>
        <v>0</v>
      </c>
      <c r="BK255" s="116">
        <f t="shared" si="788"/>
        <v>0</v>
      </c>
      <c r="BL255" s="116">
        <f t="shared" si="788"/>
        <v>0</v>
      </c>
      <c r="BM255" s="116">
        <f t="shared" si="788"/>
        <v>0</v>
      </c>
      <c r="BN255" s="116">
        <f t="shared" si="788"/>
        <v>0</v>
      </c>
      <c r="BO255" s="116">
        <f t="shared" si="788"/>
        <v>0</v>
      </c>
      <c r="BP255" s="116">
        <f t="shared" si="788"/>
        <v>0</v>
      </c>
      <c r="BQ255" s="116">
        <f t="shared" si="788"/>
        <v>0</v>
      </c>
      <c r="BR255" s="116">
        <f t="shared" si="788"/>
        <v>0</v>
      </c>
      <c r="BS255" s="116">
        <f t="shared" si="788"/>
        <v>0</v>
      </c>
      <c r="BT255" s="116">
        <f t="shared" si="788"/>
        <v>0</v>
      </c>
      <c r="BU255" s="116">
        <f t="shared" si="788"/>
        <v>0</v>
      </c>
      <c r="BV255" s="116">
        <f t="shared" si="788"/>
        <v>0</v>
      </c>
      <c r="BW255" s="116">
        <f t="shared" si="788"/>
        <v>0</v>
      </c>
      <c r="BX255" s="116">
        <f t="shared" si="788"/>
        <v>0</v>
      </c>
      <c r="BY255" s="116">
        <f t="shared" si="788"/>
        <v>0</v>
      </c>
      <c r="BZ255" s="116">
        <f t="shared" ref="BZ255:CP255" si="789">BZ252</f>
        <v>0</v>
      </c>
      <c r="CA255" s="116">
        <f t="shared" si="789"/>
        <v>0</v>
      </c>
      <c r="CB255" s="116">
        <f t="shared" si="789"/>
        <v>0</v>
      </c>
      <c r="CC255" s="116">
        <f t="shared" si="789"/>
        <v>0</v>
      </c>
      <c r="CD255" s="116">
        <f t="shared" si="789"/>
        <v>0</v>
      </c>
      <c r="CE255" s="116">
        <f t="shared" si="789"/>
        <v>0</v>
      </c>
      <c r="CF255" s="116">
        <f t="shared" si="789"/>
        <v>0</v>
      </c>
      <c r="CG255" s="116">
        <f t="shared" si="789"/>
        <v>0</v>
      </c>
      <c r="CH255" s="116">
        <f t="shared" si="789"/>
        <v>0</v>
      </c>
      <c r="CI255" s="116">
        <f t="shared" si="789"/>
        <v>0</v>
      </c>
      <c r="CJ255" s="116">
        <f t="shared" si="789"/>
        <v>0</v>
      </c>
      <c r="CK255" s="116">
        <f t="shared" si="789"/>
        <v>0</v>
      </c>
      <c r="CL255" s="116">
        <f t="shared" si="789"/>
        <v>0</v>
      </c>
      <c r="CM255" s="116">
        <f t="shared" si="789"/>
        <v>0</v>
      </c>
      <c r="CN255" s="116">
        <f t="shared" si="789"/>
        <v>0</v>
      </c>
      <c r="CO255" s="116">
        <f t="shared" si="789"/>
        <v>0</v>
      </c>
      <c r="CP255" s="116">
        <f t="shared" si="789"/>
        <v>0</v>
      </c>
      <c r="DJ255" s="116">
        <f t="shared" ref="DJ255:FU255" si="790">DJ252</f>
        <v>1</v>
      </c>
      <c r="DK255" s="116">
        <f t="shared" si="790"/>
        <v>0</v>
      </c>
      <c r="DL255" s="116">
        <f t="shared" si="790"/>
        <v>0</v>
      </c>
      <c r="DM255" s="116">
        <f t="shared" si="790"/>
        <v>1</v>
      </c>
      <c r="DN255" s="116">
        <f t="shared" si="790"/>
        <v>0</v>
      </c>
      <c r="DO255" s="116">
        <f t="shared" si="790"/>
        <v>0</v>
      </c>
      <c r="DP255" s="116">
        <f t="shared" si="790"/>
        <v>1</v>
      </c>
      <c r="DQ255" s="116">
        <f t="shared" si="790"/>
        <v>0</v>
      </c>
      <c r="DR255" s="116">
        <f t="shared" si="790"/>
        <v>0</v>
      </c>
      <c r="DS255" s="116">
        <f t="shared" si="790"/>
        <v>1</v>
      </c>
      <c r="DT255" s="116">
        <f t="shared" si="790"/>
        <v>0</v>
      </c>
      <c r="DU255" s="116">
        <f t="shared" si="790"/>
        <v>0</v>
      </c>
      <c r="DV255" s="116">
        <f t="shared" si="790"/>
        <v>1</v>
      </c>
      <c r="DW255" s="116">
        <f t="shared" si="790"/>
        <v>0</v>
      </c>
      <c r="DX255" s="116">
        <f t="shared" si="790"/>
        <v>0</v>
      </c>
      <c r="DY255" s="116">
        <f t="shared" si="790"/>
        <v>1</v>
      </c>
      <c r="DZ255" s="116">
        <f t="shared" si="790"/>
        <v>0</v>
      </c>
      <c r="EA255" s="116">
        <f t="shared" si="790"/>
        <v>0</v>
      </c>
      <c r="EB255" s="116">
        <f t="shared" si="790"/>
        <v>1</v>
      </c>
      <c r="EC255" s="116">
        <f t="shared" si="790"/>
        <v>0</v>
      </c>
      <c r="ED255" s="116">
        <f t="shared" si="790"/>
        <v>0</v>
      </c>
      <c r="EE255" s="116">
        <f t="shared" si="790"/>
        <v>1</v>
      </c>
      <c r="EF255" s="116">
        <f t="shared" si="790"/>
        <v>0</v>
      </c>
      <c r="EG255" s="116">
        <f t="shared" si="790"/>
        <v>0</v>
      </c>
      <c r="EH255" s="116">
        <f t="shared" si="790"/>
        <v>1</v>
      </c>
      <c r="EI255" s="116">
        <f t="shared" si="790"/>
        <v>0</v>
      </c>
      <c r="EJ255" s="116">
        <f t="shared" si="790"/>
        <v>0</v>
      </c>
      <c r="EK255" s="116">
        <f t="shared" si="790"/>
        <v>1</v>
      </c>
      <c r="EL255" s="116">
        <f t="shared" si="790"/>
        <v>0</v>
      </c>
      <c r="EM255" s="116">
        <f t="shared" si="790"/>
        <v>0</v>
      </c>
      <c r="EN255" s="116">
        <f t="shared" si="790"/>
        <v>1</v>
      </c>
      <c r="EO255" s="116">
        <f t="shared" si="790"/>
        <v>0</v>
      </c>
      <c r="EP255" s="116">
        <f t="shared" si="790"/>
        <v>0</v>
      </c>
      <c r="EQ255" s="116">
        <f t="shared" si="790"/>
        <v>1</v>
      </c>
      <c r="ER255" s="116">
        <f t="shared" si="790"/>
        <v>0</v>
      </c>
      <c r="ES255" s="116">
        <f t="shared" si="790"/>
        <v>0</v>
      </c>
      <c r="ET255" s="116">
        <f t="shared" si="790"/>
        <v>1</v>
      </c>
      <c r="EU255" s="116">
        <f t="shared" si="790"/>
        <v>0</v>
      </c>
      <c r="EV255" s="116">
        <f t="shared" si="790"/>
        <v>0</v>
      </c>
      <c r="EW255" s="116">
        <f t="shared" si="790"/>
        <v>1</v>
      </c>
      <c r="EX255" s="116">
        <f t="shared" si="790"/>
        <v>0</v>
      </c>
      <c r="EY255" s="116">
        <f t="shared" si="790"/>
        <v>0</v>
      </c>
      <c r="EZ255" s="116">
        <f t="shared" si="790"/>
        <v>1</v>
      </c>
      <c r="FA255" s="116">
        <f t="shared" si="790"/>
        <v>0</v>
      </c>
      <c r="FB255" s="116">
        <f t="shared" si="790"/>
        <v>0</v>
      </c>
      <c r="FC255" s="116">
        <f t="shared" si="790"/>
        <v>1</v>
      </c>
      <c r="FD255" s="116">
        <f t="shared" si="790"/>
        <v>0</v>
      </c>
      <c r="FE255" s="116">
        <f t="shared" si="790"/>
        <v>0</v>
      </c>
      <c r="FF255" s="116">
        <f t="shared" si="790"/>
        <v>1</v>
      </c>
      <c r="FG255" s="116">
        <f t="shared" si="790"/>
        <v>0</v>
      </c>
      <c r="FH255" s="116">
        <f t="shared" si="790"/>
        <v>0</v>
      </c>
      <c r="FI255" s="116">
        <f t="shared" si="790"/>
        <v>1</v>
      </c>
      <c r="FJ255" s="116">
        <f t="shared" si="790"/>
        <v>0</v>
      </c>
      <c r="FK255" s="116">
        <f t="shared" si="790"/>
        <v>0</v>
      </c>
      <c r="FL255" s="116">
        <f t="shared" si="790"/>
        <v>0</v>
      </c>
      <c r="FM255" s="116">
        <f t="shared" si="790"/>
        <v>4</v>
      </c>
      <c r="FN255" s="116">
        <f t="shared" si="790"/>
        <v>0</v>
      </c>
      <c r="FO255" s="116">
        <f t="shared" si="790"/>
        <v>0</v>
      </c>
      <c r="FP255" s="116">
        <f t="shared" si="790"/>
        <v>4</v>
      </c>
      <c r="FQ255" s="116">
        <f t="shared" si="790"/>
        <v>0</v>
      </c>
      <c r="FR255" s="116">
        <f t="shared" si="790"/>
        <v>0</v>
      </c>
      <c r="FS255" s="116">
        <f t="shared" si="790"/>
        <v>4</v>
      </c>
      <c r="FT255" s="116">
        <f t="shared" si="790"/>
        <v>0</v>
      </c>
      <c r="FU255" s="116">
        <f t="shared" si="790"/>
        <v>0</v>
      </c>
      <c r="FV255" s="116">
        <f t="shared" ref="FV255:GL255" si="791">FV252</f>
        <v>4</v>
      </c>
      <c r="FW255" s="116">
        <f t="shared" si="791"/>
        <v>0</v>
      </c>
      <c r="FX255" s="116">
        <f t="shared" si="791"/>
        <v>0</v>
      </c>
      <c r="FY255" s="116">
        <f t="shared" si="791"/>
        <v>4</v>
      </c>
      <c r="FZ255" s="116">
        <f t="shared" si="791"/>
        <v>0</v>
      </c>
      <c r="GA255" s="116">
        <f t="shared" si="791"/>
        <v>0</v>
      </c>
      <c r="GB255" s="116">
        <f t="shared" si="791"/>
        <v>4</v>
      </c>
      <c r="GC255" s="116">
        <f t="shared" si="791"/>
        <v>0</v>
      </c>
      <c r="GD255" s="116">
        <f t="shared" si="791"/>
        <v>0</v>
      </c>
      <c r="GE255" s="116">
        <f t="shared" si="791"/>
        <v>4</v>
      </c>
      <c r="GF255" s="116">
        <f t="shared" si="791"/>
        <v>0</v>
      </c>
      <c r="GG255" s="116">
        <f t="shared" si="791"/>
        <v>0</v>
      </c>
      <c r="GH255" s="116">
        <f t="shared" si="791"/>
        <v>4</v>
      </c>
      <c r="GI255" s="116">
        <f t="shared" si="791"/>
        <v>0</v>
      </c>
      <c r="GJ255" s="116">
        <f t="shared" si="791"/>
        <v>0</v>
      </c>
      <c r="GK255" s="116">
        <f t="shared" si="791"/>
        <v>4</v>
      </c>
      <c r="GL255" s="116">
        <f t="shared" si="791"/>
        <v>0</v>
      </c>
    </row>
    <row r="256" spans="14:194" ht="15" customHeight="1">
      <c r="N256" s="116">
        <f t="shared" ref="N256:BY256" si="792">N253</f>
        <v>0</v>
      </c>
      <c r="O256" s="116">
        <f t="shared" si="792"/>
        <v>0</v>
      </c>
      <c r="P256" s="116">
        <f t="shared" si="792"/>
        <v>0</v>
      </c>
      <c r="Q256" s="116">
        <f t="shared" si="792"/>
        <v>0</v>
      </c>
      <c r="R256" s="116">
        <f t="shared" si="792"/>
        <v>0</v>
      </c>
      <c r="S256" s="116">
        <f t="shared" si="792"/>
        <v>0</v>
      </c>
      <c r="T256" s="116">
        <f t="shared" si="792"/>
        <v>0</v>
      </c>
      <c r="U256" s="116">
        <f t="shared" si="792"/>
        <v>0</v>
      </c>
      <c r="V256" s="116">
        <f t="shared" si="792"/>
        <v>0</v>
      </c>
      <c r="W256" s="116">
        <f t="shared" si="792"/>
        <v>0</v>
      </c>
      <c r="X256" s="116">
        <f t="shared" si="792"/>
        <v>0</v>
      </c>
      <c r="Y256" s="116">
        <f t="shared" si="792"/>
        <v>0</v>
      </c>
      <c r="Z256" s="116">
        <f t="shared" si="792"/>
        <v>0</v>
      </c>
      <c r="AA256" s="116">
        <f t="shared" si="792"/>
        <v>0</v>
      </c>
      <c r="AB256" s="116">
        <f t="shared" si="792"/>
        <v>0</v>
      </c>
      <c r="AC256" s="116">
        <f t="shared" si="792"/>
        <v>0</v>
      </c>
      <c r="AD256" s="116">
        <f t="shared" si="792"/>
        <v>0</v>
      </c>
      <c r="AE256" s="116">
        <f t="shared" si="792"/>
        <v>0</v>
      </c>
      <c r="AF256" s="116">
        <f t="shared" si="792"/>
        <v>0</v>
      </c>
      <c r="AG256" s="116">
        <f t="shared" si="792"/>
        <v>0</v>
      </c>
      <c r="AH256" s="116">
        <f t="shared" si="792"/>
        <v>0</v>
      </c>
      <c r="AI256" s="116">
        <f t="shared" si="792"/>
        <v>0</v>
      </c>
      <c r="AJ256" s="116">
        <f t="shared" si="792"/>
        <v>0</v>
      </c>
      <c r="AK256" s="116">
        <f t="shared" si="792"/>
        <v>0</v>
      </c>
      <c r="AL256" s="116">
        <f t="shared" si="792"/>
        <v>0</v>
      </c>
      <c r="AM256" s="116">
        <f t="shared" si="792"/>
        <v>0</v>
      </c>
      <c r="AN256" s="116">
        <f t="shared" si="792"/>
        <v>0</v>
      </c>
      <c r="AO256" s="116">
        <f t="shared" si="792"/>
        <v>0</v>
      </c>
      <c r="AP256" s="116">
        <f t="shared" si="792"/>
        <v>0</v>
      </c>
      <c r="AQ256" s="116">
        <f t="shared" si="792"/>
        <v>0</v>
      </c>
      <c r="AR256" s="116">
        <f t="shared" si="792"/>
        <v>0</v>
      </c>
      <c r="AS256" s="116">
        <f t="shared" si="792"/>
        <v>0</v>
      </c>
      <c r="AT256" s="116">
        <f t="shared" si="792"/>
        <v>0</v>
      </c>
      <c r="AU256" s="116">
        <f t="shared" si="792"/>
        <v>0</v>
      </c>
      <c r="AV256" s="116">
        <f t="shared" si="792"/>
        <v>0</v>
      </c>
      <c r="AW256" s="116">
        <f t="shared" si="792"/>
        <v>0</v>
      </c>
      <c r="AX256" s="116">
        <f t="shared" si="792"/>
        <v>0</v>
      </c>
      <c r="AY256" s="116">
        <f t="shared" si="792"/>
        <v>0</v>
      </c>
      <c r="AZ256" s="116">
        <f t="shared" si="792"/>
        <v>0</v>
      </c>
      <c r="BA256" s="116">
        <f t="shared" si="792"/>
        <v>0</v>
      </c>
      <c r="BB256" s="116">
        <f t="shared" si="792"/>
        <v>0</v>
      </c>
      <c r="BC256" s="116">
        <f t="shared" si="792"/>
        <v>0</v>
      </c>
      <c r="BD256" s="116">
        <f t="shared" si="792"/>
        <v>0</v>
      </c>
      <c r="BE256" s="116">
        <f t="shared" si="792"/>
        <v>0</v>
      </c>
      <c r="BF256" s="116">
        <f t="shared" si="792"/>
        <v>0</v>
      </c>
      <c r="BG256" s="116">
        <f t="shared" si="792"/>
        <v>0</v>
      </c>
      <c r="BH256" s="116">
        <f t="shared" si="792"/>
        <v>0</v>
      </c>
      <c r="BI256" s="116">
        <f t="shared" si="792"/>
        <v>0</v>
      </c>
      <c r="BJ256" s="116">
        <f t="shared" si="792"/>
        <v>0</v>
      </c>
      <c r="BK256" s="116">
        <f t="shared" si="792"/>
        <v>0</v>
      </c>
      <c r="BL256" s="116">
        <f t="shared" si="792"/>
        <v>0</v>
      </c>
      <c r="BM256" s="116">
        <f t="shared" si="792"/>
        <v>0</v>
      </c>
      <c r="BN256" s="116">
        <f t="shared" si="792"/>
        <v>0</v>
      </c>
      <c r="BO256" s="116">
        <f t="shared" si="792"/>
        <v>0</v>
      </c>
      <c r="BP256" s="116">
        <f t="shared" si="792"/>
        <v>0</v>
      </c>
      <c r="BQ256" s="116">
        <f t="shared" si="792"/>
        <v>0</v>
      </c>
      <c r="BR256" s="116">
        <f t="shared" si="792"/>
        <v>0</v>
      </c>
      <c r="BS256" s="116">
        <f t="shared" si="792"/>
        <v>0</v>
      </c>
      <c r="BT256" s="116">
        <f t="shared" si="792"/>
        <v>0</v>
      </c>
      <c r="BU256" s="116">
        <f t="shared" si="792"/>
        <v>0</v>
      </c>
      <c r="BV256" s="116">
        <f t="shared" si="792"/>
        <v>0</v>
      </c>
      <c r="BW256" s="116">
        <f t="shared" si="792"/>
        <v>0</v>
      </c>
      <c r="BX256" s="116">
        <f t="shared" si="792"/>
        <v>0</v>
      </c>
      <c r="BY256" s="116">
        <f t="shared" si="792"/>
        <v>0</v>
      </c>
      <c r="BZ256" s="116">
        <f t="shared" ref="BZ256:CP256" si="793">BZ253</f>
        <v>0</v>
      </c>
      <c r="CA256" s="116">
        <f t="shared" si="793"/>
        <v>0</v>
      </c>
      <c r="CB256" s="116">
        <f t="shared" si="793"/>
        <v>0</v>
      </c>
      <c r="CC256" s="116">
        <f t="shared" si="793"/>
        <v>0</v>
      </c>
      <c r="CD256" s="116">
        <f t="shared" si="793"/>
        <v>0</v>
      </c>
      <c r="CE256" s="116">
        <f t="shared" si="793"/>
        <v>0</v>
      </c>
      <c r="CF256" s="116">
        <f t="shared" si="793"/>
        <v>0</v>
      </c>
      <c r="CG256" s="116">
        <f t="shared" si="793"/>
        <v>0</v>
      </c>
      <c r="CH256" s="116">
        <f t="shared" si="793"/>
        <v>0</v>
      </c>
      <c r="CI256" s="116">
        <f t="shared" si="793"/>
        <v>0</v>
      </c>
      <c r="CJ256" s="116">
        <f t="shared" si="793"/>
        <v>0</v>
      </c>
      <c r="CK256" s="116">
        <f t="shared" si="793"/>
        <v>0</v>
      </c>
      <c r="CL256" s="116">
        <f t="shared" si="793"/>
        <v>0</v>
      </c>
      <c r="CM256" s="116">
        <f t="shared" si="793"/>
        <v>0</v>
      </c>
      <c r="CN256" s="116">
        <f t="shared" si="793"/>
        <v>0</v>
      </c>
      <c r="CO256" s="116">
        <f t="shared" si="793"/>
        <v>0</v>
      </c>
      <c r="CP256" s="116">
        <f t="shared" si="793"/>
        <v>0</v>
      </c>
      <c r="DJ256" s="116">
        <f t="shared" ref="DJ256:FU256" si="794">DJ253</f>
        <v>5</v>
      </c>
      <c r="DK256" s="116">
        <f t="shared" si="794"/>
        <v>4</v>
      </c>
      <c r="DL256" s="116">
        <f t="shared" si="794"/>
        <v>0</v>
      </c>
      <c r="DM256" s="116">
        <f t="shared" si="794"/>
        <v>5</v>
      </c>
      <c r="DN256" s="116">
        <f t="shared" si="794"/>
        <v>4</v>
      </c>
      <c r="DO256" s="116">
        <f t="shared" si="794"/>
        <v>0</v>
      </c>
      <c r="DP256" s="116">
        <f t="shared" si="794"/>
        <v>5</v>
      </c>
      <c r="DQ256" s="116">
        <f t="shared" si="794"/>
        <v>4</v>
      </c>
      <c r="DR256" s="116">
        <f t="shared" si="794"/>
        <v>0</v>
      </c>
      <c r="DS256" s="116">
        <f t="shared" si="794"/>
        <v>5</v>
      </c>
      <c r="DT256" s="116">
        <f t="shared" si="794"/>
        <v>4</v>
      </c>
      <c r="DU256" s="116">
        <f t="shared" si="794"/>
        <v>0</v>
      </c>
      <c r="DV256" s="116">
        <f t="shared" si="794"/>
        <v>5</v>
      </c>
      <c r="DW256" s="116">
        <f t="shared" si="794"/>
        <v>4</v>
      </c>
      <c r="DX256" s="116">
        <f t="shared" si="794"/>
        <v>0</v>
      </c>
      <c r="DY256" s="116">
        <f t="shared" si="794"/>
        <v>5</v>
      </c>
      <c r="DZ256" s="116">
        <f t="shared" si="794"/>
        <v>4</v>
      </c>
      <c r="EA256" s="116">
        <f t="shared" si="794"/>
        <v>0</v>
      </c>
      <c r="EB256" s="116">
        <f t="shared" si="794"/>
        <v>5</v>
      </c>
      <c r="EC256" s="116">
        <f t="shared" si="794"/>
        <v>4</v>
      </c>
      <c r="ED256" s="116">
        <f t="shared" si="794"/>
        <v>0</v>
      </c>
      <c r="EE256" s="116">
        <f t="shared" si="794"/>
        <v>5</v>
      </c>
      <c r="EF256" s="116">
        <f t="shared" si="794"/>
        <v>4</v>
      </c>
      <c r="EG256" s="116">
        <f t="shared" si="794"/>
        <v>0</v>
      </c>
      <c r="EH256" s="116">
        <f t="shared" si="794"/>
        <v>5</v>
      </c>
      <c r="EI256" s="116">
        <f t="shared" si="794"/>
        <v>4</v>
      </c>
      <c r="EJ256" s="116">
        <f t="shared" si="794"/>
        <v>0</v>
      </c>
      <c r="EK256" s="116">
        <f t="shared" si="794"/>
        <v>5</v>
      </c>
      <c r="EL256" s="116">
        <f t="shared" si="794"/>
        <v>4</v>
      </c>
      <c r="EM256" s="116">
        <f t="shared" si="794"/>
        <v>3</v>
      </c>
      <c r="EN256" s="116">
        <f t="shared" si="794"/>
        <v>5</v>
      </c>
      <c r="EO256" s="116">
        <f t="shared" si="794"/>
        <v>4</v>
      </c>
      <c r="EP256" s="116">
        <f t="shared" si="794"/>
        <v>3</v>
      </c>
      <c r="EQ256" s="116">
        <f t="shared" si="794"/>
        <v>5</v>
      </c>
      <c r="ER256" s="116">
        <f t="shared" si="794"/>
        <v>4</v>
      </c>
      <c r="ES256" s="116">
        <f t="shared" si="794"/>
        <v>3</v>
      </c>
      <c r="ET256" s="116">
        <f t="shared" si="794"/>
        <v>5</v>
      </c>
      <c r="EU256" s="116">
        <f t="shared" si="794"/>
        <v>4</v>
      </c>
      <c r="EV256" s="116">
        <f t="shared" si="794"/>
        <v>3</v>
      </c>
      <c r="EW256" s="116">
        <f t="shared" si="794"/>
        <v>5</v>
      </c>
      <c r="EX256" s="116">
        <f t="shared" si="794"/>
        <v>4</v>
      </c>
      <c r="EY256" s="116">
        <f t="shared" si="794"/>
        <v>3</v>
      </c>
      <c r="EZ256" s="116">
        <f t="shared" si="794"/>
        <v>5</v>
      </c>
      <c r="FA256" s="116">
        <f t="shared" si="794"/>
        <v>4</v>
      </c>
      <c r="FB256" s="116">
        <f t="shared" si="794"/>
        <v>3</v>
      </c>
      <c r="FC256" s="116">
        <f t="shared" si="794"/>
        <v>5</v>
      </c>
      <c r="FD256" s="116">
        <f t="shared" si="794"/>
        <v>4</v>
      </c>
      <c r="FE256" s="116">
        <f t="shared" si="794"/>
        <v>3</v>
      </c>
      <c r="FF256" s="116">
        <f t="shared" si="794"/>
        <v>5</v>
      </c>
      <c r="FG256" s="116">
        <f t="shared" si="794"/>
        <v>4</v>
      </c>
      <c r="FH256" s="116">
        <f t="shared" si="794"/>
        <v>3</v>
      </c>
      <c r="FI256" s="116">
        <f t="shared" si="794"/>
        <v>5</v>
      </c>
      <c r="FJ256" s="116">
        <f t="shared" si="794"/>
        <v>4</v>
      </c>
      <c r="FK256" s="116">
        <f t="shared" si="794"/>
        <v>3</v>
      </c>
      <c r="FL256" s="116">
        <f t="shared" si="794"/>
        <v>0</v>
      </c>
      <c r="FM256" s="116">
        <f t="shared" si="794"/>
        <v>6</v>
      </c>
      <c r="FN256" s="116">
        <f t="shared" si="794"/>
        <v>4</v>
      </c>
      <c r="FO256" s="116">
        <f t="shared" si="794"/>
        <v>0</v>
      </c>
      <c r="FP256" s="116">
        <f t="shared" si="794"/>
        <v>6</v>
      </c>
      <c r="FQ256" s="116">
        <f t="shared" si="794"/>
        <v>4</v>
      </c>
      <c r="FR256" s="116">
        <f t="shared" si="794"/>
        <v>0</v>
      </c>
      <c r="FS256" s="116">
        <f t="shared" si="794"/>
        <v>6</v>
      </c>
      <c r="FT256" s="116">
        <f t="shared" si="794"/>
        <v>4</v>
      </c>
      <c r="FU256" s="116">
        <f t="shared" si="794"/>
        <v>0</v>
      </c>
      <c r="FV256" s="116">
        <f t="shared" ref="FV256:GL256" si="795">FV253</f>
        <v>6</v>
      </c>
      <c r="FW256" s="116">
        <f t="shared" si="795"/>
        <v>4</v>
      </c>
      <c r="FX256" s="116">
        <f t="shared" si="795"/>
        <v>0</v>
      </c>
      <c r="FY256" s="116">
        <f t="shared" si="795"/>
        <v>6</v>
      </c>
      <c r="FZ256" s="116">
        <f t="shared" si="795"/>
        <v>4</v>
      </c>
      <c r="GA256" s="116">
        <f t="shared" si="795"/>
        <v>0</v>
      </c>
      <c r="GB256" s="116">
        <f t="shared" si="795"/>
        <v>6</v>
      </c>
      <c r="GC256" s="116">
        <f t="shared" si="795"/>
        <v>4</v>
      </c>
      <c r="GD256" s="116">
        <f t="shared" si="795"/>
        <v>0</v>
      </c>
      <c r="GE256" s="116">
        <f t="shared" si="795"/>
        <v>6</v>
      </c>
      <c r="GF256" s="116">
        <f t="shared" si="795"/>
        <v>4</v>
      </c>
      <c r="GG256" s="116">
        <f t="shared" si="795"/>
        <v>0</v>
      </c>
      <c r="GH256" s="116">
        <f t="shared" si="795"/>
        <v>6</v>
      </c>
      <c r="GI256" s="116">
        <f t="shared" si="795"/>
        <v>4</v>
      </c>
      <c r="GJ256" s="116">
        <f t="shared" si="795"/>
        <v>0</v>
      </c>
      <c r="GK256" s="116">
        <f t="shared" si="795"/>
        <v>6</v>
      </c>
      <c r="GL256" s="116">
        <f t="shared" si="795"/>
        <v>4</v>
      </c>
    </row>
    <row r="257" spans="14:194" ht="15" customHeight="1">
      <c r="N257" s="116">
        <f t="shared" ref="N257:BY257" si="796">N254</f>
        <v>0</v>
      </c>
      <c r="O257" s="116">
        <f t="shared" si="796"/>
        <v>0</v>
      </c>
      <c r="P257" s="116">
        <f t="shared" si="796"/>
        <v>0</v>
      </c>
      <c r="Q257" s="116">
        <f t="shared" si="796"/>
        <v>0</v>
      </c>
      <c r="R257" s="116">
        <f t="shared" si="796"/>
        <v>0</v>
      </c>
      <c r="S257" s="116">
        <f t="shared" si="796"/>
        <v>0</v>
      </c>
      <c r="T257" s="116">
        <f t="shared" si="796"/>
        <v>0</v>
      </c>
      <c r="U257" s="116">
        <f t="shared" si="796"/>
        <v>0</v>
      </c>
      <c r="V257" s="116">
        <f t="shared" si="796"/>
        <v>0</v>
      </c>
      <c r="W257" s="116">
        <f t="shared" si="796"/>
        <v>0</v>
      </c>
      <c r="X257" s="116">
        <f t="shared" si="796"/>
        <v>0</v>
      </c>
      <c r="Y257" s="116">
        <f t="shared" si="796"/>
        <v>0</v>
      </c>
      <c r="Z257" s="116">
        <f t="shared" si="796"/>
        <v>0</v>
      </c>
      <c r="AA257" s="116">
        <f t="shared" si="796"/>
        <v>0</v>
      </c>
      <c r="AB257" s="116">
        <f t="shared" si="796"/>
        <v>0</v>
      </c>
      <c r="AC257" s="116">
        <f t="shared" si="796"/>
        <v>0</v>
      </c>
      <c r="AD257" s="116">
        <f t="shared" si="796"/>
        <v>0</v>
      </c>
      <c r="AE257" s="116">
        <f t="shared" si="796"/>
        <v>0</v>
      </c>
      <c r="AF257" s="116">
        <f t="shared" si="796"/>
        <v>0</v>
      </c>
      <c r="AG257" s="116">
        <f t="shared" si="796"/>
        <v>0</v>
      </c>
      <c r="AH257" s="116">
        <f t="shared" si="796"/>
        <v>0</v>
      </c>
      <c r="AI257" s="116">
        <f t="shared" si="796"/>
        <v>0</v>
      </c>
      <c r="AJ257" s="116">
        <f t="shared" si="796"/>
        <v>0</v>
      </c>
      <c r="AK257" s="116">
        <f t="shared" si="796"/>
        <v>0</v>
      </c>
      <c r="AL257" s="116">
        <f t="shared" si="796"/>
        <v>0</v>
      </c>
      <c r="AM257" s="116">
        <f t="shared" si="796"/>
        <v>0</v>
      </c>
      <c r="AN257" s="116">
        <f t="shared" si="796"/>
        <v>0</v>
      </c>
      <c r="AO257" s="116">
        <f t="shared" si="796"/>
        <v>0</v>
      </c>
      <c r="AP257" s="116">
        <f t="shared" si="796"/>
        <v>0</v>
      </c>
      <c r="AQ257" s="116">
        <f t="shared" si="796"/>
        <v>0</v>
      </c>
      <c r="AR257" s="116">
        <f t="shared" si="796"/>
        <v>0</v>
      </c>
      <c r="AS257" s="116">
        <f t="shared" si="796"/>
        <v>0</v>
      </c>
      <c r="AT257" s="116">
        <f t="shared" si="796"/>
        <v>0</v>
      </c>
      <c r="AU257" s="116">
        <f t="shared" si="796"/>
        <v>0</v>
      </c>
      <c r="AV257" s="116">
        <f t="shared" si="796"/>
        <v>0</v>
      </c>
      <c r="AW257" s="116">
        <f t="shared" si="796"/>
        <v>0</v>
      </c>
      <c r="AX257" s="116">
        <f t="shared" si="796"/>
        <v>0</v>
      </c>
      <c r="AY257" s="116">
        <f t="shared" si="796"/>
        <v>0</v>
      </c>
      <c r="AZ257" s="116">
        <f t="shared" si="796"/>
        <v>0</v>
      </c>
      <c r="BA257" s="116">
        <f t="shared" si="796"/>
        <v>0</v>
      </c>
      <c r="BB257" s="116">
        <f t="shared" si="796"/>
        <v>0</v>
      </c>
      <c r="BC257" s="116">
        <f t="shared" si="796"/>
        <v>0</v>
      </c>
      <c r="BD257" s="116">
        <f t="shared" si="796"/>
        <v>0</v>
      </c>
      <c r="BE257" s="116">
        <f t="shared" si="796"/>
        <v>0</v>
      </c>
      <c r="BF257" s="116">
        <f t="shared" si="796"/>
        <v>0</v>
      </c>
      <c r="BG257" s="116">
        <f t="shared" si="796"/>
        <v>0</v>
      </c>
      <c r="BH257" s="116">
        <f t="shared" si="796"/>
        <v>0</v>
      </c>
      <c r="BI257" s="116">
        <f t="shared" si="796"/>
        <v>0</v>
      </c>
      <c r="BJ257" s="116">
        <f t="shared" si="796"/>
        <v>0</v>
      </c>
      <c r="BK257" s="116">
        <f t="shared" si="796"/>
        <v>0</v>
      </c>
      <c r="BL257" s="116">
        <f t="shared" si="796"/>
        <v>0</v>
      </c>
      <c r="BM257" s="116">
        <f t="shared" si="796"/>
        <v>0</v>
      </c>
      <c r="BN257" s="116">
        <f t="shared" si="796"/>
        <v>0</v>
      </c>
      <c r="BO257" s="116">
        <f t="shared" si="796"/>
        <v>0</v>
      </c>
      <c r="BP257" s="116">
        <f t="shared" si="796"/>
        <v>0</v>
      </c>
      <c r="BQ257" s="116">
        <f t="shared" si="796"/>
        <v>0</v>
      </c>
      <c r="BR257" s="116">
        <f t="shared" si="796"/>
        <v>0</v>
      </c>
      <c r="BS257" s="116">
        <f t="shared" si="796"/>
        <v>0</v>
      </c>
      <c r="BT257" s="116">
        <f t="shared" si="796"/>
        <v>0</v>
      </c>
      <c r="BU257" s="116">
        <f t="shared" si="796"/>
        <v>0</v>
      </c>
      <c r="BV257" s="116">
        <f t="shared" si="796"/>
        <v>0</v>
      </c>
      <c r="BW257" s="116">
        <f t="shared" si="796"/>
        <v>0</v>
      </c>
      <c r="BX257" s="116">
        <f t="shared" si="796"/>
        <v>0</v>
      </c>
      <c r="BY257" s="116">
        <f t="shared" si="796"/>
        <v>0</v>
      </c>
      <c r="BZ257" s="116">
        <f t="shared" ref="BZ257:CP257" si="797">BZ254</f>
        <v>0</v>
      </c>
      <c r="CA257" s="116">
        <f t="shared" si="797"/>
        <v>0</v>
      </c>
      <c r="CB257" s="116">
        <f t="shared" si="797"/>
        <v>0</v>
      </c>
      <c r="CC257" s="116">
        <f t="shared" si="797"/>
        <v>0</v>
      </c>
      <c r="CD257" s="116">
        <f t="shared" si="797"/>
        <v>0</v>
      </c>
      <c r="CE257" s="116">
        <f t="shared" si="797"/>
        <v>0</v>
      </c>
      <c r="CF257" s="116">
        <f t="shared" si="797"/>
        <v>0</v>
      </c>
      <c r="CG257" s="116">
        <f t="shared" si="797"/>
        <v>0</v>
      </c>
      <c r="CH257" s="116">
        <f t="shared" si="797"/>
        <v>0</v>
      </c>
      <c r="CI257" s="116">
        <f t="shared" si="797"/>
        <v>0</v>
      </c>
      <c r="CJ257" s="116">
        <f t="shared" si="797"/>
        <v>0</v>
      </c>
      <c r="CK257" s="116">
        <f t="shared" si="797"/>
        <v>0</v>
      </c>
      <c r="CL257" s="116">
        <f t="shared" si="797"/>
        <v>0</v>
      </c>
      <c r="CM257" s="116">
        <f t="shared" si="797"/>
        <v>0</v>
      </c>
      <c r="CN257" s="116">
        <f t="shared" si="797"/>
        <v>0</v>
      </c>
      <c r="CO257" s="116">
        <f t="shared" si="797"/>
        <v>0</v>
      </c>
      <c r="CP257" s="116">
        <f t="shared" si="797"/>
        <v>0</v>
      </c>
      <c r="DJ257" s="116">
        <f t="shared" ref="DJ257:FU257" si="798">DJ254</f>
        <v>5</v>
      </c>
      <c r="DK257" s="116">
        <f t="shared" si="798"/>
        <v>1</v>
      </c>
      <c r="DL257" s="116">
        <f t="shared" si="798"/>
        <v>0</v>
      </c>
      <c r="DM257" s="116">
        <f t="shared" si="798"/>
        <v>5</v>
      </c>
      <c r="DN257" s="116">
        <f t="shared" si="798"/>
        <v>1</v>
      </c>
      <c r="DO257" s="116">
        <f t="shared" si="798"/>
        <v>0</v>
      </c>
      <c r="DP257" s="116">
        <f t="shared" si="798"/>
        <v>5</v>
      </c>
      <c r="DQ257" s="116">
        <f t="shared" si="798"/>
        <v>1</v>
      </c>
      <c r="DR257" s="116">
        <f t="shared" si="798"/>
        <v>0</v>
      </c>
      <c r="DS257" s="116">
        <f t="shared" si="798"/>
        <v>5</v>
      </c>
      <c r="DT257" s="116">
        <f t="shared" si="798"/>
        <v>1</v>
      </c>
      <c r="DU257" s="116">
        <f t="shared" si="798"/>
        <v>0</v>
      </c>
      <c r="DV257" s="116">
        <f t="shared" si="798"/>
        <v>5</v>
      </c>
      <c r="DW257" s="116">
        <f t="shared" si="798"/>
        <v>1</v>
      </c>
      <c r="DX257" s="116">
        <f t="shared" si="798"/>
        <v>0</v>
      </c>
      <c r="DY257" s="116">
        <f t="shared" si="798"/>
        <v>5</v>
      </c>
      <c r="DZ257" s="116">
        <f t="shared" si="798"/>
        <v>1</v>
      </c>
      <c r="EA257" s="116">
        <f t="shared" si="798"/>
        <v>0</v>
      </c>
      <c r="EB257" s="116">
        <f t="shared" si="798"/>
        <v>5</v>
      </c>
      <c r="EC257" s="116">
        <f t="shared" si="798"/>
        <v>1</v>
      </c>
      <c r="ED257" s="116">
        <f t="shared" si="798"/>
        <v>0</v>
      </c>
      <c r="EE257" s="116">
        <f t="shared" si="798"/>
        <v>5</v>
      </c>
      <c r="EF257" s="116">
        <f t="shared" si="798"/>
        <v>1</v>
      </c>
      <c r="EG257" s="116">
        <f t="shared" si="798"/>
        <v>0</v>
      </c>
      <c r="EH257" s="116">
        <f t="shared" si="798"/>
        <v>5</v>
      </c>
      <c r="EI257" s="116">
        <f t="shared" si="798"/>
        <v>1</v>
      </c>
      <c r="EJ257" s="116">
        <f t="shared" si="798"/>
        <v>0</v>
      </c>
      <c r="EK257" s="116">
        <f t="shared" si="798"/>
        <v>5</v>
      </c>
      <c r="EL257" s="116">
        <f t="shared" si="798"/>
        <v>0</v>
      </c>
      <c r="EM257" s="116">
        <f t="shared" si="798"/>
        <v>0</v>
      </c>
      <c r="EN257" s="116">
        <f t="shared" si="798"/>
        <v>5</v>
      </c>
      <c r="EO257" s="116">
        <f t="shared" si="798"/>
        <v>0</v>
      </c>
      <c r="EP257" s="116">
        <f t="shared" si="798"/>
        <v>0</v>
      </c>
      <c r="EQ257" s="116">
        <f t="shared" si="798"/>
        <v>5</v>
      </c>
      <c r="ER257" s="116">
        <f t="shared" si="798"/>
        <v>0</v>
      </c>
      <c r="ES257" s="116">
        <f t="shared" si="798"/>
        <v>0</v>
      </c>
      <c r="ET257" s="116">
        <f t="shared" si="798"/>
        <v>5</v>
      </c>
      <c r="EU257" s="116">
        <f t="shared" si="798"/>
        <v>0</v>
      </c>
      <c r="EV257" s="116">
        <f t="shared" si="798"/>
        <v>0</v>
      </c>
      <c r="EW257" s="116">
        <f t="shared" si="798"/>
        <v>5</v>
      </c>
      <c r="EX257" s="116">
        <f t="shared" si="798"/>
        <v>0</v>
      </c>
      <c r="EY257" s="116">
        <f t="shared" si="798"/>
        <v>0</v>
      </c>
      <c r="EZ257" s="116">
        <f t="shared" si="798"/>
        <v>5</v>
      </c>
      <c r="FA257" s="116">
        <f t="shared" si="798"/>
        <v>0</v>
      </c>
      <c r="FB257" s="116">
        <f t="shared" si="798"/>
        <v>0</v>
      </c>
      <c r="FC257" s="116">
        <f t="shared" si="798"/>
        <v>5</v>
      </c>
      <c r="FD257" s="116">
        <f t="shared" si="798"/>
        <v>0</v>
      </c>
      <c r="FE257" s="116">
        <f t="shared" si="798"/>
        <v>0</v>
      </c>
      <c r="FF257" s="116">
        <f t="shared" si="798"/>
        <v>5</v>
      </c>
      <c r="FG257" s="116">
        <f t="shared" si="798"/>
        <v>0</v>
      </c>
      <c r="FH257" s="116">
        <f t="shared" si="798"/>
        <v>0</v>
      </c>
      <c r="FI257" s="116">
        <f t="shared" si="798"/>
        <v>5</v>
      </c>
      <c r="FJ257" s="116">
        <f t="shared" si="798"/>
        <v>0</v>
      </c>
      <c r="FK257" s="116">
        <f t="shared" si="798"/>
        <v>0</v>
      </c>
      <c r="FL257" s="116">
        <f t="shared" si="798"/>
        <v>3</v>
      </c>
      <c r="FM257" s="116">
        <f t="shared" si="798"/>
        <v>1</v>
      </c>
      <c r="FN257" s="116">
        <f t="shared" si="798"/>
        <v>3</v>
      </c>
      <c r="FO257" s="116">
        <f t="shared" si="798"/>
        <v>3</v>
      </c>
      <c r="FP257" s="116">
        <f t="shared" si="798"/>
        <v>1</v>
      </c>
      <c r="FQ257" s="116">
        <f t="shared" si="798"/>
        <v>3</v>
      </c>
      <c r="FR257" s="116">
        <f t="shared" si="798"/>
        <v>3</v>
      </c>
      <c r="FS257" s="116">
        <f t="shared" si="798"/>
        <v>1</v>
      </c>
      <c r="FT257" s="116">
        <f t="shared" si="798"/>
        <v>3</v>
      </c>
      <c r="FU257" s="116">
        <f t="shared" si="798"/>
        <v>3</v>
      </c>
      <c r="FV257" s="116">
        <f t="shared" ref="FV257:GL257" si="799">FV254</f>
        <v>1</v>
      </c>
      <c r="FW257" s="116">
        <f t="shared" si="799"/>
        <v>3</v>
      </c>
      <c r="FX257" s="116">
        <f t="shared" si="799"/>
        <v>3</v>
      </c>
      <c r="FY257" s="116">
        <f t="shared" si="799"/>
        <v>1</v>
      </c>
      <c r="FZ257" s="116">
        <f t="shared" si="799"/>
        <v>3</v>
      </c>
      <c r="GA257" s="116">
        <f t="shared" si="799"/>
        <v>3</v>
      </c>
      <c r="GB257" s="116">
        <f t="shared" si="799"/>
        <v>1</v>
      </c>
      <c r="GC257" s="116">
        <f t="shared" si="799"/>
        <v>3</v>
      </c>
      <c r="GD257" s="116">
        <f t="shared" si="799"/>
        <v>3</v>
      </c>
      <c r="GE257" s="116">
        <f t="shared" si="799"/>
        <v>1</v>
      </c>
      <c r="GF257" s="116">
        <f t="shared" si="799"/>
        <v>3</v>
      </c>
      <c r="GG257" s="116">
        <f t="shared" si="799"/>
        <v>3</v>
      </c>
      <c r="GH257" s="116">
        <f t="shared" si="799"/>
        <v>1</v>
      </c>
      <c r="GI257" s="116">
        <f t="shared" si="799"/>
        <v>3</v>
      </c>
      <c r="GJ257" s="116">
        <f t="shared" si="799"/>
        <v>3</v>
      </c>
      <c r="GK257" s="116">
        <f t="shared" si="799"/>
        <v>1</v>
      </c>
      <c r="GL257" s="116">
        <f t="shared" si="799"/>
        <v>3</v>
      </c>
    </row>
    <row r="258" spans="14:194" ht="15" customHeight="1">
      <c r="N258" s="116">
        <f t="shared" ref="N258:BY258" si="800">N255</f>
        <v>0</v>
      </c>
      <c r="O258" s="116">
        <f t="shared" si="800"/>
        <v>0</v>
      </c>
      <c r="P258" s="116">
        <f t="shared" si="800"/>
        <v>0</v>
      </c>
      <c r="Q258" s="116">
        <f t="shared" si="800"/>
        <v>0</v>
      </c>
      <c r="R258" s="116">
        <f t="shared" si="800"/>
        <v>0</v>
      </c>
      <c r="S258" s="116">
        <f t="shared" si="800"/>
        <v>0</v>
      </c>
      <c r="T258" s="116">
        <f t="shared" si="800"/>
        <v>0</v>
      </c>
      <c r="U258" s="116">
        <f t="shared" si="800"/>
        <v>0</v>
      </c>
      <c r="V258" s="116">
        <f t="shared" si="800"/>
        <v>0</v>
      </c>
      <c r="W258" s="116">
        <f t="shared" si="800"/>
        <v>0</v>
      </c>
      <c r="X258" s="116">
        <f t="shared" si="800"/>
        <v>0</v>
      </c>
      <c r="Y258" s="116">
        <f t="shared" si="800"/>
        <v>0</v>
      </c>
      <c r="Z258" s="116">
        <f t="shared" si="800"/>
        <v>0</v>
      </c>
      <c r="AA258" s="116">
        <f t="shared" si="800"/>
        <v>0</v>
      </c>
      <c r="AB258" s="116">
        <f t="shared" si="800"/>
        <v>0</v>
      </c>
      <c r="AC258" s="116">
        <f t="shared" si="800"/>
        <v>0</v>
      </c>
      <c r="AD258" s="116">
        <f t="shared" si="800"/>
        <v>0</v>
      </c>
      <c r="AE258" s="116">
        <f t="shared" si="800"/>
        <v>0</v>
      </c>
      <c r="AF258" s="116">
        <f t="shared" si="800"/>
        <v>0</v>
      </c>
      <c r="AG258" s="116">
        <f t="shared" si="800"/>
        <v>0</v>
      </c>
      <c r="AH258" s="116">
        <f t="shared" si="800"/>
        <v>0</v>
      </c>
      <c r="AI258" s="116">
        <f t="shared" si="800"/>
        <v>0</v>
      </c>
      <c r="AJ258" s="116">
        <f t="shared" si="800"/>
        <v>0</v>
      </c>
      <c r="AK258" s="116">
        <f t="shared" si="800"/>
        <v>0</v>
      </c>
      <c r="AL258" s="116">
        <f t="shared" si="800"/>
        <v>0</v>
      </c>
      <c r="AM258" s="116">
        <f t="shared" si="800"/>
        <v>0</v>
      </c>
      <c r="AN258" s="116">
        <f t="shared" si="800"/>
        <v>0</v>
      </c>
      <c r="AO258" s="116">
        <f t="shared" si="800"/>
        <v>0</v>
      </c>
      <c r="AP258" s="116">
        <f t="shared" si="800"/>
        <v>0</v>
      </c>
      <c r="AQ258" s="116">
        <f t="shared" si="800"/>
        <v>0</v>
      </c>
      <c r="AR258" s="116">
        <f t="shared" si="800"/>
        <v>0</v>
      </c>
      <c r="AS258" s="116">
        <f t="shared" si="800"/>
        <v>0</v>
      </c>
      <c r="AT258" s="116">
        <f t="shared" si="800"/>
        <v>0</v>
      </c>
      <c r="AU258" s="116">
        <f t="shared" si="800"/>
        <v>0</v>
      </c>
      <c r="AV258" s="116">
        <f t="shared" si="800"/>
        <v>0</v>
      </c>
      <c r="AW258" s="116">
        <f t="shared" si="800"/>
        <v>0</v>
      </c>
      <c r="AX258" s="116">
        <f t="shared" si="800"/>
        <v>0</v>
      </c>
      <c r="AY258" s="116">
        <f t="shared" si="800"/>
        <v>0</v>
      </c>
      <c r="AZ258" s="116">
        <f t="shared" si="800"/>
        <v>0</v>
      </c>
      <c r="BA258" s="116">
        <f t="shared" si="800"/>
        <v>0</v>
      </c>
      <c r="BB258" s="116">
        <f t="shared" si="800"/>
        <v>0</v>
      </c>
      <c r="BC258" s="116">
        <f t="shared" si="800"/>
        <v>0</v>
      </c>
      <c r="BD258" s="116">
        <f t="shared" si="800"/>
        <v>0</v>
      </c>
      <c r="BE258" s="116">
        <f t="shared" si="800"/>
        <v>0</v>
      </c>
      <c r="BF258" s="116">
        <f t="shared" si="800"/>
        <v>0</v>
      </c>
      <c r="BG258" s="116">
        <f t="shared" si="800"/>
        <v>0</v>
      </c>
      <c r="BH258" s="116">
        <f t="shared" si="800"/>
        <v>0</v>
      </c>
      <c r="BI258" s="116">
        <f t="shared" si="800"/>
        <v>0</v>
      </c>
      <c r="BJ258" s="116">
        <f t="shared" si="800"/>
        <v>0</v>
      </c>
      <c r="BK258" s="116">
        <f t="shared" si="800"/>
        <v>0</v>
      </c>
      <c r="BL258" s="116">
        <f t="shared" si="800"/>
        <v>0</v>
      </c>
      <c r="BM258" s="116">
        <f t="shared" si="800"/>
        <v>0</v>
      </c>
      <c r="BN258" s="116">
        <f t="shared" si="800"/>
        <v>0</v>
      </c>
      <c r="BO258" s="116">
        <f t="shared" si="800"/>
        <v>0</v>
      </c>
      <c r="BP258" s="116">
        <f t="shared" si="800"/>
        <v>0</v>
      </c>
      <c r="BQ258" s="116">
        <f t="shared" si="800"/>
        <v>0</v>
      </c>
      <c r="BR258" s="116">
        <f t="shared" si="800"/>
        <v>0</v>
      </c>
      <c r="BS258" s="116">
        <f t="shared" si="800"/>
        <v>0</v>
      </c>
      <c r="BT258" s="116">
        <f t="shared" si="800"/>
        <v>0</v>
      </c>
      <c r="BU258" s="116">
        <f t="shared" si="800"/>
        <v>0</v>
      </c>
      <c r="BV258" s="116">
        <f t="shared" si="800"/>
        <v>0</v>
      </c>
      <c r="BW258" s="116">
        <f t="shared" si="800"/>
        <v>0</v>
      </c>
      <c r="BX258" s="116">
        <f t="shared" si="800"/>
        <v>0</v>
      </c>
      <c r="BY258" s="116">
        <f t="shared" si="800"/>
        <v>0</v>
      </c>
      <c r="BZ258" s="116">
        <f t="shared" ref="BZ258:CP258" si="801">BZ255</f>
        <v>0</v>
      </c>
      <c r="CA258" s="116">
        <f t="shared" si="801"/>
        <v>0</v>
      </c>
      <c r="CB258" s="116">
        <f t="shared" si="801"/>
        <v>0</v>
      </c>
      <c r="CC258" s="116">
        <f t="shared" si="801"/>
        <v>0</v>
      </c>
      <c r="CD258" s="116">
        <f t="shared" si="801"/>
        <v>0</v>
      </c>
      <c r="CE258" s="116">
        <f t="shared" si="801"/>
        <v>0</v>
      </c>
      <c r="CF258" s="116">
        <f t="shared" si="801"/>
        <v>0</v>
      </c>
      <c r="CG258" s="116">
        <f t="shared" si="801"/>
        <v>0</v>
      </c>
      <c r="CH258" s="116">
        <f t="shared" si="801"/>
        <v>0</v>
      </c>
      <c r="CI258" s="116">
        <f t="shared" si="801"/>
        <v>0</v>
      </c>
      <c r="CJ258" s="116">
        <f t="shared" si="801"/>
        <v>0</v>
      </c>
      <c r="CK258" s="116">
        <f t="shared" si="801"/>
        <v>0</v>
      </c>
      <c r="CL258" s="116">
        <f t="shared" si="801"/>
        <v>0</v>
      </c>
      <c r="CM258" s="116">
        <f t="shared" si="801"/>
        <v>0</v>
      </c>
      <c r="CN258" s="116">
        <f t="shared" si="801"/>
        <v>0</v>
      </c>
      <c r="CO258" s="116">
        <f t="shared" si="801"/>
        <v>0</v>
      </c>
      <c r="CP258" s="116">
        <f t="shared" si="801"/>
        <v>0</v>
      </c>
      <c r="DJ258" s="116">
        <f t="shared" ref="DJ258:FU258" si="802">DJ255</f>
        <v>1</v>
      </c>
      <c r="DK258" s="116">
        <f t="shared" si="802"/>
        <v>0</v>
      </c>
      <c r="DL258" s="116">
        <f t="shared" si="802"/>
        <v>0</v>
      </c>
      <c r="DM258" s="116">
        <f t="shared" si="802"/>
        <v>1</v>
      </c>
      <c r="DN258" s="116">
        <f t="shared" si="802"/>
        <v>0</v>
      </c>
      <c r="DO258" s="116">
        <f t="shared" si="802"/>
        <v>0</v>
      </c>
      <c r="DP258" s="116">
        <f t="shared" si="802"/>
        <v>1</v>
      </c>
      <c r="DQ258" s="116">
        <f t="shared" si="802"/>
        <v>0</v>
      </c>
      <c r="DR258" s="116">
        <f t="shared" si="802"/>
        <v>0</v>
      </c>
      <c r="DS258" s="116">
        <f t="shared" si="802"/>
        <v>1</v>
      </c>
      <c r="DT258" s="116">
        <f t="shared" si="802"/>
        <v>0</v>
      </c>
      <c r="DU258" s="116">
        <f t="shared" si="802"/>
        <v>0</v>
      </c>
      <c r="DV258" s="116">
        <f t="shared" si="802"/>
        <v>1</v>
      </c>
      <c r="DW258" s="116">
        <f t="shared" si="802"/>
        <v>0</v>
      </c>
      <c r="DX258" s="116">
        <f t="shared" si="802"/>
        <v>0</v>
      </c>
      <c r="DY258" s="116">
        <f t="shared" si="802"/>
        <v>1</v>
      </c>
      <c r="DZ258" s="116">
        <f t="shared" si="802"/>
        <v>0</v>
      </c>
      <c r="EA258" s="116">
        <f t="shared" si="802"/>
        <v>0</v>
      </c>
      <c r="EB258" s="116">
        <f t="shared" si="802"/>
        <v>1</v>
      </c>
      <c r="EC258" s="116">
        <f t="shared" si="802"/>
        <v>0</v>
      </c>
      <c r="ED258" s="116">
        <f t="shared" si="802"/>
        <v>0</v>
      </c>
      <c r="EE258" s="116">
        <f t="shared" si="802"/>
        <v>1</v>
      </c>
      <c r="EF258" s="116">
        <f t="shared" si="802"/>
        <v>0</v>
      </c>
      <c r="EG258" s="116">
        <f t="shared" si="802"/>
        <v>0</v>
      </c>
      <c r="EH258" s="116">
        <f t="shared" si="802"/>
        <v>1</v>
      </c>
      <c r="EI258" s="116">
        <f t="shared" si="802"/>
        <v>0</v>
      </c>
      <c r="EJ258" s="116">
        <f t="shared" si="802"/>
        <v>0</v>
      </c>
      <c r="EK258" s="116">
        <f t="shared" si="802"/>
        <v>1</v>
      </c>
      <c r="EL258" s="116">
        <f t="shared" si="802"/>
        <v>0</v>
      </c>
      <c r="EM258" s="116">
        <f t="shared" si="802"/>
        <v>0</v>
      </c>
      <c r="EN258" s="116">
        <f t="shared" si="802"/>
        <v>1</v>
      </c>
      <c r="EO258" s="116">
        <f t="shared" si="802"/>
        <v>0</v>
      </c>
      <c r="EP258" s="116">
        <f t="shared" si="802"/>
        <v>0</v>
      </c>
      <c r="EQ258" s="116">
        <f t="shared" si="802"/>
        <v>1</v>
      </c>
      <c r="ER258" s="116">
        <f t="shared" si="802"/>
        <v>0</v>
      </c>
      <c r="ES258" s="116">
        <f t="shared" si="802"/>
        <v>0</v>
      </c>
      <c r="ET258" s="116">
        <f t="shared" si="802"/>
        <v>1</v>
      </c>
      <c r="EU258" s="116">
        <f t="shared" si="802"/>
        <v>0</v>
      </c>
      <c r="EV258" s="116">
        <f t="shared" si="802"/>
        <v>0</v>
      </c>
      <c r="EW258" s="116">
        <f t="shared" si="802"/>
        <v>1</v>
      </c>
      <c r="EX258" s="116">
        <f t="shared" si="802"/>
        <v>0</v>
      </c>
      <c r="EY258" s="116">
        <f t="shared" si="802"/>
        <v>0</v>
      </c>
      <c r="EZ258" s="116">
        <f t="shared" si="802"/>
        <v>1</v>
      </c>
      <c r="FA258" s="116">
        <f t="shared" si="802"/>
        <v>0</v>
      </c>
      <c r="FB258" s="116">
        <f t="shared" si="802"/>
        <v>0</v>
      </c>
      <c r="FC258" s="116">
        <f t="shared" si="802"/>
        <v>1</v>
      </c>
      <c r="FD258" s="116">
        <f t="shared" si="802"/>
        <v>0</v>
      </c>
      <c r="FE258" s="116">
        <f t="shared" si="802"/>
        <v>0</v>
      </c>
      <c r="FF258" s="116">
        <f t="shared" si="802"/>
        <v>1</v>
      </c>
      <c r="FG258" s="116">
        <f t="shared" si="802"/>
        <v>0</v>
      </c>
      <c r="FH258" s="116">
        <f t="shared" si="802"/>
        <v>0</v>
      </c>
      <c r="FI258" s="116">
        <f t="shared" si="802"/>
        <v>1</v>
      </c>
      <c r="FJ258" s="116">
        <f t="shared" si="802"/>
        <v>0</v>
      </c>
      <c r="FK258" s="116">
        <f t="shared" si="802"/>
        <v>0</v>
      </c>
      <c r="FL258" s="116">
        <f t="shared" si="802"/>
        <v>0</v>
      </c>
      <c r="FM258" s="116">
        <f t="shared" si="802"/>
        <v>4</v>
      </c>
      <c r="FN258" s="116">
        <f t="shared" si="802"/>
        <v>0</v>
      </c>
      <c r="FO258" s="116">
        <f t="shared" si="802"/>
        <v>0</v>
      </c>
      <c r="FP258" s="116">
        <f t="shared" si="802"/>
        <v>4</v>
      </c>
      <c r="FQ258" s="116">
        <f t="shared" si="802"/>
        <v>0</v>
      </c>
      <c r="FR258" s="116">
        <f t="shared" si="802"/>
        <v>0</v>
      </c>
      <c r="FS258" s="116">
        <f t="shared" si="802"/>
        <v>4</v>
      </c>
      <c r="FT258" s="116">
        <f t="shared" si="802"/>
        <v>0</v>
      </c>
      <c r="FU258" s="116">
        <f t="shared" si="802"/>
        <v>0</v>
      </c>
      <c r="FV258" s="116">
        <f t="shared" ref="FV258:GL258" si="803">FV255</f>
        <v>4</v>
      </c>
      <c r="FW258" s="116">
        <f t="shared" si="803"/>
        <v>0</v>
      </c>
      <c r="FX258" s="116">
        <f t="shared" si="803"/>
        <v>0</v>
      </c>
      <c r="FY258" s="116">
        <f t="shared" si="803"/>
        <v>4</v>
      </c>
      <c r="FZ258" s="116">
        <f t="shared" si="803"/>
        <v>0</v>
      </c>
      <c r="GA258" s="116">
        <f t="shared" si="803"/>
        <v>0</v>
      </c>
      <c r="GB258" s="116">
        <f t="shared" si="803"/>
        <v>4</v>
      </c>
      <c r="GC258" s="116">
        <f t="shared" si="803"/>
        <v>0</v>
      </c>
      <c r="GD258" s="116">
        <f t="shared" si="803"/>
        <v>0</v>
      </c>
      <c r="GE258" s="116">
        <f t="shared" si="803"/>
        <v>4</v>
      </c>
      <c r="GF258" s="116">
        <f t="shared" si="803"/>
        <v>0</v>
      </c>
      <c r="GG258" s="116">
        <f t="shared" si="803"/>
        <v>0</v>
      </c>
      <c r="GH258" s="116">
        <f t="shared" si="803"/>
        <v>4</v>
      </c>
      <c r="GI258" s="116">
        <f t="shared" si="803"/>
        <v>0</v>
      </c>
      <c r="GJ258" s="116">
        <f t="shared" si="803"/>
        <v>0</v>
      </c>
      <c r="GK258" s="116">
        <f t="shared" si="803"/>
        <v>4</v>
      </c>
      <c r="GL258" s="116">
        <f t="shared" si="803"/>
        <v>0</v>
      </c>
    </row>
    <row r="259" spans="14:194" ht="15" customHeight="1">
      <c r="N259" s="119">
        <f>COUNTIF(N161:AN187,1)</f>
        <v>0</v>
      </c>
      <c r="O259" s="120">
        <f>COUNTIF(N161:AN187,2)</f>
        <v>0</v>
      </c>
      <c r="P259" s="121">
        <f>COUNTIF(N161:AN187,3)</f>
        <v>0</v>
      </c>
      <c r="Q259" s="116">
        <f>N259</f>
        <v>0</v>
      </c>
      <c r="R259" s="116">
        <f t="shared" ref="R259:AN259" si="804">O259</f>
        <v>0</v>
      </c>
      <c r="S259" s="116">
        <f t="shared" si="804"/>
        <v>0</v>
      </c>
      <c r="T259" s="116">
        <f t="shared" si="804"/>
        <v>0</v>
      </c>
      <c r="U259" s="116">
        <f t="shared" si="804"/>
        <v>0</v>
      </c>
      <c r="V259" s="116">
        <f t="shared" si="804"/>
        <v>0</v>
      </c>
      <c r="W259" s="116">
        <f t="shared" si="804"/>
        <v>0</v>
      </c>
      <c r="X259" s="116">
        <f t="shared" si="804"/>
        <v>0</v>
      </c>
      <c r="Y259" s="116">
        <f t="shared" si="804"/>
        <v>0</v>
      </c>
      <c r="Z259" s="116">
        <f t="shared" si="804"/>
        <v>0</v>
      </c>
      <c r="AA259" s="116">
        <f t="shared" si="804"/>
        <v>0</v>
      </c>
      <c r="AB259" s="116">
        <f t="shared" si="804"/>
        <v>0</v>
      </c>
      <c r="AC259" s="116">
        <f t="shared" si="804"/>
        <v>0</v>
      </c>
      <c r="AD259" s="116">
        <f t="shared" si="804"/>
        <v>0</v>
      </c>
      <c r="AE259" s="116">
        <f t="shared" si="804"/>
        <v>0</v>
      </c>
      <c r="AF259" s="116">
        <f t="shared" si="804"/>
        <v>0</v>
      </c>
      <c r="AG259" s="116">
        <f t="shared" si="804"/>
        <v>0</v>
      </c>
      <c r="AH259" s="116">
        <f t="shared" si="804"/>
        <v>0</v>
      </c>
      <c r="AI259" s="116">
        <f t="shared" si="804"/>
        <v>0</v>
      </c>
      <c r="AJ259" s="116">
        <f t="shared" si="804"/>
        <v>0</v>
      </c>
      <c r="AK259" s="116">
        <f t="shared" si="804"/>
        <v>0</v>
      </c>
      <c r="AL259" s="116">
        <f t="shared" si="804"/>
        <v>0</v>
      </c>
      <c r="AM259" s="116">
        <f t="shared" si="804"/>
        <v>0</v>
      </c>
      <c r="AN259" s="116">
        <f t="shared" si="804"/>
        <v>0</v>
      </c>
      <c r="AO259" s="119">
        <f>COUNTIF(AO161:BO187,1)</f>
        <v>0</v>
      </c>
      <c r="AP259" s="120">
        <f>COUNTIF(AO161:BO187,2)</f>
        <v>0</v>
      </c>
      <c r="AQ259" s="121">
        <f>COUNTIF(AO161:BO187,3)</f>
        <v>0</v>
      </c>
      <c r="AR259" s="116">
        <f>AO259</f>
        <v>0</v>
      </c>
      <c r="AS259" s="116">
        <f t="shared" ref="AS259:BO259" si="805">AP259</f>
        <v>0</v>
      </c>
      <c r="AT259" s="116">
        <f t="shared" si="805"/>
        <v>0</v>
      </c>
      <c r="AU259" s="116">
        <f t="shared" si="805"/>
        <v>0</v>
      </c>
      <c r="AV259" s="116">
        <f t="shared" si="805"/>
        <v>0</v>
      </c>
      <c r="AW259" s="116">
        <f t="shared" si="805"/>
        <v>0</v>
      </c>
      <c r="AX259" s="116">
        <f t="shared" si="805"/>
        <v>0</v>
      </c>
      <c r="AY259" s="116">
        <f t="shared" si="805"/>
        <v>0</v>
      </c>
      <c r="AZ259" s="116">
        <f t="shared" si="805"/>
        <v>0</v>
      </c>
      <c r="BA259" s="116">
        <f t="shared" si="805"/>
        <v>0</v>
      </c>
      <c r="BB259" s="116">
        <f t="shared" si="805"/>
        <v>0</v>
      </c>
      <c r="BC259" s="116">
        <f t="shared" si="805"/>
        <v>0</v>
      </c>
      <c r="BD259" s="116">
        <f t="shared" si="805"/>
        <v>0</v>
      </c>
      <c r="BE259" s="116">
        <f t="shared" si="805"/>
        <v>0</v>
      </c>
      <c r="BF259" s="116">
        <f t="shared" si="805"/>
        <v>0</v>
      </c>
      <c r="BG259" s="116">
        <f t="shared" si="805"/>
        <v>0</v>
      </c>
      <c r="BH259" s="116">
        <f t="shared" si="805"/>
        <v>0</v>
      </c>
      <c r="BI259" s="116">
        <f t="shared" si="805"/>
        <v>0</v>
      </c>
      <c r="BJ259" s="116">
        <f t="shared" si="805"/>
        <v>0</v>
      </c>
      <c r="BK259" s="116">
        <f t="shared" si="805"/>
        <v>0</v>
      </c>
      <c r="BL259" s="116">
        <f t="shared" si="805"/>
        <v>0</v>
      </c>
      <c r="BM259" s="116">
        <f t="shared" si="805"/>
        <v>0</v>
      </c>
      <c r="BN259" s="116">
        <f t="shared" si="805"/>
        <v>0</v>
      </c>
      <c r="BO259" s="116">
        <f t="shared" si="805"/>
        <v>0</v>
      </c>
      <c r="BP259" s="119">
        <f>COUNTIF(BP161:CP187,1)</f>
        <v>0</v>
      </c>
      <c r="BQ259" s="120">
        <f>COUNTIF(BP161:CP187,2)</f>
        <v>0</v>
      </c>
      <c r="BR259" s="121">
        <f>COUNTIF(BP161:CP187,3)</f>
        <v>0</v>
      </c>
      <c r="BS259" s="116">
        <f>BP259</f>
        <v>0</v>
      </c>
      <c r="BT259" s="116">
        <f t="shared" ref="BT259:CP259" si="806">BQ259</f>
        <v>0</v>
      </c>
      <c r="BU259" s="116">
        <f t="shared" si="806"/>
        <v>0</v>
      </c>
      <c r="BV259" s="116">
        <f t="shared" si="806"/>
        <v>0</v>
      </c>
      <c r="BW259" s="116">
        <f t="shared" si="806"/>
        <v>0</v>
      </c>
      <c r="BX259" s="116">
        <f t="shared" si="806"/>
        <v>0</v>
      </c>
      <c r="BY259" s="116">
        <f t="shared" si="806"/>
        <v>0</v>
      </c>
      <c r="BZ259" s="116">
        <f t="shared" si="806"/>
        <v>0</v>
      </c>
      <c r="CA259" s="116">
        <f t="shared" si="806"/>
        <v>0</v>
      </c>
      <c r="CB259" s="116">
        <f t="shared" si="806"/>
        <v>0</v>
      </c>
      <c r="CC259" s="116">
        <f t="shared" si="806"/>
        <v>0</v>
      </c>
      <c r="CD259" s="116">
        <f t="shared" si="806"/>
        <v>0</v>
      </c>
      <c r="CE259" s="116">
        <f t="shared" si="806"/>
        <v>0</v>
      </c>
      <c r="CF259" s="116">
        <f t="shared" si="806"/>
        <v>0</v>
      </c>
      <c r="CG259" s="116">
        <f t="shared" si="806"/>
        <v>0</v>
      </c>
      <c r="CH259" s="116">
        <f t="shared" si="806"/>
        <v>0</v>
      </c>
      <c r="CI259" s="116">
        <f t="shared" si="806"/>
        <v>0</v>
      </c>
      <c r="CJ259" s="116">
        <f t="shared" si="806"/>
        <v>0</v>
      </c>
      <c r="CK259" s="116">
        <f t="shared" si="806"/>
        <v>0</v>
      </c>
      <c r="CL259" s="116">
        <f t="shared" si="806"/>
        <v>0</v>
      </c>
      <c r="CM259" s="116">
        <f t="shared" si="806"/>
        <v>0</v>
      </c>
      <c r="CN259" s="116">
        <f t="shared" si="806"/>
        <v>0</v>
      </c>
      <c r="CO259" s="116">
        <f t="shared" si="806"/>
        <v>0</v>
      </c>
      <c r="CP259" s="116">
        <f t="shared" si="806"/>
        <v>0</v>
      </c>
      <c r="DJ259" s="116">
        <f t="shared" ref="DJ259:FU259" si="807">DJ256</f>
        <v>5</v>
      </c>
      <c r="DK259" s="116">
        <f t="shared" si="807"/>
        <v>4</v>
      </c>
      <c r="DL259" s="116">
        <f t="shared" si="807"/>
        <v>0</v>
      </c>
      <c r="DM259" s="116">
        <f t="shared" si="807"/>
        <v>5</v>
      </c>
      <c r="DN259" s="116">
        <f t="shared" si="807"/>
        <v>4</v>
      </c>
      <c r="DO259" s="116">
        <f t="shared" si="807"/>
        <v>0</v>
      </c>
      <c r="DP259" s="116">
        <f t="shared" si="807"/>
        <v>5</v>
      </c>
      <c r="DQ259" s="116">
        <f t="shared" si="807"/>
        <v>4</v>
      </c>
      <c r="DR259" s="116">
        <f t="shared" si="807"/>
        <v>0</v>
      </c>
      <c r="DS259" s="116">
        <f t="shared" si="807"/>
        <v>5</v>
      </c>
      <c r="DT259" s="116">
        <f t="shared" si="807"/>
        <v>4</v>
      </c>
      <c r="DU259" s="116">
        <f t="shared" si="807"/>
        <v>0</v>
      </c>
      <c r="DV259" s="116">
        <f t="shared" si="807"/>
        <v>5</v>
      </c>
      <c r="DW259" s="116">
        <f t="shared" si="807"/>
        <v>4</v>
      </c>
      <c r="DX259" s="116">
        <f t="shared" si="807"/>
        <v>0</v>
      </c>
      <c r="DY259" s="116">
        <f t="shared" si="807"/>
        <v>5</v>
      </c>
      <c r="DZ259" s="116">
        <f t="shared" si="807"/>
        <v>4</v>
      </c>
      <c r="EA259" s="116">
        <f t="shared" si="807"/>
        <v>0</v>
      </c>
      <c r="EB259" s="116">
        <f t="shared" si="807"/>
        <v>5</v>
      </c>
      <c r="EC259" s="116">
        <f t="shared" si="807"/>
        <v>4</v>
      </c>
      <c r="ED259" s="116">
        <f t="shared" si="807"/>
        <v>0</v>
      </c>
      <c r="EE259" s="116">
        <f t="shared" si="807"/>
        <v>5</v>
      </c>
      <c r="EF259" s="116">
        <f t="shared" si="807"/>
        <v>4</v>
      </c>
      <c r="EG259" s="116">
        <f t="shared" si="807"/>
        <v>0</v>
      </c>
      <c r="EH259" s="116">
        <f t="shared" si="807"/>
        <v>5</v>
      </c>
      <c r="EI259" s="116">
        <f t="shared" si="807"/>
        <v>4</v>
      </c>
      <c r="EJ259" s="116">
        <f t="shared" si="807"/>
        <v>0</v>
      </c>
      <c r="EK259" s="116">
        <f t="shared" si="807"/>
        <v>5</v>
      </c>
      <c r="EL259" s="116">
        <f t="shared" si="807"/>
        <v>4</v>
      </c>
      <c r="EM259" s="116">
        <f t="shared" si="807"/>
        <v>3</v>
      </c>
      <c r="EN259" s="116">
        <f t="shared" si="807"/>
        <v>5</v>
      </c>
      <c r="EO259" s="116">
        <f t="shared" si="807"/>
        <v>4</v>
      </c>
      <c r="EP259" s="116">
        <f t="shared" si="807"/>
        <v>3</v>
      </c>
      <c r="EQ259" s="116">
        <f t="shared" si="807"/>
        <v>5</v>
      </c>
      <c r="ER259" s="116">
        <f t="shared" si="807"/>
        <v>4</v>
      </c>
      <c r="ES259" s="116">
        <f t="shared" si="807"/>
        <v>3</v>
      </c>
      <c r="ET259" s="116">
        <f t="shared" si="807"/>
        <v>5</v>
      </c>
      <c r="EU259" s="116">
        <f t="shared" si="807"/>
        <v>4</v>
      </c>
      <c r="EV259" s="116">
        <f t="shared" si="807"/>
        <v>3</v>
      </c>
      <c r="EW259" s="116">
        <f t="shared" si="807"/>
        <v>5</v>
      </c>
      <c r="EX259" s="116">
        <f t="shared" si="807"/>
        <v>4</v>
      </c>
      <c r="EY259" s="116">
        <f t="shared" si="807"/>
        <v>3</v>
      </c>
      <c r="EZ259" s="116">
        <f t="shared" si="807"/>
        <v>5</v>
      </c>
      <c r="FA259" s="116">
        <f t="shared" si="807"/>
        <v>4</v>
      </c>
      <c r="FB259" s="116">
        <f t="shared" si="807"/>
        <v>3</v>
      </c>
      <c r="FC259" s="116">
        <f t="shared" si="807"/>
        <v>5</v>
      </c>
      <c r="FD259" s="116">
        <f t="shared" si="807"/>
        <v>4</v>
      </c>
      <c r="FE259" s="116">
        <f t="shared" si="807"/>
        <v>3</v>
      </c>
      <c r="FF259" s="116">
        <f t="shared" si="807"/>
        <v>5</v>
      </c>
      <c r="FG259" s="116">
        <f t="shared" si="807"/>
        <v>4</v>
      </c>
      <c r="FH259" s="116">
        <f t="shared" si="807"/>
        <v>3</v>
      </c>
      <c r="FI259" s="116">
        <f t="shared" si="807"/>
        <v>5</v>
      </c>
      <c r="FJ259" s="116">
        <f t="shared" si="807"/>
        <v>4</v>
      </c>
      <c r="FK259" s="116">
        <f t="shared" si="807"/>
        <v>3</v>
      </c>
      <c r="FL259" s="116">
        <f t="shared" si="807"/>
        <v>0</v>
      </c>
      <c r="FM259" s="116">
        <f t="shared" si="807"/>
        <v>6</v>
      </c>
      <c r="FN259" s="116">
        <f t="shared" si="807"/>
        <v>4</v>
      </c>
      <c r="FO259" s="116">
        <f t="shared" si="807"/>
        <v>0</v>
      </c>
      <c r="FP259" s="116">
        <f t="shared" si="807"/>
        <v>6</v>
      </c>
      <c r="FQ259" s="116">
        <f t="shared" si="807"/>
        <v>4</v>
      </c>
      <c r="FR259" s="116">
        <f t="shared" si="807"/>
        <v>0</v>
      </c>
      <c r="FS259" s="116">
        <f t="shared" si="807"/>
        <v>6</v>
      </c>
      <c r="FT259" s="116">
        <f t="shared" si="807"/>
        <v>4</v>
      </c>
      <c r="FU259" s="116">
        <f t="shared" si="807"/>
        <v>0</v>
      </c>
      <c r="FV259" s="116">
        <f t="shared" ref="FV259:GL259" si="808">FV256</f>
        <v>6</v>
      </c>
      <c r="FW259" s="116">
        <f t="shared" si="808"/>
        <v>4</v>
      </c>
      <c r="FX259" s="116">
        <f t="shared" si="808"/>
        <v>0</v>
      </c>
      <c r="FY259" s="116">
        <f t="shared" si="808"/>
        <v>6</v>
      </c>
      <c r="FZ259" s="116">
        <f t="shared" si="808"/>
        <v>4</v>
      </c>
      <c r="GA259" s="116">
        <f t="shared" si="808"/>
        <v>0</v>
      </c>
      <c r="GB259" s="116">
        <f t="shared" si="808"/>
        <v>6</v>
      </c>
      <c r="GC259" s="116">
        <f t="shared" si="808"/>
        <v>4</v>
      </c>
      <c r="GD259" s="116">
        <f t="shared" si="808"/>
        <v>0</v>
      </c>
      <c r="GE259" s="116">
        <f t="shared" si="808"/>
        <v>6</v>
      </c>
      <c r="GF259" s="116">
        <f t="shared" si="808"/>
        <v>4</v>
      </c>
      <c r="GG259" s="116">
        <f t="shared" si="808"/>
        <v>0</v>
      </c>
      <c r="GH259" s="116">
        <f t="shared" si="808"/>
        <v>6</v>
      </c>
      <c r="GI259" s="116">
        <f t="shared" si="808"/>
        <v>4</v>
      </c>
      <c r="GJ259" s="116">
        <f t="shared" si="808"/>
        <v>0</v>
      </c>
      <c r="GK259" s="116">
        <f t="shared" si="808"/>
        <v>6</v>
      </c>
      <c r="GL259" s="116">
        <f t="shared" si="808"/>
        <v>4</v>
      </c>
    </row>
    <row r="260" spans="14:194" ht="15" customHeight="1">
      <c r="N260" s="122">
        <f>COUNTIF(N161:AN187,4)</f>
        <v>0</v>
      </c>
      <c r="O260" s="97">
        <f>COUNTIF(N161:AN187,5)</f>
        <v>0</v>
      </c>
      <c r="P260" s="123">
        <f>COUNTIF(N161:AN187,6)</f>
        <v>0</v>
      </c>
      <c r="Q260" s="116">
        <f>N260</f>
        <v>0</v>
      </c>
      <c r="R260" s="116">
        <f t="shared" ref="R260:AA261" si="809">O260</f>
        <v>0</v>
      </c>
      <c r="S260" s="116">
        <f t="shared" si="809"/>
        <v>0</v>
      </c>
      <c r="T260" s="116">
        <f t="shared" si="809"/>
        <v>0</v>
      </c>
      <c r="U260" s="116">
        <f t="shared" si="809"/>
        <v>0</v>
      </c>
      <c r="V260" s="116">
        <f t="shared" si="809"/>
        <v>0</v>
      </c>
      <c r="W260" s="116">
        <f t="shared" si="809"/>
        <v>0</v>
      </c>
      <c r="X260" s="116">
        <f t="shared" si="809"/>
        <v>0</v>
      </c>
      <c r="Y260" s="116">
        <f t="shared" si="809"/>
        <v>0</v>
      </c>
      <c r="Z260" s="116">
        <f t="shared" si="809"/>
        <v>0</v>
      </c>
      <c r="AA260" s="116">
        <f t="shared" si="809"/>
        <v>0</v>
      </c>
      <c r="AB260" s="116">
        <f t="shared" ref="AB260:AK261" si="810">Y260</f>
        <v>0</v>
      </c>
      <c r="AC260" s="116">
        <f t="shared" si="810"/>
        <v>0</v>
      </c>
      <c r="AD260" s="116">
        <f t="shared" si="810"/>
        <v>0</v>
      </c>
      <c r="AE260" s="116">
        <f t="shared" si="810"/>
        <v>0</v>
      </c>
      <c r="AF260" s="116">
        <f t="shared" si="810"/>
        <v>0</v>
      </c>
      <c r="AG260" s="116">
        <f t="shared" si="810"/>
        <v>0</v>
      </c>
      <c r="AH260" s="116">
        <f t="shared" si="810"/>
        <v>0</v>
      </c>
      <c r="AI260" s="116">
        <f t="shared" si="810"/>
        <v>0</v>
      </c>
      <c r="AJ260" s="116">
        <f t="shared" si="810"/>
        <v>0</v>
      </c>
      <c r="AK260" s="116">
        <f t="shared" si="810"/>
        <v>0</v>
      </c>
      <c r="AL260" s="116">
        <f t="shared" ref="AL260:AN261" si="811">AI260</f>
        <v>0</v>
      </c>
      <c r="AM260" s="116">
        <f t="shared" si="811"/>
        <v>0</v>
      </c>
      <c r="AN260" s="116">
        <f t="shared" si="811"/>
        <v>0</v>
      </c>
      <c r="AO260" s="122">
        <f>COUNTIF(AO161:BO187,4)</f>
        <v>0</v>
      </c>
      <c r="AP260" s="97">
        <f>COUNTIF(AO161:BO187,5)</f>
        <v>0</v>
      </c>
      <c r="AQ260" s="123">
        <f>COUNTIF(AO161:BO187,6)</f>
        <v>0</v>
      </c>
      <c r="AR260" s="116">
        <f>AO260</f>
        <v>0</v>
      </c>
      <c r="AS260" s="116">
        <f t="shared" ref="AS260:BB261" si="812">AP260</f>
        <v>0</v>
      </c>
      <c r="AT260" s="116">
        <f t="shared" si="812"/>
        <v>0</v>
      </c>
      <c r="AU260" s="116">
        <f t="shared" si="812"/>
        <v>0</v>
      </c>
      <c r="AV260" s="116">
        <f t="shared" si="812"/>
        <v>0</v>
      </c>
      <c r="AW260" s="116">
        <f t="shared" si="812"/>
        <v>0</v>
      </c>
      <c r="AX260" s="116">
        <f t="shared" si="812"/>
        <v>0</v>
      </c>
      <c r="AY260" s="116">
        <f t="shared" si="812"/>
        <v>0</v>
      </c>
      <c r="AZ260" s="116">
        <f t="shared" si="812"/>
        <v>0</v>
      </c>
      <c r="BA260" s="116">
        <f t="shared" si="812"/>
        <v>0</v>
      </c>
      <c r="BB260" s="116">
        <f t="shared" si="812"/>
        <v>0</v>
      </c>
      <c r="BC260" s="116">
        <f t="shared" ref="BC260:BL261" si="813">AZ260</f>
        <v>0</v>
      </c>
      <c r="BD260" s="116">
        <f t="shared" si="813"/>
        <v>0</v>
      </c>
      <c r="BE260" s="116">
        <f t="shared" si="813"/>
        <v>0</v>
      </c>
      <c r="BF260" s="116">
        <f t="shared" si="813"/>
        <v>0</v>
      </c>
      <c r="BG260" s="116">
        <f t="shared" si="813"/>
        <v>0</v>
      </c>
      <c r="BH260" s="116">
        <f t="shared" si="813"/>
        <v>0</v>
      </c>
      <c r="BI260" s="116">
        <f t="shared" si="813"/>
        <v>0</v>
      </c>
      <c r="BJ260" s="116">
        <f t="shared" si="813"/>
        <v>0</v>
      </c>
      <c r="BK260" s="116">
        <f t="shared" si="813"/>
        <v>0</v>
      </c>
      <c r="BL260" s="116">
        <f t="shared" si="813"/>
        <v>0</v>
      </c>
      <c r="BM260" s="116">
        <f t="shared" ref="BM260:BO261" si="814">BJ260</f>
        <v>0</v>
      </c>
      <c r="BN260" s="116">
        <f t="shared" si="814"/>
        <v>0</v>
      </c>
      <c r="BO260" s="116">
        <f t="shared" si="814"/>
        <v>0</v>
      </c>
      <c r="BP260" s="122">
        <f>COUNTIF(BP161:CP187,4)</f>
        <v>0</v>
      </c>
      <c r="BQ260" s="97">
        <f>COUNTIF(BP161:CP187,5)</f>
        <v>0</v>
      </c>
      <c r="BR260" s="123">
        <f>COUNTIF(BP161:CP187,6)</f>
        <v>0</v>
      </c>
      <c r="BS260" s="116">
        <f>BP260</f>
        <v>0</v>
      </c>
      <c r="BT260" s="116">
        <f t="shared" ref="BT260:CC261" si="815">BQ260</f>
        <v>0</v>
      </c>
      <c r="BU260" s="116">
        <f t="shared" si="815"/>
        <v>0</v>
      </c>
      <c r="BV260" s="116">
        <f t="shared" si="815"/>
        <v>0</v>
      </c>
      <c r="BW260" s="116">
        <f t="shared" si="815"/>
        <v>0</v>
      </c>
      <c r="BX260" s="116">
        <f t="shared" si="815"/>
        <v>0</v>
      </c>
      <c r="BY260" s="116">
        <f t="shared" si="815"/>
        <v>0</v>
      </c>
      <c r="BZ260" s="116">
        <f t="shared" si="815"/>
        <v>0</v>
      </c>
      <c r="CA260" s="116">
        <f t="shared" si="815"/>
        <v>0</v>
      </c>
      <c r="CB260" s="116">
        <f t="shared" si="815"/>
        <v>0</v>
      </c>
      <c r="CC260" s="116">
        <f t="shared" si="815"/>
        <v>0</v>
      </c>
      <c r="CD260" s="116">
        <f t="shared" ref="CD260:CM261" si="816">CA260</f>
        <v>0</v>
      </c>
      <c r="CE260" s="116">
        <f t="shared" si="816"/>
        <v>0</v>
      </c>
      <c r="CF260" s="116">
        <f t="shared" si="816"/>
        <v>0</v>
      </c>
      <c r="CG260" s="116">
        <f t="shared" si="816"/>
        <v>0</v>
      </c>
      <c r="CH260" s="116">
        <f t="shared" si="816"/>
        <v>0</v>
      </c>
      <c r="CI260" s="116">
        <f t="shared" si="816"/>
        <v>0</v>
      </c>
      <c r="CJ260" s="116">
        <f t="shared" si="816"/>
        <v>0</v>
      </c>
      <c r="CK260" s="116">
        <f t="shared" si="816"/>
        <v>0</v>
      </c>
      <c r="CL260" s="116">
        <f t="shared" si="816"/>
        <v>0</v>
      </c>
      <c r="CM260" s="116">
        <f t="shared" si="816"/>
        <v>0</v>
      </c>
      <c r="CN260" s="116">
        <f t="shared" ref="CN260:CP261" si="817">CK260</f>
        <v>0</v>
      </c>
      <c r="CO260" s="116">
        <f t="shared" si="817"/>
        <v>0</v>
      </c>
      <c r="CP260" s="116">
        <f t="shared" si="817"/>
        <v>0</v>
      </c>
      <c r="DJ260" s="116">
        <f t="shared" ref="DJ260:FU260" si="818">DJ257</f>
        <v>5</v>
      </c>
      <c r="DK260" s="116">
        <f t="shared" si="818"/>
        <v>1</v>
      </c>
      <c r="DL260" s="116">
        <f t="shared" si="818"/>
        <v>0</v>
      </c>
      <c r="DM260" s="116">
        <f t="shared" si="818"/>
        <v>5</v>
      </c>
      <c r="DN260" s="116">
        <f t="shared" si="818"/>
        <v>1</v>
      </c>
      <c r="DO260" s="116">
        <f t="shared" si="818"/>
        <v>0</v>
      </c>
      <c r="DP260" s="116">
        <f t="shared" si="818"/>
        <v>5</v>
      </c>
      <c r="DQ260" s="116">
        <f t="shared" si="818"/>
        <v>1</v>
      </c>
      <c r="DR260" s="116">
        <f t="shared" si="818"/>
        <v>0</v>
      </c>
      <c r="DS260" s="116">
        <f t="shared" si="818"/>
        <v>5</v>
      </c>
      <c r="DT260" s="116">
        <f t="shared" si="818"/>
        <v>1</v>
      </c>
      <c r="DU260" s="116">
        <f t="shared" si="818"/>
        <v>0</v>
      </c>
      <c r="DV260" s="116">
        <f t="shared" si="818"/>
        <v>5</v>
      </c>
      <c r="DW260" s="116">
        <f t="shared" si="818"/>
        <v>1</v>
      </c>
      <c r="DX260" s="116">
        <f t="shared" si="818"/>
        <v>0</v>
      </c>
      <c r="DY260" s="116">
        <f t="shared" si="818"/>
        <v>5</v>
      </c>
      <c r="DZ260" s="116">
        <f t="shared" si="818"/>
        <v>1</v>
      </c>
      <c r="EA260" s="116">
        <f t="shared" si="818"/>
        <v>0</v>
      </c>
      <c r="EB260" s="116">
        <f t="shared" si="818"/>
        <v>5</v>
      </c>
      <c r="EC260" s="116">
        <f t="shared" si="818"/>
        <v>1</v>
      </c>
      <c r="ED260" s="116">
        <f t="shared" si="818"/>
        <v>0</v>
      </c>
      <c r="EE260" s="116">
        <f t="shared" si="818"/>
        <v>5</v>
      </c>
      <c r="EF260" s="116">
        <f t="shared" si="818"/>
        <v>1</v>
      </c>
      <c r="EG260" s="116">
        <f t="shared" si="818"/>
        <v>0</v>
      </c>
      <c r="EH260" s="116">
        <f t="shared" si="818"/>
        <v>5</v>
      </c>
      <c r="EI260" s="116">
        <f t="shared" si="818"/>
        <v>1</v>
      </c>
      <c r="EJ260" s="116">
        <f t="shared" si="818"/>
        <v>0</v>
      </c>
      <c r="EK260" s="116">
        <f t="shared" si="818"/>
        <v>5</v>
      </c>
      <c r="EL260" s="116">
        <f t="shared" si="818"/>
        <v>0</v>
      </c>
      <c r="EM260" s="116">
        <f t="shared" si="818"/>
        <v>0</v>
      </c>
      <c r="EN260" s="116">
        <f t="shared" si="818"/>
        <v>5</v>
      </c>
      <c r="EO260" s="116">
        <f t="shared" si="818"/>
        <v>0</v>
      </c>
      <c r="EP260" s="116">
        <f t="shared" si="818"/>
        <v>0</v>
      </c>
      <c r="EQ260" s="116">
        <f t="shared" si="818"/>
        <v>5</v>
      </c>
      <c r="ER260" s="116">
        <f t="shared" si="818"/>
        <v>0</v>
      </c>
      <c r="ES260" s="116">
        <f t="shared" si="818"/>
        <v>0</v>
      </c>
      <c r="ET260" s="116">
        <f t="shared" si="818"/>
        <v>5</v>
      </c>
      <c r="EU260" s="116">
        <f t="shared" si="818"/>
        <v>0</v>
      </c>
      <c r="EV260" s="116">
        <f t="shared" si="818"/>
        <v>0</v>
      </c>
      <c r="EW260" s="116">
        <f t="shared" si="818"/>
        <v>5</v>
      </c>
      <c r="EX260" s="116">
        <f t="shared" si="818"/>
        <v>0</v>
      </c>
      <c r="EY260" s="116">
        <f t="shared" si="818"/>
        <v>0</v>
      </c>
      <c r="EZ260" s="116">
        <f t="shared" si="818"/>
        <v>5</v>
      </c>
      <c r="FA260" s="116">
        <f t="shared" si="818"/>
        <v>0</v>
      </c>
      <c r="FB260" s="116">
        <f t="shared" si="818"/>
        <v>0</v>
      </c>
      <c r="FC260" s="116">
        <f t="shared" si="818"/>
        <v>5</v>
      </c>
      <c r="FD260" s="116">
        <f t="shared" si="818"/>
        <v>0</v>
      </c>
      <c r="FE260" s="116">
        <f t="shared" si="818"/>
        <v>0</v>
      </c>
      <c r="FF260" s="116">
        <f t="shared" si="818"/>
        <v>5</v>
      </c>
      <c r="FG260" s="116">
        <f t="shared" si="818"/>
        <v>0</v>
      </c>
      <c r="FH260" s="116">
        <f t="shared" si="818"/>
        <v>0</v>
      </c>
      <c r="FI260" s="116">
        <f t="shared" si="818"/>
        <v>5</v>
      </c>
      <c r="FJ260" s="116">
        <f t="shared" si="818"/>
        <v>0</v>
      </c>
      <c r="FK260" s="116">
        <f t="shared" si="818"/>
        <v>0</v>
      </c>
      <c r="FL260" s="116">
        <f t="shared" si="818"/>
        <v>3</v>
      </c>
      <c r="FM260" s="116">
        <f t="shared" si="818"/>
        <v>1</v>
      </c>
      <c r="FN260" s="116">
        <f t="shared" si="818"/>
        <v>3</v>
      </c>
      <c r="FO260" s="116">
        <f t="shared" si="818"/>
        <v>3</v>
      </c>
      <c r="FP260" s="116">
        <f t="shared" si="818"/>
        <v>1</v>
      </c>
      <c r="FQ260" s="116">
        <f t="shared" si="818"/>
        <v>3</v>
      </c>
      <c r="FR260" s="116">
        <f t="shared" si="818"/>
        <v>3</v>
      </c>
      <c r="FS260" s="116">
        <f t="shared" si="818"/>
        <v>1</v>
      </c>
      <c r="FT260" s="116">
        <f t="shared" si="818"/>
        <v>3</v>
      </c>
      <c r="FU260" s="116">
        <f t="shared" si="818"/>
        <v>3</v>
      </c>
      <c r="FV260" s="116">
        <f t="shared" ref="FV260:GL260" si="819">FV257</f>
        <v>1</v>
      </c>
      <c r="FW260" s="116">
        <f t="shared" si="819"/>
        <v>3</v>
      </c>
      <c r="FX260" s="116">
        <f t="shared" si="819"/>
        <v>3</v>
      </c>
      <c r="FY260" s="116">
        <f t="shared" si="819"/>
        <v>1</v>
      </c>
      <c r="FZ260" s="116">
        <f t="shared" si="819"/>
        <v>3</v>
      </c>
      <c r="GA260" s="116">
        <f t="shared" si="819"/>
        <v>3</v>
      </c>
      <c r="GB260" s="116">
        <f t="shared" si="819"/>
        <v>1</v>
      </c>
      <c r="GC260" s="116">
        <f t="shared" si="819"/>
        <v>3</v>
      </c>
      <c r="GD260" s="116">
        <f t="shared" si="819"/>
        <v>3</v>
      </c>
      <c r="GE260" s="116">
        <f t="shared" si="819"/>
        <v>1</v>
      </c>
      <c r="GF260" s="116">
        <f t="shared" si="819"/>
        <v>3</v>
      </c>
      <c r="GG260" s="116">
        <f t="shared" si="819"/>
        <v>3</v>
      </c>
      <c r="GH260" s="116">
        <f t="shared" si="819"/>
        <v>1</v>
      </c>
      <c r="GI260" s="116">
        <f t="shared" si="819"/>
        <v>3</v>
      </c>
      <c r="GJ260" s="116">
        <f t="shared" si="819"/>
        <v>3</v>
      </c>
      <c r="GK260" s="116">
        <f t="shared" si="819"/>
        <v>1</v>
      </c>
      <c r="GL260" s="116">
        <f t="shared" si="819"/>
        <v>3</v>
      </c>
    </row>
    <row r="261" spans="14:194" ht="15" customHeight="1">
      <c r="N261" s="124">
        <f>COUNTIF(N161:AN187,7)</f>
        <v>0</v>
      </c>
      <c r="O261" s="125">
        <f>COUNTIF(N161:AN187,8)</f>
        <v>0</v>
      </c>
      <c r="P261" s="126">
        <f>COUNTIF(N161:AN187,9)</f>
        <v>0</v>
      </c>
      <c r="Q261" s="116">
        <f>N261</f>
        <v>0</v>
      </c>
      <c r="R261" s="116">
        <f t="shared" si="809"/>
        <v>0</v>
      </c>
      <c r="S261" s="116">
        <f t="shared" si="809"/>
        <v>0</v>
      </c>
      <c r="T261" s="116">
        <f t="shared" si="809"/>
        <v>0</v>
      </c>
      <c r="U261" s="116">
        <f t="shared" si="809"/>
        <v>0</v>
      </c>
      <c r="V261" s="116">
        <f t="shared" si="809"/>
        <v>0</v>
      </c>
      <c r="W261" s="116">
        <f t="shared" si="809"/>
        <v>0</v>
      </c>
      <c r="X261" s="116">
        <f t="shared" si="809"/>
        <v>0</v>
      </c>
      <c r="Y261" s="116">
        <f t="shared" si="809"/>
        <v>0</v>
      </c>
      <c r="Z261" s="116">
        <f t="shared" si="809"/>
        <v>0</v>
      </c>
      <c r="AA261" s="116">
        <f t="shared" si="809"/>
        <v>0</v>
      </c>
      <c r="AB261" s="116">
        <f t="shared" si="810"/>
        <v>0</v>
      </c>
      <c r="AC261" s="116">
        <f t="shared" si="810"/>
        <v>0</v>
      </c>
      <c r="AD261" s="116">
        <f t="shared" si="810"/>
        <v>0</v>
      </c>
      <c r="AE261" s="116">
        <f t="shared" si="810"/>
        <v>0</v>
      </c>
      <c r="AF261" s="116">
        <f t="shared" si="810"/>
        <v>0</v>
      </c>
      <c r="AG261" s="116">
        <f t="shared" si="810"/>
        <v>0</v>
      </c>
      <c r="AH261" s="116">
        <f t="shared" si="810"/>
        <v>0</v>
      </c>
      <c r="AI261" s="116">
        <f t="shared" si="810"/>
        <v>0</v>
      </c>
      <c r="AJ261" s="116">
        <f t="shared" si="810"/>
        <v>0</v>
      </c>
      <c r="AK261" s="116">
        <f t="shared" si="810"/>
        <v>0</v>
      </c>
      <c r="AL261" s="116">
        <f t="shared" si="811"/>
        <v>0</v>
      </c>
      <c r="AM261" s="116">
        <f t="shared" si="811"/>
        <v>0</v>
      </c>
      <c r="AN261" s="116">
        <f t="shared" si="811"/>
        <v>0</v>
      </c>
      <c r="AO261" s="124">
        <f>COUNTIF(AO161:BO187,7)</f>
        <v>0</v>
      </c>
      <c r="AP261" s="125">
        <f>COUNTIF(AO161:BO187,8)</f>
        <v>0</v>
      </c>
      <c r="AQ261" s="126">
        <f>COUNTIF(AO161:BO187,9)</f>
        <v>0</v>
      </c>
      <c r="AR261" s="116">
        <f>AO261</f>
        <v>0</v>
      </c>
      <c r="AS261" s="116">
        <f t="shared" si="812"/>
        <v>0</v>
      </c>
      <c r="AT261" s="116">
        <f t="shared" si="812"/>
        <v>0</v>
      </c>
      <c r="AU261" s="116">
        <f t="shared" si="812"/>
        <v>0</v>
      </c>
      <c r="AV261" s="116">
        <f t="shared" si="812"/>
        <v>0</v>
      </c>
      <c r="AW261" s="116">
        <f t="shared" si="812"/>
        <v>0</v>
      </c>
      <c r="AX261" s="116">
        <f t="shared" si="812"/>
        <v>0</v>
      </c>
      <c r="AY261" s="116">
        <f t="shared" si="812"/>
        <v>0</v>
      </c>
      <c r="AZ261" s="116">
        <f t="shared" si="812"/>
        <v>0</v>
      </c>
      <c r="BA261" s="116">
        <f t="shared" si="812"/>
        <v>0</v>
      </c>
      <c r="BB261" s="116">
        <f t="shared" si="812"/>
        <v>0</v>
      </c>
      <c r="BC261" s="116">
        <f t="shared" si="813"/>
        <v>0</v>
      </c>
      <c r="BD261" s="116">
        <f t="shared" si="813"/>
        <v>0</v>
      </c>
      <c r="BE261" s="116">
        <f t="shared" si="813"/>
        <v>0</v>
      </c>
      <c r="BF261" s="116">
        <f t="shared" si="813"/>
        <v>0</v>
      </c>
      <c r="BG261" s="116">
        <f t="shared" si="813"/>
        <v>0</v>
      </c>
      <c r="BH261" s="116">
        <f t="shared" si="813"/>
        <v>0</v>
      </c>
      <c r="BI261" s="116">
        <f t="shared" si="813"/>
        <v>0</v>
      </c>
      <c r="BJ261" s="116">
        <f t="shared" si="813"/>
        <v>0</v>
      </c>
      <c r="BK261" s="116">
        <f t="shared" si="813"/>
        <v>0</v>
      </c>
      <c r="BL261" s="116">
        <f t="shared" si="813"/>
        <v>0</v>
      </c>
      <c r="BM261" s="116">
        <f t="shared" si="814"/>
        <v>0</v>
      </c>
      <c r="BN261" s="116">
        <f t="shared" si="814"/>
        <v>0</v>
      </c>
      <c r="BO261" s="116">
        <f t="shared" si="814"/>
        <v>0</v>
      </c>
      <c r="BP261" s="124">
        <f>COUNTIF(BP161:CP187,7)</f>
        <v>0</v>
      </c>
      <c r="BQ261" s="125">
        <f>COUNTIF(BP161:CP187,8)</f>
        <v>0</v>
      </c>
      <c r="BR261" s="126">
        <f>COUNTIF(BP161:CP187,9)</f>
        <v>0</v>
      </c>
      <c r="BS261" s="116">
        <f>BP261</f>
        <v>0</v>
      </c>
      <c r="BT261" s="116">
        <f t="shared" si="815"/>
        <v>0</v>
      </c>
      <c r="BU261" s="116">
        <f t="shared" si="815"/>
        <v>0</v>
      </c>
      <c r="BV261" s="116">
        <f t="shared" si="815"/>
        <v>0</v>
      </c>
      <c r="BW261" s="116">
        <f t="shared" si="815"/>
        <v>0</v>
      </c>
      <c r="BX261" s="116">
        <f t="shared" si="815"/>
        <v>0</v>
      </c>
      <c r="BY261" s="116">
        <f t="shared" si="815"/>
        <v>0</v>
      </c>
      <c r="BZ261" s="116">
        <f t="shared" si="815"/>
        <v>0</v>
      </c>
      <c r="CA261" s="116">
        <f t="shared" si="815"/>
        <v>0</v>
      </c>
      <c r="CB261" s="116">
        <f t="shared" si="815"/>
        <v>0</v>
      </c>
      <c r="CC261" s="116">
        <f t="shared" si="815"/>
        <v>0</v>
      </c>
      <c r="CD261" s="116">
        <f t="shared" si="816"/>
        <v>0</v>
      </c>
      <c r="CE261" s="116">
        <f t="shared" si="816"/>
        <v>0</v>
      </c>
      <c r="CF261" s="116">
        <f t="shared" si="816"/>
        <v>0</v>
      </c>
      <c r="CG261" s="116">
        <f t="shared" si="816"/>
        <v>0</v>
      </c>
      <c r="CH261" s="116">
        <f t="shared" si="816"/>
        <v>0</v>
      </c>
      <c r="CI261" s="116">
        <f t="shared" si="816"/>
        <v>0</v>
      </c>
      <c r="CJ261" s="116">
        <f t="shared" si="816"/>
        <v>0</v>
      </c>
      <c r="CK261" s="116">
        <f t="shared" si="816"/>
        <v>0</v>
      </c>
      <c r="CL261" s="116">
        <f t="shared" si="816"/>
        <v>0</v>
      </c>
      <c r="CM261" s="116">
        <f t="shared" si="816"/>
        <v>0</v>
      </c>
      <c r="CN261" s="116">
        <f t="shared" si="817"/>
        <v>0</v>
      </c>
      <c r="CO261" s="116">
        <f t="shared" si="817"/>
        <v>0</v>
      </c>
      <c r="CP261" s="116">
        <f t="shared" si="817"/>
        <v>0</v>
      </c>
      <c r="DJ261" s="116">
        <f t="shared" ref="DJ261:FU261" si="820">DJ258</f>
        <v>1</v>
      </c>
      <c r="DK261" s="116">
        <f t="shared" si="820"/>
        <v>0</v>
      </c>
      <c r="DL261" s="116">
        <f t="shared" si="820"/>
        <v>0</v>
      </c>
      <c r="DM261" s="116">
        <f t="shared" si="820"/>
        <v>1</v>
      </c>
      <c r="DN261" s="116">
        <f t="shared" si="820"/>
        <v>0</v>
      </c>
      <c r="DO261" s="116">
        <f t="shared" si="820"/>
        <v>0</v>
      </c>
      <c r="DP261" s="116">
        <f t="shared" si="820"/>
        <v>1</v>
      </c>
      <c r="DQ261" s="116">
        <f t="shared" si="820"/>
        <v>0</v>
      </c>
      <c r="DR261" s="116">
        <f t="shared" si="820"/>
        <v>0</v>
      </c>
      <c r="DS261" s="116">
        <f t="shared" si="820"/>
        <v>1</v>
      </c>
      <c r="DT261" s="116">
        <f t="shared" si="820"/>
        <v>0</v>
      </c>
      <c r="DU261" s="116">
        <f t="shared" si="820"/>
        <v>0</v>
      </c>
      <c r="DV261" s="116">
        <f t="shared" si="820"/>
        <v>1</v>
      </c>
      <c r="DW261" s="116">
        <f t="shared" si="820"/>
        <v>0</v>
      </c>
      <c r="DX261" s="116">
        <f t="shared" si="820"/>
        <v>0</v>
      </c>
      <c r="DY261" s="116">
        <f t="shared" si="820"/>
        <v>1</v>
      </c>
      <c r="DZ261" s="116">
        <f t="shared" si="820"/>
        <v>0</v>
      </c>
      <c r="EA261" s="116">
        <f t="shared" si="820"/>
        <v>0</v>
      </c>
      <c r="EB261" s="116">
        <f t="shared" si="820"/>
        <v>1</v>
      </c>
      <c r="EC261" s="116">
        <f t="shared" si="820"/>
        <v>0</v>
      </c>
      <c r="ED261" s="116">
        <f t="shared" si="820"/>
        <v>0</v>
      </c>
      <c r="EE261" s="116">
        <f t="shared" si="820"/>
        <v>1</v>
      </c>
      <c r="EF261" s="116">
        <f t="shared" si="820"/>
        <v>0</v>
      </c>
      <c r="EG261" s="116">
        <f t="shared" si="820"/>
        <v>0</v>
      </c>
      <c r="EH261" s="116">
        <f t="shared" si="820"/>
        <v>1</v>
      </c>
      <c r="EI261" s="116">
        <f t="shared" si="820"/>
        <v>0</v>
      </c>
      <c r="EJ261" s="116">
        <f t="shared" si="820"/>
        <v>0</v>
      </c>
      <c r="EK261" s="116">
        <f t="shared" si="820"/>
        <v>1</v>
      </c>
      <c r="EL261" s="116">
        <f t="shared" si="820"/>
        <v>0</v>
      </c>
      <c r="EM261" s="116">
        <f t="shared" si="820"/>
        <v>0</v>
      </c>
      <c r="EN261" s="116">
        <f t="shared" si="820"/>
        <v>1</v>
      </c>
      <c r="EO261" s="116">
        <f t="shared" si="820"/>
        <v>0</v>
      </c>
      <c r="EP261" s="116">
        <f t="shared" si="820"/>
        <v>0</v>
      </c>
      <c r="EQ261" s="116">
        <f t="shared" si="820"/>
        <v>1</v>
      </c>
      <c r="ER261" s="116">
        <f t="shared" si="820"/>
        <v>0</v>
      </c>
      <c r="ES261" s="116">
        <f t="shared" si="820"/>
        <v>0</v>
      </c>
      <c r="ET261" s="116">
        <f t="shared" si="820"/>
        <v>1</v>
      </c>
      <c r="EU261" s="116">
        <f t="shared" si="820"/>
        <v>0</v>
      </c>
      <c r="EV261" s="116">
        <f t="shared" si="820"/>
        <v>0</v>
      </c>
      <c r="EW261" s="116">
        <f t="shared" si="820"/>
        <v>1</v>
      </c>
      <c r="EX261" s="116">
        <f t="shared" si="820"/>
        <v>0</v>
      </c>
      <c r="EY261" s="116">
        <f t="shared" si="820"/>
        <v>0</v>
      </c>
      <c r="EZ261" s="116">
        <f t="shared" si="820"/>
        <v>1</v>
      </c>
      <c r="FA261" s="116">
        <f t="shared" si="820"/>
        <v>0</v>
      </c>
      <c r="FB261" s="116">
        <f t="shared" si="820"/>
        <v>0</v>
      </c>
      <c r="FC261" s="116">
        <f t="shared" si="820"/>
        <v>1</v>
      </c>
      <c r="FD261" s="116">
        <f t="shared" si="820"/>
        <v>0</v>
      </c>
      <c r="FE261" s="116">
        <f t="shared" si="820"/>
        <v>0</v>
      </c>
      <c r="FF261" s="116">
        <f t="shared" si="820"/>
        <v>1</v>
      </c>
      <c r="FG261" s="116">
        <f t="shared" si="820"/>
        <v>0</v>
      </c>
      <c r="FH261" s="116">
        <f t="shared" si="820"/>
        <v>0</v>
      </c>
      <c r="FI261" s="116">
        <f t="shared" si="820"/>
        <v>1</v>
      </c>
      <c r="FJ261" s="116">
        <f t="shared" si="820"/>
        <v>0</v>
      </c>
      <c r="FK261" s="116">
        <f t="shared" si="820"/>
        <v>0</v>
      </c>
      <c r="FL261" s="116">
        <f t="shared" si="820"/>
        <v>0</v>
      </c>
      <c r="FM261" s="116">
        <f t="shared" si="820"/>
        <v>4</v>
      </c>
      <c r="FN261" s="116">
        <f t="shared" si="820"/>
        <v>0</v>
      </c>
      <c r="FO261" s="116">
        <f t="shared" si="820"/>
        <v>0</v>
      </c>
      <c r="FP261" s="116">
        <f t="shared" si="820"/>
        <v>4</v>
      </c>
      <c r="FQ261" s="116">
        <f t="shared" si="820"/>
        <v>0</v>
      </c>
      <c r="FR261" s="116">
        <f t="shared" si="820"/>
        <v>0</v>
      </c>
      <c r="FS261" s="116">
        <f t="shared" si="820"/>
        <v>4</v>
      </c>
      <c r="FT261" s="116">
        <f t="shared" si="820"/>
        <v>0</v>
      </c>
      <c r="FU261" s="116">
        <f t="shared" si="820"/>
        <v>0</v>
      </c>
      <c r="FV261" s="116">
        <f t="shared" ref="FV261:GL261" si="821">FV258</f>
        <v>4</v>
      </c>
      <c r="FW261" s="116">
        <f t="shared" si="821"/>
        <v>0</v>
      </c>
      <c r="FX261" s="116">
        <f t="shared" si="821"/>
        <v>0</v>
      </c>
      <c r="FY261" s="116">
        <f t="shared" si="821"/>
        <v>4</v>
      </c>
      <c r="FZ261" s="116">
        <f t="shared" si="821"/>
        <v>0</v>
      </c>
      <c r="GA261" s="116">
        <f t="shared" si="821"/>
        <v>0</v>
      </c>
      <c r="GB261" s="116">
        <f t="shared" si="821"/>
        <v>4</v>
      </c>
      <c r="GC261" s="116">
        <f t="shared" si="821"/>
        <v>0</v>
      </c>
      <c r="GD261" s="116">
        <f t="shared" si="821"/>
        <v>0</v>
      </c>
      <c r="GE261" s="116">
        <f t="shared" si="821"/>
        <v>4</v>
      </c>
      <c r="GF261" s="116">
        <f t="shared" si="821"/>
        <v>0</v>
      </c>
      <c r="GG261" s="116">
        <f t="shared" si="821"/>
        <v>0</v>
      </c>
      <c r="GH261" s="116">
        <f t="shared" si="821"/>
        <v>4</v>
      </c>
      <c r="GI261" s="116">
        <f t="shared" si="821"/>
        <v>0</v>
      </c>
      <c r="GJ261" s="116">
        <f t="shared" si="821"/>
        <v>0</v>
      </c>
      <c r="GK261" s="116">
        <f t="shared" si="821"/>
        <v>4</v>
      </c>
      <c r="GL261" s="116">
        <f t="shared" si="821"/>
        <v>0</v>
      </c>
    </row>
    <row r="262" spans="14:194" ht="15" customHeight="1">
      <c r="N262" s="116">
        <f>N259</f>
        <v>0</v>
      </c>
      <c r="O262" s="116">
        <f t="shared" ref="O262:BZ262" si="822">O259</f>
        <v>0</v>
      </c>
      <c r="P262" s="116">
        <f t="shared" si="822"/>
        <v>0</v>
      </c>
      <c r="Q262" s="116">
        <f t="shared" si="822"/>
        <v>0</v>
      </c>
      <c r="R262" s="116">
        <f t="shared" si="822"/>
        <v>0</v>
      </c>
      <c r="S262" s="116">
        <f t="shared" si="822"/>
        <v>0</v>
      </c>
      <c r="T262" s="116">
        <f t="shared" si="822"/>
        <v>0</v>
      </c>
      <c r="U262" s="116">
        <f t="shared" si="822"/>
        <v>0</v>
      </c>
      <c r="V262" s="116">
        <f t="shared" si="822"/>
        <v>0</v>
      </c>
      <c r="W262" s="116">
        <f t="shared" si="822"/>
        <v>0</v>
      </c>
      <c r="X262" s="116">
        <f t="shared" si="822"/>
        <v>0</v>
      </c>
      <c r="Y262" s="116">
        <f t="shared" si="822"/>
        <v>0</v>
      </c>
      <c r="Z262" s="116">
        <f t="shared" si="822"/>
        <v>0</v>
      </c>
      <c r="AA262" s="116">
        <f t="shared" si="822"/>
        <v>0</v>
      </c>
      <c r="AB262" s="116">
        <f t="shared" si="822"/>
        <v>0</v>
      </c>
      <c r="AC262" s="116">
        <f t="shared" si="822"/>
        <v>0</v>
      </c>
      <c r="AD262" s="116">
        <f t="shared" si="822"/>
        <v>0</v>
      </c>
      <c r="AE262" s="116">
        <f t="shared" si="822"/>
        <v>0</v>
      </c>
      <c r="AF262" s="116">
        <f t="shared" si="822"/>
        <v>0</v>
      </c>
      <c r="AG262" s="116">
        <f t="shared" si="822"/>
        <v>0</v>
      </c>
      <c r="AH262" s="116">
        <f t="shared" si="822"/>
        <v>0</v>
      </c>
      <c r="AI262" s="116">
        <f t="shared" si="822"/>
        <v>0</v>
      </c>
      <c r="AJ262" s="116">
        <f t="shared" si="822"/>
        <v>0</v>
      </c>
      <c r="AK262" s="116">
        <f t="shared" si="822"/>
        <v>0</v>
      </c>
      <c r="AL262" s="116">
        <f t="shared" si="822"/>
        <v>0</v>
      </c>
      <c r="AM262" s="116">
        <f t="shared" si="822"/>
        <v>0</v>
      </c>
      <c r="AN262" s="116">
        <f t="shared" si="822"/>
        <v>0</v>
      </c>
      <c r="AO262" s="116">
        <f t="shared" si="822"/>
        <v>0</v>
      </c>
      <c r="AP262" s="116">
        <f t="shared" si="822"/>
        <v>0</v>
      </c>
      <c r="AQ262" s="116">
        <f t="shared" si="822"/>
        <v>0</v>
      </c>
      <c r="AR262" s="116">
        <f t="shared" si="822"/>
        <v>0</v>
      </c>
      <c r="AS262" s="116">
        <f t="shared" si="822"/>
        <v>0</v>
      </c>
      <c r="AT262" s="116">
        <f t="shared" si="822"/>
        <v>0</v>
      </c>
      <c r="AU262" s="116">
        <f t="shared" si="822"/>
        <v>0</v>
      </c>
      <c r="AV262" s="116">
        <f t="shared" si="822"/>
        <v>0</v>
      </c>
      <c r="AW262" s="116">
        <f t="shared" si="822"/>
        <v>0</v>
      </c>
      <c r="AX262" s="116">
        <f t="shared" si="822"/>
        <v>0</v>
      </c>
      <c r="AY262" s="116">
        <f t="shared" si="822"/>
        <v>0</v>
      </c>
      <c r="AZ262" s="116">
        <f t="shared" si="822"/>
        <v>0</v>
      </c>
      <c r="BA262" s="116">
        <f t="shared" si="822"/>
        <v>0</v>
      </c>
      <c r="BB262" s="116">
        <f t="shared" si="822"/>
        <v>0</v>
      </c>
      <c r="BC262" s="116">
        <f t="shared" si="822"/>
        <v>0</v>
      </c>
      <c r="BD262" s="116">
        <f t="shared" si="822"/>
        <v>0</v>
      </c>
      <c r="BE262" s="116">
        <f t="shared" si="822"/>
        <v>0</v>
      </c>
      <c r="BF262" s="116">
        <f t="shared" si="822"/>
        <v>0</v>
      </c>
      <c r="BG262" s="116">
        <f t="shared" si="822"/>
        <v>0</v>
      </c>
      <c r="BH262" s="116">
        <f t="shared" si="822"/>
        <v>0</v>
      </c>
      <c r="BI262" s="116">
        <f t="shared" si="822"/>
        <v>0</v>
      </c>
      <c r="BJ262" s="116">
        <f t="shared" si="822"/>
        <v>0</v>
      </c>
      <c r="BK262" s="116">
        <f t="shared" si="822"/>
        <v>0</v>
      </c>
      <c r="BL262" s="116">
        <f t="shared" si="822"/>
        <v>0</v>
      </c>
      <c r="BM262" s="116">
        <f t="shared" si="822"/>
        <v>0</v>
      </c>
      <c r="BN262" s="116">
        <f t="shared" si="822"/>
        <v>0</v>
      </c>
      <c r="BO262" s="116">
        <f t="shared" si="822"/>
        <v>0</v>
      </c>
      <c r="BP262" s="116">
        <f t="shared" si="822"/>
        <v>0</v>
      </c>
      <c r="BQ262" s="116">
        <f t="shared" si="822"/>
        <v>0</v>
      </c>
      <c r="BR262" s="116">
        <f t="shared" si="822"/>
        <v>0</v>
      </c>
      <c r="BS262" s="116">
        <f t="shared" si="822"/>
        <v>0</v>
      </c>
      <c r="BT262" s="116">
        <f t="shared" si="822"/>
        <v>0</v>
      </c>
      <c r="BU262" s="116">
        <f t="shared" si="822"/>
        <v>0</v>
      </c>
      <c r="BV262" s="116">
        <f t="shared" si="822"/>
        <v>0</v>
      </c>
      <c r="BW262" s="116">
        <f t="shared" si="822"/>
        <v>0</v>
      </c>
      <c r="BX262" s="116">
        <f t="shared" si="822"/>
        <v>0</v>
      </c>
      <c r="BY262" s="116">
        <f t="shared" si="822"/>
        <v>0</v>
      </c>
      <c r="BZ262" s="116">
        <f t="shared" si="822"/>
        <v>0</v>
      </c>
      <c r="CA262" s="116">
        <f t="shared" ref="CA262:CP262" si="823">CA259</f>
        <v>0</v>
      </c>
      <c r="CB262" s="116">
        <f t="shared" si="823"/>
        <v>0</v>
      </c>
      <c r="CC262" s="116">
        <f t="shared" si="823"/>
        <v>0</v>
      </c>
      <c r="CD262" s="116">
        <f t="shared" si="823"/>
        <v>0</v>
      </c>
      <c r="CE262" s="116">
        <f t="shared" si="823"/>
        <v>0</v>
      </c>
      <c r="CF262" s="116">
        <f t="shared" si="823"/>
        <v>0</v>
      </c>
      <c r="CG262" s="116">
        <f t="shared" si="823"/>
        <v>0</v>
      </c>
      <c r="CH262" s="116">
        <f t="shared" si="823"/>
        <v>0</v>
      </c>
      <c r="CI262" s="116">
        <f t="shared" si="823"/>
        <v>0</v>
      </c>
      <c r="CJ262" s="116">
        <f t="shared" si="823"/>
        <v>0</v>
      </c>
      <c r="CK262" s="116">
        <f t="shared" si="823"/>
        <v>0</v>
      </c>
      <c r="CL262" s="116">
        <f t="shared" si="823"/>
        <v>0</v>
      </c>
      <c r="CM262" s="116">
        <f t="shared" si="823"/>
        <v>0</v>
      </c>
      <c r="CN262" s="116">
        <f t="shared" si="823"/>
        <v>0</v>
      </c>
      <c r="CO262" s="116">
        <f t="shared" si="823"/>
        <v>0</v>
      </c>
      <c r="CP262" s="116">
        <f t="shared" si="823"/>
        <v>0</v>
      </c>
      <c r="DJ262" s="116">
        <f t="shared" ref="DJ262:FU262" si="824">DJ259</f>
        <v>5</v>
      </c>
      <c r="DK262" s="116">
        <f t="shared" si="824"/>
        <v>4</v>
      </c>
      <c r="DL262" s="116">
        <f t="shared" si="824"/>
        <v>0</v>
      </c>
      <c r="DM262" s="116">
        <f t="shared" si="824"/>
        <v>5</v>
      </c>
      <c r="DN262" s="116">
        <f t="shared" si="824"/>
        <v>4</v>
      </c>
      <c r="DO262" s="116">
        <f t="shared" si="824"/>
        <v>0</v>
      </c>
      <c r="DP262" s="116">
        <f t="shared" si="824"/>
        <v>5</v>
      </c>
      <c r="DQ262" s="116">
        <f t="shared" si="824"/>
        <v>4</v>
      </c>
      <c r="DR262" s="116">
        <f t="shared" si="824"/>
        <v>0</v>
      </c>
      <c r="DS262" s="116">
        <f t="shared" si="824"/>
        <v>5</v>
      </c>
      <c r="DT262" s="116">
        <f t="shared" si="824"/>
        <v>4</v>
      </c>
      <c r="DU262" s="116">
        <f t="shared" si="824"/>
        <v>0</v>
      </c>
      <c r="DV262" s="116">
        <f t="shared" si="824"/>
        <v>5</v>
      </c>
      <c r="DW262" s="116">
        <f t="shared" si="824"/>
        <v>4</v>
      </c>
      <c r="DX262" s="116">
        <f t="shared" si="824"/>
        <v>0</v>
      </c>
      <c r="DY262" s="116">
        <f t="shared" si="824"/>
        <v>5</v>
      </c>
      <c r="DZ262" s="116">
        <f t="shared" si="824"/>
        <v>4</v>
      </c>
      <c r="EA262" s="116">
        <f t="shared" si="824"/>
        <v>0</v>
      </c>
      <c r="EB262" s="116">
        <f t="shared" si="824"/>
        <v>5</v>
      </c>
      <c r="EC262" s="116">
        <f t="shared" si="824"/>
        <v>4</v>
      </c>
      <c r="ED262" s="116">
        <f t="shared" si="824"/>
        <v>0</v>
      </c>
      <c r="EE262" s="116">
        <f t="shared" si="824"/>
        <v>5</v>
      </c>
      <c r="EF262" s="116">
        <f t="shared" si="824"/>
        <v>4</v>
      </c>
      <c r="EG262" s="116">
        <f t="shared" si="824"/>
        <v>0</v>
      </c>
      <c r="EH262" s="116">
        <f t="shared" si="824"/>
        <v>5</v>
      </c>
      <c r="EI262" s="116">
        <f t="shared" si="824"/>
        <v>4</v>
      </c>
      <c r="EJ262" s="116">
        <f t="shared" si="824"/>
        <v>0</v>
      </c>
      <c r="EK262" s="116">
        <f t="shared" si="824"/>
        <v>5</v>
      </c>
      <c r="EL262" s="116">
        <f t="shared" si="824"/>
        <v>4</v>
      </c>
      <c r="EM262" s="116">
        <f t="shared" si="824"/>
        <v>3</v>
      </c>
      <c r="EN262" s="116">
        <f t="shared" si="824"/>
        <v>5</v>
      </c>
      <c r="EO262" s="116">
        <f t="shared" si="824"/>
        <v>4</v>
      </c>
      <c r="EP262" s="116">
        <f t="shared" si="824"/>
        <v>3</v>
      </c>
      <c r="EQ262" s="116">
        <f t="shared" si="824"/>
        <v>5</v>
      </c>
      <c r="ER262" s="116">
        <f t="shared" si="824"/>
        <v>4</v>
      </c>
      <c r="ES262" s="116">
        <f t="shared" si="824"/>
        <v>3</v>
      </c>
      <c r="ET262" s="116">
        <f t="shared" si="824"/>
        <v>5</v>
      </c>
      <c r="EU262" s="116">
        <f t="shared" si="824"/>
        <v>4</v>
      </c>
      <c r="EV262" s="116">
        <f t="shared" si="824"/>
        <v>3</v>
      </c>
      <c r="EW262" s="116">
        <f t="shared" si="824"/>
        <v>5</v>
      </c>
      <c r="EX262" s="116">
        <f t="shared" si="824"/>
        <v>4</v>
      </c>
      <c r="EY262" s="116">
        <f t="shared" si="824"/>
        <v>3</v>
      </c>
      <c r="EZ262" s="116">
        <f t="shared" si="824"/>
        <v>5</v>
      </c>
      <c r="FA262" s="116">
        <f t="shared" si="824"/>
        <v>4</v>
      </c>
      <c r="FB262" s="116">
        <f t="shared" si="824"/>
        <v>3</v>
      </c>
      <c r="FC262" s="116">
        <f t="shared" si="824"/>
        <v>5</v>
      </c>
      <c r="FD262" s="116">
        <f t="shared" si="824"/>
        <v>4</v>
      </c>
      <c r="FE262" s="116">
        <f t="shared" si="824"/>
        <v>3</v>
      </c>
      <c r="FF262" s="116">
        <f t="shared" si="824"/>
        <v>5</v>
      </c>
      <c r="FG262" s="116">
        <f t="shared" si="824"/>
        <v>4</v>
      </c>
      <c r="FH262" s="116">
        <f t="shared" si="824"/>
        <v>3</v>
      </c>
      <c r="FI262" s="116">
        <f t="shared" si="824"/>
        <v>5</v>
      </c>
      <c r="FJ262" s="116">
        <f t="shared" si="824"/>
        <v>4</v>
      </c>
      <c r="FK262" s="116">
        <f t="shared" si="824"/>
        <v>3</v>
      </c>
      <c r="FL262" s="116">
        <f t="shared" si="824"/>
        <v>0</v>
      </c>
      <c r="FM262" s="116">
        <f t="shared" si="824"/>
        <v>6</v>
      </c>
      <c r="FN262" s="116">
        <f t="shared" si="824"/>
        <v>4</v>
      </c>
      <c r="FO262" s="116">
        <f t="shared" si="824"/>
        <v>0</v>
      </c>
      <c r="FP262" s="116">
        <f t="shared" si="824"/>
        <v>6</v>
      </c>
      <c r="FQ262" s="116">
        <f t="shared" si="824"/>
        <v>4</v>
      </c>
      <c r="FR262" s="116">
        <f t="shared" si="824"/>
        <v>0</v>
      </c>
      <c r="FS262" s="116">
        <f t="shared" si="824"/>
        <v>6</v>
      </c>
      <c r="FT262" s="116">
        <f t="shared" si="824"/>
        <v>4</v>
      </c>
      <c r="FU262" s="116">
        <f t="shared" si="824"/>
        <v>0</v>
      </c>
      <c r="FV262" s="116">
        <f t="shared" ref="FV262:GL262" si="825">FV259</f>
        <v>6</v>
      </c>
      <c r="FW262" s="116">
        <f t="shared" si="825"/>
        <v>4</v>
      </c>
      <c r="FX262" s="116">
        <f t="shared" si="825"/>
        <v>0</v>
      </c>
      <c r="FY262" s="116">
        <f t="shared" si="825"/>
        <v>6</v>
      </c>
      <c r="FZ262" s="116">
        <f t="shared" si="825"/>
        <v>4</v>
      </c>
      <c r="GA262" s="116">
        <f t="shared" si="825"/>
        <v>0</v>
      </c>
      <c r="GB262" s="116">
        <f t="shared" si="825"/>
        <v>6</v>
      </c>
      <c r="GC262" s="116">
        <f t="shared" si="825"/>
        <v>4</v>
      </c>
      <c r="GD262" s="116">
        <f t="shared" si="825"/>
        <v>0</v>
      </c>
      <c r="GE262" s="116">
        <f t="shared" si="825"/>
        <v>6</v>
      </c>
      <c r="GF262" s="116">
        <f t="shared" si="825"/>
        <v>4</v>
      </c>
      <c r="GG262" s="116">
        <f t="shared" si="825"/>
        <v>0</v>
      </c>
      <c r="GH262" s="116">
        <f t="shared" si="825"/>
        <v>6</v>
      </c>
      <c r="GI262" s="116">
        <f t="shared" si="825"/>
        <v>4</v>
      </c>
      <c r="GJ262" s="116">
        <f t="shared" si="825"/>
        <v>0</v>
      </c>
      <c r="GK262" s="116">
        <f t="shared" si="825"/>
        <v>6</v>
      </c>
      <c r="GL262" s="116">
        <f t="shared" si="825"/>
        <v>4</v>
      </c>
    </row>
    <row r="263" spans="14:194" ht="15" customHeight="1">
      <c r="N263" s="116">
        <f t="shared" ref="N263:BY263" si="826">N260</f>
        <v>0</v>
      </c>
      <c r="O263" s="116">
        <f t="shared" si="826"/>
        <v>0</v>
      </c>
      <c r="P263" s="116">
        <f t="shared" si="826"/>
        <v>0</v>
      </c>
      <c r="Q263" s="116">
        <f t="shared" si="826"/>
        <v>0</v>
      </c>
      <c r="R263" s="116">
        <f t="shared" si="826"/>
        <v>0</v>
      </c>
      <c r="S263" s="116">
        <f t="shared" si="826"/>
        <v>0</v>
      </c>
      <c r="T263" s="116">
        <f t="shared" si="826"/>
        <v>0</v>
      </c>
      <c r="U263" s="116">
        <f t="shared" si="826"/>
        <v>0</v>
      </c>
      <c r="V263" s="116">
        <f t="shared" si="826"/>
        <v>0</v>
      </c>
      <c r="W263" s="116">
        <f t="shared" si="826"/>
        <v>0</v>
      </c>
      <c r="X263" s="116">
        <f t="shared" si="826"/>
        <v>0</v>
      </c>
      <c r="Y263" s="116">
        <f t="shared" si="826"/>
        <v>0</v>
      </c>
      <c r="Z263" s="116">
        <f t="shared" si="826"/>
        <v>0</v>
      </c>
      <c r="AA263" s="116">
        <f t="shared" si="826"/>
        <v>0</v>
      </c>
      <c r="AB263" s="116">
        <f t="shared" si="826"/>
        <v>0</v>
      </c>
      <c r="AC263" s="116">
        <f t="shared" si="826"/>
        <v>0</v>
      </c>
      <c r="AD263" s="116">
        <f t="shared" si="826"/>
        <v>0</v>
      </c>
      <c r="AE263" s="116">
        <f t="shared" si="826"/>
        <v>0</v>
      </c>
      <c r="AF263" s="116">
        <f t="shared" si="826"/>
        <v>0</v>
      </c>
      <c r="AG263" s="116">
        <f t="shared" si="826"/>
        <v>0</v>
      </c>
      <c r="AH263" s="116">
        <f t="shared" si="826"/>
        <v>0</v>
      </c>
      <c r="AI263" s="116">
        <f t="shared" si="826"/>
        <v>0</v>
      </c>
      <c r="AJ263" s="116">
        <f t="shared" si="826"/>
        <v>0</v>
      </c>
      <c r="AK263" s="116">
        <f t="shared" si="826"/>
        <v>0</v>
      </c>
      <c r="AL263" s="116">
        <f t="shared" si="826"/>
        <v>0</v>
      </c>
      <c r="AM263" s="116">
        <f t="shared" si="826"/>
        <v>0</v>
      </c>
      <c r="AN263" s="116">
        <f t="shared" si="826"/>
        <v>0</v>
      </c>
      <c r="AO263" s="116">
        <f t="shared" si="826"/>
        <v>0</v>
      </c>
      <c r="AP263" s="116">
        <f t="shared" si="826"/>
        <v>0</v>
      </c>
      <c r="AQ263" s="116">
        <f t="shared" si="826"/>
        <v>0</v>
      </c>
      <c r="AR263" s="116">
        <f t="shared" si="826"/>
        <v>0</v>
      </c>
      <c r="AS263" s="116">
        <f t="shared" si="826"/>
        <v>0</v>
      </c>
      <c r="AT263" s="116">
        <f t="shared" si="826"/>
        <v>0</v>
      </c>
      <c r="AU263" s="116">
        <f t="shared" si="826"/>
        <v>0</v>
      </c>
      <c r="AV263" s="116">
        <f t="shared" si="826"/>
        <v>0</v>
      </c>
      <c r="AW263" s="116">
        <f t="shared" si="826"/>
        <v>0</v>
      </c>
      <c r="AX263" s="116">
        <f t="shared" si="826"/>
        <v>0</v>
      </c>
      <c r="AY263" s="116">
        <f t="shared" si="826"/>
        <v>0</v>
      </c>
      <c r="AZ263" s="116">
        <f t="shared" si="826"/>
        <v>0</v>
      </c>
      <c r="BA263" s="116">
        <f t="shared" si="826"/>
        <v>0</v>
      </c>
      <c r="BB263" s="116">
        <f t="shared" si="826"/>
        <v>0</v>
      </c>
      <c r="BC263" s="116">
        <f t="shared" si="826"/>
        <v>0</v>
      </c>
      <c r="BD263" s="116">
        <f t="shared" si="826"/>
        <v>0</v>
      </c>
      <c r="BE263" s="116">
        <f t="shared" si="826"/>
        <v>0</v>
      </c>
      <c r="BF263" s="116">
        <f t="shared" si="826"/>
        <v>0</v>
      </c>
      <c r="BG263" s="116">
        <f t="shared" si="826"/>
        <v>0</v>
      </c>
      <c r="BH263" s="116">
        <f t="shared" si="826"/>
        <v>0</v>
      </c>
      <c r="BI263" s="116">
        <f t="shared" si="826"/>
        <v>0</v>
      </c>
      <c r="BJ263" s="116">
        <f t="shared" si="826"/>
        <v>0</v>
      </c>
      <c r="BK263" s="116">
        <f t="shared" si="826"/>
        <v>0</v>
      </c>
      <c r="BL263" s="116">
        <f t="shared" si="826"/>
        <v>0</v>
      </c>
      <c r="BM263" s="116">
        <f t="shared" si="826"/>
        <v>0</v>
      </c>
      <c r="BN263" s="116">
        <f t="shared" si="826"/>
        <v>0</v>
      </c>
      <c r="BO263" s="116">
        <f t="shared" si="826"/>
        <v>0</v>
      </c>
      <c r="BP263" s="116">
        <f t="shared" si="826"/>
        <v>0</v>
      </c>
      <c r="BQ263" s="116">
        <f t="shared" si="826"/>
        <v>0</v>
      </c>
      <c r="BR263" s="116">
        <f t="shared" si="826"/>
        <v>0</v>
      </c>
      <c r="BS263" s="116">
        <f t="shared" si="826"/>
        <v>0</v>
      </c>
      <c r="BT263" s="116">
        <f t="shared" si="826"/>
        <v>0</v>
      </c>
      <c r="BU263" s="116">
        <f t="shared" si="826"/>
        <v>0</v>
      </c>
      <c r="BV263" s="116">
        <f t="shared" si="826"/>
        <v>0</v>
      </c>
      <c r="BW263" s="116">
        <f t="shared" si="826"/>
        <v>0</v>
      </c>
      <c r="BX263" s="116">
        <f t="shared" si="826"/>
        <v>0</v>
      </c>
      <c r="BY263" s="116">
        <f t="shared" si="826"/>
        <v>0</v>
      </c>
      <c r="BZ263" s="116">
        <f t="shared" ref="BZ263:CP263" si="827">BZ260</f>
        <v>0</v>
      </c>
      <c r="CA263" s="116">
        <f t="shared" si="827"/>
        <v>0</v>
      </c>
      <c r="CB263" s="116">
        <f t="shared" si="827"/>
        <v>0</v>
      </c>
      <c r="CC263" s="116">
        <f t="shared" si="827"/>
        <v>0</v>
      </c>
      <c r="CD263" s="116">
        <f t="shared" si="827"/>
        <v>0</v>
      </c>
      <c r="CE263" s="116">
        <f t="shared" si="827"/>
        <v>0</v>
      </c>
      <c r="CF263" s="116">
        <f t="shared" si="827"/>
        <v>0</v>
      </c>
      <c r="CG263" s="116">
        <f t="shared" si="827"/>
        <v>0</v>
      </c>
      <c r="CH263" s="116">
        <f t="shared" si="827"/>
        <v>0</v>
      </c>
      <c r="CI263" s="116">
        <f t="shared" si="827"/>
        <v>0</v>
      </c>
      <c r="CJ263" s="116">
        <f t="shared" si="827"/>
        <v>0</v>
      </c>
      <c r="CK263" s="116">
        <f t="shared" si="827"/>
        <v>0</v>
      </c>
      <c r="CL263" s="116">
        <f t="shared" si="827"/>
        <v>0</v>
      </c>
      <c r="CM263" s="116">
        <f t="shared" si="827"/>
        <v>0</v>
      </c>
      <c r="CN263" s="116">
        <f t="shared" si="827"/>
        <v>0</v>
      </c>
      <c r="CO263" s="116">
        <f t="shared" si="827"/>
        <v>0</v>
      </c>
      <c r="CP263" s="116">
        <f t="shared" si="827"/>
        <v>0</v>
      </c>
      <c r="DJ263" s="116">
        <f t="shared" ref="DJ263:FU263" si="828">DJ260</f>
        <v>5</v>
      </c>
      <c r="DK263" s="116">
        <f t="shared" si="828"/>
        <v>1</v>
      </c>
      <c r="DL263" s="116">
        <f t="shared" si="828"/>
        <v>0</v>
      </c>
      <c r="DM263" s="116">
        <f t="shared" si="828"/>
        <v>5</v>
      </c>
      <c r="DN263" s="116">
        <f t="shared" si="828"/>
        <v>1</v>
      </c>
      <c r="DO263" s="116">
        <f t="shared" si="828"/>
        <v>0</v>
      </c>
      <c r="DP263" s="116">
        <f t="shared" si="828"/>
        <v>5</v>
      </c>
      <c r="DQ263" s="116">
        <f t="shared" si="828"/>
        <v>1</v>
      </c>
      <c r="DR263" s="116">
        <f t="shared" si="828"/>
        <v>0</v>
      </c>
      <c r="DS263" s="116">
        <f t="shared" si="828"/>
        <v>5</v>
      </c>
      <c r="DT263" s="116">
        <f t="shared" si="828"/>
        <v>1</v>
      </c>
      <c r="DU263" s="116">
        <f t="shared" si="828"/>
        <v>0</v>
      </c>
      <c r="DV263" s="116">
        <f t="shared" si="828"/>
        <v>5</v>
      </c>
      <c r="DW263" s="116">
        <f t="shared" si="828"/>
        <v>1</v>
      </c>
      <c r="DX263" s="116">
        <f t="shared" si="828"/>
        <v>0</v>
      </c>
      <c r="DY263" s="116">
        <f t="shared" si="828"/>
        <v>5</v>
      </c>
      <c r="DZ263" s="116">
        <f t="shared" si="828"/>
        <v>1</v>
      </c>
      <c r="EA263" s="116">
        <f t="shared" si="828"/>
        <v>0</v>
      </c>
      <c r="EB263" s="116">
        <f t="shared" si="828"/>
        <v>5</v>
      </c>
      <c r="EC263" s="116">
        <f t="shared" si="828"/>
        <v>1</v>
      </c>
      <c r="ED263" s="116">
        <f t="shared" si="828"/>
        <v>0</v>
      </c>
      <c r="EE263" s="116">
        <f t="shared" si="828"/>
        <v>5</v>
      </c>
      <c r="EF263" s="116">
        <f t="shared" si="828"/>
        <v>1</v>
      </c>
      <c r="EG263" s="116">
        <f t="shared" si="828"/>
        <v>0</v>
      </c>
      <c r="EH263" s="116">
        <f t="shared" si="828"/>
        <v>5</v>
      </c>
      <c r="EI263" s="116">
        <f t="shared" si="828"/>
        <v>1</v>
      </c>
      <c r="EJ263" s="116">
        <f t="shared" si="828"/>
        <v>0</v>
      </c>
      <c r="EK263" s="116">
        <f t="shared" si="828"/>
        <v>5</v>
      </c>
      <c r="EL263" s="116">
        <f t="shared" si="828"/>
        <v>0</v>
      </c>
      <c r="EM263" s="116">
        <f t="shared" si="828"/>
        <v>0</v>
      </c>
      <c r="EN263" s="116">
        <f t="shared" si="828"/>
        <v>5</v>
      </c>
      <c r="EO263" s="116">
        <f t="shared" si="828"/>
        <v>0</v>
      </c>
      <c r="EP263" s="116">
        <f t="shared" si="828"/>
        <v>0</v>
      </c>
      <c r="EQ263" s="116">
        <f t="shared" si="828"/>
        <v>5</v>
      </c>
      <c r="ER263" s="116">
        <f t="shared" si="828"/>
        <v>0</v>
      </c>
      <c r="ES263" s="116">
        <f t="shared" si="828"/>
        <v>0</v>
      </c>
      <c r="ET263" s="116">
        <f t="shared" si="828"/>
        <v>5</v>
      </c>
      <c r="EU263" s="116">
        <f t="shared" si="828"/>
        <v>0</v>
      </c>
      <c r="EV263" s="116">
        <f t="shared" si="828"/>
        <v>0</v>
      </c>
      <c r="EW263" s="116">
        <f t="shared" si="828"/>
        <v>5</v>
      </c>
      <c r="EX263" s="116">
        <f t="shared" si="828"/>
        <v>0</v>
      </c>
      <c r="EY263" s="116">
        <f t="shared" si="828"/>
        <v>0</v>
      </c>
      <c r="EZ263" s="116">
        <f t="shared" si="828"/>
        <v>5</v>
      </c>
      <c r="FA263" s="116">
        <f t="shared" si="828"/>
        <v>0</v>
      </c>
      <c r="FB263" s="116">
        <f t="shared" si="828"/>
        <v>0</v>
      </c>
      <c r="FC263" s="116">
        <f t="shared" si="828"/>
        <v>5</v>
      </c>
      <c r="FD263" s="116">
        <f t="shared" si="828"/>
        <v>0</v>
      </c>
      <c r="FE263" s="116">
        <f t="shared" si="828"/>
        <v>0</v>
      </c>
      <c r="FF263" s="116">
        <f t="shared" si="828"/>
        <v>5</v>
      </c>
      <c r="FG263" s="116">
        <f t="shared" si="828"/>
        <v>0</v>
      </c>
      <c r="FH263" s="116">
        <f t="shared" si="828"/>
        <v>0</v>
      </c>
      <c r="FI263" s="116">
        <f t="shared" si="828"/>
        <v>5</v>
      </c>
      <c r="FJ263" s="116">
        <f t="shared" si="828"/>
        <v>0</v>
      </c>
      <c r="FK263" s="116">
        <f t="shared" si="828"/>
        <v>0</v>
      </c>
      <c r="FL263" s="116">
        <f t="shared" si="828"/>
        <v>3</v>
      </c>
      <c r="FM263" s="116">
        <f t="shared" si="828"/>
        <v>1</v>
      </c>
      <c r="FN263" s="116">
        <f t="shared" si="828"/>
        <v>3</v>
      </c>
      <c r="FO263" s="116">
        <f t="shared" si="828"/>
        <v>3</v>
      </c>
      <c r="FP263" s="116">
        <f t="shared" si="828"/>
        <v>1</v>
      </c>
      <c r="FQ263" s="116">
        <f t="shared" si="828"/>
        <v>3</v>
      </c>
      <c r="FR263" s="116">
        <f t="shared" si="828"/>
        <v>3</v>
      </c>
      <c r="FS263" s="116">
        <f t="shared" si="828"/>
        <v>1</v>
      </c>
      <c r="FT263" s="116">
        <f t="shared" si="828"/>
        <v>3</v>
      </c>
      <c r="FU263" s="116">
        <f t="shared" si="828"/>
        <v>3</v>
      </c>
      <c r="FV263" s="116">
        <f t="shared" ref="FV263:GL263" si="829">FV260</f>
        <v>1</v>
      </c>
      <c r="FW263" s="116">
        <f t="shared" si="829"/>
        <v>3</v>
      </c>
      <c r="FX263" s="116">
        <f t="shared" si="829"/>
        <v>3</v>
      </c>
      <c r="FY263" s="116">
        <f t="shared" si="829"/>
        <v>1</v>
      </c>
      <c r="FZ263" s="116">
        <f t="shared" si="829"/>
        <v>3</v>
      </c>
      <c r="GA263" s="116">
        <f t="shared" si="829"/>
        <v>3</v>
      </c>
      <c r="GB263" s="116">
        <f t="shared" si="829"/>
        <v>1</v>
      </c>
      <c r="GC263" s="116">
        <f t="shared" si="829"/>
        <v>3</v>
      </c>
      <c r="GD263" s="116">
        <f t="shared" si="829"/>
        <v>3</v>
      </c>
      <c r="GE263" s="116">
        <f t="shared" si="829"/>
        <v>1</v>
      </c>
      <c r="GF263" s="116">
        <f t="shared" si="829"/>
        <v>3</v>
      </c>
      <c r="GG263" s="116">
        <f t="shared" si="829"/>
        <v>3</v>
      </c>
      <c r="GH263" s="116">
        <f t="shared" si="829"/>
        <v>1</v>
      </c>
      <c r="GI263" s="116">
        <f t="shared" si="829"/>
        <v>3</v>
      </c>
      <c r="GJ263" s="116">
        <f t="shared" si="829"/>
        <v>3</v>
      </c>
      <c r="GK263" s="116">
        <f t="shared" si="829"/>
        <v>1</v>
      </c>
      <c r="GL263" s="116">
        <f t="shared" si="829"/>
        <v>3</v>
      </c>
    </row>
    <row r="264" spans="14:194" ht="15" customHeight="1">
      <c r="N264" s="116">
        <f t="shared" ref="N264:BY264" si="830">N261</f>
        <v>0</v>
      </c>
      <c r="O264" s="116">
        <f t="shared" si="830"/>
        <v>0</v>
      </c>
      <c r="P264" s="116">
        <f t="shared" si="830"/>
        <v>0</v>
      </c>
      <c r="Q264" s="116">
        <f t="shared" si="830"/>
        <v>0</v>
      </c>
      <c r="R264" s="116">
        <f t="shared" si="830"/>
        <v>0</v>
      </c>
      <c r="S264" s="116">
        <f t="shared" si="830"/>
        <v>0</v>
      </c>
      <c r="T264" s="116">
        <f t="shared" si="830"/>
        <v>0</v>
      </c>
      <c r="U264" s="116">
        <f t="shared" si="830"/>
        <v>0</v>
      </c>
      <c r="V264" s="116">
        <f t="shared" si="830"/>
        <v>0</v>
      </c>
      <c r="W264" s="116">
        <f t="shared" si="830"/>
        <v>0</v>
      </c>
      <c r="X264" s="116">
        <f t="shared" si="830"/>
        <v>0</v>
      </c>
      <c r="Y264" s="116">
        <f t="shared" si="830"/>
        <v>0</v>
      </c>
      <c r="Z264" s="116">
        <f t="shared" si="830"/>
        <v>0</v>
      </c>
      <c r="AA264" s="116">
        <f t="shared" si="830"/>
        <v>0</v>
      </c>
      <c r="AB264" s="116">
        <f t="shared" si="830"/>
        <v>0</v>
      </c>
      <c r="AC264" s="116">
        <f t="shared" si="830"/>
        <v>0</v>
      </c>
      <c r="AD264" s="116">
        <f t="shared" si="830"/>
        <v>0</v>
      </c>
      <c r="AE264" s="116">
        <f t="shared" si="830"/>
        <v>0</v>
      </c>
      <c r="AF264" s="116">
        <f t="shared" si="830"/>
        <v>0</v>
      </c>
      <c r="AG264" s="116">
        <f t="shared" si="830"/>
        <v>0</v>
      </c>
      <c r="AH264" s="116">
        <f t="shared" si="830"/>
        <v>0</v>
      </c>
      <c r="AI264" s="116">
        <f t="shared" si="830"/>
        <v>0</v>
      </c>
      <c r="AJ264" s="116">
        <f t="shared" si="830"/>
        <v>0</v>
      </c>
      <c r="AK264" s="116">
        <f t="shared" si="830"/>
        <v>0</v>
      </c>
      <c r="AL264" s="116">
        <f t="shared" si="830"/>
        <v>0</v>
      </c>
      <c r="AM264" s="116">
        <f t="shared" si="830"/>
        <v>0</v>
      </c>
      <c r="AN264" s="116">
        <f t="shared" si="830"/>
        <v>0</v>
      </c>
      <c r="AO264" s="116">
        <f t="shared" si="830"/>
        <v>0</v>
      </c>
      <c r="AP264" s="116">
        <f t="shared" si="830"/>
        <v>0</v>
      </c>
      <c r="AQ264" s="116">
        <f t="shared" si="830"/>
        <v>0</v>
      </c>
      <c r="AR264" s="116">
        <f t="shared" si="830"/>
        <v>0</v>
      </c>
      <c r="AS264" s="116">
        <f t="shared" si="830"/>
        <v>0</v>
      </c>
      <c r="AT264" s="116">
        <f t="shared" si="830"/>
        <v>0</v>
      </c>
      <c r="AU264" s="116">
        <f t="shared" si="830"/>
        <v>0</v>
      </c>
      <c r="AV264" s="116">
        <f t="shared" si="830"/>
        <v>0</v>
      </c>
      <c r="AW264" s="116">
        <f t="shared" si="830"/>
        <v>0</v>
      </c>
      <c r="AX264" s="116">
        <f t="shared" si="830"/>
        <v>0</v>
      </c>
      <c r="AY264" s="116">
        <f t="shared" si="830"/>
        <v>0</v>
      </c>
      <c r="AZ264" s="116">
        <f t="shared" si="830"/>
        <v>0</v>
      </c>
      <c r="BA264" s="116">
        <f t="shared" si="830"/>
        <v>0</v>
      </c>
      <c r="BB264" s="116">
        <f t="shared" si="830"/>
        <v>0</v>
      </c>
      <c r="BC264" s="116">
        <f t="shared" si="830"/>
        <v>0</v>
      </c>
      <c r="BD264" s="116">
        <f t="shared" si="830"/>
        <v>0</v>
      </c>
      <c r="BE264" s="116">
        <f t="shared" si="830"/>
        <v>0</v>
      </c>
      <c r="BF264" s="116">
        <f t="shared" si="830"/>
        <v>0</v>
      </c>
      <c r="BG264" s="116">
        <f t="shared" si="830"/>
        <v>0</v>
      </c>
      <c r="BH264" s="116">
        <f t="shared" si="830"/>
        <v>0</v>
      </c>
      <c r="BI264" s="116">
        <f t="shared" si="830"/>
        <v>0</v>
      </c>
      <c r="BJ264" s="116">
        <f t="shared" si="830"/>
        <v>0</v>
      </c>
      <c r="BK264" s="116">
        <f t="shared" si="830"/>
        <v>0</v>
      </c>
      <c r="BL264" s="116">
        <f t="shared" si="830"/>
        <v>0</v>
      </c>
      <c r="BM264" s="116">
        <f t="shared" si="830"/>
        <v>0</v>
      </c>
      <c r="BN264" s="116">
        <f t="shared" si="830"/>
        <v>0</v>
      </c>
      <c r="BO264" s="116">
        <f t="shared" si="830"/>
        <v>0</v>
      </c>
      <c r="BP264" s="116">
        <f t="shared" si="830"/>
        <v>0</v>
      </c>
      <c r="BQ264" s="116">
        <f t="shared" si="830"/>
        <v>0</v>
      </c>
      <c r="BR264" s="116">
        <f t="shared" si="830"/>
        <v>0</v>
      </c>
      <c r="BS264" s="116">
        <f t="shared" si="830"/>
        <v>0</v>
      </c>
      <c r="BT264" s="116">
        <f t="shared" si="830"/>
        <v>0</v>
      </c>
      <c r="BU264" s="116">
        <f t="shared" si="830"/>
        <v>0</v>
      </c>
      <c r="BV264" s="116">
        <f t="shared" si="830"/>
        <v>0</v>
      </c>
      <c r="BW264" s="116">
        <f t="shared" si="830"/>
        <v>0</v>
      </c>
      <c r="BX264" s="116">
        <f t="shared" si="830"/>
        <v>0</v>
      </c>
      <c r="BY264" s="116">
        <f t="shared" si="830"/>
        <v>0</v>
      </c>
      <c r="BZ264" s="116">
        <f t="shared" ref="BZ264:CP264" si="831">BZ261</f>
        <v>0</v>
      </c>
      <c r="CA264" s="116">
        <f t="shared" si="831"/>
        <v>0</v>
      </c>
      <c r="CB264" s="116">
        <f t="shared" si="831"/>
        <v>0</v>
      </c>
      <c r="CC264" s="116">
        <f t="shared" si="831"/>
        <v>0</v>
      </c>
      <c r="CD264" s="116">
        <f t="shared" si="831"/>
        <v>0</v>
      </c>
      <c r="CE264" s="116">
        <f t="shared" si="831"/>
        <v>0</v>
      </c>
      <c r="CF264" s="116">
        <f t="shared" si="831"/>
        <v>0</v>
      </c>
      <c r="CG264" s="116">
        <f t="shared" si="831"/>
        <v>0</v>
      </c>
      <c r="CH264" s="116">
        <f t="shared" si="831"/>
        <v>0</v>
      </c>
      <c r="CI264" s="116">
        <f t="shared" si="831"/>
        <v>0</v>
      </c>
      <c r="CJ264" s="116">
        <f t="shared" si="831"/>
        <v>0</v>
      </c>
      <c r="CK264" s="116">
        <f t="shared" si="831"/>
        <v>0</v>
      </c>
      <c r="CL264" s="116">
        <f t="shared" si="831"/>
        <v>0</v>
      </c>
      <c r="CM264" s="116">
        <f t="shared" si="831"/>
        <v>0</v>
      </c>
      <c r="CN264" s="116">
        <f t="shared" si="831"/>
        <v>0</v>
      </c>
      <c r="CO264" s="116">
        <f t="shared" si="831"/>
        <v>0</v>
      </c>
      <c r="CP264" s="116">
        <f t="shared" si="831"/>
        <v>0</v>
      </c>
      <c r="DJ264" s="116">
        <f t="shared" ref="DJ264:FU264" si="832">DJ261</f>
        <v>1</v>
      </c>
      <c r="DK264" s="116">
        <f t="shared" si="832"/>
        <v>0</v>
      </c>
      <c r="DL264" s="116">
        <f t="shared" si="832"/>
        <v>0</v>
      </c>
      <c r="DM264" s="116">
        <f t="shared" si="832"/>
        <v>1</v>
      </c>
      <c r="DN264" s="116">
        <f t="shared" si="832"/>
        <v>0</v>
      </c>
      <c r="DO264" s="116">
        <f t="shared" si="832"/>
        <v>0</v>
      </c>
      <c r="DP264" s="116">
        <f t="shared" si="832"/>
        <v>1</v>
      </c>
      <c r="DQ264" s="116">
        <f t="shared" si="832"/>
        <v>0</v>
      </c>
      <c r="DR264" s="116">
        <f t="shared" si="832"/>
        <v>0</v>
      </c>
      <c r="DS264" s="116">
        <f t="shared" si="832"/>
        <v>1</v>
      </c>
      <c r="DT264" s="116">
        <f t="shared" si="832"/>
        <v>0</v>
      </c>
      <c r="DU264" s="116">
        <f t="shared" si="832"/>
        <v>0</v>
      </c>
      <c r="DV264" s="116">
        <f t="shared" si="832"/>
        <v>1</v>
      </c>
      <c r="DW264" s="116">
        <f t="shared" si="832"/>
        <v>0</v>
      </c>
      <c r="DX264" s="116">
        <f t="shared" si="832"/>
        <v>0</v>
      </c>
      <c r="DY264" s="116">
        <f t="shared" si="832"/>
        <v>1</v>
      </c>
      <c r="DZ264" s="116">
        <f t="shared" si="832"/>
        <v>0</v>
      </c>
      <c r="EA264" s="116">
        <f t="shared" si="832"/>
        <v>0</v>
      </c>
      <c r="EB264" s="116">
        <f t="shared" si="832"/>
        <v>1</v>
      </c>
      <c r="EC264" s="116">
        <f t="shared" si="832"/>
        <v>0</v>
      </c>
      <c r="ED264" s="116">
        <f t="shared" si="832"/>
        <v>0</v>
      </c>
      <c r="EE264" s="116">
        <f t="shared" si="832"/>
        <v>1</v>
      </c>
      <c r="EF264" s="116">
        <f t="shared" si="832"/>
        <v>0</v>
      </c>
      <c r="EG264" s="116">
        <f t="shared" si="832"/>
        <v>0</v>
      </c>
      <c r="EH264" s="116">
        <f t="shared" si="832"/>
        <v>1</v>
      </c>
      <c r="EI264" s="116">
        <f t="shared" si="832"/>
        <v>0</v>
      </c>
      <c r="EJ264" s="116">
        <f t="shared" si="832"/>
        <v>0</v>
      </c>
      <c r="EK264" s="116">
        <f t="shared" si="832"/>
        <v>1</v>
      </c>
      <c r="EL264" s="116">
        <f t="shared" si="832"/>
        <v>0</v>
      </c>
      <c r="EM264" s="116">
        <f t="shared" si="832"/>
        <v>0</v>
      </c>
      <c r="EN264" s="116">
        <f t="shared" si="832"/>
        <v>1</v>
      </c>
      <c r="EO264" s="116">
        <f t="shared" si="832"/>
        <v>0</v>
      </c>
      <c r="EP264" s="116">
        <f t="shared" si="832"/>
        <v>0</v>
      </c>
      <c r="EQ264" s="116">
        <f t="shared" si="832"/>
        <v>1</v>
      </c>
      <c r="ER264" s="116">
        <f t="shared" si="832"/>
        <v>0</v>
      </c>
      <c r="ES264" s="116">
        <f t="shared" si="832"/>
        <v>0</v>
      </c>
      <c r="ET264" s="116">
        <f t="shared" si="832"/>
        <v>1</v>
      </c>
      <c r="EU264" s="116">
        <f t="shared" si="832"/>
        <v>0</v>
      </c>
      <c r="EV264" s="116">
        <f t="shared" si="832"/>
        <v>0</v>
      </c>
      <c r="EW264" s="116">
        <f t="shared" si="832"/>
        <v>1</v>
      </c>
      <c r="EX264" s="116">
        <f t="shared" si="832"/>
        <v>0</v>
      </c>
      <c r="EY264" s="116">
        <f t="shared" si="832"/>
        <v>0</v>
      </c>
      <c r="EZ264" s="116">
        <f t="shared" si="832"/>
        <v>1</v>
      </c>
      <c r="FA264" s="116">
        <f t="shared" si="832"/>
        <v>0</v>
      </c>
      <c r="FB264" s="116">
        <f t="shared" si="832"/>
        <v>0</v>
      </c>
      <c r="FC264" s="116">
        <f t="shared" si="832"/>
        <v>1</v>
      </c>
      <c r="FD264" s="116">
        <f t="shared" si="832"/>
        <v>0</v>
      </c>
      <c r="FE264" s="116">
        <f t="shared" si="832"/>
        <v>0</v>
      </c>
      <c r="FF264" s="116">
        <f t="shared" si="832"/>
        <v>1</v>
      </c>
      <c r="FG264" s="116">
        <f t="shared" si="832"/>
        <v>0</v>
      </c>
      <c r="FH264" s="116">
        <f t="shared" si="832"/>
        <v>0</v>
      </c>
      <c r="FI264" s="116">
        <f t="shared" si="832"/>
        <v>1</v>
      </c>
      <c r="FJ264" s="116">
        <f t="shared" si="832"/>
        <v>0</v>
      </c>
      <c r="FK264" s="116">
        <f t="shared" si="832"/>
        <v>0</v>
      </c>
      <c r="FL264" s="116">
        <f t="shared" si="832"/>
        <v>0</v>
      </c>
      <c r="FM264" s="116">
        <f t="shared" si="832"/>
        <v>4</v>
      </c>
      <c r="FN264" s="116">
        <f t="shared" si="832"/>
        <v>0</v>
      </c>
      <c r="FO264" s="116">
        <f t="shared" si="832"/>
        <v>0</v>
      </c>
      <c r="FP264" s="116">
        <f t="shared" si="832"/>
        <v>4</v>
      </c>
      <c r="FQ264" s="116">
        <f t="shared" si="832"/>
        <v>0</v>
      </c>
      <c r="FR264" s="116">
        <f t="shared" si="832"/>
        <v>0</v>
      </c>
      <c r="FS264" s="116">
        <f t="shared" si="832"/>
        <v>4</v>
      </c>
      <c r="FT264" s="116">
        <f t="shared" si="832"/>
        <v>0</v>
      </c>
      <c r="FU264" s="116">
        <f t="shared" si="832"/>
        <v>0</v>
      </c>
      <c r="FV264" s="116">
        <f t="shared" ref="FV264:GL264" si="833">FV261</f>
        <v>4</v>
      </c>
      <c r="FW264" s="116">
        <f t="shared" si="833"/>
        <v>0</v>
      </c>
      <c r="FX264" s="116">
        <f t="shared" si="833"/>
        <v>0</v>
      </c>
      <c r="FY264" s="116">
        <f t="shared" si="833"/>
        <v>4</v>
      </c>
      <c r="FZ264" s="116">
        <f t="shared" si="833"/>
        <v>0</v>
      </c>
      <c r="GA264" s="116">
        <f t="shared" si="833"/>
        <v>0</v>
      </c>
      <c r="GB264" s="116">
        <f t="shared" si="833"/>
        <v>4</v>
      </c>
      <c r="GC264" s="116">
        <f t="shared" si="833"/>
        <v>0</v>
      </c>
      <c r="GD264" s="116">
        <f t="shared" si="833"/>
        <v>0</v>
      </c>
      <c r="GE264" s="116">
        <f t="shared" si="833"/>
        <v>4</v>
      </c>
      <c r="GF264" s="116">
        <f t="shared" si="833"/>
        <v>0</v>
      </c>
      <c r="GG264" s="116">
        <f t="shared" si="833"/>
        <v>0</v>
      </c>
      <c r="GH264" s="116">
        <f t="shared" si="833"/>
        <v>4</v>
      </c>
      <c r="GI264" s="116">
        <f t="shared" si="833"/>
        <v>0</v>
      </c>
      <c r="GJ264" s="116">
        <f t="shared" si="833"/>
        <v>0</v>
      </c>
      <c r="GK264" s="116">
        <f t="shared" si="833"/>
        <v>4</v>
      </c>
      <c r="GL264" s="116">
        <f t="shared" si="833"/>
        <v>0</v>
      </c>
    </row>
    <row r="265" spans="14:194" ht="15" customHeight="1">
      <c r="N265" s="116">
        <f t="shared" ref="N265:BY265" si="834">N262</f>
        <v>0</v>
      </c>
      <c r="O265" s="116">
        <f t="shared" si="834"/>
        <v>0</v>
      </c>
      <c r="P265" s="116">
        <f t="shared" si="834"/>
        <v>0</v>
      </c>
      <c r="Q265" s="116">
        <f t="shared" si="834"/>
        <v>0</v>
      </c>
      <c r="R265" s="116">
        <f t="shared" si="834"/>
        <v>0</v>
      </c>
      <c r="S265" s="116">
        <f t="shared" si="834"/>
        <v>0</v>
      </c>
      <c r="T265" s="116">
        <f t="shared" si="834"/>
        <v>0</v>
      </c>
      <c r="U265" s="116">
        <f t="shared" si="834"/>
        <v>0</v>
      </c>
      <c r="V265" s="116">
        <f t="shared" si="834"/>
        <v>0</v>
      </c>
      <c r="W265" s="116">
        <f t="shared" si="834"/>
        <v>0</v>
      </c>
      <c r="X265" s="116">
        <f t="shared" si="834"/>
        <v>0</v>
      </c>
      <c r="Y265" s="116">
        <f t="shared" si="834"/>
        <v>0</v>
      </c>
      <c r="Z265" s="116">
        <f t="shared" si="834"/>
        <v>0</v>
      </c>
      <c r="AA265" s="116">
        <f t="shared" si="834"/>
        <v>0</v>
      </c>
      <c r="AB265" s="116">
        <f t="shared" si="834"/>
        <v>0</v>
      </c>
      <c r="AC265" s="116">
        <f t="shared" si="834"/>
        <v>0</v>
      </c>
      <c r="AD265" s="116">
        <f t="shared" si="834"/>
        <v>0</v>
      </c>
      <c r="AE265" s="116">
        <f t="shared" si="834"/>
        <v>0</v>
      </c>
      <c r="AF265" s="116">
        <f t="shared" si="834"/>
        <v>0</v>
      </c>
      <c r="AG265" s="116">
        <f t="shared" si="834"/>
        <v>0</v>
      </c>
      <c r="AH265" s="116">
        <f t="shared" si="834"/>
        <v>0</v>
      </c>
      <c r="AI265" s="116">
        <f t="shared" si="834"/>
        <v>0</v>
      </c>
      <c r="AJ265" s="116">
        <f t="shared" si="834"/>
        <v>0</v>
      </c>
      <c r="AK265" s="116">
        <f t="shared" si="834"/>
        <v>0</v>
      </c>
      <c r="AL265" s="116">
        <f t="shared" si="834"/>
        <v>0</v>
      </c>
      <c r="AM265" s="116">
        <f t="shared" si="834"/>
        <v>0</v>
      </c>
      <c r="AN265" s="116">
        <f t="shared" si="834"/>
        <v>0</v>
      </c>
      <c r="AO265" s="116">
        <f t="shared" si="834"/>
        <v>0</v>
      </c>
      <c r="AP265" s="116">
        <f t="shared" si="834"/>
        <v>0</v>
      </c>
      <c r="AQ265" s="116">
        <f t="shared" si="834"/>
        <v>0</v>
      </c>
      <c r="AR265" s="116">
        <f t="shared" si="834"/>
        <v>0</v>
      </c>
      <c r="AS265" s="116">
        <f t="shared" si="834"/>
        <v>0</v>
      </c>
      <c r="AT265" s="116">
        <f t="shared" si="834"/>
        <v>0</v>
      </c>
      <c r="AU265" s="116">
        <f t="shared" si="834"/>
        <v>0</v>
      </c>
      <c r="AV265" s="116">
        <f t="shared" si="834"/>
        <v>0</v>
      </c>
      <c r="AW265" s="116">
        <f t="shared" si="834"/>
        <v>0</v>
      </c>
      <c r="AX265" s="116">
        <f t="shared" si="834"/>
        <v>0</v>
      </c>
      <c r="AY265" s="116">
        <f t="shared" si="834"/>
        <v>0</v>
      </c>
      <c r="AZ265" s="116">
        <f t="shared" si="834"/>
        <v>0</v>
      </c>
      <c r="BA265" s="116">
        <f t="shared" si="834"/>
        <v>0</v>
      </c>
      <c r="BB265" s="116">
        <f t="shared" si="834"/>
        <v>0</v>
      </c>
      <c r="BC265" s="116">
        <f t="shared" si="834"/>
        <v>0</v>
      </c>
      <c r="BD265" s="116">
        <f t="shared" si="834"/>
        <v>0</v>
      </c>
      <c r="BE265" s="116">
        <f t="shared" si="834"/>
        <v>0</v>
      </c>
      <c r="BF265" s="116">
        <f t="shared" si="834"/>
        <v>0</v>
      </c>
      <c r="BG265" s="116">
        <f t="shared" si="834"/>
        <v>0</v>
      </c>
      <c r="BH265" s="116">
        <f t="shared" si="834"/>
        <v>0</v>
      </c>
      <c r="BI265" s="116">
        <f t="shared" si="834"/>
        <v>0</v>
      </c>
      <c r="BJ265" s="116">
        <f t="shared" si="834"/>
        <v>0</v>
      </c>
      <c r="BK265" s="116">
        <f t="shared" si="834"/>
        <v>0</v>
      </c>
      <c r="BL265" s="116">
        <f t="shared" si="834"/>
        <v>0</v>
      </c>
      <c r="BM265" s="116">
        <f t="shared" si="834"/>
        <v>0</v>
      </c>
      <c r="BN265" s="116">
        <f t="shared" si="834"/>
        <v>0</v>
      </c>
      <c r="BO265" s="116">
        <f t="shared" si="834"/>
        <v>0</v>
      </c>
      <c r="BP265" s="116">
        <f t="shared" si="834"/>
        <v>0</v>
      </c>
      <c r="BQ265" s="116">
        <f t="shared" si="834"/>
        <v>0</v>
      </c>
      <c r="BR265" s="116">
        <f t="shared" si="834"/>
        <v>0</v>
      </c>
      <c r="BS265" s="116">
        <f t="shared" si="834"/>
        <v>0</v>
      </c>
      <c r="BT265" s="116">
        <f t="shared" si="834"/>
        <v>0</v>
      </c>
      <c r="BU265" s="116">
        <f t="shared" si="834"/>
        <v>0</v>
      </c>
      <c r="BV265" s="116">
        <f t="shared" si="834"/>
        <v>0</v>
      </c>
      <c r="BW265" s="116">
        <f t="shared" si="834"/>
        <v>0</v>
      </c>
      <c r="BX265" s="116">
        <f t="shared" si="834"/>
        <v>0</v>
      </c>
      <c r="BY265" s="116">
        <f t="shared" si="834"/>
        <v>0</v>
      </c>
      <c r="BZ265" s="116">
        <f t="shared" ref="BZ265:CP265" si="835">BZ262</f>
        <v>0</v>
      </c>
      <c r="CA265" s="116">
        <f t="shared" si="835"/>
        <v>0</v>
      </c>
      <c r="CB265" s="116">
        <f t="shared" si="835"/>
        <v>0</v>
      </c>
      <c r="CC265" s="116">
        <f t="shared" si="835"/>
        <v>0</v>
      </c>
      <c r="CD265" s="116">
        <f t="shared" si="835"/>
        <v>0</v>
      </c>
      <c r="CE265" s="116">
        <f t="shared" si="835"/>
        <v>0</v>
      </c>
      <c r="CF265" s="116">
        <f t="shared" si="835"/>
        <v>0</v>
      </c>
      <c r="CG265" s="116">
        <f t="shared" si="835"/>
        <v>0</v>
      </c>
      <c r="CH265" s="116">
        <f t="shared" si="835"/>
        <v>0</v>
      </c>
      <c r="CI265" s="116">
        <f t="shared" si="835"/>
        <v>0</v>
      </c>
      <c r="CJ265" s="116">
        <f t="shared" si="835"/>
        <v>0</v>
      </c>
      <c r="CK265" s="116">
        <f t="shared" si="835"/>
        <v>0</v>
      </c>
      <c r="CL265" s="116">
        <f t="shared" si="835"/>
        <v>0</v>
      </c>
      <c r="CM265" s="116">
        <f t="shared" si="835"/>
        <v>0</v>
      </c>
      <c r="CN265" s="116">
        <f t="shared" si="835"/>
        <v>0</v>
      </c>
      <c r="CO265" s="116">
        <f t="shared" si="835"/>
        <v>0</v>
      </c>
      <c r="CP265" s="116">
        <f t="shared" si="835"/>
        <v>0</v>
      </c>
      <c r="DJ265" s="119">
        <f>COUNTIF(DJ167:EJ193,1)</f>
        <v>5</v>
      </c>
      <c r="DK265" s="120">
        <f>COUNTIF(DJ167:EJ193,2)</f>
        <v>3</v>
      </c>
      <c r="DL265" s="121">
        <f>COUNTIF(DJ167:EJ193,3)</f>
        <v>1</v>
      </c>
      <c r="DM265" s="116">
        <f>DJ265</f>
        <v>5</v>
      </c>
      <c r="DN265" s="116">
        <f t="shared" ref="DN265:DN267" si="836">DK265</f>
        <v>3</v>
      </c>
      <c r="DO265" s="116">
        <f t="shared" ref="DO265:DO267" si="837">DL265</f>
        <v>1</v>
      </c>
      <c r="DP265" s="116">
        <f t="shared" ref="DP265:DP267" si="838">DM265</f>
        <v>5</v>
      </c>
      <c r="DQ265" s="116">
        <f t="shared" ref="DQ265:DQ267" si="839">DN265</f>
        <v>3</v>
      </c>
      <c r="DR265" s="116">
        <f t="shared" ref="DR265:DR267" si="840">DO265</f>
        <v>1</v>
      </c>
      <c r="DS265" s="116">
        <f t="shared" ref="DS265:DS267" si="841">DP265</f>
        <v>5</v>
      </c>
      <c r="DT265" s="116">
        <f t="shared" ref="DT265:DT267" si="842">DQ265</f>
        <v>3</v>
      </c>
      <c r="DU265" s="116">
        <f t="shared" ref="DU265:DU267" si="843">DR265</f>
        <v>1</v>
      </c>
      <c r="DV265" s="116">
        <f t="shared" ref="DV265:DV267" si="844">DS265</f>
        <v>5</v>
      </c>
      <c r="DW265" s="116">
        <f t="shared" ref="DW265:DW267" si="845">DT265</f>
        <v>3</v>
      </c>
      <c r="DX265" s="116">
        <f t="shared" ref="DX265:DX267" si="846">DU265</f>
        <v>1</v>
      </c>
      <c r="DY265" s="116">
        <f t="shared" ref="DY265:DY267" si="847">DV265</f>
        <v>5</v>
      </c>
      <c r="DZ265" s="116">
        <f t="shared" ref="DZ265:DZ267" si="848">DW265</f>
        <v>3</v>
      </c>
      <c r="EA265" s="116">
        <f t="shared" ref="EA265:EA267" si="849">DX265</f>
        <v>1</v>
      </c>
      <c r="EB265" s="116">
        <f t="shared" ref="EB265:EB267" si="850">DY265</f>
        <v>5</v>
      </c>
      <c r="EC265" s="116">
        <f t="shared" ref="EC265:EC267" si="851">DZ265</f>
        <v>3</v>
      </c>
      <c r="ED265" s="116">
        <f t="shared" ref="ED265:ED267" si="852">EA265</f>
        <v>1</v>
      </c>
      <c r="EE265" s="116">
        <f t="shared" ref="EE265:EE267" si="853">EB265</f>
        <v>5</v>
      </c>
      <c r="EF265" s="116">
        <f t="shared" ref="EF265:EF267" si="854">EC265</f>
        <v>3</v>
      </c>
      <c r="EG265" s="116">
        <f t="shared" ref="EG265:EG267" si="855">ED265</f>
        <v>1</v>
      </c>
      <c r="EH265" s="116">
        <f t="shared" ref="EH265:EH267" si="856">EE265</f>
        <v>5</v>
      </c>
      <c r="EI265" s="116">
        <f t="shared" ref="EI265:EI267" si="857">EF265</f>
        <v>3</v>
      </c>
      <c r="EJ265" s="116">
        <f t="shared" ref="EJ265:EJ267" si="858">EG265</f>
        <v>1</v>
      </c>
      <c r="EK265" s="119">
        <f>COUNTIF(EK167:FK193,1)</f>
        <v>4</v>
      </c>
      <c r="EL265" s="120">
        <f>COUNTIF(EK167:FK193,2)</f>
        <v>4</v>
      </c>
      <c r="EM265" s="121">
        <f>COUNTIF(EK167:FK193,3)</f>
        <v>0</v>
      </c>
      <c r="EN265" s="116">
        <f>EK265</f>
        <v>4</v>
      </c>
      <c r="EO265" s="116">
        <f t="shared" ref="EO265:EO267" si="859">EL265</f>
        <v>4</v>
      </c>
      <c r="EP265" s="116">
        <f t="shared" ref="EP265:EP267" si="860">EM265</f>
        <v>0</v>
      </c>
      <c r="EQ265" s="116">
        <f t="shared" ref="EQ265:EQ267" si="861">EN265</f>
        <v>4</v>
      </c>
      <c r="ER265" s="116">
        <f t="shared" ref="ER265:ER267" si="862">EO265</f>
        <v>4</v>
      </c>
      <c r="ES265" s="116">
        <f t="shared" ref="ES265:ES267" si="863">EP265</f>
        <v>0</v>
      </c>
      <c r="ET265" s="116">
        <f t="shared" ref="ET265:ET267" si="864">EQ265</f>
        <v>4</v>
      </c>
      <c r="EU265" s="116">
        <f t="shared" ref="EU265:EU267" si="865">ER265</f>
        <v>4</v>
      </c>
      <c r="EV265" s="116">
        <f t="shared" ref="EV265:EV267" si="866">ES265</f>
        <v>0</v>
      </c>
      <c r="EW265" s="116">
        <f t="shared" ref="EW265:EW267" si="867">ET265</f>
        <v>4</v>
      </c>
      <c r="EX265" s="116">
        <f t="shared" ref="EX265:EX267" si="868">EU265</f>
        <v>4</v>
      </c>
      <c r="EY265" s="116">
        <f t="shared" ref="EY265:EY267" si="869">EV265</f>
        <v>0</v>
      </c>
      <c r="EZ265" s="116">
        <f t="shared" ref="EZ265:EZ267" si="870">EW265</f>
        <v>4</v>
      </c>
      <c r="FA265" s="116">
        <f t="shared" ref="FA265:FA267" si="871">EX265</f>
        <v>4</v>
      </c>
      <c r="FB265" s="116">
        <f t="shared" ref="FB265:FB267" si="872">EY265</f>
        <v>0</v>
      </c>
      <c r="FC265" s="116">
        <f t="shared" ref="FC265:FC267" si="873">EZ265</f>
        <v>4</v>
      </c>
      <c r="FD265" s="116">
        <f t="shared" ref="FD265:FD267" si="874">FA265</f>
        <v>4</v>
      </c>
      <c r="FE265" s="116">
        <f t="shared" ref="FE265:FE267" si="875">FB265</f>
        <v>0</v>
      </c>
      <c r="FF265" s="116">
        <f t="shared" ref="FF265:FF267" si="876">FC265</f>
        <v>4</v>
      </c>
      <c r="FG265" s="116">
        <f t="shared" ref="FG265:FG267" si="877">FD265</f>
        <v>4</v>
      </c>
      <c r="FH265" s="116">
        <f t="shared" ref="FH265:FH267" si="878">FE265</f>
        <v>0</v>
      </c>
      <c r="FI265" s="116">
        <f t="shared" ref="FI265:FI267" si="879">FF265</f>
        <v>4</v>
      </c>
      <c r="FJ265" s="116">
        <f t="shared" ref="FJ265:FJ267" si="880">FG265</f>
        <v>4</v>
      </c>
      <c r="FK265" s="116">
        <f t="shared" ref="FK265:FK267" si="881">FH265</f>
        <v>0</v>
      </c>
      <c r="FL265" s="119">
        <f>COUNTIF(FL167:GL193,1)</f>
        <v>5</v>
      </c>
      <c r="FM265" s="120">
        <f>COUNTIF(FL167:GL193,2)</f>
        <v>0</v>
      </c>
      <c r="FN265" s="121">
        <f>COUNTIF(FL167:GL193,3)</f>
        <v>3</v>
      </c>
      <c r="FO265" s="116">
        <f>FL265</f>
        <v>5</v>
      </c>
      <c r="FP265" s="116">
        <f t="shared" ref="FP265:FP267" si="882">FM265</f>
        <v>0</v>
      </c>
      <c r="FQ265" s="116">
        <f t="shared" ref="FQ265:FQ267" si="883">FN265</f>
        <v>3</v>
      </c>
      <c r="FR265" s="116">
        <f t="shared" ref="FR265:FR267" si="884">FO265</f>
        <v>5</v>
      </c>
      <c r="FS265" s="116">
        <f t="shared" ref="FS265:FS267" si="885">FP265</f>
        <v>0</v>
      </c>
      <c r="FT265" s="116">
        <f t="shared" ref="FT265:FT267" si="886">FQ265</f>
        <v>3</v>
      </c>
      <c r="FU265" s="116">
        <f t="shared" ref="FU265:FU267" si="887">FR265</f>
        <v>5</v>
      </c>
      <c r="FV265" s="116">
        <f t="shared" ref="FV265:FV267" si="888">FS265</f>
        <v>0</v>
      </c>
      <c r="FW265" s="116">
        <f t="shared" ref="FW265:FW267" si="889">FT265</f>
        <v>3</v>
      </c>
      <c r="FX265" s="116">
        <f t="shared" ref="FX265:FX267" si="890">FU265</f>
        <v>5</v>
      </c>
      <c r="FY265" s="116">
        <f t="shared" ref="FY265:FY267" si="891">FV265</f>
        <v>0</v>
      </c>
      <c r="FZ265" s="116">
        <f t="shared" ref="FZ265:FZ267" si="892">FW265</f>
        <v>3</v>
      </c>
      <c r="GA265" s="116">
        <f t="shared" ref="GA265:GA267" si="893">FX265</f>
        <v>5</v>
      </c>
      <c r="GB265" s="116">
        <f t="shared" ref="GB265:GB267" si="894">FY265</f>
        <v>0</v>
      </c>
      <c r="GC265" s="116">
        <f t="shared" ref="GC265:GC267" si="895">FZ265</f>
        <v>3</v>
      </c>
      <c r="GD265" s="116">
        <f t="shared" ref="GD265:GD267" si="896">GA265</f>
        <v>5</v>
      </c>
      <c r="GE265" s="116">
        <f t="shared" ref="GE265:GE267" si="897">GB265</f>
        <v>0</v>
      </c>
      <c r="GF265" s="116">
        <f t="shared" ref="GF265:GF267" si="898">GC265</f>
        <v>3</v>
      </c>
      <c r="GG265" s="116">
        <f t="shared" ref="GG265:GG267" si="899">GD265</f>
        <v>5</v>
      </c>
      <c r="GH265" s="116">
        <f t="shared" ref="GH265:GH267" si="900">GE265</f>
        <v>0</v>
      </c>
      <c r="GI265" s="116">
        <f t="shared" ref="GI265:GI267" si="901">GF265</f>
        <v>3</v>
      </c>
      <c r="GJ265" s="116">
        <f t="shared" ref="GJ265:GJ267" si="902">GG265</f>
        <v>5</v>
      </c>
      <c r="GK265" s="116">
        <f t="shared" ref="GK265:GK267" si="903">GH265</f>
        <v>0</v>
      </c>
      <c r="GL265" s="116">
        <f t="shared" ref="GL265:GL267" si="904">GI265</f>
        <v>3</v>
      </c>
    </row>
    <row r="266" spans="14:194" ht="15" customHeight="1">
      <c r="N266" s="116">
        <f t="shared" ref="N266:BY266" si="905">N263</f>
        <v>0</v>
      </c>
      <c r="O266" s="116">
        <f t="shared" si="905"/>
        <v>0</v>
      </c>
      <c r="P266" s="116">
        <f t="shared" si="905"/>
        <v>0</v>
      </c>
      <c r="Q266" s="116">
        <f t="shared" si="905"/>
        <v>0</v>
      </c>
      <c r="R266" s="116">
        <f t="shared" si="905"/>
        <v>0</v>
      </c>
      <c r="S266" s="116">
        <f t="shared" si="905"/>
        <v>0</v>
      </c>
      <c r="T266" s="116">
        <f t="shared" si="905"/>
        <v>0</v>
      </c>
      <c r="U266" s="116">
        <f t="shared" si="905"/>
        <v>0</v>
      </c>
      <c r="V266" s="116">
        <f t="shared" si="905"/>
        <v>0</v>
      </c>
      <c r="W266" s="116">
        <f t="shared" si="905"/>
        <v>0</v>
      </c>
      <c r="X266" s="116">
        <f t="shared" si="905"/>
        <v>0</v>
      </c>
      <c r="Y266" s="116">
        <f t="shared" si="905"/>
        <v>0</v>
      </c>
      <c r="Z266" s="116">
        <f t="shared" si="905"/>
        <v>0</v>
      </c>
      <c r="AA266" s="116">
        <f t="shared" si="905"/>
        <v>0</v>
      </c>
      <c r="AB266" s="116">
        <f t="shared" si="905"/>
        <v>0</v>
      </c>
      <c r="AC266" s="116">
        <f t="shared" si="905"/>
        <v>0</v>
      </c>
      <c r="AD266" s="116">
        <f t="shared" si="905"/>
        <v>0</v>
      </c>
      <c r="AE266" s="116">
        <f t="shared" si="905"/>
        <v>0</v>
      </c>
      <c r="AF266" s="116">
        <f t="shared" si="905"/>
        <v>0</v>
      </c>
      <c r="AG266" s="116">
        <f t="shared" si="905"/>
        <v>0</v>
      </c>
      <c r="AH266" s="116">
        <f t="shared" si="905"/>
        <v>0</v>
      </c>
      <c r="AI266" s="116">
        <f t="shared" si="905"/>
        <v>0</v>
      </c>
      <c r="AJ266" s="116">
        <f t="shared" si="905"/>
        <v>0</v>
      </c>
      <c r="AK266" s="116">
        <f t="shared" si="905"/>
        <v>0</v>
      </c>
      <c r="AL266" s="116">
        <f t="shared" si="905"/>
        <v>0</v>
      </c>
      <c r="AM266" s="116">
        <f t="shared" si="905"/>
        <v>0</v>
      </c>
      <c r="AN266" s="116">
        <f t="shared" si="905"/>
        <v>0</v>
      </c>
      <c r="AO266" s="116">
        <f t="shared" si="905"/>
        <v>0</v>
      </c>
      <c r="AP266" s="116">
        <f t="shared" si="905"/>
        <v>0</v>
      </c>
      <c r="AQ266" s="116">
        <f t="shared" si="905"/>
        <v>0</v>
      </c>
      <c r="AR266" s="116">
        <f t="shared" si="905"/>
        <v>0</v>
      </c>
      <c r="AS266" s="116">
        <f t="shared" si="905"/>
        <v>0</v>
      </c>
      <c r="AT266" s="116">
        <f t="shared" si="905"/>
        <v>0</v>
      </c>
      <c r="AU266" s="116">
        <f t="shared" si="905"/>
        <v>0</v>
      </c>
      <c r="AV266" s="116">
        <f t="shared" si="905"/>
        <v>0</v>
      </c>
      <c r="AW266" s="116">
        <f t="shared" si="905"/>
        <v>0</v>
      </c>
      <c r="AX266" s="116">
        <f t="shared" si="905"/>
        <v>0</v>
      </c>
      <c r="AY266" s="116">
        <f t="shared" si="905"/>
        <v>0</v>
      </c>
      <c r="AZ266" s="116">
        <f t="shared" si="905"/>
        <v>0</v>
      </c>
      <c r="BA266" s="116">
        <f t="shared" si="905"/>
        <v>0</v>
      </c>
      <c r="BB266" s="116">
        <f t="shared" si="905"/>
        <v>0</v>
      </c>
      <c r="BC266" s="116">
        <f t="shared" si="905"/>
        <v>0</v>
      </c>
      <c r="BD266" s="116">
        <f t="shared" si="905"/>
        <v>0</v>
      </c>
      <c r="BE266" s="116">
        <f t="shared" si="905"/>
        <v>0</v>
      </c>
      <c r="BF266" s="116">
        <f t="shared" si="905"/>
        <v>0</v>
      </c>
      <c r="BG266" s="116">
        <f t="shared" si="905"/>
        <v>0</v>
      </c>
      <c r="BH266" s="116">
        <f t="shared" si="905"/>
        <v>0</v>
      </c>
      <c r="BI266" s="116">
        <f t="shared" si="905"/>
        <v>0</v>
      </c>
      <c r="BJ266" s="116">
        <f t="shared" si="905"/>
        <v>0</v>
      </c>
      <c r="BK266" s="116">
        <f t="shared" si="905"/>
        <v>0</v>
      </c>
      <c r="BL266" s="116">
        <f t="shared" si="905"/>
        <v>0</v>
      </c>
      <c r="BM266" s="116">
        <f t="shared" si="905"/>
        <v>0</v>
      </c>
      <c r="BN266" s="116">
        <f t="shared" si="905"/>
        <v>0</v>
      </c>
      <c r="BO266" s="116">
        <f t="shared" si="905"/>
        <v>0</v>
      </c>
      <c r="BP266" s="116">
        <f t="shared" si="905"/>
        <v>0</v>
      </c>
      <c r="BQ266" s="116">
        <f t="shared" si="905"/>
        <v>0</v>
      </c>
      <c r="BR266" s="116">
        <f t="shared" si="905"/>
        <v>0</v>
      </c>
      <c r="BS266" s="116">
        <f t="shared" si="905"/>
        <v>0</v>
      </c>
      <c r="BT266" s="116">
        <f t="shared" si="905"/>
        <v>0</v>
      </c>
      <c r="BU266" s="116">
        <f t="shared" si="905"/>
        <v>0</v>
      </c>
      <c r="BV266" s="116">
        <f t="shared" si="905"/>
        <v>0</v>
      </c>
      <c r="BW266" s="116">
        <f t="shared" si="905"/>
        <v>0</v>
      </c>
      <c r="BX266" s="116">
        <f t="shared" si="905"/>
        <v>0</v>
      </c>
      <c r="BY266" s="116">
        <f t="shared" si="905"/>
        <v>0</v>
      </c>
      <c r="BZ266" s="116">
        <f t="shared" ref="BZ266:CP266" si="906">BZ263</f>
        <v>0</v>
      </c>
      <c r="CA266" s="116">
        <f t="shared" si="906"/>
        <v>0</v>
      </c>
      <c r="CB266" s="116">
        <f t="shared" si="906"/>
        <v>0</v>
      </c>
      <c r="CC266" s="116">
        <f t="shared" si="906"/>
        <v>0</v>
      </c>
      <c r="CD266" s="116">
        <f t="shared" si="906"/>
        <v>0</v>
      </c>
      <c r="CE266" s="116">
        <f t="shared" si="906"/>
        <v>0</v>
      </c>
      <c r="CF266" s="116">
        <f t="shared" si="906"/>
        <v>0</v>
      </c>
      <c r="CG266" s="116">
        <f t="shared" si="906"/>
        <v>0</v>
      </c>
      <c r="CH266" s="116">
        <f t="shared" si="906"/>
        <v>0</v>
      </c>
      <c r="CI266" s="116">
        <f t="shared" si="906"/>
        <v>0</v>
      </c>
      <c r="CJ266" s="116">
        <f t="shared" si="906"/>
        <v>0</v>
      </c>
      <c r="CK266" s="116">
        <f t="shared" si="906"/>
        <v>0</v>
      </c>
      <c r="CL266" s="116">
        <f t="shared" si="906"/>
        <v>0</v>
      </c>
      <c r="CM266" s="116">
        <f t="shared" si="906"/>
        <v>0</v>
      </c>
      <c r="CN266" s="116">
        <f t="shared" si="906"/>
        <v>0</v>
      </c>
      <c r="CO266" s="116">
        <f t="shared" si="906"/>
        <v>0</v>
      </c>
      <c r="CP266" s="116">
        <f t="shared" si="906"/>
        <v>0</v>
      </c>
      <c r="DJ266" s="122">
        <f>COUNTIF(DJ167:EJ193,4)</f>
        <v>2</v>
      </c>
      <c r="DK266" s="97">
        <f>COUNTIF(DJ167:EJ193,5)</f>
        <v>1</v>
      </c>
      <c r="DL266" s="123">
        <f>COUNTIF(DJ167:EJ193,6)</f>
        <v>2</v>
      </c>
      <c r="DM266" s="116">
        <f>DJ266</f>
        <v>2</v>
      </c>
      <c r="DN266" s="116">
        <f t="shared" si="836"/>
        <v>1</v>
      </c>
      <c r="DO266" s="116">
        <f t="shared" si="837"/>
        <v>2</v>
      </c>
      <c r="DP266" s="116">
        <f t="shared" si="838"/>
        <v>2</v>
      </c>
      <c r="DQ266" s="116">
        <f t="shared" si="839"/>
        <v>1</v>
      </c>
      <c r="DR266" s="116">
        <f t="shared" si="840"/>
        <v>2</v>
      </c>
      <c r="DS266" s="116">
        <f t="shared" si="841"/>
        <v>2</v>
      </c>
      <c r="DT266" s="116">
        <f t="shared" si="842"/>
        <v>1</v>
      </c>
      <c r="DU266" s="116">
        <f t="shared" si="843"/>
        <v>2</v>
      </c>
      <c r="DV266" s="116">
        <f t="shared" si="844"/>
        <v>2</v>
      </c>
      <c r="DW266" s="116">
        <f t="shared" si="845"/>
        <v>1</v>
      </c>
      <c r="DX266" s="116">
        <f t="shared" si="846"/>
        <v>2</v>
      </c>
      <c r="DY266" s="116">
        <f t="shared" si="847"/>
        <v>2</v>
      </c>
      <c r="DZ266" s="116">
        <f t="shared" si="848"/>
        <v>1</v>
      </c>
      <c r="EA266" s="116">
        <f t="shared" si="849"/>
        <v>2</v>
      </c>
      <c r="EB266" s="116">
        <f t="shared" si="850"/>
        <v>2</v>
      </c>
      <c r="EC266" s="116">
        <f t="shared" si="851"/>
        <v>1</v>
      </c>
      <c r="ED266" s="116">
        <f t="shared" si="852"/>
        <v>2</v>
      </c>
      <c r="EE266" s="116">
        <f t="shared" si="853"/>
        <v>2</v>
      </c>
      <c r="EF266" s="116">
        <f t="shared" si="854"/>
        <v>1</v>
      </c>
      <c r="EG266" s="116">
        <f t="shared" si="855"/>
        <v>2</v>
      </c>
      <c r="EH266" s="116">
        <f t="shared" si="856"/>
        <v>2</v>
      </c>
      <c r="EI266" s="116">
        <f t="shared" si="857"/>
        <v>1</v>
      </c>
      <c r="EJ266" s="116">
        <f t="shared" si="858"/>
        <v>2</v>
      </c>
      <c r="EK266" s="122">
        <f>COUNTIF(EK167:FK193,4)</f>
        <v>4</v>
      </c>
      <c r="EL266" s="97">
        <f>COUNTIF(EK167:FK193,5)</f>
        <v>0</v>
      </c>
      <c r="EM266" s="123">
        <f>COUNTIF(EK167:FK193,6)</f>
        <v>2</v>
      </c>
      <c r="EN266" s="116">
        <f>EK266</f>
        <v>4</v>
      </c>
      <c r="EO266" s="116">
        <f t="shared" si="859"/>
        <v>0</v>
      </c>
      <c r="EP266" s="116">
        <f t="shared" si="860"/>
        <v>2</v>
      </c>
      <c r="EQ266" s="116">
        <f t="shared" si="861"/>
        <v>4</v>
      </c>
      <c r="ER266" s="116">
        <f t="shared" si="862"/>
        <v>0</v>
      </c>
      <c r="ES266" s="116">
        <f t="shared" si="863"/>
        <v>2</v>
      </c>
      <c r="ET266" s="116">
        <f t="shared" si="864"/>
        <v>4</v>
      </c>
      <c r="EU266" s="116">
        <f t="shared" si="865"/>
        <v>0</v>
      </c>
      <c r="EV266" s="116">
        <f t="shared" si="866"/>
        <v>2</v>
      </c>
      <c r="EW266" s="116">
        <f t="shared" si="867"/>
        <v>4</v>
      </c>
      <c r="EX266" s="116">
        <f t="shared" si="868"/>
        <v>0</v>
      </c>
      <c r="EY266" s="116">
        <f t="shared" si="869"/>
        <v>2</v>
      </c>
      <c r="EZ266" s="116">
        <f t="shared" si="870"/>
        <v>4</v>
      </c>
      <c r="FA266" s="116">
        <f t="shared" si="871"/>
        <v>0</v>
      </c>
      <c r="FB266" s="116">
        <f t="shared" si="872"/>
        <v>2</v>
      </c>
      <c r="FC266" s="116">
        <f t="shared" si="873"/>
        <v>4</v>
      </c>
      <c r="FD266" s="116">
        <f t="shared" si="874"/>
        <v>0</v>
      </c>
      <c r="FE266" s="116">
        <f t="shared" si="875"/>
        <v>2</v>
      </c>
      <c r="FF266" s="116">
        <f t="shared" si="876"/>
        <v>4</v>
      </c>
      <c r="FG266" s="116">
        <f t="shared" si="877"/>
        <v>0</v>
      </c>
      <c r="FH266" s="116">
        <f t="shared" si="878"/>
        <v>2</v>
      </c>
      <c r="FI266" s="116">
        <f t="shared" si="879"/>
        <v>4</v>
      </c>
      <c r="FJ266" s="116">
        <f t="shared" si="880"/>
        <v>0</v>
      </c>
      <c r="FK266" s="116">
        <f t="shared" si="881"/>
        <v>2</v>
      </c>
      <c r="FL266" s="122">
        <f>COUNTIF(FL167:GL193,4)</f>
        <v>0</v>
      </c>
      <c r="FM266" s="97">
        <f>COUNTIF(FL167:GL193,5)</f>
        <v>1</v>
      </c>
      <c r="FN266" s="123">
        <f>COUNTIF(FL167:GL193,6)</f>
        <v>2</v>
      </c>
      <c r="FO266" s="116">
        <f>FL266</f>
        <v>0</v>
      </c>
      <c r="FP266" s="116">
        <f t="shared" si="882"/>
        <v>1</v>
      </c>
      <c r="FQ266" s="116">
        <f t="shared" si="883"/>
        <v>2</v>
      </c>
      <c r="FR266" s="116">
        <f t="shared" si="884"/>
        <v>0</v>
      </c>
      <c r="FS266" s="116">
        <f t="shared" si="885"/>
        <v>1</v>
      </c>
      <c r="FT266" s="116">
        <f t="shared" si="886"/>
        <v>2</v>
      </c>
      <c r="FU266" s="116">
        <f t="shared" si="887"/>
        <v>0</v>
      </c>
      <c r="FV266" s="116">
        <f t="shared" si="888"/>
        <v>1</v>
      </c>
      <c r="FW266" s="116">
        <f t="shared" si="889"/>
        <v>2</v>
      </c>
      <c r="FX266" s="116">
        <f t="shared" si="890"/>
        <v>0</v>
      </c>
      <c r="FY266" s="116">
        <f t="shared" si="891"/>
        <v>1</v>
      </c>
      <c r="FZ266" s="116">
        <f t="shared" si="892"/>
        <v>2</v>
      </c>
      <c r="GA266" s="116">
        <f t="shared" si="893"/>
        <v>0</v>
      </c>
      <c r="GB266" s="116">
        <f t="shared" si="894"/>
        <v>1</v>
      </c>
      <c r="GC266" s="116">
        <f t="shared" si="895"/>
        <v>2</v>
      </c>
      <c r="GD266" s="116">
        <f t="shared" si="896"/>
        <v>0</v>
      </c>
      <c r="GE266" s="116">
        <f t="shared" si="897"/>
        <v>1</v>
      </c>
      <c r="GF266" s="116">
        <f t="shared" si="898"/>
        <v>2</v>
      </c>
      <c r="GG266" s="116">
        <f t="shared" si="899"/>
        <v>0</v>
      </c>
      <c r="GH266" s="116">
        <f t="shared" si="900"/>
        <v>1</v>
      </c>
      <c r="GI266" s="116">
        <f t="shared" si="901"/>
        <v>2</v>
      </c>
      <c r="GJ266" s="116">
        <f t="shared" si="902"/>
        <v>0</v>
      </c>
      <c r="GK266" s="116">
        <f t="shared" si="903"/>
        <v>1</v>
      </c>
      <c r="GL266" s="116">
        <f t="shared" si="904"/>
        <v>2</v>
      </c>
    </row>
    <row r="267" spans="14:194" ht="15" customHeight="1">
      <c r="N267" s="116">
        <f t="shared" ref="N267:BY267" si="907">N264</f>
        <v>0</v>
      </c>
      <c r="O267" s="116">
        <f t="shared" si="907"/>
        <v>0</v>
      </c>
      <c r="P267" s="116">
        <f t="shared" si="907"/>
        <v>0</v>
      </c>
      <c r="Q267" s="116">
        <f t="shared" si="907"/>
        <v>0</v>
      </c>
      <c r="R267" s="116">
        <f t="shared" si="907"/>
        <v>0</v>
      </c>
      <c r="S267" s="116">
        <f t="shared" si="907"/>
        <v>0</v>
      </c>
      <c r="T267" s="116">
        <f t="shared" si="907"/>
        <v>0</v>
      </c>
      <c r="U267" s="116">
        <f t="shared" si="907"/>
        <v>0</v>
      </c>
      <c r="V267" s="116">
        <f t="shared" si="907"/>
        <v>0</v>
      </c>
      <c r="W267" s="116">
        <f t="shared" si="907"/>
        <v>0</v>
      </c>
      <c r="X267" s="116">
        <f t="shared" si="907"/>
        <v>0</v>
      </c>
      <c r="Y267" s="116">
        <f t="shared" si="907"/>
        <v>0</v>
      </c>
      <c r="Z267" s="116">
        <f t="shared" si="907"/>
        <v>0</v>
      </c>
      <c r="AA267" s="116">
        <f t="shared" si="907"/>
        <v>0</v>
      </c>
      <c r="AB267" s="116">
        <f t="shared" si="907"/>
        <v>0</v>
      </c>
      <c r="AC267" s="116">
        <f t="shared" si="907"/>
        <v>0</v>
      </c>
      <c r="AD267" s="116">
        <f t="shared" si="907"/>
        <v>0</v>
      </c>
      <c r="AE267" s="116">
        <f t="shared" si="907"/>
        <v>0</v>
      </c>
      <c r="AF267" s="116">
        <f t="shared" si="907"/>
        <v>0</v>
      </c>
      <c r="AG267" s="116">
        <f t="shared" si="907"/>
        <v>0</v>
      </c>
      <c r="AH267" s="116">
        <f t="shared" si="907"/>
        <v>0</v>
      </c>
      <c r="AI267" s="116">
        <f t="shared" si="907"/>
        <v>0</v>
      </c>
      <c r="AJ267" s="116">
        <f t="shared" si="907"/>
        <v>0</v>
      </c>
      <c r="AK267" s="116">
        <f t="shared" si="907"/>
        <v>0</v>
      </c>
      <c r="AL267" s="116">
        <f t="shared" si="907"/>
        <v>0</v>
      </c>
      <c r="AM267" s="116">
        <f t="shared" si="907"/>
        <v>0</v>
      </c>
      <c r="AN267" s="116">
        <f t="shared" si="907"/>
        <v>0</v>
      </c>
      <c r="AO267" s="116">
        <f t="shared" si="907"/>
        <v>0</v>
      </c>
      <c r="AP267" s="116">
        <f t="shared" si="907"/>
        <v>0</v>
      </c>
      <c r="AQ267" s="116">
        <f t="shared" si="907"/>
        <v>0</v>
      </c>
      <c r="AR267" s="116">
        <f t="shared" si="907"/>
        <v>0</v>
      </c>
      <c r="AS267" s="116">
        <f t="shared" si="907"/>
        <v>0</v>
      </c>
      <c r="AT267" s="116">
        <f t="shared" si="907"/>
        <v>0</v>
      </c>
      <c r="AU267" s="116">
        <f t="shared" si="907"/>
        <v>0</v>
      </c>
      <c r="AV267" s="116">
        <f t="shared" si="907"/>
        <v>0</v>
      </c>
      <c r="AW267" s="116">
        <f t="shared" si="907"/>
        <v>0</v>
      </c>
      <c r="AX267" s="116">
        <f t="shared" si="907"/>
        <v>0</v>
      </c>
      <c r="AY267" s="116">
        <f t="shared" si="907"/>
        <v>0</v>
      </c>
      <c r="AZ267" s="116">
        <f t="shared" si="907"/>
        <v>0</v>
      </c>
      <c r="BA267" s="116">
        <f t="shared" si="907"/>
        <v>0</v>
      </c>
      <c r="BB267" s="116">
        <f t="shared" si="907"/>
        <v>0</v>
      </c>
      <c r="BC267" s="116">
        <f t="shared" si="907"/>
        <v>0</v>
      </c>
      <c r="BD267" s="116">
        <f t="shared" si="907"/>
        <v>0</v>
      </c>
      <c r="BE267" s="116">
        <f t="shared" si="907"/>
        <v>0</v>
      </c>
      <c r="BF267" s="116">
        <f t="shared" si="907"/>
        <v>0</v>
      </c>
      <c r="BG267" s="116">
        <f t="shared" si="907"/>
        <v>0</v>
      </c>
      <c r="BH267" s="116">
        <f t="shared" si="907"/>
        <v>0</v>
      </c>
      <c r="BI267" s="116">
        <f t="shared" si="907"/>
        <v>0</v>
      </c>
      <c r="BJ267" s="116">
        <f t="shared" si="907"/>
        <v>0</v>
      </c>
      <c r="BK267" s="116">
        <f t="shared" si="907"/>
        <v>0</v>
      </c>
      <c r="BL267" s="116">
        <f t="shared" si="907"/>
        <v>0</v>
      </c>
      <c r="BM267" s="116">
        <f t="shared" si="907"/>
        <v>0</v>
      </c>
      <c r="BN267" s="116">
        <f t="shared" si="907"/>
        <v>0</v>
      </c>
      <c r="BO267" s="116">
        <f t="shared" si="907"/>
        <v>0</v>
      </c>
      <c r="BP267" s="116">
        <f t="shared" si="907"/>
        <v>0</v>
      </c>
      <c r="BQ267" s="116">
        <f t="shared" si="907"/>
        <v>0</v>
      </c>
      <c r="BR267" s="116">
        <f t="shared" si="907"/>
        <v>0</v>
      </c>
      <c r="BS267" s="116">
        <f t="shared" si="907"/>
        <v>0</v>
      </c>
      <c r="BT267" s="116">
        <f t="shared" si="907"/>
        <v>0</v>
      </c>
      <c r="BU267" s="116">
        <f t="shared" si="907"/>
        <v>0</v>
      </c>
      <c r="BV267" s="116">
        <f t="shared" si="907"/>
        <v>0</v>
      </c>
      <c r="BW267" s="116">
        <f t="shared" si="907"/>
        <v>0</v>
      </c>
      <c r="BX267" s="116">
        <f t="shared" si="907"/>
        <v>0</v>
      </c>
      <c r="BY267" s="116">
        <f t="shared" si="907"/>
        <v>0</v>
      </c>
      <c r="BZ267" s="116">
        <f t="shared" ref="BZ267:CP267" si="908">BZ264</f>
        <v>0</v>
      </c>
      <c r="CA267" s="116">
        <f t="shared" si="908"/>
        <v>0</v>
      </c>
      <c r="CB267" s="116">
        <f t="shared" si="908"/>
        <v>0</v>
      </c>
      <c r="CC267" s="116">
        <f t="shared" si="908"/>
        <v>0</v>
      </c>
      <c r="CD267" s="116">
        <f t="shared" si="908"/>
        <v>0</v>
      </c>
      <c r="CE267" s="116">
        <f t="shared" si="908"/>
        <v>0</v>
      </c>
      <c r="CF267" s="116">
        <f t="shared" si="908"/>
        <v>0</v>
      </c>
      <c r="CG267" s="116">
        <f t="shared" si="908"/>
        <v>0</v>
      </c>
      <c r="CH267" s="116">
        <f t="shared" si="908"/>
        <v>0</v>
      </c>
      <c r="CI267" s="116">
        <f t="shared" si="908"/>
        <v>0</v>
      </c>
      <c r="CJ267" s="116">
        <f t="shared" si="908"/>
        <v>0</v>
      </c>
      <c r="CK267" s="116">
        <f t="shared" si="908"/>
        <v>0</v>
      </c>
      <c r="CL267" s="116">
        <f t="shared" si="908"/>
        <v>0</v>
      </c>
      <c r="CM267" s="116">
        <f t="shared" si="908"/>
        <v>0</v>
      </c>
      <c r="CN267" s="116">
        <f t="shared" si="908"/>
        <v>0</v>
      </c>
      <c r="CO267" s="116">
        <f t="shared" si="908"/>
        <v>0</v>
      </c>
      <c r="CP267" s="116">
        <f t="shared" si="908"/>
        <v>0</v>
      </c>
      <c r="DJ267" s="124">
        <f>COUNTIF(DJ167:EJ193,7)</f>
        <v>0</v>
      </c>
      <c r="DK267" s="125">
        <f>COUNTIF(DJ167:EJ193,8)</f>
        <v>1</v>
      </c>
      <c r="DL267" s="126">
        <f>COUNTIF(DJ167:EJ193,9)</f>
        <v>0</v>
      </c>
      <c r="DM267" s="116">
        <f>DJ267</f>
        <v>0</v>
      </c>
      <c r="DN267" s="116">
        <f t="shared" si="836"/>
        <v>1</v>
      </c>
      <c r="DO267" s="116">
        <f t="shared" si="837"/>
        <v>0</v>
      </c>
      <c r="DP267" s="116">
        <f t="shared" si="838"/>
        <v>0</v>
      </c>
      <c r="DQ267" s="116">
        <f t="shared" si="839"/>
        <v>1</v>
      </c>
      <c r="DR267" s="116">
        <f t="shared" si="840"/>
        <v>0</v>
      </c>
      <c r="DS267" s="116">
        <f t="shared" si="841"/>
        <v>0</v>
      </c>
      <c r="DT267" s="116">
        <f t="shared" si="842"/>
        <v>1</v>
      </c>
      <c r="DU267" s="116">
        <f t="shared" si="843"/>
        <v>0</v>
      </c>
      <c r="DV267" s="116">
        <f t="shared" si="844"/>
        <v>0</v>
      </c>
      <c r="DW267" s="116">
        <f t="shared" si="845"/>
        <v>1</v>
      </c>
      <c r="DX267" s="116">
        <f t="shared" si="846"/>
        <v>0</v>
      </c>
      <c r="DY267" s="116">
        <f t="shared" si="847"/>
        <v>0</v>
      </c>
      <c r="DZ267" s="116">
        <f t="shared" si="848"/>
        <v>1</v>
      </c>
      <c r="EA267" s="116">
        <f t="shared" si="849"/>
        <v>0</v>
      </c>
      <c r="EB267" s="116">
        <f t="shared" si="850"/>
        <v>0</v>
      </c>
      <c r="EC267" s="116">
        <f t="shared" si="851"/>
        <v>1</v>
      </c>
      <c r="ED267" s="116">
        <f t="shared" si="852"/>
        <v>0</v>
      </c>
      <c r="EE267" s="116">
        <f t="shared" si="853"/>
        <v>0</v>
      </c>
      <c r="EF267" s="116">
        <f t="shared" si="854"/>
        <v>1</v>
      </c>
      <c r="EG267" s="116">
        <f t="shared" si="855"/>
        <v>0</v>
      </c>
      <c r="EH267" s="116">
        <f t="shared" si="856"/>
        <v>0</v>
      </c>
      <c r="EI267" s="116">
        <f t="shared" si="857"/>
        <v>1</v>
      </c>
      <c r="EJ267" s="116">
        <f t="shared" si="858"/>
        <v>0</v>
      </c>
      <c r="EK267" s="124">
        <f>COUNTIF(EK167:FK193,7)</f>
        <v>1</v>
      </c>
      <c r="EL267" s="125">
        <f>COUNTIF(EK167:FK193,8)</f>
        <v>2</v>
      </c>
      <c r="EM267" s="126">
        <f>COUNTIF(EK167:FK193,9)</f>
        <v>0</v>
      </c>
      <c r="EN267" s="116">
        <f>EK267</f>
        <v>1</v>
      </c>
      <c r="EO267" s="116">
        <f t="shared" si="859"/>
        <v>2</v>
      </c>
      <c r="EP267" s="116">
        <f t="shared" si="860"/>
        <v>0</v>
      </c>
      <c r="EQ267" s="116">
        <f t="shared" si="861"/>
        <v>1</v>
      </c>
      <c r="ER267" s="116">
        <f t="shared" si="862"/>
        <v>2</v>
      </c>
      <c r="ES267" s="116">
        <f t="shared" si="863"/>
        <v>0</v>
      </c>
      <c r="ET267" s="116">
        <f t="shared" si="864"/>
        <v>1</v>
      </c>
      <c r="EU267" s="116">
        <f t="shared" si="865"/>
        <v>2</v>
      </c>
      <c r="EV267" s="116">
        <f t="shared" si="866"/>
        <v>0</v>
      </c>
      <c r="EW267" s="116">
        <f t="shared" si="867"/>
        <v>1</v>
      </c>
      <c r="EX267" s="116">
        <f t="shared" si="868"/>
        <v>2</v>
      </c>
      <c r="EY267" s="116">
        <f t="shared" si="869"/>
        <v>0</v>
      </c>
      <c r="EZ267" s="116">
        <f t="shared" si="870"/>
        <v>1</v>
      </c>
      <c r="FA267" s="116">
        <f t="shared" si="871"/>
        <v>2</v>
      </c>
      <c r="FB267" s="116">
        <f t="shared" si="872"/>
        <v>0</v>
      </c>
      <c r="FC267" s="116">
        <f t="shared" si="873"/>
        <v>1</v>
      </c>
      <c r="FD267" s="116">
        <f t="shared" si="874"/>
        <v>2</v>
      </c>
      <c r="FE267" s="116">
        <f t="shared" si="875"/>
        <v>0</v>
      </c>
      <c r="FF267" s="116">
        <f t="shared" si="876"/>
        <v>1</v>
      </c>
      <c r="FG267" s="116">
        <f t="shared" si="877"/>
        <v>2</v>
      </c>
      <c r="FH267" s="116">
        <f t="shared" si="878"/>
        <v>0</v>
      </c>
      <c r="FI267" s="116">
        <f t="shared" si="879"/>
        <v>1</v>
      </c>
      <c r="FJ267" s="116">
        <f t="shared" si="880"/>
        <v>2</v>
      </c>
      <c r="FK267" s="116">
        <f t="shared" si="881"/>
        <v>0</v>
      </c>
      <c r="FL267" s="124">
        <f>COUNTIF(FL167:GL193,7)</f>
        <v>1</v>
      </c>
      <c r="FM267" s="125">
        <f>COUNTIF(FL167:GL193,8)</f>
        <v>3</v>
      </c>
      <c r="FN267" s="126">
        <f>COUNTIF(FL167:GL193,9)</f>
        <v>0</v>
      </c>
      <c r="FO267" s="116">
        <f>FL267</f>
        <v>1</v>
      </c>
      <c r="FP267" s="116">
        <f t="shared" si="882"/>
        <v>3</v>
      </c>
      <c r="FQ267" s="116">
        <f t="shared" si="883"/>
        <v>0</v>
      </c>
      <c r="FR267" s="116">
        <f t="shared" si="884"/>
        <v>1</v>
      </c>
      <c r="FS267" s="116">
        <f t="shared" si="885"/>
        <v>3</v>
      </c>
      <c r="FT267" s="116">
        <f t="shared" si="886"/>
        <v>0</v>
      </c>
      <c r="FU267" s="116">
        <f t="shared" si="887"/>
        <v>1</v>
      </c>
      <c r="FV267" s="116">
        <f t="shared" si="888"/>
        <v>3</v>
      </c>
      <c r="FW267" s="116">
        <f t="shared" si="889"/>
        <v>0</v>
      </c>
      <c r="FX267" s="116">
        <f t="shared" si="890"/>
        <v>1</v>
      </c>
      <c r="FY267" s="116">
        <f t="shared" si="891"/>
        <v>3</v>
      </c>
      <c r="FZ267" s="116">
        <f t="shared" si="892"/>
        <v>0</v>
      </c>
      <c r="GA267" s="116">
        <f t="shared" si="893"/>
        <v>1</v>
      </c>
      <c r="GB267" s="116">
        <f t="shared" si="894"/>
        <v>3</v>
      </c>
      <c r="GC267" s="116">
        <f t="shared" si="895"/>
        <v>0</v>
      </c>
      <c r="GD267" s="116">
        <f t="shared" si="896"/>
        <v>1</v>
      </c>
      <c r="GE267" s="116">
        <f t="shared" si="897"/>
        <v>3</v>
      </c>
      <c r="GF267" s="116">
        <f t="shared" si="898"/>
        <v>0</v>
      </c>
      <c r="GG267" s="116">
        <f t="shared" si="899"/>
        <v>1</v>
      </c>
      <c r="GH267" s="116">
        <f t="shared" si="900"/>
        <v>3</v>
      </c>
      <c r="GI267" s="116">
        <f t="shared" si="901"/>
        <v>0</v>
      </c>
      <c r="GJ267" s="116">
        <f t="shared" si="902"/>
        <v>1</v>
      </c>
      <c r="GK267" s="116">
        <f t="shared" si="903"/>
        <v>3</v>
      </c>
      <c r="GL267" s="116">
        <f t="shared" si="904"/>
        <v>0</v>
      </c>
    </row>
    <row r="268" spans="14:194" ht="15" customHeight="1">
      <c r="N268" s="116">
        <f t="shared" ref="N268:BY268" si="909">N265</f>
        <v>0</v>
      </c>
      <c r="O268" s="116">
        <f t="shared" si="909"/>
        <v>0</v>
      </c>
      <c r="P268" s="116">
        <f t="shared" si="909"/>
        <v>0</v>
      </c>
      <c r="Q268" s="116">
        <f t="shared" si="909"/>
        <v>0</v>
      </c>
      <c r="R268" s="116">
        <f t="shared" si="909"/>
        <v>0</v>
      </c>
      <c r="S268" s="116">
        <f t="shared" si="909"/>
        <v>0</v>
      </c>
      <c r="T268" s="116">
        <f t="shared" si="909"/>
        <v>0</v>
      </c>
      <c r="U268" s="116">
        <f t="shared" si="909"/>
        <v>0</v>
      </c>
      <c r="V268" s="116">
        <f t="shared" si="909"/>
        <v>0</v>
      </c>
      <c r="W268" s="116">
        <f t="shared" si="909"/>
        <v>0</v>
      </c>
      <c r="X268" s="116">
        <f t="shared" si="909"/>
        <v>0</v>
      </c>
      <c r="Y268" s="116">
        <f t="shared" si="909"/>
        <v>0</v>
      </c>
      <c r="Z268" s="116">
        <f t="shared" si="909"/>
        <v>0</v>
      </c>
      <c r="AA268" s="116">
        <f t="shared" si="909"/>
        <v>0</v>
      </c>
      <c r="AB268" s="116">
        <f t="shared" si="909"/>
        <v>0</v>
      </c>
      <c r="AC268" s="116">
        <f t="shared" si="909"/>
        <v>0</v>
      </c>
      <c r="AD268" s="116">
        <f t="shared" si="909"/>
        <v>0</v>
      </c>
      <c r="AE268" s="116">
        <f t="shared" si="909"/>
        <v>0</v>
      </c>
      <c r="AF268" s="116">
        <f t="shared" si="909"/>
        <v>0</v>
      </c>
      <c r="AG268" s="116">
        <f t="shared" si="909"/>
        <v>0</v>
      </c>
      <c r="AH268" s="116">
        <f t="shared" si="909"/>
        <v>0</v>
      </c>
      <c r="AI268" s="116">
        <f t="shared" si="909"/>
        <v>0</v>
      </c>
      <c r="AJ268" s="116">
        <f t="shared" si="909"/>
        <v>0</v>
      </c>
      <c r="AK268" s="116">
        <f t="shared" si="909"/>
        <v>0</v>
      </c>
      <c r="AL268" s="116">
        <f t="shared" si="909"/>
        <v>0</v>
      </c>
      <c r="AM268" s="116">
        <f t="shared" si="909"/>
        <v>0</v>
      </c>
      <c r="AN268" s="116">
        <f t="shared" si="909"/>
        <v>0</v>
      </c>
      <c r="AO268" s="116">
        <f t="shared" si="909"/>
        <v>0</v>
      </c>
      <c r="AP268" s="116">
        <f t="shared" si="909"/>
        <v>0</v>
      </c>
      <c r="AQ268" s="116">
        <f t="shared" si="909"/>
        <v>0</v>
      </c>
      <c r="AR268" s="116">
        <f t="shared" si="909"/>
        <v>0</v>
      </c>
      <c r="AS268" s="116">
        <f t="shared" si="909"/>
        <v>0</v>
      </c>
      <c r="AT268" s="116">
        <f t="shared" si="909"/>
        <v>0</v>
      </c>
      <c r="AU268" s="116">
        <f t="shared" si="909"/>
        <v>0</v>
      </c>
      <c r="AV268" s="116">
        <f t="shared" si="909"/>
        <v>0</v>
      </c>
      <c r="AW268" s="116">
        <f t="shared" si="909"/>
        <v>0</v>
      </c>
      <c r="AX268" s="116">
        <f t="shared" si="909"/>
        <v>0</v>
      </c>
      <c r="AY268" s="116">
        <f t="shared" si="909"/>
        <v>0</v>
      </c>
      <c r="AZ268" s="116">
        <f t="shared" si="909"/>
        <v>0</v>
      </c>
      <c r="BA268" s="116">
        <f t="shared" si="909"/>
        <v>0</v>
      </c>
      <c r="BB268" s="116">
        <f t="shared" si="909"/>
        <v>0</v>
      </c>
      <c r="BC268" s="116">
        <f t="shared" si="909"/>
        <v>0</v>
      </c>
      <c r="BD268" s="116">
        <f t="shared" si="909"/>
        <v>0</v>
      </c>
      <c r="BE268" s="116">
        <f t="shared" si="909"/>
        <v>0</v>
      </c>
      <c r="BF268" s="116">
        <f t="shared" si="909"/>
        <v>0</v>
      </c>
      <c r="BG268" s="116">
        <f t="shared" si="909"/>
        <v>0</v>
      </c>
      <c r="BH268" s="116">
        <f t="shared" si="909"/>
        <v>0</v>
      </c>
      <c r="BI268" s="116">
        <f t="shared" si="909"/>
        <v>0</v>
      </c>
      <c r="BJ268" s="116">
        <f t="shared" si="909"/>
        <v>0</v>
      </c>
      <c r="BK268" s="116">
        <f t="shared" si="909"/>
        <v>0</v>
      </c>
      <c r="BL268" s="116">
        <f t="shared" si="909"/>
        <v>0</v>
      </c>
      <c r="BM268" s="116">
        <f t="shared" si="909"/>
        <v>0</v>
      </c>
      <c r="BN268" s="116">
        <f t="shared" si="909"/>
        <v>0</v>
      </c>
      <c r="BO268" s="116">
        <f t="shared" si="909"/>
        <v>0</v>
      </c>
      <c r="BP268" s="116">
        <f t="shared" si="909"/>
        <v>0</v>
      </c>
      <c r="BQ268" s="116">
        <f t="shared" si="909"/>
        <v>0</v>
      </c>
      <c r="BR268" s="116">
        <f t="shared" si="909"/>
        <v>0</v>
      </c>
      <c r="BS268" s="116">
        <f t="shared" si="909"/>
        <v>0</v>
      </c>
      <c r="BT268" s="116">
        <f t="shared" si="909"/>
        <v>0</v>
      </c>
      <c r="BU268" s="116">
        <f t="shared" si="909"/>
        <v>0</v>
      </c>
      <c r="BV268" s="116">
        <f t="shared" si="909"/>
        <v>0</v>
      </c>
      <c r="BW268" s="116">
        <f t="shared" si="909"/>
        <v>0</v>
      </c>
      <c r="BX268" s="116">
        <f t="shared" si="909"/>
        <v>0</v>
      </c>
      <c r="BY268" s="116">
        <f t="shared" si="909"/>
        <v>0</v>
      </c>
      <c r="BZ268" s="116">
        <f t="shared" ref="BZ268:CP268" si="910">BZ265</f>
        <v>0</v>
      </c>
      <c r="CA268" s="116">
        <f t="shared" si="910"/>
        <v>0</v>
      </c>
      <c r="CB268" s="116">
        <f t="shared" si="910"/>
        <v>0</v>
      </c>
      <c r="CC268" s="116">
        <f t="shared" si="910"/>
        <v>0</v>
      </c>
      <c r="CD268" s="116">
        <f t="shared" si="910"/>
        <v>0</v>
      </c>
      <c r="CE268" s="116">
        <f t="shared" si="910"/>
        <v>0</v>
      </c>
      <c r="CF268" s="116">
        <f t="shared" si="910"/>
        <v>0</v>
      </c>
      <c r="CG268" s="116">
        <f t="shared" si="910"/>
        <v>0</v>
      </c>
      <c r="CH268" s="116">
        <f t="shared" si="910"/>
        <v>0</v>
      </c>
      <c r="CI268" s="116">
        <f t="shared" si="910"/>
        <v>0</v>
      </c>
      <c r="CJ268" s="116">
        <f t="shared" si="910"/>
        <v>0</v>
      </c>
      <c r="CK268" s="116">
        <f t="shared" si="910"/>
        <v>0</v>
      </c>
      <c r="CL268" s="116">
        <f t="shared" si="910"/>
        <v>0</v>
      </c>
      <c r="CM268" s="116">
        <f t="shared" si="910"/>
        <v>0</v>
      </c>
      <c r="CN268" s="116">
        <f t="shared" si="910"/>
        <v>0</v>
      </c>
      <c r="CO268" s="116">
        <f t="shared" si="910"/>
        <v>0</v>
      </c>
      <c r="CP268" s="116">
        <f t="shared" si="910"/>
        <v>0</v>
      </c>
      <c r="DJ268" s="116">
        <f>DJ265</f>
        <v>5</v>
      </c>
      <c r="DK268" s="116">
        <f t="shared" ref="DK268:FV268" si="911">DK265</f>
        <v>3</v>
      </c>
      <c r="DL268" s="116">
        <f t="shared" si="911"/>
        <v>1</v>
      </c>
      <c r="DM268" s="116">
        <f t="shared" si="911"/>
        <v>5</v>
      </c>
      <c r="DN268" s="116">
        <f t="shared" si="911"/>
        <v>3</v>
      </c>
      <c r="DO268" s="116">
        <f t="shared" si="911"/>
        <v>1</v>
      </c>
      <c r="DP268" s="116">
        <f t="shared" si="911"/>
        <v>5</v>
      </c>
      <c r="DQ268" s="116">
        <f t="shared" si="911"/>
        <v>3</v>
      </c>
      <c r="DR268" s="116">
        <f t="shared" si="911"/>
        <v>1</v>
      </c>
      <c r="DS268" s="116">
        <f t="shared" si="911"/>
        <v>5</v>
      </c>
      <c r="DT268" s="116">
        <f t="shared" si="911"/>
        <v>3</v>
      </c>
      <c r="DU268" s="116">
        <f t="shared" si="911"/>
        <v>1</v>
      </c>
      <c r="DV268" s="116">
        <f t="shared" si="911"/>
        <v>5</v>
      </c>
      <c r="DW268" s="116">
        <f t="shared" si="911"/>
        <v>3</v>
      </c>
      <c r="DX268" s="116">
        <f t="shared" si="911"/>
        <v>1</v>
      </c>
      <c r="DY268" s="116">
        <f t="shared" si="911"/>
        <v>5</v>
      </c>
      <c r="DZ268" s="116">
        <f t="shared" si="911"/>
        <v>3</v>
      </c>
      <c r="EA268" s="116">
        <f t="shared" si="911"/>
        <v>1</v>
      </c>
      <c r="EB268" s="116">
        <f t="shared" si="911"/>
        <v>5</v>
      </c>
      <c r="EC268" s="116">
        <f t="shared" si="911"/>
        <v>3</v>
      </c>
      <c r="ED268" s="116">
        <f t="shared" si="911"/>
        <v>1</v>
      </c>
      <c r="EE268" s="116">
        <f t="shared" si="911"/>
        <v>5</v>
      </c>
      <c r="EF268" s="116">
        <f t="shared" si="911"/>
        <v>3</v>
      </c>
      <c r="EG268" s="116">
        <f t="shared" si="911"/>
        <v>1</v>
      </c>
      <c r="EH268" s="116">
        <f t="shared" si="911"/>
        <v>5</v>
      </c>
      <c r="EI268" s="116">
        <f t="shared" si="911"/>
        <v>3</v>
      </c>
      <c r="EJ268" s="116">
        <f t="shared" si="911"/>
        <v>1</v>
      </c>
      <c r="EK268" s="116">
        <f t="shared" si="911"/>
        <v>4</v>
      </c>
      <c r="EL268" s="116">
        <f t="shared" si="911"/>
        <v>4</v>
      </c>
      <c r="EM268" s="116">
        <f t="shared" si="911"/>
        <v>0</v>
      </c>
      <c r="EN268" s="116">
        <f t="shared" si="911"/>
        <v>4</v>
      </c>
      <c r="EO268" s="116">
        <f t="shared" si="911"/>
        <v>4</v>
      </c>
      <c r="EP268" s="116">
        <f t="shared" si="911"/>
        <v>0</v>
      </c>
      <c r="EQ268" s="116">
        <f t="shared" si="911"/>
        <v>4</v>
      </c>
      <c r="ER268" s="116">
        <f t="shared" si="911"/>
        <v>4</v>
      </c>
      <c r="ES268" s="116">
        <f t="shared" si="911"/>
        <v>0</v>
      </c>
      <c r="ET268" s="116">
        <f t="shared" si="911"/>
        <v>4</v>
      </c>
      <c r="EU268" s="116">
        <f t="shared" si="911"/>
        <v>4</v>
      </c>
      <c r="EV268" s="116">
        <f t="shared" si="911"/>
        <v>0</v>
      </c>
      <c r="EW268" s="116">
        <f t="shared" si="911"/>
        <v>4</v>
      </c>
      <c r="EX268" s="116">
        <f t="shared" si="911"/>
        <v>4</v>
      </c>
      <c r="EY268" s="116">
        <f t="shared" si="911"/>
        <v>0</v>
      </c>
      <c r="EZ268" s="116">
        <f t="shared" si="911"/>
        <v>4</v>
      </c>
      <c r="FA268" s="116">
        <f t="shared" si="911"/>
        <v>4</v>
      </c>
      <c r="FB268" s="116">
        <f t="shared" si="911"/>
        <v>0</v>
      </c>
      <c r="FC268" s="116">
        <f t="shared" si="911"/>
        <v>4</v>
      </c>
      <c r="FD268" s="116">
        <f t="shared" si="911"/>
        <v>4</v>
      </c>
      <c r="FE268" s="116">
        <f t="shared" si="911"/>
        <v>0</v>
      </c>
      <c r="FF268" s="116">
        <f t="shared" si="911"/>
        <v>4</v>
      </c>
      <c r="FG268" s="116">
        <f t="shared" si="911"/>
        <v>4</v>
      </c>
      <c r="FH268" s="116">
        <f t="shared" si="911"/>
        <v>0</v>
      </c>
      <c r="FI268" s="116">
        <f t="shared" si="911"/>
        <v>4</v>
      </c>
      <c r="FJ268" s="116">
        <f t="shared" si="911"/>
        <v>4</v>
      </c>
      <c r="FK268" s="116">
        <f t="shared" si="911"/>
        <v>0</v>
      </c>
      <c r="FL268" s="116">
        <f t="shared" si="911"/>
        <v>5</v>
      </c>
      <c r="FM268" s="116">
        <f t="shared" si="911"/>
        <v>0</v>
      </c>
      <c r="FN268" s="116">
        <f t="shared" si="911"/>
        <v>3</v>
      </c>
      <c r="FO268" s="116">
        <f t="shared" si="911"/>
        <v>5</v>
      </c>
      <c r="FP268" s="116">
        <f t="shared" si="911"/>
        <v>0</v>
      </c>
      <c r="FQ268" s="116">
        <f t="shared" si="911"/>
        <v>3</v>
      </c>
      <c r="FR268" s="116">
        <f t="shared" si="911"/>
        <v>5</v>
      </c>
      <c r="FS268" s="116">
        <f t="shared" si="911"/>
        <v>0</v>
      </c>
      <c r="FT268" s="116">
        <f t="shared" si="911"/>
        <v>3</v>
      </c>
      <c r="FU268" s="116">
        <f t="shared" si="911"/>
        <v>5</v>
      </c>
      <c r="FV268" s="116">
        <f t="shared" si="911"/>
        <v>0</v>
      </c>
      <c r="FW268" s="116">
        <f t="shared" ref="FW268:GL268" si="912">FW265</f>
        <v>3</v>
      </c>
      <c r="FX268" s="116">
        <f t="shared" si="912"/>
        <v>5</v>
      </c>
      <c r="FY268" s="116">
        <f t="shared" si="912"/>
        <v>0</v>
      </c>
      <c r="FZ268" s="116">
        <f t="shared" si="912"/>
        <v>3</v>
      </c>
      <c r="GA268" s="116">
        <f t="shared" si="912"/>
        <v>5</v>
      </c>
      <c r="GB268" s="116">
        <f t="shared" si="912"/>
        <v>0</v>
      </c>
      <c r="GC268" s="116">
        <f t="shared" si="912"/>
        <v>3</v>
      </c>
      <c r="GD268" s="116">
        <f t="shared" si="912"/>
        <v>5</v>
      </c>
      <c r="GE268" s="116">
        <f t="shared" si="912"/>
        <v>0</v>
      </c>
      <c r="GF268" s="116">
        <f t="shared" si="912"/>
        <v>3</v>
      </c>
      <c r="GG268" s="116">
        <f t="shared" si="912"/>
        <v>5</v>
      </c>
      <c r="GH268" s="116">
        <f t="shared" si="912"/>
        <v>0</v>
      </c>
      <c r="GI268" s="116">
        <f t="shared" si="912"/>
        <v>3</v>
      </c>
      <c r="GJ268" s="116">
        <f t="shared" si="912"/>
        <v>5</v>
      </c>
      <c r="GK268" s="116">
        <f t="shared" si="912"/>
        <v>0</v>
      </c>
      <c r="GL268" s="116">
        <f t="shared" si="912"/>
        <v>3</v>
      </c>
    </row>
    <row r="269" spans="14:194" ht="15" customHeight="1">
      <c r="N269" s="116">
        <f t="shared" ref="N269:BY269" si="913">N266</f>
        <v>0</v>
      </c>
      <c r="O269" s="116">
        <f t="shared" si="913"/>
        <v>0</v>
      </c>
      <c r="P269" s="116">
        <f t="shared" si="913"/>
        <v>0</v>
      </c>
      <c r="Q269" s="116">
        <f t="shared" si="913"/>
        <v>0</v>
      </c>
      <c r="R269" s="116">
        <f t="shared" si="913"/>
        <v>0</v>
      </c>
      <c r="S269" s="116">
        <f t="shared" si="913"/>
        <v>0</v>
      </c>
      <c r="T269" s="116">
        <f t="shared" si="913"/>
        <v>0</v>
      </c>
      <c r="U269" s="116">
        <f t="shared" si="913"/>
        <v>0</v>
      </c>
      <c r="V269" s="116">
        <f t="shared" si="913"/>
        <v>0</v>
      </c>
      <c r="W269" s="116">
        <f t="shared" si="913"/>
        <v>0</v>
      </c>
      <c r="X269" s="116">
        <f t="shared" si="913"/>
        <v>0</v>
      </c>
      <c r="Y269" s="116">
        <f t="shared" si="913"/>
        <v>0</v>
      </c>
      <c r="Z269" s="116">
        <f t="shared" si="913"/>
        <v>0</v>
      </c>
      <c r="AA269" s="116">
        <f t="shared" si="913"/>
        <v>0</v>
      </c>
      <c r="AB269" s="116">
        <f t="shared" si="913"/>
        <v>0</v>
      </c>
      <c r="AC269" s="116">
        <f t="shared" si="913"/>
        <v>0</v>
      </c>
      <c r="AD269" s="116">
        <f t="shared" si="913"/>
        <v>0</v>
      </c>
      <c r="AE269" s="116">
        <f t="shared" si="913"/>
        <v>0</v>
      </c>
      <c r="AF269" s="116">
        <f t="shared" si="913"/>
        <v>0</v>
      </c>
      <c r="AG269" s="116">
        <f t="shared" si="913"/>
        <v>0</v>
      </c>
      <c r="AH269" s="116">
        <f t="shared" si="913"/>
        <v>0</v>
      </c>
      <c r="AI269" s="116">
        <f t="shared" si="913"/>
        <v>0</v>
      </c>
      <c r="AJ269" s="116">
        <f t="shared" si="913"/>
        <v>0</v>
      </c>
      <c r="AK269" s="116">
        <f t="shared" si="913"/>
        <v>0</v>
      </c>
      <c r="AL269" s="116">
        <f t="shared" si="913"/>
        <v>0</v>
      </c>
      <c r="AM269" s="116">
        <f t="shared" si="913"/>
        <v>0</v>
      </c>
      <c r="AN269" s="116">
        <f t="shared" si="913"/>
        <v>0</v>
      </c>
      <c r="AO269" s="116">
        <f t="shared" si="913"/>
        <v>0</v>
      </c>
      <c r="AP269" s="116">
        <f t="shared" si="913"/>
        <v>0</v>
      </c>
      <c r="AQ269" s="116">
        <f t="shared" si="913"/>
        <v>0</v>
      </c>
      <c r="AR269" s="116">
        <f t="shared" si="913"/>
        <v>0</v>
      </c>
      <c r="AS269" s="116">
        <f t="shared" si="913"/>
        <v>0</v>
      </c>
      <c r="AT269" s="116">
        <f t="shared" si="913"/>
        <v>0</v>
      </c>
      <c r="AU269" s="116">
        <f t="shared" si="913"/>
        <v>0</v>
      </c>
      <c r="AV269" s="116">
        <f t="shared" si="913"/>
        <v>0</v>
      </c>
      <c r="AW269" s="116">
        <f t="shared" si="913"/>
        <v>0</v>
      </c>
      <c r="AX269" s="116">
        <f t="shared" si="913"/>
        <v>0</v>
      </c>
      <c r="AY269" s="116">
        <f t="shared" si="913"/>
        <v>0</v>
      </c>
      <c r="AZ269" s="116">
        <f t="shared" si="913"/>
        <v>0</v>
      </c>
      <c r="BA269" s="116">
        <f t="shared" si="913"/>
        <v>0</v>
      </c>
      <c r="BB269" s="116">
        <f t="shared" si="913"/>
        <v>0</v>
      </c>
      <c r="BC269" s="116">
        <f t="shared" si="913"/>
        <v>0</v>
      </c>
      <c r="BD269" s="116">
        <f t="shared" si="913"/>
        <v>0</v>
      </c>
      <c r="BE269" s="116">
        <f t="shared" si="913"/>
        <v>0</v>
      </c>
      <c r="BF269" s="116">
        <f t="shared" si="913"/>
        <v>0</v>
      </c>
      <c r="BG269" s="116">
        <f t="shared" si="913"/>
        <v>0</v>
      </c>
      <c r="BH269" s="116">
        <f t="shared" si="913"/>
        <v>0</v>
      </c>
      <c r="BI269" s="116">
        <f t="shared" si="913"/>
        <v>0</v>
      </c>
      <c r="BJ269" s="116">
        <f t="shared" si="913"/>
        <v>0</v>
      </c>
      <c r="BK269" s="116">
        <f t="shared" si="913"/>
        <v>0</v>
      </c>
      <c r="BL269" s="116">
        <f t="shared" si="913"/>
        <v>0</v>
      </c>
      <c r="BM269" s="116">
        <f t="shared" si="913"/>
        <v>0</v>
      </c>
      <c r="BN269" s="116">
        <f t="shared" si="913"/>
        <v>0</v>
      </c>
      <c r="BO269" s="116">
        <f t="shared" si="913"/>
        <v>0</v>
      </c>
      <c r="BP269" s="116">
        <f t="shared" si="913"/>
        <v>0</v>
      </c>
      <c r="BQ269" s="116">
        <f t="shared" si="913"/>
        <v>0</v>
      </c>
      <c r="BR269" s="116">
        <f t="shared" si="913"/>
        <v>0</v>
      </c>
      <c r="BS269" s="116">
        <f t="shared" si="913"/>
        <v>0</v>
      </c>
      <c r="BT269" s="116">
        <f t="shared" si="913"/>
        <v>0</v>
      </c>
      <c r="BU269" s="116">
        <f t="shared" si="913"/>
        <v>0</v>
      </c>
      <c r="BV269" s="116">
        <f t="shared" si="913"/>
        <v>0</v>
      </c>
      <c r="BW269" s="116">
        <f t="shared" si="913"/>
        <v>0</v>
      </c>
      <c r="BX269" s="116">
        <f t="shared" si="913"/>
        <v>0</v>
      </c>
      <c r="BY269" s="116">
        <f t="shared" si="913"/>
        <v>0</v>
      </c>
      <c r="BZ269" s="116">
        <f t="shared" ref="BZ269:CP269" si="914">BZ266</f>
        <v>0</v>
      </c>
      <c r="CA269" s="116">
        <f t="shared" si="914"/>
        <v>0</v>
      </c>
      <c r="CB269" s="116">
        <f t="shared" si="914"/>
        <v>0</v>
      </c>
      <c r="CC269" s="116">
        <f t="shared" si="914"/>
        <v>0</v>
      </c>
      <c r="CD269" s="116">
        <f t="shared" si="914"/>
        <v>0</v>
      </c>
      <c r="CE269" s="116">
        <f t="shared" si="914"/>
        <v>0</v>
      </c>
      <c r="CF269" s="116">
        <f t="shared" si="914"/>
        <v>0</v>
      </c>
      <c r="CG269" s="116">
        <f t="shared" si="914"/>
        <v>0</v>
      </c>
      <c r="CH269" s="116">
        <f t="shared" si="914"/>
        <v>0</v>
      </c>
      <c r="CI269" s="116">
        <f t="shared" si="914"/>
        <v>0</v>
      </c>
      <c r="CJ269" s="116">
        <f t="shared" si="914"/>
        <v>0</v>
      </c>
      <c r="CK269" s="116">
        <f t="shared" si="914"/>
        <v>0</v>
      </c>
      <c r="CL269" s="116">
        <f t="shared" si="914"/>
        <v>0</v>
      </c>
      <c r="CM269" s="116">
        <f t="shared" si="914"/>
        <v>0</v>
      </c>
      <c r="CN269" s="116">
        <f t="shared" si="914"/>
        <v>0</v>
      </c>
      <c r="CO269" s="116">
        <f t="shared" si="914"/>
        <v>0</v>
      </c>
      <c r="CP269" s="116">
        <f t="shared" si="914"/>
        <v>0</v>
      </c>
      <c r="DJ269" s="116">
        <f t="shared" ref="DJ269:FU269" si="915">DJ266</f>
        <v>2</v>
      </c>
      <c r="DK269" s="116">
        <f t="shared" si="915"/>
        <v>1</v>
      </c>
      <c r="DL269" s="116">
        <f t="shared" si="915"/>
        <v>2</v>
      </c>
      <c r="DM269" s="116">
        <f t="shared" si="915"/>
        <v>2</v>
      </c>
      <c r="DN269" s="116">
        <f t="shared" si="915"/>
        <v>1</v>
      </c>
      <c r="DO269" s="116">
        <f t="shared" si="915"/>
        <v>2</v>
      </c>
      <c r="DP269" s="116">
        <f t="shared" si="915"/>
        <v>2</v>
      </c>
      <c r="DQ269" s="116">
        <f t="shared" si="915"/>
        <v>1</v>
      </c>
      <c r="DR269" s="116">
        <f t="shared" si="915"/>
        <v>2</v>
      </c>
      <c r="DS269" s="116">
        <f t="shared" si="915"/>
        <v>2</v>
      </c>
      <c r="DT269" s="116">
        <f t="shared" si="915"/>
        <v>1</v>
      </c>
      <c r="DU269" s="116">
        <f t="shared" si="915"/>
        <v>2</v>
      </c>
      <c r="DV269" s="116">
        <f t="shared" si="915"/>
        <v>2</v>
      </c>
      <c r="DW269" s="116">
        <f t="shared" si="915"/>
        <v>1</v>
      </c>
      <c r="DX269" s="116">
        <f t="shared" si="915"/>
        <v>2</v>
      </c>
      <c r="DY269" s="116">
        <f t="shared" si="915"/>
        <v>2</v>
      </c>
      <c r="DZ269" s="116">
        <f t="shared" si="915"/>
        <v>1</v>
      </c>
      <c r="EA269" s="116">
        <f t="shared" si="915"/>
        <v>2</v>
      </c>
      <c r="EB269" s="116">
        <f t="shared" si="915"/>
        <v>2</v>
      </c>
      <c r="EC269" s="116">
        <f t="shared" si="915"/>
        <v>1</v>
      </c>
      <c r="ED269" s="116">
        <f t="shared" si="915"/>
        <v>2</v>
      </c>
      <c r="EE269" s="116">
        <f t="shared" si="915"/>
        <v>2</v>
      </c>
      <c r="EF269" s="116">
        <f t="shared" si="915"/>
        <v>1</v>
      </c>
      <c r="EG269" s="116">
        <f t="shared" si="915"/>
        <v>2</v>
      </c>
      <c r="EH269" s="116">
        <f t="shared" si="915"/>
        <v>2</v>
      </c>
      <c r="EI269" s="116">
        <f t="shared" si="915"/>
        <v>1</v>
      </c>
      <c r="EJ269" s="116">
        <f t="shared" si="915"/>
        <v>2</v>
      </c>
      <c r="EK269" s="116">
        <f t="shared" si="915"/>
        <v>4</v>
      </c>
      <c r="EL269" s="116">
        <f t="shared" si="915"/>
        <v>0</v>
      </c>
      <c r="EM269" s="116">
        <f t="shared" si="915"/>
        <v>2</v>
      </c>
      <c r="EN269" s="116">
        <f t="shared" si="915"/>
        <v>4</v>
      </c>
      <c r="EO269" s="116">
        <f t="shared" si="915"/>
        <v>0</v>
      </c>
      <c r="EP269" s="116">
        <f t="shared" si="915"/>
        <v>2</v>
      </c>
      <c r="EQ269" s="116">
        <f t="shared" si="915"/>
        <v>4</v>
      </c>
      <c r="ER269" s="116">
        <f t="shared" si="915"/>
        <v>0</v>
      </c>
      <c r="ES269" s="116">
        <f t="shared" si="915"/>
        <v>2</v>
      </c>
      <c r="ET269" s="116">
        <f t="shared" si="915"/>
        <v>4</v>
      </c>
      <c r="EU269" s="116">
        <f t="shared" si="915"/>
        <v>0</v>
      </c>
      <c r="EV269" s="116">
        <f t="shared" si="915"/>
        <v>2</v>
      </c>
      <c r="EW269" s="116">
        <f t="shared" si="915"/>
        <v>4</v>
      </c>
      <c r="EX269" s="116">
        <f t="shared" si="915"/>
        <v>0</v>
      </c>
      <c r="EY269" s="116">
        <f t="shared" si="915"/>
        <v>2</v>
      </c>
      <c r="EZ269" s="116">
        <f t="shared" si="915"/>
        <v>4</v>
      </c>
      <c r="FA269" s="116">
        <f t="shared" si="915"/>
        <v>0</v>
      </c>
      <c r="FB269" s="116">
        <f t="shared" si="915"/>
        <v>2</v>
      </c>
      <c r="FC269" s="116">
        <f t="shared" si="915"/>
        <v>4</v>
      </c>
      <c r="FD269" s="116">
        <f t="shared" si="915"/>
        <v>0</v>
      </c>
      <c r="FE269" s="116">
        <f t="shared" si="915"/>
        <v>2</v>
      </c>
      <c r="FF269" s="116">
        <f t="shared" si="915"/>
        <v>4</v>
      </c>
      <c r="FG269" s="116">
        <f t="shared" si="915"/>
        <v>0</v>
      </c>
      <c r="FH269" s="116">
        <f t="shared" si="915"/>
        <v>2</v>
      </c>
      <c r="FI269" s="116">
        <f t="shared" si="915"/>
        <v>4</v>
      </c>
      <c r="FJ269" s="116">
        <f t="shared" si="915"/>
        <v>0</v>
      </c>
      <c r="FK269" s="116">
        <f t="shared" si="915"/>
        <v>2</v>
      </c>
      <c r="FL269" s="116">
        <f t="shared" si="915"/>
        <v>0</v>
      </c>
      <c r="FM269" s="116">
        <f t="shared" si="915"/>
        <v>1</v>
      </c>
      <c r="FN269" s="116">
        <f t="shared" si="915"/>
        <v>2</v>
      </c>
      <c r="FO269" s="116">
        <f t="shared" si="915"/>
        <v>0</v>
      </c>
      <c r="FP269" s="116">
        <f t="shared" si="915"/>
        <v>1</v>
      </c>
      <c r="FQ269" s="116">
        <f t="shared" si="915"/>
        <v>2</v>
      </c>
      <c r="FR269" s="116">
        <f t="shared" si="915"/>
        <v>0</v>
      </c>
      <c r="FS269" s="116">
        <f t="shared" si="915"/>
        <v>1</v>
      </c>
      <c r="FT269" s="116">
        <f t="shared" si="915"/>
        <v>2</v>
      </c>
      <c r="FU269" s="116">
        <f t="shared" si="915"/>
        <v>0</v>
      </c>
      <c r="FV269" s="116">
        <f t="shared" ref="FV269:GL269" si="916">FV266</f>
        <v>1</v>
      </c>
      <c r="FW269" s="116">
        <f t="shared" si="916"/>
        <v>2</v>
      </c>
      <c r="FX269" s="116">
        <f t="shared" si="916"/>
        <v>0</v>
      </c>
      <c r="FY269" s="116">
        <f t="shared" si="916"/>
        <v>1</v>
      </c>
      <c r="FZ269" s="116">
        <f t="shared" si="916"/>
        <v>2</v>
      </c>
      <c r="GA269" s="116">
        <f t="shared" si="916"/>
        <v>0</v>
      </c>
      <c r="GB269" s="116">
        <f t="shared" si="916"/>
        <v>1</v>
      </c>
      <c r="GC269" s="116">
        <f t="shared" si="916"/>
        <v>2</v>
      </c>
      <c r="GD269" s="116">
        <f t="shared" si="916"/>
        <v>0</v>
      </c>
      <c r="GE269" s="116">
        <f t="shared" si="916"/>
        <v>1</v>
      </c>
      <c r="GF269" s="116">
        <f t="shared" si="916"/>
        <v>2</v>
      </c>
      <c r="GG269" s="116">
        <f t="shared" si="916"/>
        <v>0</v>
      </c>
      <c r="GH269" s="116">
        <f t="shared" si="916"/>
        <v>1</v>
      </c>
      <c r="GI269" s="116">
        <f t="shared" si="916"/>
        <v>2</v>
      </c>
      <c r="GJ269" s="116">
        <f t="shared" si="916"/>
        <v>0</v>
      </c>
      <c r="GK269" s="116">
        <f t="shared" si="916"/>
        <v>1</v>
      </c>
      <c r="GL269" s="116">
        <f t="shared" si="916"/>
        <v>2</v>
      </c>
    </row>
    <row r="270" spans="14:194" ht="15" customHeight="1">
      <c r="N270" s="116">
        <f t="shared" ref="N270:BY270" si="917">N267</f>
        <v>0</v>
      </c>
      <c r="O270" s="116">
        <f t="shared" si="917"/>
        <v>0</v>
      </c>
      <c r="P270" s="116">
        <f t="shared" si="917"/>
        <v>0</v>
      </c>
      <c r="Q270" s="116">
        <f t="shared" si="917"/>
        <v>0</v>
      </c>
      <c r="R270" s="116">
        <f t="shared" si="917"/>
        <v>0</v>
      </c>
      <c r="S270" s="116">
        <f t="shared" si="917"/>
        <v>0</v>
      </c>
      <c r="T270" s="116">
        <f t="shared" si="917"/>
        <v>0</v>
      </c>
      <c r="U270" s="116">
        <f t="shared" si="917"/>
        <v>0</v>
      </c>
      <c r="V270" s="116">
        <f t="shared" si="917"/>
        <v>0</v>
      </c>
      <c r="W270" s="116">
        <f t="shared" si="917"/>
        <v>0</v>
      </c>
      <c r="X270" s="116">
        <f t="shared" si="917"/>
        <v>0</v>
      </c>
      <c r="Y270" s="116">
        <f t="shared" si="917"/>
        <v>0</v>
      </c>
      <c r="Z270" s="116">
        <f t="shared" si="917"/>
        <v>0</v>
      </c>
      <c r="AA270" s="116">
        <f t="shared" si="917"/>
        <v>0</v>
      </c>
      <c r="AB270" s="116">
        <f t="shared" si="917"/>
        <v>0</v>
      </c>
      <c r="AC270" s="116">
        <f t="shared" si="917"/>
        <v>0</v>
      </c>
      <c r="AD270" s="116">
        <f t="shared" si="917"/>
        <v>0</v>
      </c>
      <c r="AE270" s="116">
        <f t="shared" si="917"/>
        <v>0</v>
      </c>
      <c r="AF270" s="116">
        <f t="shared" si="917"/>
        <v>0</v>
      </c>
      <c r="AG270" s="116">
        <f t="shared" si="917"/>
        <v>0</v>
      </c>
      <c r="AH270" s="116">
        <f t="shared" si="917"/>
        <v>0</v>
      </c>
      <c r="AI270" s="116">
        <f t="shared" si="917"/>
        <v>0</v>
      </c>
      <c r="AJ270" s="116">
        <f t="shared" si="917"/>
        <v>0</v>
      </c>
      <c r="AK270" s="116">
        <f t="shared" si="917"/>
        <v>0</v>
      </c>
      <c r="AL270" s="116">
        <f t="shared" si="917"/>
        <v>0</v>
      </c>
      <c r="AM270" s="116">
        <f t="shared" si="917"/>
        <v>0</v>
      </c>
      <c r="AN270" s="116">
        <f t="shared" si="917"/>
        <v>0</v>
      </c>
      <c r="AO270" s="116">
        <f t="shared" si="917"/>
        <v>0</v>
      </c>
      <c r="AP270" s="116">
        <f t="shared" si="917"/>
        <v>0</v>
      </c>
      <c r="AQ270" s="116">
        <f t="shared" si="917"/>
        <v>0</v>
      </c>
      <c r="AR270" s="116">
        <f t="shared" si="917"/>
        <v>0</v>
      </c>
      <c r="AS270" s="116">
        <f t="shared" si="917"/>
        <v>0</v>
      </c>
      <c r="AT270" s="116">
        <f t="shared" si="917"/>
        <v>0</v>
      </c>
      <c r="AU270" s="116">
        <f t="shared" si="917"/>
        <v>0</v>
      </c>
      <c r="AV270" s="116">
        <f t="shared" si="917"/>
        <v>0</v>
      </c>
      <c r="AW270" s="116">
        <f t="shared" si="917"/>
        <v>0</v>
      </c>
      <c r="AX270" s="116">
        <f t="shared" si="917"/>
        <v>0</v>
      </c>
      <c r="AY270" s="116">
        <f t="shared" si="917"/>
        <v>0</v>
      </c>
      <c r="AZ270" s="116">
        <f t="shared" si="917"/>
        <v>0</v>
      </c>
      <c r="BA270" s="116">
        <f t="shared" si="917"/>
        <v>0</v>
      </c>
      <c r="BB270" s="116">
        <f t="shared" si="917"/>
        <v>0</v>
      </c>
      <c r="BC270" s="116">
        <f t="shared" si="917"/>
        <v>0</v>
      </c>
      <c r="BD270" s="116">
        <f t="shared" si="917"/>
        <v>0</v>
      </c>
      <c r="BE270" s="116">
        <f t="shared" si="917"/>
        <v>0</v>
      </c>
      <c r="BF270" s="116">
        <f t="shared" si="917"/>
        <v>0</v>
      </c>
      <c r="BG270" s="116">
        <f t="shared" si="917"/>
        <v>0</v>
      </c>
      <c r="BH270" s="116">
        <f t="shared" si="917"/>
        <v>0</v>
      </c>
      <c r="BI270" s="116">
        <f t="shared" si="917"/>
        <v>0</v>
      </c>
      <c r="BJ270" s="116">
        <f t="shared" si="917"/>
        <v>0</v>
      </c>
      <c r="BK270" s="116">
        <f t="shared" si="917"/>
        <v>0</v>
      </c>
      <c r="BL270" s="116">
        <f t="shared" si="917"/>
        <v>0</v>
      </c>
      <c r="BM270" s="116">
        <f t="shared" si="917"/>
        <v>0</v>
      </c>
      <c r="BN270" s="116">
        <f t="shared" si="917"/>
        <v>0</v>
      </c>
      <c r="BO270" s="116">
        <f t="shared" si="917"/>
        <v>0</v>
      </c>
      <c r="BP270" s="116">
        <f t="shared" si="917"/>
        <v>0</v>
      </c>
      <c r="BQ270" s="116">
        <f t="shared" si="917"/>
        <v>0</v>
      </c>
      <c r="BR270" s="116">
        <f t="shared" si="917"/>
        <v>0</v>
      </c>
      <c r="BS270" s="116">
        <f t="shared" si="917"/>
        <v>0</v>
      </c>
      <c r="BT270" s="116">
        <f t="shared" si="917"/>
        <v>0</v>
      </c>
      <c r="BU270" s="116">
        <f t="shared" si="917"/>
        <v>0</v>
      </c>
      <c r="BV270" s="116">
        <f t="shared" si="917"/>
        <v>0</v>
      </c>
      <c r="BW270" s="116">
        <f t="shared" si="917"/>
        <v>0</v>
      </c>
      <c r="BX270" s="116">
        <f t="shared" si="917"/>
        <v>0</v>
      </c>
      <c r="BY270" s="116">
        <f t="shared" si="917"/>
        <v>0</v>
      </c>
      <c r="BZ270" s="116">
        <f t="shared" ref="BZ270:CP270" si="918">BZ267</f>
        <v>0</v>
      </c>
      <c r="CA270" s="116">
        <f t="shared" si="918"/>
        <v>0</v>
      </c>
      <c r="CB270" s="116">
        <f t="shared" si="918"/>
        <v>0</v>
      </c>
      <c r="CC270" s="116">
        <f t="shared" si="918"/>
        <v>0</v>
      </c>
      <c r="CD270" s="116">
        <f t="shared" si="918"/>
        <v>0</v>
      </c>
      <c r="CE270" s="116">
        <f t="shared" si="918"/>
        <v>0</v>
      </c>
      <c r="CF270" s="116">
        <f t="shared" si="918"/>
        <v>0</v>
      </c>
      <c r="CG270" s="116">
        <f t="shared" si="918"/>
        <v>0</v>
      </c>
      <c r="CH270" s="116">
        <f t="shared" si="918"/>
        <v>0</v>
      </c>
      <c r="CI270" s="116">
        <f t="shared" si="918"/>
        <v>0</v>
      </c>
      <c r="CJ270" s="116">
        <f t="shared" si="918"/>
        <v>0</v>
      </c>
      <c r="CK270" s="116">
        <f t="shared" si="918"/>
        <v>0</v>
      </c>
      <c r="CL270" s="116">
        <f t="shared" si="918"/>
        <v>0</v>
      </c>
      <c r="CM270" s="116">
        <f t="shared" si="918"/>
        <v>0</v>
      </c>
      <c r="CN270" s="116">
        <f t="shared" si="918"/>
        <v>0</v>
      </c>
      <c r="CO270" s="116">
        <f t="shared" si="918"/>
        <v>0</v>
      </c>
      <c r="CP270" s="116">
        <f t="shared" si="918"/>
        <v>0</v>
      </c>
      <c r="DJ270" s="116">
        <f t="shared" ref="DJ270:FU270" si="919">DJ267</f>
        <v>0</v>
      </c>
      <c r="DK270" s="116">
        <f t="shared" si="919"/>
        <v>1</v>
      </c>
      <c r="DL270" s="116">
        <f t="shared" si="919"/>
        <v>0</v>
      </c>
      <c r="DM270" s="116">
        <f t="shared" si="919"/>
        <v>0</v>
      </c>
      <c r="DN270" s="116">
        <f t="shared" si="919"/>
        <v>1</v>
      </c>
      <c r="DO270" s="116">
        <f t="shared" si="919"/>
        <v>0</v>
      </c>
      <c r="DP270" s="116">
        <f t="shared" si="919"/>
        <v>0</v>
      </c>
      <c r="DQ270" s="116">
        <f t="shared" si="919"/>
        <v>1</v>
      </c>
      <c r="DR270" s="116">
        <f t="shared" si="919"/>
        <v>0</v>
      </c>
      <c r="DS270" s="116">
        <f t="shared" si="919"/>
        <v>0</v>
      </c>
      <c r="DT270" s="116">
        <f t="shared" si="919"/>
        <v>1</v>
      </c>
      <c r="DU270" s="116">
        <f t="shared" si="919"/>
        <v>0</v>
      </c>
      <c r="DV270" s="116">
        <f t="shared" si="919"/>
        <v>0</v>
      </c>
      <c r="DW270" s="116">
        <f t="shared" si="919"/>
        <v>1</v>
      </c>
      <c r="DX270" s="116">
        <f t="shared" si="919"/>
        <v>0</v>
      </c>
      <c r="DY270" s="116">
        <f t="shared" si="919"/>
        <v>0</v>
      </c>
      <c r="DZ270" s="116">
        <f t="shared" si="919"/>
        <v>1</v>
      </c>
      <c r="EA270" s="116">
        <f t="shared" si="919"/>
        <v>0</v>
      </c>
      <c r="EB270" s="116">
        <f t="shared" si="919"/>
        <v>0</v>
      </c>
      <c r="EC270" s="116">
        <f t="shared" si="919"/>
        <v>1</v>
      </c>
      <c r="ED270" s="116">
        <f t="shared" si="919"/>
        <v>0</v>
      </c>
      <c r="EE270" s="116">
        <f t="shared" si="919"/>
        <v>0</v>
      </c>
      <c r="EF270" s="116">
        <f t="shared" si="919"/>
        <v>1</v>
      </c>
      <c r="EG270" s="116">
        <f t="shared" si="919"/>
        <v>0</v>
      </c>
      <c r="EH270" s="116">
        <f t="shared" si="919"/>
        <v>0</v>
      </c>
      <c r="EI270" s="116">
        <f t="shared" si="919"/>
        <v>1</v>
      </c>
      <c r="EJ270" s="116">
        <f t="shared" si="919"/>
        <v>0</v>
      </c>
      <c r="EK270" s="116">
        <f t="shared" si="919"/>
        <v>1</v>
      </c>
      <c r="EL270" s="116">
        <f t="shared" si="919"/>
        <v>2</v>
      </c>
      <c r="EM270" s="116">
        <f t="shared" si="919"/>
        <v>0</v>
      </c>
      <c r="EN270" s="116">
        <f t="shared" si="919"/>
        <v>1</v>
      </c>
      <c r="EO270" s="116">
        <f t="shared" si="919"/>
        <v>2</v>
      </c>
      <c r="EP270" s="116">
        <f t="shared" si="919"/>
        <v>0</v>
      </c>
      <c r="EQ270" s="116">
        <f t="shared" si="919"/>
        <v>1</v>
      </c>
      <c r="ER270" s="116">
        <f t="shared" si="919"/>
        <v>2</v>
      </c>
      <c r="ES270" s="116">
        <f t="shared" si="919"/>
        <v>0</v>
      </c>
      <c r="ET270" s="116">
        <f t="shared" si="919"/>
        <v>1</v>
      </c>
      <c r="EU270" s="116">
        <f t="shared" si="919"/>
        <v>2</v>
      </c>
      <c r="EV270" s="116">
        <f t="shared" si="919"/>
        <v>0</v>
      </c>
      <c r="EW270" s="116">
        <f t="shared" si="919"/>
        <v>1</v>
      </c>
      <c r="EX270" s="116">
        <f t="shared" si="919"/>
        <v>2</v>
      </c>
      <c r="EY270" s="116">
        <f t="shared" si="919"/>
        <v>0</v>
      </c>
      <c r="EZ270" s="116">
        <f t="shared" si="919"/>
        <v>1</v>
      </c>
      <c r="FA270" s="116">
        <f t="shared" si="919"/>
        <v>2</v>
      </c>
      <c r="FB270" s="116">
        <f t="shared" si="919"/>
        <v>0</v>
      </c>
      <c r="FC270" s="116">
        <f t="shared" si="919"/>
        <v>1</v>
      </c>
      <c r="FD270" s="116">
        <f t="shared" si="919"/>
        <v>2</v>
      </c>
      <c r="FE270" s="116">
        <f t="shared" si="919"/>
        <v>0</v>
      </c>
      <c r="FF270" s="116">
        <f t="shared" si="919"/>
        <v>1</v>
      </c>
      <c r="FG270" s="116">
        <f t="shared" si="919"/>
        <v>2</v>
      </c>
      <c r="FH270" s="116">
        <f t="shared" si="919"/>
        <v>0</v>
      </c>
      <c r="FI270" s="116">
        <f t="shared" si="919"/>
        <v>1</v>
      </c>
      <c r="FJ270" s="116">
        <f t="shared" si="919"/>
        <v>2</v>
      </c>
      <c r="FK270" s="116">
        <f t="shared" si="919"/>
        <v>0</v>
      </c>
      <c r="FL270" s="116">
        <f t="shared" si="919"/>
        <v>1</v>
      </c>
      <c r="FM270" s="116">
        <f t="shared" si="919"/>
        <v>3</v>
      </c>
      <c r="FN270" s="116">
        <f t="shared" si="919"/>
        <v>0</v>
      </c>
      <c r="FO270" s="116">
        <f t="shared" si="919"/>
        <v>1</v>
      </c>
      <c r="FP270" s="116">
        <f t="shared" si="919"/>
        <v>3</v>
      </c>
      <c r="FQ270" s="116">
        <f t="shared" si="919"/>
        <v>0</v>
      </c>
      <c r="FR270" s="116">
        <f t="shared" si="919"/>
        <v>1</v>
      </c>
      <c r="FS270" s="116">
        <f t="shared" si="919"/>
        <v>3</v>
      </c>
      <c r="FT270" s="116">
        <f t="shared" si="919"/>
        <v>0</v>
      </c>
      <c r="FU270" s="116">
        <f t="shared" si="919"/>
        <v>1</v>
      </c>
      <c r="FV270" s="116">
        <f t="shared" ref="FV270:GL270" si="920">FV267</f>
        <v>3</v>
      </c>
      <c r="FW270" s="116">
        <f t="shared" si="920"/>
        <v>0</v>
      </c>
      <c r="FX270" s="116">
        <f t="shared" si="920"/>
        <v>1</v>
      </c>
      <c r="FY270" s="116">
        <f t="shared" si="920"/>
        <v>3</v>
      </c>
      <c r="FZ270" s="116">
        <f t="shared" si="920"/>
        <v>0</v>
      </c>
      <c r="GA270" s="116">
        <f t="shared" si="920"/>
        <v>1</v>
      </c>
      <c r="GB270" s="116">
        <f t="shared" si="920"/>
        <v>3</v>
      </c>
      <c r="GC270" s="116">
        <f t="shared" si="920"/>
        <v>0</v>
      </c>
      <c r="GD270" s="116">
        <f t="shared" si="920"/>
        <v>1</v>
      </c>
      <c r="GE270" s="116">
        <f t="shared" si="920"/>
        <v>3</v>
      </c>
      <c r="GF270" s="116">
        <f t="shared" si="920"/>
        <v>0</v>
      </c>
      <c r="GG270" s="116">
        <f t="shared" si="920"/>
        <v>1</v>
      </c>
      <c r="GH270" s="116">
        <f t="shared" si="920"/>
        <v>3</v>
      </c>
      <c r="GI270" s="116">
        <f t="shared" si="920"/>
        <v>0</v>
      </c>
      <c r="GJ270" s="116">
        <f t="shared" si="920"/>
        <v>1</v>
      </c>
      <c r="GK270" s="116">
        <f t="shared" si="920"/>
        <v>3</v>
      </c>
      <c r="GL270" s="116">
        <f t="shared" si="920"/>
        <v>0</v>
      </c>
    </row>
    <row r="271" spans="14:194" ht="15" customHeight="1">
      <c r="N271" s="116">
        <f t="shared" ref="N271:BY271" si="921">N268</f>
        <v>0</v>
      </c>
      <c r="O271" s="116">
        <f t="shared" si="921"/>
        <v>0</v>
      </c>
      <c r="P271" s="116">
        <f t="shared" si="921"/>
        <v>0</v>
      </c>
      <c r="Q271" s="116">
        <f t="shared" si="921"/>
        <v>0</v>
      </c>
      <c r="R271" s="116">
        <f t="shared" si="921"/>
        <v>0</v>
      </c>
      <c r="S271" s="116">
        <f t="shared" si="921"/>
        <v>0</v>
      </c>
      <c r="T271" s="116">
        <f t="shared" si="921"/>
        <v>0</v>
      </c>
      <c r="U271" s="116">
        <f t="shared" si="921"/>
        <v>0</v>
      </c>
      <c r="V271" s="116">
        <f t="shared" si="921"/>
        <v>0</v>
      </c>
      <c r="W271" s="116">
        <f t="shared" si="921"/>
        <v>0</v>
      </c>
      <c r="X271" s="116">
        <f t="shared" si="921"/>
        <v>0</v>
      </c>
      <c r="Y271" s="116">
        <f t="shared" si="921"/>
        <v>0</v>
      </c>
      <c r="Z271" s="116">
        <f t="shared" si="921"/>
        <v>0</v>
      </c>
      <c r="AA271" s="116">
        <f t="shared" si="921"/>
        <v>0</v>
      </c>
      <c r="AB271" s="116">
        <f t="shared" si="921"/>
        <v>0</v>
      </c>
      <c r="AC271" s="116">
        <f t="shared" si="921"/>
        <v>0</v>
      </c>
      <c r="AD271" s="116">
        <f t="shared" si="921"/>
        <v>0</v>
      </c>
      <c r="AE271" s="116">
        <f t="shared" si="921"/>
        <v>0</v>
      </c>
      <c r="AF271" s="116">
        <f t="shared" si="921"/>
        <v>0</v>
      </c>
      <c r="AG271" s="116">
        <f t="shared" si="921"/>
        <v>0</v>
      </c>
      <c r="AH271" s="116">
        <f t="shared" si="921"/>
        <v>0</v>
      </c>
      <c r="AI271" s="116">
        <f t="shared" si="921"/>
        <v>0</v>
      </c>
      <c r="AJ271" s="116">
        <f t="shared" si="921"/>
        <v>0</v>
      </c>
      <c r="AK271" s="116">
        <f t="shared" si="921"/>
        <v>0</v>
      </c>
      <c r="AL271" s="116">
        <f t="shared" si="921"/>
        <v>0</v>
      </c>
      <c r="AM271" s="116">
        <f t="shared" si="921"/>
        <v>0</v>
      </c>
      <c r="AN271" s="116">
        <f t="shared" si="921"/>
        <v>0</v>
      </c>
      <c r="AO271" s="116">
        <f t="shared" si="921"/>
        <v>0</v>
      </c>
      <c r="AP271" s="116">
        <f t="shared" si="921"/>
        <v>0</v>
      </c>
      <c r="AQ271" s="116">
        <f t="shared" si="921"/>
        <v>0</v>
      </c>
      <c r="AR271" s="116">
        <f t="shared" si="921"/>
        <v>0</v>
      </c>
      <c r="AS271" s="116">
        <f t="shared" si="921"/>
        <v>0</v>
      </c>
      <c r="AT271" s="116">
        <f t="shared" si="921"/>
        <v>0</v>
      </c>
      <c r="AU271" s="116">
        <f t="shared" si="921"/>
        <v>0</v>
      </c>
      <c r="AV271" s="116">
        <f t="shared" si="921"/>
        <v>0</v>
      </c>
      <c r="AW271" s="116">
        <f t="shared" si="921"/>
        <v>0</v>
      </c>
      <c r="AX271" s="116">
        <f t="shared" si="921"/>
        <v>0</v>
      </c>
      <c r="AY271" s="116">
        <f t="shared" si="921"/>
        <v>0</v>
      </c>
      <c r="AZ271" s="116">
        <f t="shared" si="921"/>
        <v>0</v>
      </c>
      <c r="BA271" s="116">
        <f t="shared" si="921"/>
        <v>0</v>
      </c>
      <c r="BB271" s="116">
        <f t="shared" si="921"/>
        <v>0</v>
      </c>
      <c r="BC271" s="116">
        <f t="shared" si="921"/>
        <v>0</v>
      </c>
      <c r="BD271" s="116">
        <f t="shared" si="921"/>
        <v>0</v>
      </c>
      <c r="BE271" s="116">
        <f t="shared" si="921"/>
        <v>0</v>
      </c>
      <c r="BF271" s="116">
        <f t="shared" si="921"/>
        <v>0</v>
      </c>
      <c r="BG271" s="116">
        <f t="shared" si="921"/>
        <v>0</v>
      </c>
      <c r="BH271" s="116">
        <f t="shared" si="921"/>
        <v>0</v>
      </c>
      <c r="BI271" s="116">
        <f t="shared" si="921"/>
        <v>0</v>
      </c>
      <c r="BJ271" s="116">
        <f t="shared" si="921"/>
        <v>0</v>
      </c>
      <c r="BK271" s="116">
        <f t="shared" si="921"/>
        <v>0</v>
      </c>
      <c r="BL271" s="116">
        <f t="shared" si="921"/>
        <v>0</v>
      </c>
      <c r="BM271" s="116">
        <f t="shared" si="921"/>
        <v>0</v>
      </c>
      <c r="BN271" s="116">
        <f t="shared" si="921"/>
        <v>0</v>
      </c>
      <c r="BO271" s="116">
        <f t="shared" si="921"/>
        <v>0</v>
      </c>
      <c r="BP271" s="116">
        <f t="shared" si="921"/>
        <v>0</v>
      </c>
      <c r="BQ271" s="116">
        <f t="shared" si="921"/>
        <v>0</v>
      </c>
      <c r="BR271" s="116">
        <f t="shared" si="921"/>
        <v>0</v>
      </c>
      <c r="BS271" s="116">
        <f t="shared" si="921"/>
        <v>0</v>
      </c>
      <c r="BT271" s="116">
        <f t="shared" si="921"/>
        <v>0</v>
      </c>
      <c r="BU271" s="116">
        <f t="shared" si="921"/>
        <v>0</v>
      </c>
      <c r="BV271" s="116">
        <f t="shared" si="921"/>
        <v>0</v>
      </c>
      <c r="BW271" s="116">
        <f t="shared" si="921"/>
        <v>0</v>
      </c>
      <c r="BX271" s="116">
        <f t="shared" si="921"/>
        <v>0</v>
      </c>
      <c r="BY271" s="116">
        <f t="shared" si="921"/>
        <v>0</v>
      </c>
      <c r="BZ271" s="116">
        <f t="shared" ref="BZ271:CP271" si="922">BZ268</f>
        <v>0</v>
      </c>
      <c r="CA271" s="116">
        <f t="shared" si="922"/>
        <v>0</v>
      </c>
      <c r="CB271" s="116">
        <f t="shared" si="922"/>
        <v>0</v>
      </c>
      <c r="CC271" s="116">
        <f t="shared" si="922"/>
        <v>0</v>
      </c>
      <c r="CD271" s="116">
        <f t="shared" si="922"/>
        <v>0</v>
      </c>
      <c r="CE271" s="116">
        <f t="shared" si="922"/>
        <v>0</v>
      </c>
      <c r="CF271" s="116">
        <f t="shared" si="922"/>
        <v>0</v>
      </c>
      <c r="CG271" s="116">
        <f t="shared" si="922"/>
        <v>0</v>
      </c>
      <c r="CH271" s="116">
        <f t="shared" si="922"/>
        <v>0</v>
      </c>
      <c r="CI271" s="116">
        <f t="shared" si="922"/>
        <v>0</v>
      </c>
      <c r="CJ271" s="116">
        <f t="shared" si="922"/>
        <v>0</v>
      </c>
      <c r="CK271" s="116">
        <f t="shared" si="922"/>
        <v>0</v>
      </c>
      <c r="CL271" s="116">
        <f t="shared" si="922"/>
        <v>0</v>
      </c>
      <c r="CM271" s="116">
        <f t="shared" si="922"/>
        <v>0</v>
      </c>
      <c r="CN271" s="116">
        <f t="shared" si="922"/>
        <v>0</v>
      </c>
      <c r="CO271" s="116">
        <f t="shared" si="922"/>
        <v>0</v>
      </c>
      <c r="CP271" s="116">
        <f t="shared" si="922"/>
        <v>0</v>
      </c>
      <c r="DJ271" s="116">
        <f t="shared" ref="DJ271:FU271" si="923">DJ268</f>
        <v>5</v>
      </c>
      <c r="DK271" s="116">
        <f t="shared" si="923"/>
        <v>3</v>
      </c>
      <c r="DL271" s="116">
        <f t="shared" si="923"/>
        <v>1</v>
      </c>
      <c r="DM271" s="116">
        <f t="shared" si="923"/>
        <v>5</v>
      </c>
      <c r="DN271" s="116">
        <f t="shared" si="923"/>
        <v>3</v>
      </c>
      <c r="DO271" s="116">
        <f t="shared" si="923"/>
        <v>1</v>
      </c>
      <c r="DP271" s="116">
        <f t="shared" si="923"/>
        <v>5</v>
      </c>
      <c r="DQ271" s="116">
        <f t="shared" si="923"/>
        <v>3</v>
      </c>
      <c r="DR271" s="116">
        <f t="shared" si="923"/>
        <v>1</v>
      </c>
      <c r="DS271" s="116">
        <f t="shared" si="923"/>
        <v>5</v>
      </c>
      <c r="DT271" s="116">
        <f t="shared" si="923"/>
        <v>3</v>
      </c>
      <c r="DU271" s="116">
        <f t="shared" si="923"/>
        <v>1</v>
      </c>
      <c r="DV271" s="116">
        <f t="shared" si="923"/>
        <v>5</v>
      </c>
      <c r="DW271" s="116">
        <f t="shared" si="923"/>
        <v>3</v>
      </c>
      <c r="DX271" s="116">
        <f t="shared" si="923"/>
        <v>1</v>
      </c>
      <c r="DY271" s="116">
        <f t="shared" si="923"/>
        <v>5</v>
      </c>
      <c r="DZ271" s="116">
        <f t="shared" si="923"/>
        <v>3</v>
      </c>
      <c r="EA271" s="116">
        <f t="shared" si="923"/>
        <v>1</v>
      </c>
      <c r="EB271" s="116">
        <f t="shared" si="923"/>
        <v>5</v>
      </c>
      <c r="EC271" s="116">
        <f t="shared" si="923"/>
        <v>3</v>
      </c>
      <c r="ED271" s="116">
        <f t="shared" si="923"/>
        <v>1</v>
      </c>
      <c r="EE271" s="116">
        <f t="shared" si="923"/>
        <v>5</v>
      </c>
      <c r="EF271" s="116">
        <f t="shared" si="923"/>
        <v>3</v>
      </c>
      <c r="EG271" s="116">
        <f t="shared" si="923"/>
        <v>1</v>
      </c>
      <c r="EH271" s="116">
        <f t="shared" si="923"/>
        <v>5</v>
      </c>
      <c r="EI271" s="116">
        <f t="shared" si="923"/>
        <v>3</v>
      </c>
      <c r="EJ271" s="116">
        <f t="shared" si="923"/>
        <v>1</v>
      </c>
      <c r="EK271" s="116">
        <f t="shared" si="923"/>
        <v>4</v>
      </c>
      <c r="EL271" s="116">
        <f t="shared" si="923"/>
        <v>4</v>
      </c>
      <c r="EM271" s="116">
        <f t="shared" si="923"/>
        <v>0</v>
      </c>
      <c r="EN271" s="116">
        <f t="shared" si="923"/>
        <v>4</v>
      </c>
      <c r="EO271" s="116">
        <f t="shared" si="923"/>
        <v>4</v>
      </c>
      <c r="EP271" s="116">
        <f t="shared" si="923"/>
        <v>0</v>
      </c>
      <c r="EQ271" s="116">
        <f t="shared" si="923"/>
        <v>4</v>
      </c>
      <c r="ER271" s="116">
        <f t="shared" si="923"/>
        <v>4</v>
      </c>
      <c r="ES271" s="116">
        <f t="shared" si="923"/>
        <v>0</v>
      </c>
      <c r="ET271" s="116">
        <f t="shared" si="923"/>
        <v>4</v>
      </c>
      <c r="EU271" s="116">
        <f t="shared" si="923"/>
        <v>4</v>
      </c>
      <c r="EV271" s="116">
        <f t="shared" si="923"/>
        <v>0</v>
      </c>
      <c r="EW271" s="116">
        <f t="shared" si="923"/>
        <v>4</v>
      </c>
      <c r="EX271" s="116">
        <f t="shared" si="923"/>
        <v>4</v>
      </c>
      <c r="EY271" s="116">
        <f t="shared" si="923"/>
        <v>0</v>
      </c>
      <c r="EZ271" s="116">
        <f t="shared" si="923"/>
        <v>4</v>
      </c>
      <c r="FA271" s="116">
        <f t="shared" si="923"/>
        <v>4</v>
      </c>
      <c r="FB271" s="116">
        <f t="shared" si="923"/>
        <v>0</v>
      </c>
      <c r="FC271" s="116">
        <f t="shared" si="923"/>
        <v>4</v>
      </c>
      <c r="FD271" s="116">
        <f t="shared" si="923"/>
        <v>4</v>
      </c>
      <c r="FE271" s="116">
        <f t="shared" si="923"/>
        <v>0</v>
      </c>
      <c r="FF271" s="116">
        <f t="shared" si="923"/>
        <v>4</v>
      </c>
      <c r="FG271" s="116">
        <f t="shared" si="923"/>
        <v>4</v>
      </c>
      <c r="FH271" s="116">
        <f t="shared" si="923"/>
        <v>0</v>
      </c>
      <c r="FI271" s="116">
        <f t="shared" si="923"/>
        <v>4</v>
      </c>
      <c r="FJ271" s="116">
        <f t="shared" si="923"/>
        <v>4</v>
      </c>
      <c r="FK271" s="116">
        <f t="shared" si="923"/>
        <v>0</v>
      </c>
      <c r="FL271" s="116">
        <f t="shared" si="923"/>
        <v>5</v>
      </c>
      <c r="FM271" s="116">
        <f t="shared" si="923"/>
        <v>0</v>
      </c>
      <c r="FN271" s="116">
        <f t="shared" si="923"/>
        <v>3</v>
      </c>
      <c r="FO271" s="116">
        <f t="shared" si="923"/>
        <v>5</v>
      </c>
      <c r="FP271" s="116">
        <f t="shared" si="923"/>
        <v>0</v>
      </c>
      <c r="FQ271" s="116">
        <f t="shared" si="923"/>
        <v>3</v>
      </c>
      <c r="FR271" s="116">
        <f t="shared" si="923"/>
        <v>5</v>
      </c>
      <c r="FS271" s="116">
        <f t="shared" si="923"/>
        <v>0</v>
      </c>
      <c r="FT271" s="116">
        <f t="shared" si="923"/>
        <v>3</v>
      </c>
      <c r="FU271" s="116">
        <f t="shared" si="923"/>
        <v>5</v>
      </c>
      <c r="FV271" s="116">
        <f t="shared" ref="FV271:GL271" si="924">FV268</f>
        <v>0</v>
      </c>
      <c r="FW271" s="116">
        <f t="shared" si="924"/>
        <v>3</v>
      </c>
      <c r="FX271" s="116">
        <f t="shared" si="924"/>
        <v>5</v>
      </c>
      <c r="FY271" s="116">
        <f t="shared" si="924"/>
        <v>0</v>
      </c>
      <c r="FZ271" s="116">
        <f t="shared" si="924"/>
        <v>3</v>
      </c>
      <c r="GA271" s="116">
        <f t="shared" si="924"/>
        <v>5</v>
      </c>
      <c r="GB271" s="116">
        <f t="shared" si="924"/>
        <v>0</v>
      </c>
      <c r="GC271" s="116">
        <f t="shared" si="924"/>
        <v>3</v>
      </c>
      <c r="GD271" s="116">
        <f t="shared" si="924"/>
        <v>5</v>
      </c>
      <c r="GE271" s="116">
        <f t="shared" si="924"/>
        <v>0</v>
      </c>
      <c r="GF271" s="116">
        <f t="shared" si="924"/>
        <v>3</v>
      </c>
      <c r="GG271" s="116">
        <f t="shared" si="924"/>
        <v>5</v>
      </c>
      <c r="GH271" s="116">
        <f t="shared" si="924"/>
        <v>0</v>
      </c>
      <c r="GI271" s="116">
        <f t="shared" si="924"/>
        <v>3</v>
      </c>
      <c r="GJ271" s="116">
        <f t="shared" si="924"/>
        <v>5</v>
      </c>
      <c r="GK271" s="116">
        <f t="shared" si="924"/>
        <v>0</v>
      </c>
      <c r="GL271" s="116">
        <f t="shared" si="924"/>
        <v>3</v>
      </c>
    </row>
    <row r="272" spans="14:194" ht="15" customHeight="1">
      <c r="N272" s="116">
        <f t="shared" ref="N272:BY272" si="925">N269</f>
        <v>0</v>
      </c>
      <c r="O272" s="116">
        <f t="shared" si="925"/>
        <v>0</v>
      </c>
      <c r="P272" s="116">
        <f t="shared" si="925"/>
        <v>0</v>
      </c>
      <c r="Q272" s="116">
        <f t="shared" si="925"/>
        <v>0</v>
      </c>
      <c r="R272" s="116">
        <f t="shared" si="925"/>
        <v>0</v>
      </c>
      <c r="S272" s="116">
        <f t="shared" si="925"/>
        <v>0</v>
      </c>
      <c r="T272" s="116">
        <f t="shared" si="925"/>
        <v>0</v>
      </c>
      <c r="U272" s="116">
        <f t="shared" si="925"/>
        <v>0</v>
      </c>
      <c r="V272" s="116">
        <f t="shared" si="925"/>
        <v>0</v>
      </c>
      <c r="W272" s="116">
        <f t="shared" si="925"/>
        <v>0</v>
      </c>
      <c r="X272" s="116">
        <f t="shared" si="925"/>
        <v>0</v>
      </c>
      <c r="Y272" s="116">
        <f t="shared" si="925"/>
        <v>0</v>
      </c>
      <c r="Z272" s="116">
        <f t="shared" si="925"/>
        <v>0</v>
      </c>
      <c r="AA272" s="116">
        <f t="shared" si="925"/>
        <v>0</v>
      </c>
      <c r="AB272" s="116">
        <f t="shared" si="925"/>
        <v>0</v>
      </c>
      <c r="AC272" s="116">
        <f t="shared" si="925"/>
        <v>0</v>
      </c>
      <c r="AD272" s="116">
        <f t="shared" si="925"/>
        <v>0</v>
      </c>
      <c r="AE272" s="116">
        <f t="shared" si="925"/>
        <v>0</v>
      </c>
      <c r="AF272" s="116">
        <f t="shared" si="925"/>
        <v>0</v>
      </c>
      <c r="AG272" s="116">
        <f t="shared" si="925"/>
        <v>0</v>
      </c>
      <c r="AH272" s="116">
        <f t="shared" si="925"/>
        <v>0</v>
      </c>
      <c r="AI272" s="116">
        <f t="shared" si="925"/>
        <v>0</v>
      </c>
      <c r="AJ272" s="116">
        <f t="shared" si="925"/>
        <v>0</v>
      </c>
      <c r="AK272" s="116">
        <f t="shared" si="925"/>
        <v>0</v>
      </c>
      <c r="AL272" s="116">
        <f t="shared" si="925"/>
        <v>0</v>
      </c>
      <c r="AM272" s="116">
        <f t="shared" si="925"/>
        <v>0</v>
      </c>
      <c r="AN272" s="116">
        <f t="shared" si="925"/>
        <v>0</v>
      </c>
      <c r="AO272" s="116">
        <f t="shared" si="925"/>
        <v>0</v>
      </c>
      <c r="AP272" s="116">
        <f t="shared" si="925"/>
        <v>0</v>
      </c>
      <c r="AQ272" s="116">
        <f t="shared" si="925"/>
        <v>0</v>
      </c>
      <c r="AR272" s="116">
        <f t="shared" si="925"/>
        <v>0</v>
      </c>
      <c r="AS272" s="116">
        <f t="shared" si="925"/>
        <v>0</v>
      </c>
      <c r="AT272" s="116">
        <f t="shared" si="925"/>
        <v>0</v>
      </c>
      <c r="AU272" s="116">
        <f t="shared" si="925"/>
        <v>0</v>
      </c>
      <c r="AV272" s="116">
        <f t="shared" si="925"/>
        <v>0</v>
      </c>
      <c r="AW272" s="116">
        <f t="shared" si="925"/>
        <v>0</v>
      </c>
      <c r="AX272" s="116">
        <f t="shared" si="925"/>
        <v>0</v>
      </c>
      <c r="AY272" s="116">
        <f t="shared" si="925"/>
        <v>0</v>
      </c>
      <c r="AZ272" s="116">
        <f t="shared" si="925"/>
        <v>0</v>
      </c>
      <c r="BA272" s="116">
        <f t="shared" si="925"/>
        <v>0</v>
      </c>
      <c r="BB272" s="116">
        <f t="shared" si="925"/>
        <v>0</v>
      </c>
      <c r="BC272" s="116">
        <f t="shared" si="925"/>
        <v>0</v>
      </c>
      <c r="BD272" s="116">
        <f t="shared" si="925"/>
        <v>0</v>
      </c>
      <c r="BE272" s="116">
        <f t="shared" si="925"/>
        <v>0</v>
      </c>
      <c r="BF272" s="116">
        <f t="shared" si="925"/>
        <v>0</v>
      </c>
      <c r="BG272" s="116">
        <f t="shared" si="925"/>
        <v>0</v>
      </c>
      <c r="BH272" s="116">
        <f t="shared" si="925"/>
        <v>0</v>
      </c>
      <c r="BI272" s="116">
        <f t="shared" si="925"/>
        <v>0</v>
      </c>
      <c r="BJ272" s="116">
        <f t="shared" si="925"/>
        <v>0</v>
      </c>
      <c r="BK272" s="116">
        <f t="shared" si="925"/>
        <v>0</v>
      </c>
      <c r="BL272" s="116">
        <f t="shared" si="925"/>
        <v>0</v>
      </c>
      <c r="BM272" s="116">
        <f t="shared" si="925"/>
        <v>0</v>
      </c>
      <c r="BN272" s="116">
        <f t="shared" si="925"/>
        <v>0</v>
      </c>
      <c r="BO272" s="116">
        <f t="shared" si="925"/>
        <v>0</v>
      </c>
      <c r="BP272" s="116">
        <f t="shared" si="925"/>
        <v>0</v>
      </c>
      <c r="BQ272" s="116">
        <f t="shared" si="925"/>
        <v>0</v>
      </c>
      <c r="BR272" s="116">
        <f t="shared" si="925"/>
        <v>0</v>
      </c>
      <c r="BS272" s="116">
        <f t="shared" si="925"/>
        <v>0</v>
      </c>
      <c r="BT272" s="116">
        <f t="shared" si="925"/>
        <v>0</v>
      </c>
      <c r="BU272" s="116">
        <f t="shared" si="925"/>
        <v>0</v>
      </c>
      <c r="BV272" s="116">
        <f t="shared" si="925"/>
        <v>0</v>
      </c>
      <c r="BW272" s="116">
        <f t="shared" si="925"/>
        <v>0</v>
      </c>
      <c r="BX272" s="116">
        <f t="shared" si="925"/>
        <v>0</v>
      </c>
      <c r="BY272" s="116">
        <f t="shared" si="925"/>
        <v>0</v>
      </c>
      <c r="BZ272" s="116">
        <f t="shared" ref="BZ272:CP272" si="926">BZ269</f>
        <v>0</v>
      </c>
      <c r="CA272" s="116">
        <f t="shared" si="926"/>
        <v>0</v>
      </c>
      <c r="CB272" s="116">
        <f t="shared" si="926"/>
        <v>0</v>
      </c>
      <c r="CC272" s="116">
        <f t="shared" si="926"/>
        <v>0</v>
      </c>
      <c r="CD272" s="116">
        <f t="shared" si="926"/>
        <v>0</v>
      </c>
      <c r="CE272" s="116">
        <f t="shared" si="926"/>
        <v>0</v>
      </c>
      <c r="CF272" s="116">
        <f t="shared" si="926"/>
        <v>0</v>
      </c>
      <c r="CG272" s="116">
        <f t="shared" si="926"/>
        <v>0</v>
      </c>
      <c r="CH272" s="116">
        <f t="shared" si="926"/>
        <v>0</v>
      </c>
      <c r="CI272" s="116">
        <f t="shared" si="926"/>
        <v>0</v>
      </c>
      <c r="CJ272" s="116">
        <f t="shared" si="926"/>
        <v>0</v>
      </c>
      <c r="CK272" s="116">
        <f t="shared" si="926"/>
        <v>0</v>
      </c>
      <c r="CL272" s="116">
        <f t="shared" si="926"/>
        <v>0</v>
      </c>
      <c r="CM272" s="116">
        <f t="shared" si="926"/>
        <v>0</v>
      </c>
      <c r="CN272" s="116">
        <f t="shared" si="926"/>
        <v>0</v>
      </c>
      <c r="CO272" s="116">
        <f t="shared" si="926"/>
        <v>0</v>
      </c>
      <c r="CP272" s="116">
        <f t="shared" si="926"/>
        <v>0</v>
      </c>
      <c r="DJ272" s="116">
        <f t="shared" ref="DJ272:FU272" si="927">DJ269</f>
        <v>2</v>
      </c>
      <c r="DK272" s="116">
        <f t="shared" si="927"/>
        <v>1</v>
      </c>
      <c r="DL272" s="116">
        <f t="shared" si="927"/>
        <v>2</v>
      </c>
      <c r="DM272" s="116">
        <f t="shared" si="927"/>
        <v>2</v>
      </c>
      <c r="DN272" s="116">
        <f t="shared" si="927"/>
        <v>1</v>
      </c>
      <c r="DO272" s="116">
        <f t="shared" si="927"/>
        <v>2</v>
      </c>
      <c r="DP272" s="116">
        <f t="shared" si="927"/>
        <v>2</v>
      </c>
      <c r="DQ272" s="116">
        <f t="shared" si="927"/>
        <v>1</v>
      </c>
      <c r="DR272" s="116">
        <f t="shared" si="927"/>
        <v>2</v>
      </c>
      <c r="DS272" s="116">
        <f t="shared" si="927"/>
        <v>2</v>
      </c>
      <c r="DT272" s="116">
        <f t="shared" si="927"/>
        <v>1</v>
      </c>
      <c r="DU272" s="116">
        <f t="shared" si="927"/>
        <v>2</v>
      </c>
      <c r="DV272" s="116">
        <f t="shared" si="927"/>
        <v>2</v>
      </c>
      <c r="DW272" s="116">
        <f t="shared" si="927"/>
        <v>1</v>
      </c>
      <c r="DX272" s="116">
        <f t="shared" si="927"/>
        <v>2</v>
      </c>
      <c r="DY272" s="116">
        <f t="shared" si="927"/>
        <v>2</v>
      </c>
      <c r="DZ272" s="116">
        <f t="shared" si="927"/>
        <v>1</v>
      </c>
      <c r="EA272" s="116">
        <f t="shared" si="927"/>
        <v>2</v>
      </c>
      <c r="EB272" s="116">
        <f t="shared" si="927"/>
        <v>2</v>
      </c>
      <c r="EC272" s="116">
        <f t="shared" si="927"/>
        <v>1</v>
      </c>
      <c r="ED272" s="116">
        <f t="shared" si="927"/>
        <v>2</v>
      </c>
      <c r="EE272" s="116">
        <f t="shared" si="927"/>
        <v>2</v>
      </c>
      <c r="EF272" s="116">
        <f t="shared" si="927"/>
        <v>1</v>
      </c>
      <c r="EG272" s="116">
        <f t="shared" si="927"/>
        <v>2</v>
      </c>
      <c r="EH272" s="116">
        <f t="shared" si="927"/>
        <v>2</v>
      </c>
      <c r="EI272" s="116">
        <f t="shared" si="927"/>
        <v>1</v>
      </c>
      <c r="EJ272" s="116">
        <f t="shared" si="927"/>
        <v>2</v>
      </c>
      <c r="EK272" s="116">
        <f t="shared" si="927"/>
        <v>4</v>
      </c>
      <c r="EL272" s="116">
        <f t="shared" si="927"/>
        <v>0</v>
      </c>
      <c r="EM272" s="116">
        <f t="shared" si="927"/>
        <v>2</v>
      </c>
      <c r="EN272" s="116">
        <f t="shared" si="927"/>
        <v>4</v>
      </c>
      <c r="EO272" s="116">
        <f t="shared" si="927"/>
        <v>0</v>
      </c>
      <c r="EP272" s="116">
        <f t="shared" si="927"/>
        <v>2</v>
      </c>
      <c r="EQ272" s="116">
        <f t="shared" si="927"/>
        <v>4</v>
      </c>
      <c r="ER272" s="116">
        <f t="shared" si="927"/>
        <v>0</v>
      </c>
      <c r="ES272" s="116">
        <f t="shared" si="927"/>
        <v>2</v>
      </c>
      <c r="ET272" s="116">
        <f t="shared" si="927"/>
        <v>4</v>
      </c>
      <c r="EU272" s="116">
        <f t="shared" si="927"/>
        <v>0</v>
      </c>
      <c r="EV272" s="116">
        <f t="shared" si="927"/>
        <v>2</v>
      </c>
      <c r="EW272" s="116">
        <f t="shared" si="927"/>
        <v>4</v>
      </c>
      <c r="EX272" s="116">
        <f t="shared" si="927"/>
        <v>0</v>
      </c>
      <c r="EY272" s="116">
        <f t="shared" si="927"/>
        <v>2</v>
      </c>
      <c r="EZ272" s="116">
        <f t="shared" si="927"/>
        <v>4</v>
      </c>
      <c r="FA272" s="116">
        <f t="shared" si="927"/>
        <v>0</v>
      </c>
      <c r="FB272" s="116">
        <f t="shared" si="927"/>
        <v>2</v>
      </c>
      <c r="FC272" s="116">
        <f t="shared" si="927"/>
        <v>4</v>
      </c>
      <c r="FD272" s="116">
        <f t="shared" si="927"/>
        <v>0</v>
      </c>
      <c r="FE272" s="116">
        <f t="shared" si="927"/>
        <v>2</v>
      </c>
      <c r="FF272" s="116">
        <f t="shared" si="927"/>
        <v>4</v>
      </c>
      <c r="FG272" s="116">
        <f t="shared" si="927"/>
        <v>0</v>
      </c>
      <c r="FH272" s="116">
        <f t="shared" si="927"/>
        <v>2</v>
      </c>
      <c r="FI272" s="116">
        <f t="shared" si="927"/>
        <v>4</v>
      </c>
      <c r="FJ272" s="116">
        <f t="shared" si="927"/>
        <v>0</v>
      </c>
      <c r="FK272" s="116">
        <f t="shared" si="927"/>
        <v>2</v>
      </c>
      <c r="FL272" s="116">
        <f t="shared" si="927"/>
        <v>0</v>
      </c>
      <c r="FM272" s="116">
        <f t="shared" si="927"/>
        <v>1</v>
      </c>
      <c r="FN272" s="116">
        <f t="shared" si="927"/>
        <v>2</v>
      </c>
      <c r="FO272" s="116">
        <f t="shared" si="927"/>
        <v>0</v>
      </c>
      <c r="FP272" s="116">
        <f t="shared" si="927"/>
        <v>1</v>
      </c>
      <c r="FQ272" s="116">
        <f t="shared" si="927"/>
        <v>2</v>
      </c>
      <c r="FR272" s="116">
        <f t="shared" si="927"/>
        <v>0</v>
      </c>
      <c r="FS272" s="116">
        <f t="shared" si="927"/>
        <v>1</v>
      </c>
      <c r="FT272" s="116">
        <f t="shared" si="927"/>
        <v>2</v>
      </c>
      <c r="FU272" s="116">
        <f t="shared" si="927"/>
        <v>0</v>
      </c>
      <c r="FV272" s="116">
        <f t="shared" ref="FV272:GL272" si="928">FV269</f>
        <v>1</v>
      </c>
      <c r="FW272" s="116">
        <f t="shared" si="928"/>
        <v>2</v>
      </c>
      <c r="FX272" s="116">
        <f t="shared" si="928"/>
        <v>0</v>
      </c>
      <c r="FY272" s="116">
        <f t="shared" si="928"/>
        <v>1</v>
      </c>
      <c r="FZ272" s="116">
        <f t="shared" si="928"/>
        <v>2</v>
      </c>
      <c r="GA272" s="116">
        <f t="shared" si="928"/>
        <v>0</v>
      </c>
      <c r="GB272" s="116">
        <f t="shared" si="928"/>
        <v>1</v>
      </c>
      <c r="GC272" s="116">
        <f t="shared" si="928"/>
        <v>2</v>
      </c>
      <c r="GD272" s="116">
        <f t="shared" si="928"/>
        <v>0</v>
      </c>
      <c r="GE272" s="116">
        <f t="shared" si="928"/>
        <v>1</v>
      </c>
      <c r="GF272" s="116">
        <f t="shared" si="928"/>
        <v>2</v>
      </c>
      <c r="GG272" s="116">
        <f t="shared" si="928"/>
        <v>0</v>
      </c>
      <c r="GH272" s="116">
        <f t="shared" si="928"/>
        <v>1</v>
      </c>
      <c r="GI272" s="116">
        <f t="shared" si="928"/>
        <v>2</v>
      </c>
      <c r="GJ272" s="116">
        <f t="shared" si="928"/>
        <v>0</v>
      </c>
      <c r="GK272" s="116">
        <f t="shared" si="928"/>
        <v>1</v>
      </c>
      <c r="GL272" s="116">
        <f t="shared" si="928"/>
        <v>2</v>
      </c>
    </row>
    <row r="273" spans="14:194" ht="15" customHeight="1">
      <c r="N273" s="116">
        <f t="shared" ref="N273:BY273" si="929">N270</f>
        <v>0</v>
      </c>
      <c r="O273" s="116">
        <f t="shared" si="929"/>
        <v>0</v>
      </c>
      <c r="P273" s="116">
        <f t="shared" si="929"/>
        <v>0</v>
      </c>
      <c r="Q273" s="116">
        <f t="shared" si="929"/>
        <v>0</v>
      </c>
      <c r="R273" s="116">
        <f t="shared" si="929"/>
        <v>0</v>
      </c>
      <c r="S273" s="116">
        <f t="shared" si="929"/>
        <v>0</v>
      </c>
      <c r="T273" s="116">
        <f t="shared" si="929"/>
        <v>0</v>
      </c>
      <c r="U273" s="116">
        <f t="shared" si="929"/>
        <v>0</v>
      </c>
      <c r="V273" s="116">
        <f t="shared" si="929"/>
        <v>0</v>
      </c>
      <c r="W273" s="116">
        <f t="shared" si="929"/>
        <v>0</v>
      </c>
      <c r="X273" s="116">
        <f t="shared" si="929"/>
        <v>0</v>
      </c>
      <c r="Y273" s="116">
        <f t="shared" si="929"/>
        <v>0</v>
      </c>
      <c r="Z273" s="116">
        <f t="shared" si="929"/>
        <v>0</v>
      </c>
      <c r="AA273" s="116">
        <f t="shared" si="929"/>
        <v>0</v>
      </c>
      <c r="AB273" s="116">
        <f t="shared" si="929"/>
        <v>0</v>
      </c>
      <c r="AC273" s="116">
        <f t="shared" si="929"/>
        <v>0</v>
      </c>
      <c r="AD273" s="116">
        <f t="shared" si="929"/>
        <v>0</v>
      </c>
      <c r="AE273" s="116">
        <f t="shared" si="929"/>
        <v>0</v>
      </c>
      <c r="AF273" s="116">
        <f t="shared" si="929"/>
        <v>0</v>
      </c>
      <c r="AG273" s="116">
        <f t="shared" si="929"/>
        <v>0</v>
      </c>
      <c r="AH273" s="116">
        <f t="shared" si="929"/>
        <v>0</v>
      </c>
      <c r="AI273" s="116">
        <f t="shared" si="929"/>
        <v>0</v>
      </c>
      <c r="AJ273" s="116">
        <f t="shared" si="929"/>
        <v>0</v>
      </c>
      <c r="AK273" s="116">
        <f t="shared" si="929"/>
        <v>0</v>
      </c>
      <c r="AL273" s="116">
        <f t="shared" si="929"/>
        <v>0</v>
      </c>
      <c r="AM273" s="116">
        <f t="shared" si="929"/>
        <v>0</v>
      </c>
      <c r="AN273" s="116">
        <f t="shared" si="929"/>
        <v>0</v>
      </c>
      <c r="AO273" s="116">
        <f t="shared" si="929"/>
        <v>0</v>
      </c>
      <c r="AP273" s="116">
        <f t="shared" si="929"/>
        <v>0</v>
      </c>
      <c r="AQ273" s="116">
        <f t="shared" si="929"/>
        <v>0</v>
      </c>
      <c r="AR273" s="116">
        <f t="shared" si="929"/>
        <v>0</v>
      </c>
      <c r="AS273" s="116">
        <f t="shared" si="929"/>
        <v>0</v>
      </c>
      <c r="AT273" s="116">
        <f t="shared" si="929"/>
        <v>0</v>
      </c>
      <c r="AU273" s="116">
        <f t="shared" si="929"/>
        <v>0</v>
      </c>
      <c r="AV273" s="116">
        <f t="shared" si="929"/>
        <v>0</v>
      </c>
      <c r="AW273" s="116">
        <f t="shared" si="929"/>
        <v>0</v>
      </c>
      <c r="AX273" s="116">
        <f t="shared" si="929"/>
        <v>0</v>
      </c>
      <c r="AY273" s="116">
        <f t="shared" si="929"/>
        <v>0</v>
      </c>
      <c r="AZ273" s="116">
        <f t="shared" si="929"/>
        <v>0</v>
      </c>
      <c r="BA273" s="116">
        <f t="shared" si="929"/>
        <v>0</v>
      </c>
      <c r="BB273" s="116">
        <f t="shared" si="929"/>
        <v>0</v>
      </c>
      <c r="BC273" s="116">
        <f t="shared" si="929"/>
        <v>0</v>
      </c>
      <c r="BD273" s="116">
        <f t="shared" si="929"/>
        <v>0</v>
      </c>
      <c r="BE273" s="116">
        <f t="shared" si="929"/>
        <v>0</v>
      </c>
      <c r="BF273" s="116">
        <f t="shared" si="929"/>
        <v>0</v>
      </c>
      <c r="BG273" s="116">
        <f t="shared" si="929"/>
        <v>0</v>
      </c>
      <c r="BH273" s="116">
        <f t="shared" si="929"/>
        <v>0</v>
      </c>
      <c r="BI273" s="116">
        <f t="shared" si="929"/>
        <v>0</v>
      </c>
      <c r="BJ273" s="116">
        <f t="shared" si="929"/>
        <v>0</v>
      </c>
      <c r="BK273" s="116">
        <f t="shared" si="929"/>
        <v>0</v>
      </c>
      <c r="BL273" s="116">
        <f t="shared" si="929"/>
        <v>0</v>
      </c>
      <c r="BM273" s="116">
        <f t="shared" si="929"/>
        <v>0</v>
      </c>
      <c r="BN273" s="116">
        <f t="shared" si="929"/>
        <v>0</v>
      </c>
      <c r="BO273" s="116">
        <f t="shared" si="929"/>
        <v>0</v>
      </c>
      <c r="BP273" s="116">
        <f t="shared" si="929"/>
        <v>0</v>
      </c>
      <c r="BQ273" s="116">
        <f t="shared" si="929"/>
        <v>0</v>
      </c>
      <c r="BR273" s="116">
        <f t="shared" si="929"/>
        <v>0</v>
      </c>
      <c r="BS273" s="116">
        <f t="shared" si="929"/>
        <v>0</v>
      </c>
      <c r="BT273" s="116">
        <f t="shared" si="929"/>
        <v>0</v>
      </c>
      <c r="BU273" s="116">
        <f t="shared" si="929"/>
        <v>0</v>
      </c>
      <c r="BV273" s="116">
        <f t="shared" si="929"/>
        <v>0</v>
      </c>
      <c r="BW273" s="116">
        <f t="shared" si="929"/>
        <v>0</v>
      </c>
      <c r="BX273" s="116">
        <f t="shared" si="929"/>
        <v>0</v>
      </c>
      <c r="BY273" s="116">
        <f t="shared" si="929"/>
        <v>0</v>
      </c>
      <c r="BZ273" s="116">
        <f t="shared" ref="BZ273:CP273" si="930">BZ270</f>
        <v>0</v>
      </c>
      <c r="CA273" s="116">
        <f t="shared" si="930"/>
        <v>0</v>
      </c>
      <c r="CB273" s="116">
        <f t="shared" si="930"/>
        <v>0</v>
      </c>
      <c r="CC273" s="116">
        <f t="shared" si="930"/>
        <v>0</v>
      </c>
      <c r="CD273" s="116">
        <f t="shared" si="930"/>
        <v>0</v>
      </c>
      <c r="CE273" s="116">
        <f t="shared" si="930"/>
        <v>0</v>
      </c>
      <c r="CF273" s="116">
        <f t="shared" si="930"/>
        <v>0</v>
      </c>
      <c r="CG273" s="116">
        <f t="shared" si="930"/>
        <v>0</v>
      </c>
      <c r="CH273" s="116">
        <f t="shared" si="930"/>
        <v>0</v>
      </c>
      <c r="CI273" s="116">
        <f t="shared" si="930"/>
        <v>0</v>
      </c>
      <c r="CJ273" s="116">
        <f t="shared" si="930"/>
        <v>0</v>
      </c>
      <c r="CK273" s="116">
        <f t="shared" si="930"/>
        <v>0</v>
      </c>
      <c r="CL273" s="116">
        <f t="shared" si="930"/>
        <v>0</v>
      </c>
      <c r="CM273" s="116">
        <f t="shared" si="930"/>
        <v>0</v>
      </c>
      <c r="CN273" s="116">
        <f t="shared" si="930"/>
        <v>0</v>
      </c>
      <c r="CO273" s="116">
        <f t="shared" si="930"/>
        <v>0</v>
      </c>
      <c r="CP273" s="116">
        <f t="shared" si="930"/>
        <v>0</v>
      </c>
      <c r="DJ273" s="116">
        <f t="shared" ref="DJ273:FU273" si="931">DJ270</f>
        <v>0</v>
      </c>
      <c r="DK273" s="116">
        <f t="shared" si="931"/>
        <v>1</v>
      </c>
      <c r="DL273" s="116">
        <f t="shared" si="931"/>
        <v>0</v>
      </c>
      <c r="DM273" s="116">
        <f t="shared" si="931"/>
        <v>0</v>
      </c>
      <c r="DN273" s="116">
        <f t="shared" si="931"/>
        <v>1</v>
      </c>
      <c r="DO273" s="116">
        <f t="shared" si="931"/>
        <v>0</v>
      </c>
      <c r="DP273" s="116">
        <f t="shared" si="931"/>
        <v>0</v>
      </c>
      <c r="DQ273" s="116">
        <f t="shared" si="931"/>
        <v>1</v>
      </c>
      <c r="DR273" s="116">
        <f t="shared" si="931"/>
        <v>0</v>
      </c>
      <c r="DS273" s="116">
        <f t="shared" si="931"/>
        <v>0</v>
      </c>
      <c r="DT273" s="116">
        <f t="shared" si="931"/>
        <v>1</v>
      </c>
      <c r="DU273" s="116">
        <f t="shared" si="931"/>
        <v>0</v>
      </c>
      <c r="DV273" s="116">
        <f t="shared" si="931"/>
        <v>0</v>
      </c>
      <c r="DW273" s="116">
        <f t="shared" si="931"/>
        <v>1</v>
      </c>
      <c r="DX273" s="116">
        <f t="shared" si="931"/>
        <v>0</v>
      </c>
      <c r="DY273" s="116">
        <f t="shared" si="931"/>
        <v>0</v>
      </c>
      <c r="DZ273" s="116">
        <f t="shared" si="931"/>
        <v>1</v>
      </c>
      <c r="EA273" s="116">
        <f t="shared" si="931"/>
        <v>0</v>
      </c>
      <c r="EB273" s="116">
        <f t="shared" si="931"/>
        <v>0</v>
      </c>
      <c r="EC273" s="116">
        <f t="shared" si="931"/>
        <v>1</v>
      </c>
      <c r="ED273" s="116">
        <f t="shared" si="931"/>
        <v>0</v>
      </c>
      <c r="EE273" s="116">
        <f t="shared" si="931"/>
        <v>0</v>
      </c>
      <c r="EF273" s="116">
        <f t="shared" si="931"/>
        <v>1</v>
      </c>
      <c r="EG273" s="116">
        <f t="shared" si="931"/>
        <v>0</v>
      </c>
      <c r="EH273" s="116">
        <f t="shared" si="931"/>
        <v>0</v>
      </c>
      <c r="EI273" s="116">
        <f t="shared" si="931"/>
        <v>1</v>
      </c>
      <c r="EJ273" s="116">
        <f t="shared" si="931"/>
        <v>0</v>
      </c>
      <c r="EK273" s="116">
        <f t="shared" si="931"/>
        <v>1</v>
      </c>
      <c r="EL273" s="116">
        <f t="shared" si="931"/>
        <v>2</v>
      </c>
      <c r="EM273" s="116">
        <f t="shared" si="931"/>
        <v>0</v>
      </c>
      <c r="EN273" s="116">
        <f t="shared" si="931"/>
        <v>1</v>
      </c>
      <c r="EO273" s="116">
        <f t="shared" si="931"/>
        <v>2</v>
      </c>
      <c r="EP273" s="116">
        <f t="shared" si="931"/>
        <v>0</v>
      </c>
      <c r="EQ273" s="116">
        <f t="shared" si="931"/>
        <v>1</v>
      </c>
      <c r="ER273" s="116">
        <f t="shared" si="931"/>
        <v>2</v>
      </c>
      <c r="ES273" s="116">
        <f t="shared" si="931"/>
        <v>0</v>
      </c>
      <c r="ET273" s="116">
        <f t="shared" si="931"/>
        <v>1</v>
      </c>
      <c r="EU273" s="116">
        <f t="shared" si="931"/>
        <v>2</v>
      </c>
      <c r="EV273" s="116">
        <f t="shared" si="931"/>
        <v>0</v>
      </c>
      <c r="EW273" s="116">
        <f t="shared" si="931"/>
        <v>1</v>
      </c>
      <c r="EX273" s="116">
        <f t="shared" si="931"/>
        <v>2</v>
      </c>
      <c r="EY273" s="116">
        <f t="shared" si="931"/>
        <v>0</v>
      </c>
      <c r="EZ273" s="116">
        <f t="shared" si="931"/>
        <v>1</v>
      </c>
      <c r="FA273" s="116">
        <f t="shared" si="931"/>
        <v>2</v>
      </c>
      <c r="FB273" s="116">
        <f t="shared" si="931"/>
        <v>0</v>
      </c>
      <c r="FC273" s="116">
        <f t="shared" si="931"/>
        <v>1</v>
      </c>
      <c r="FD273" s="116">
        <f t="shared" si="931"/>
        <v>2</v>
      </c>
      <c r="FE273" s="116">
        <f t="shared" si="931"/>
        <v>0</v>
      </c>
      <c r="FF273" s="116">
        <f t="shared" si="931"/>
        <v>1</v>
      </c>
      <c r="FG273" s="116">
        <f t="shared" si="931"/>
        <v>2</v>
      </c>
      <c r="FH273" s="116">
        <f t="shared" si="931"/>
        <v>0</v>
      </c>
      <c r="FI273" s="116">
        <f t="shared" si="931"/>
        <v>1</v>
      </c>
      <c r="FJ273" s="116">
        <f t="shared" si="931"/>
        <v>2</v>
      </c>
      <c r="FK273" s="116">
        <f t="shared" si="931"/>
        <v>0</v>
      </c>
      <c r="FL273" s="116">
        <f t="shared" si="931"/>
        <v>1</v>
      </c>
      <c r="FM273" s="116">
        <f t="shared" si="931"/>
        <v>3</v>
      </c>
      <c r="FN273" s="116">
        <f t="shared" si="931"/>
        <v>0</v>
      </c>
      <c r="FO273" s="116">
        <f t="shared" si="931"/>
        <v>1</v>
      </c>
      <c r="FP273" s="116">
        <f t="shared" si="931"/>
        <v>3</v>
      </c>
      <c r="FQ273" s="116">
        <f t="shared" si="931"/>
        <v>0</v>
      </c>
      <c r="FR273" s="116">
        <f t="shared" si="931"/>
        <v>1</v>
      </c>
      <c r="FS273" s="116">
        <f t="shared" si="931"/>
        <v>3</v>
      </c>
      <c r="FT273" s="116">
        <f t="shared" si="931"/>
        <v>0</v>
      </c>
      <c r="FU273" s="116">
        <f t="shared" si="931"/>
        <v>1</v>
      </c>
      <c r="FV273" s="116">
        <f t="shared" ref="FV273:GL273" si="932">FV270</f>
        <v>3</v>
      </c>
      <c r="FW273" s="116">
        <f t="shared" si="932"/>
        <v>0</v>
      </c>
      <c r="FX273" s="116">
        <f t="shared" si="932"/>
        <v>1</v>
      </c>
      <c r="FY273" s="116">
        <f t="shared" si="932"/>
        <v>3</v>
      </c>
      <c r="FZ273" s="116">
        <f t="shared" si="932"/>
        <v>0</v>
      </c>
      <c r="GA273" s="116">
        <f t="shared" si="932"/>
        <v>1</v>
      </c>
      <c r="GB273" s="116">
        <f t="shared" si="932"/>
        <v>3</v>
      </c>
      <c r="GC273" s="116">
        <f t="shared" si="932"/>
        <v>0</v>
      </c>
      <c r="GD273" s="116">
        <f t="shared" si="932"/>
        <v>1</v>
      </c>
      <c r="GE273" s="116">
        <f t="shared" si="932"/>
        <v>3</v>
      </c>
      <c r="GF273" s="116">
        <f t="shared" si="932"/>
        <v>0</v>
      </c>
      <c r="GG273" s="116">
        <f t="shared" si="932"/>
        <v>1</v>
      </c>
      <c r="GH273" s="116">
        <f t="shared" si="932"/>
        <v>3</v>
      </c>
      <c r="GI273" s="116">
        <f t="shared" si="932"/>
        <v>0</v>
      </c>
      <c r="GJ273" s="116">
        <f t="shared" si="932"/>
        <v>1</v>
      </c>
      <c r="GK273" s="116">
        <f t="shared" si="932"/>
        <v>3</v>
      </c>
      <c r="GL273" s="116">
        <f t="shared" si="932"/>
        <v>0</v>
      </c>
    </row>
    <row r="274" spans="14:194" ht="15" customHeight="1">
      <c r="N274" s="116">
        <f t="shared" ref="N274:BY274" si="933">N271</f>
        <v>0</v>
      </c>
      <c r="O274" s="116">
        <f t="shared" si="933"/>
        <v>0</v>
      </c>
      <c r="P274" s="116">
        <f t="shared" si="933"/>
        <v>0</v>
      </c>
      <c r="Q274" s="116">
        <f t="shared" si="933"/>
        <v>0</v>
      </c>
      <c r="R274" s="116">
        <f t="shared" si="933"/>
        <v>0</v>
      </c>
      <c r="S274" s="116">
        <f t="shared" si="933"/>
        <v>0</v>
      </c>
      <c r="T274" s="116">
        <f t="shared" si="933"/>
        <v>0</v>
      </c>
      <c r="U274" s="116">
        <f t="shared" si="933"/>
        <v>0</v>
      </c>
      <c r="V274" s="116">
        <f t="shared" si="933"/>
        <v>0</v>
      </c>
      <c r="W274" s="116">
        <f t="shared" si="933"/>
        <v>0</v>
      </c>
      <c r="X274" s="116">
        <f t="shared" si="933"/>
        <v>0</v>
      </c>
      <c r="Y274" s="116">
        <f t="shared" si="933"/>
        <v>0</v>
      </c>
      <c r="Z274" s="116">
        <f t="shared" si="933"/>
        <v>0</v>
      </c>
      <c r="AA274" s="116">
        <f t="shared" si="933"/>
        <v>0</v>
      </c>
      <c r="AB274" s="116">
        <f t="shared" si="933"/>
        <v>0</v>
      </c>
      <c r="AC274" s="116">
        <f t="shared" si="933"/>
        <v>0</v>
      </c>
      <c r="AD274" s="116">
        <f t="shared" si="933"/>
        <v>0</v>
      </c>
      <c r="AE274" s="116">
        <f t="shared" si="933"/>
        <v>0</v>
      </c>
      <c r="AF274" s="116">
        <f t="shared" si="933"/>
        <v>0</v>
      </c>
      <c r="AG274" s="116">
        <f t="shared" si="933"/>
        <v>0</v>
      </c>
      <c r="AH274" s="116">
        <f t="shared" si="933"/>
        <v>0</v>
      </c>
      <c r="AI274" s="116">
        <f t="shared" si="933"/>
        <v>0</v>
      </c>
      <c r="AJ274" s="116">
        <f t="shared" si="933"/>
        <v>0</v>
      </c>
      <c r="AK274" s="116">
        <f t="shared" si="933"/>
        <v>0</v>
      </c>
      <c r="AL274" s="116">
        <f t="shared" si="933"/>
        <v>0</v>
      </c>
      <c r="AM274" s="116">
        <f t="shared" si="933"/>
        <v>0</v>
      </c>
      <c r="AN274" s="116">
        <f t="shared" si="933"/>
        <v>0</v>
      </c>
      <c r="AO274" s="116">
        <f t="shared" si="933"/>
        <v>0</v>
      </c>
      <c r="AP274" s="116">
        <f t="shared" si="933"/>
        <v>0</v>
      </c>
      <c r="AQ274" s="116">
        <f t="shared" si="933"/>
        <v>0</v>
      </c>
      <c r="AR274" s="116">
        <f t="shared" si="933"/>
        <v>0</v>
      </c>
      <c r="AS274" s="116">
        <f t="shared" si="933"/>
        <v>0</v>
      </c>
      <c r="AT274" s="116">
        <f t="shared" si="933"/>
        <v>0</v>
      </c>
      <c r="AU274" s="116">
        <f t="shared" si="933"/>
        <v>0</v>
      </c>
      <c r="AV274" s="116">
        <f t="shared" si="933"/>
        <v>0</v>
      </c>
      <c r="AW274" s="116">
        <f t="shared" si="933"/>
        <v>0</v>
      </c>
      <c r="AX274" s="116">
        <f t="shared" si="933"/>
        <v>0</v>
      </c>
      <c r="AY274" s="116">
        <f t="shared" si="933"/>
        <v>0</v>
      </c>
      <c r="AZ274" s="116">
        <f t="shared" si="933"/>
        <v>0</v>
      </c>
      <c r="BA274" s="116">
        <f t="shared" si="933"/>
        <v>0</v>
      </c>
      <c r="BB274" s="116">
        <f t="shared" si="933"/>
        <v>0</v>
      </c>
      <c r="BC274" s="116">
        <f t="shared" si="933"/>
        <v>0</v>
      </c>
      <c r="BD274" s="116">
        <f t="shared" si="933"/>
        <v>0</v>
      </c>
      <c r="BE274" s="116">
        <f t="shared" si="933"/>
        <v>0</v>
      </c>
      <c r="BF274" s="116">
        <f t="shared" si="933"/>
        <v>0</v>
      </c>
      <c r="BG274" s="116">
        <f t="shared" si="933"/>
        <v>0</v>
      </c>
      <c r="BH274" s="116">
        <f t="shared" si="933"/>
        <v>0</v>
      </c>
      <c r="BI274" s="116">
        <f t="shared" si="933"/>
        <v>0</v>
      </c>
      <c r="BJ274" s="116">
        <f t="shared" si="933"/>
        <v>0</v>
      </c>
      <c r="BK274" s="116">
        <f t="shared" si="933"/>
        <v>0</v>
      </c>
      <c r="BL274" s="116">
        <f t="shared" si="933"/>
        <v>0</v>
      </c>
      <c r="BM274" s="116">
        <f t="shared" si="933"/>
        <v>0</v>
      </c>
      <c r="BN274" s="116">
        <f t="shared" si="933"/>
        <v>0</v>
      </c>
      <c r="BO274" s="116">
        <f t="shared" si="933"/>
        <v>0</v>
      </c>
      <c r="BP274" s="116">
        <f t="shared" si="933"/>
        <v>0</v>
      </c>
      <c r="BQ274" s="116">
        <f t="shared" si="933"/>
        <v>0</v>
      </c>
      <c r="BR274" s="116">
        <f t="shared" si="933"/>
        <v>0</v>
      </c>
      <c r="BS274" s="116">
        <f t="shared" si="933"/>
        <v>0</v>
      </c>
      <c r="BT274" s="116">
        <f t="shared" si="933"/>
        <v>0</v>
      </c>
      <c r="BU274" s="116">
        <f t="shared" si="933"/>
        <v>0</v>
      </c>
      <c r="BV274" s="116">
        <f t="shared" si="933"/>
        <v>0</v>
      </c>
      <c r="BW274" s="116">
        <f t="shared" si="933"/>
        <v>0</v>
      </c>
      <c r="BX274" s="116">
        <f t="shared" si="933"/>
        <v>0</v>
      </c>
      <c r="BY274" s="116">
        <f t="shared" si="933"/>
        <v>0</v>
      </c>
      <c r="BZ274" s="116">
        <f t="shared" ref="BZ274:CP274" si="934">BZ271</f>
        <v>0</v>
      </c>
      <c r="CA274" s="116">
        <f t="shared" si="934"/>
        <v>0</v>
      </c>
      <c r="CB274" s="116">
        <f t="shared" si="934"/>
        <v>0</v>
      </c>
      <c r="CC274" s="116">
        <f t="shared" si="934"/>
        <v>0</v>
      </c>
      <c r="CD274" s="116">
        <f t="shared" si="934"/>
        <v>0</v>
      </c>
      <c r="CE274" s="116">
        <f t="shared" si="934"/>
        <v>0</v>
      </c>
      <c r="CF274" s="116">
        <f t="shared" si="934"/>
        <v>0</v>
      </c>
      <c r="CG274" s="116">
        <f t="shared" si="934"/>
        <v>0</v>
      </c>
      <c r="CH274" s="116">
        <f t="shared" si="934"/>
        <v>0</v>
      </c>
      <c r="CI274" s="116">
        <f t="shared" si="934"/>
        <v>0</v>
      </c>
      <c r="CJ274" s="116">
        <f t="shared" si="934"/>
        <v>0</v>
      </c>
      <c r="CK274" s="116">
        <f t="shared" si="934"/>
        <v>0</v>
      </c>
      <c r="CL274" s="116">
        <f t="shared" si="934"/>
        <v>0</v>
      </c>
      <c r="CM274" s="116">
        <f t="shared" si="934"/>
        <v>0</v>
      </c>
      <c r="CN274" s="116">
        <f t="shared" si="934"/>
        <v>0</v>
      </c>
      <c r="CO274" s="116">
        <f t="shared" si="934"/>
        <v>0</v>
      </c>
      <c r="CP274" s="116">
        <f t="shared" si="934"/>
        <v>0</v>
      </c>
      <c r="DJ274" s="116">
        <f t="shared" ref="DJ274:FU274" si="935">DJ271</f>
        <v>5</v>
      </c>
      <c r="DK274" s="116">
        <f t="shared" si="935"/>
        <v>3</v>
      </c>
      <c r="DL274" s="116">
        <f t="shared" si="935"/>
        <v>1</v>
      </c>
      <c r="DM274" s="116">
        <f t="shared" si="935"/>
        <v>5</v>
      </c>
      <c r="DN274" s="116">
        <f t="shared" si="935"/>
        <v>3</v>
      </c>
      <c r="DO274" s="116">
        <f t="shared" si="935"/>
        <v>1</v>
      </c>
      <c r="DP274" s="116">
        <f t="shared" si="935"/>
        <v>5</v>
      </c>
      <c r="DQ274" s="116">
        <f t="shared" si="935"/>
        <v>3</v>
      </c>
      <c r="DR274" s="116">
        <f t="shared" si="935"/>
        <v>1</v>
      </c>
      <c r="DS274" s="116">
        <f t="shared" si="935"/>
        <v>5</v>
      </c>
      <c r="DT274" s="116">
        <f t="shared" si="935"/>
        <v>3</v>
      </c>
      <c r="DU274" s="116">
        <f t="shared" si="935"/>
        <v>1</v>
      </c>
      <c r="DV274" s="116">
        <f t="shared" si="935"/>
        <v>5</v>
      </c>
      <c r="DW274" s="116">
        <f t="shared" si="935"/>
        <v>3</v>
      </c>
      <c r="DX274" s="116">
        <f t="shared" si="935"/>
        <v>1</v>
      </c>
      <c r="DY274" s="116">
        <f t="shared" si="935"/>
        <v>5</v>
      </c>
      <c r="DZ274" s="116">
        <f t="shared" si="935"/>
        <v>3</v>
      </c>
      <c r="EA274" s="116">
        <f t="shared" si="935"/>
        <v>1</v>
      </c>
      <c r="EB274" s="116">
        <f t="shared" si="935"/>
        <v>5</v>
      </c>
      <c r="EC274" s="116">
        <f t="shared" si="935"/>
        <v>3</v>
      </c>
      <c r="ED274" s="116">
        <f t="shared" si="935"/>
        <v>1</v>
      </c>
      <c r="EE274" s="116">
        <f t="shared" si="935"/>
        <v>5</v>
      </c>
      <c r="EF274" s="116">
        <f t="shared" si="935"/>
        <v>3</v>
      </c>
      <c r="EG274" s="116">
        <f t="shared" si="935"/>
        <v>1</v>
      </c>
      <c r="EH274" s="116">
        <f t="shared" si="935"/>
        <v>5</v>
      </c>
      <c r="EI274" s="116">
        <f t="shared" si="935"/>
        <v>3</v>
      </c>
      <c r="EJ274" s="116">
        <f t="shared" si="935"/>
        <v>1</v>
      </c>
      <c r="EK274" s="116">
        <f t="shared" si="935"/>
        <v>4</v>
      </c>
      <c r="EL274" s="116">
        <f t="shared" si="935"/>
        <v>4</v>
      </c>
      <c r="EM274" s="116">
        <f t="shared" si="935"/>
        <v>0</v>
      </c>
      <c r="EN274" s="116">
        <f t="shared" si="935"/>
        <v>4</v>
      </c>
      <c r="EO274" s="116">
        <f t="shared" si="935"/>
        <v>4</v>
      </c>
      <c r="EP274" s="116">
        <f t="shared" si="935"/>
        <v>0</v>
      </c>
      <c r="EQ274" s="116">
        <f t="shared" si="935"/>
        <v>4</v>
      </c>
      <c r="ER274" s="116">
        <f t="shared" si="935"/>
        <v>4</v>
      </c>
      <c r="ES274" s="116">
        <f t="shared" si="935"/>
        <v>0</v>
      </c>
      <c r="ET274" s="116">
        <f t="shared" si="935"/>
        <v>4</v>
      </c>
      <c r="EU274" s="116">
        <f t="shared" si="935"/>
        <v>4</v>
      </c>
      <c r="EV274" s="116">
        <f t="shared" si="935"/>
        <v>0</v>
      </c>
      <c r="EW274" s="116">
        <f t="shared" si="935"/>
        <v>4</v>
      </c>
      <c r="EX274" s="116">
        <f t="shared" si="935"/>
        <v>4</v>
      </c>
      <c r="EY274" s="116">
        <f t="shared" si="935"/>
        <v>0</v>
      </c>
      <c r="EZ274" s="116">
        <f t="shared" si="935"/>
        <v>4</v>
      </c>
      <c r="FA274" s="116">
        <f t="shared" si="935"/>
        <v>4</v>
      </c>
      <c r="FB274" s="116">
        <f t="shared" si="935"/>
        <v>0</v>
      </c>
      <c r="FC274" s="116">
        <f t="shared" si="935"/>
        <v>4</v>
      </c>
      <c r="FD274" s="116">
        <f t="shared" si="935"/>
        <v>4</v>
      </c>
      <c r="FE274" s="116">
        <f t="shared" si="935"/>
        <v>0</v>
      </c>
      <c r="FF274" s="116">
        <f t="shared" si="935"/>
        <v>4</v>
      </c>
      <c r="FG274" s="116">
        <f t="shared" si="935"/>
        <v>4</v>
      </c>
      <c r="FH274" s="116">
        <f t="shared" si="935"/>
        <v>0</v>
      </c>
      <c r="FI274" s="116">
        <f t="shared" si="935"/>
        <v>4</v>
      </c>
      <c r="FJ274" s="116">
        <f t="shared" si="935"/>
        <v>4</v>
      </c>
      <c r="FK274" s="116">
        <f t="shared" si="935"/>
        <v>0</v>
      </c>
      <c r="FL274" s="116">
        <f t="shared" si="935"/>
        <v>5</v>
      </c>
      <c r="FM274" s="116">
        <f t="shared" si="935"/>
        <v>0</v>
      </c>
      <c r="FN274" s="116">
        <f t="shared" si="935"/>
        <v>3</v>
      </c>
      <c r="FO274" s="116">
        <f t="shared" si="935"/>
        <v>5</v>
      </c>
      <c r="FP274" s="116">
        <f t="shared" si="935"/>
        <v>0</v>
      </c>
      <c r="FQ274" s="116">
        <f t="shared" si="935"/>
        <v>3</v>
      </c>
      <c r="FR274" s="116">
        <f t="shared" si="935"/>
        <v>5</v>
      </c>
      <c r="FS274" s="116">
        <f t="shared" si="935"/>
        <v>0</v>
      </c>
      <c r="FT274" s="116">
        <f t="shared" si="935"/>
        <v>3</v>
      </c>
      <c r="FU274" s="116">
        <f t="shared" si="935"/>
        <v>5</v>
      </c>
      <c r="FV274" s="116">
        <f t="shared" ref="FV274:GL274" si="936">FV271</f>
        <v>0</v>
      </c>
      <c r="FW274" s="116">
        <f t="shared" si="936"/>
        <v>3</v>
      </c>
      <c r="FX274" s="116">
        <f t="shared" si="936"/>
        <v>5</v>
      </c>
      <c r="FY274" s="116">
        <f t="shared" si="936"/>
        <v>0</v>
      </c>
      <c r="FZ274" s="116">
        <f t="shared" si="936"/>
        <v>3</v>
      </c>
      <c r="GA274" s="116">
        <f t="shared" si="936"/>
        <v>5</v>
      </c>
      <c r="GB274" s="116">
        <f t="shared" si="936"/>
        <v>0</v>
      </c>
      <c r="GC274" s="116">
        <f t="shared" si="936"/>
        <v>3</v>
      </c>
      <c r="GD274" s="116">
        <f t="shared" si="936"/>
        <v>5</v>
      </c>
      <c r="GE274" s="116">
        <f t="shared" si="936"/>
        <v>0</v>
      </c>
      <c r="GF274" s="116">
        <f t="shared" si="936"/>
        <v>3</v>
      </c>
      <c r="GG274" s="116">
        <f t="shared" si="936"/>
        <v>5</v>
      </c>
      <c r="GH274" s="116">
        <f t="shared" si="936"/>
        <v>0</v>
      </c>
      <c r="GI274" s="116">
        <f t="shared" si="936"/>
        <v>3</v>
      </c>
      <c r="GJ274" s="116">
        <f t="shared" si="936"/>
        <v>5</v>
      </c>
      <c r="GK274" s="116">
        <f t="shared" si="936"/>
        <v>0</v>
      </c>
      <c r="GL274" s="116">
        <f t="shared" si="936"/>
        <v>3</v>
      </c>
    </row>
    <row r="275" spans="14:194" ht="15" customHeight="1">
      <c r="N275" s="116">
        <f t="shared" ref="N275:BY275" si="937">N272</f>
        <v>0</v>
      </c>
      <c r="O275" s="116">
        <f t="shared" si="937"/>
        <v>0</v>
      </c>
      <c r="P275" s="116">
        <f t="shared" si="937"/>
        <v>0</v>
      </c>
      <c r="Q275" s="116">
        <f t="shared" si="937"/>
        <v>0</v>
      </c>
      <c r="R275" s="116">
        <f t="shared" si="937"/>
        <v>0</v>
      </c>
      <c r="S275" s="116">
        <f t="shared" si="937"/>
        <v>0</v>
      </c>
      <c r="T275" s="116">
        <f t="shared" si="937"/>
        <v>0</v>
      </c>
      <c r="U275" s="116">
        <f t="shared" si="937"/>
        <v>0</v>
      </c>
      <c r="V275" s="116">
        <f t="shared" si="937"/>
        <v>0</v>
      </c>
      <c r="W275" s="116">
        <f t="shared" si="937"/>
        <v>0</v>
      </c>
      <c r="X275" s="116">
        <f t="shared" si="937"/>
        <v>0</v>
      </c>
      <c r="Y275" s="116">
        <f t="shared" si="937"/>
        <v>0</v>
      </c>
      <c r="Z275" s="116">
        <f t="shared" si="937"/>
        <v>0</v>
      </c>
      <c r="AA275" s="116">
        <f t="shared" si="937"/>
        <v>0</v>
      </c>
      <c r="AB275" s="116">
        <f t="shared" si="937"/>
        <v>0</v>
      </c>
      <c r="AC275" s="116">
        <f t="shared" si="937"/>
        <v>0</v>
      </c>
      <c r="AD275" s="116">
        <f t="shared" si="937"/>
        <v>0</v>
      </c>
      <c r="AE275" s="116">
        <f t="shared" si="937"/>
        <v>0</v>
      </c>
      <c r="AF275" s="116">
        <f t="shared" si="937"/>
        <v>0</v>
      </c>
      <c r="AG275" s="116">
        <f t="shared" si="937"/>
        <v>0</v>
      </c>
      <c r="AH275" s="116">
        <f t="shared" si="937"/>
        <v>0</v>
      </c>
      <c r="AI275" s="116">
        <f t="shared" si="937"/>
        <v>0</v>
      </c>
      <c r="AJ275" s="116">
        <f t="shared" si="937"/>
        <v>0</v>
      </c>
      <c r="AK275" s="116">
        <f t="shared" si="937"/>
        <v>0</v>
      </c>
      <c r="AL275" s="116">
        <f t="shared" si="937"/>
        <v>0</v>
      </c>
      <c r="AM275" s="116">
        <f t="shared" si="937"/>
        <v>0</v>
      </c>
      <c r="AN275" s="116">
        <f t="shared" si="937"/>
        <v>0</v>
      </c>
      <c r="AO275" s="116">
        <f t="shared" si="937"/>
        <v>0</v>
      </c>
      <c r="AP275" s="116">
        <f t="shared" si="937"/>
        <v>0</v>
      </c>
      <c r="AQ275" s="116">
        <f t="shared" si="937"/>
        <v>0</v>
      </c>
      <c r="AR275" s="116">
        <f t="shared" si="937"/>
        <v>0</v>
      </c>
      <c r="AS275" s="116">
        <f t="shared" si="937"/>
        <v>0</v>
      </c>
      <c r="AT275" s="116">
        <f t="shared" si="937"/>
        <v>0</v>
      </c>
      <c r="AU275" s="116">
        <f t="shared" si="937"/>
        <v>0</v>
      </c>
      <c r="AV275" s="116">
        <f t="shared" si="937"/>
        <v>0</v>
      </c>
      <c r="AW275" s="116">
        <f t="shared" si="937"/>
        <v>0</v>
      </c>
      <c r="AX275" s="116">
        <f t="shared" si="937"/>
        <v>0</v>
      </c>
      <c r="AY275" s="116">
        <f t="shared" si="937"/>
        <v>0</v>
      </c>
      <c r="AZ275" s="116">
        <f t="shared" si="937"/>
        <v>0</v>
      </c>
      <c r="BA275" s="116">
        <f t="shared" si="937"/>
        <v>0</v>
      </c>
      <c r="BB275" s="116">
        <f t="shared" si="937"/>
        <v>0</v>
      </c>
      <c r="BC275" s="116">
        <f t="shared" si="937"/>
        <v>0</v>
      </c>
      <c r="BD275" s="116">
        <f t="shared" si="937"/>
        <v>0</v>
      </c>
      <c r="BE275" s="116">
        <f t="shared" si="937"/>
        <v>0</v>
      </c>
      <c r="BF275" s="116">
        <f t="shared" si="937"/>
        <v>0</v>
      </c>
      <c r="BG275" s="116">
        <f t="shared" si="937"/>
        <v>0</v>
      </c>
      <c r="BH275" s="116">
        <f t="shared" si="937"/>
        <v>0</v>
      </c>
      <c r="BI275" s="116">
        <f t="shared" si="937"/>
        <v>0</v>
      </c>
      <c r="BJ275" s="116">
        <f t="shared" si="937"/>
        <v>0</v>
      </c>
      <c r="BK275" s="116">
        <f t="shared" si="937"/>
        <v>0</v>
      </c>
      <c r="BL275" s="116">
        <f t="shared" si="937"/>
        <v>0</v>
      </c>
      <c r="BM275" s="116">
        <f t="shared" si="937"/>
        <v>0</v>
      </c>
      <c r="BN275" s="116">
        <f t="shared" si="937"/>
        <v>0</v>
      </c>
      <c r="BO275" s="116">
        <f t="shared" si="937"/>
        <v>0</v>
      </c>
      <c r="BP275" s="116">
        <f t="shared" si="937"/>
        <v>0</v>
      </c>
      <c r="BQ275" s="116">
        <f t="shared" si="937"/>
        <v>0</v>
      </c>
      <c r="BR275" s="116">
        <f t="shared" si="937"/>
        <v>0</v>
      </c>
      <c r="BS275" s="116">
        <f t="shared" si="937"/>
        <v>0</v>
      </c>
      <c r="BT275" s="116">
        <f t="shared" si="937"/>
        <v>0</v>
      </c>
      <c r="BU275" s="116">
        <f t="shared" si="937"/>
        <v>0</v>
      </c>
      <c r="BV275" s="116">
        <f t="shared" si="937"/>
        <v>0</v>
      </c>
      <c r="BW275" s="116">
        <f t="shared" si="937"/>
        <v>0</v>
      </c>
      <c r="BX275" s="116">
        <f t="shared" si="937"/>
        <v>0</v>
      </c>
      <c r="BY275" s="116">
        <f t="shared" si="937"/>
        <v>0</v>
      </c>
      <c r="BZ275" s="116">
        <f t="shared" ref="BZ275:CP275" si="938">BZ272</f>
        <v>0</v>
      </c>
      <c r="CA275" s="116">
        <f t="shared" si="938"/>
        <v>0</v>
      </c>
      <c r="CB275" s="116">
        <f t="shared" si="938"/>
        <v>0</v>
      </c>
      <c r="CC275" s="116">
        <f t="shared" si="938"/>
        <v>0</v>
      </c>
      <c r="CD275" s="116">
        <f t="shared" si="938"/>
        <v>0</v>
      </c>
      <c r="CE275" s="116">
        <f t="shared" si="938"/>
        <v>0</v>
      </c>
      <c r="CF275" s="116">
        <f t="shared" si="938"/>
        <v>0</v>
      </c>
      <c r="CG275" s="116">
        <f t="shared" si="938"/>
        <v>0</v>
      </c>
      <c r="CH275" s="116">
        <f t="shared" si="938"/>
        <v>0</v>
      </c>
      <c r="CI275" s="116">
        <f t="shared" si="938"/>
        <v>0</v>
      </c>
      <c r="CJ275" s="116">
        <f t="shared" si="938"/>
        <v>0</v>
      </c>
      <c r="CK275" s="116">
        <f t="shared" si="938"/>
        <v>0</v>
      </c>
      <c r="CL275" s="116">
        <f t="shared" si="938"/>
        <v>0</v>
      </c>
      <c r="CM275" s="116">
        <f t="shared" si="938"/>
        <v>0</v>
      </c>
      <c r="CN275" s="116">
        <f t="shared" si="938"/>
        <v>0</v>
      </c>
      <c r="CO275" s="116">
        <f t="shared" si="938"/>
        <v>0</v>
      </c>
      <c r="CP275" s="116">
        <f t="shared" si="938"/>
        <v>0</v>
      </c>
      <c r="DJ275" s="116">
        <f t="shared" ref="DJ275:FU275" si="939">DJ272</f>
        <v>2</v>
      </c>
      <c r="DK275" s="116">
        <f t="shared" si="939"/>
        <v>1</v>
      </c>
      <c r="DL275" s="116">
        <f t="shared" si="939"/>
        <v>2</v>
      </c>
      <c r="DM275" s="116">
        <f t="shared" si="939"/>
        <v>2</v>
      </c>
      <c r="DN275" s="116">
        <f t="shared" si="939"/>
        <v>1</v>
      </c>
      <c r="DO275" s="116">
        <f t="shared" si="939"/>
        <v>2</v>
      </c>
      <c r="DP275" s="116">
        <f t="shared" si="939"/>
        <v>2</v>
      </c>
      <c r="DQ275" s="116">
        <f t="shared" si="939"/>
        <v>1</v>
      </c>
      <c r="DR275" s="116">
        <f t="shared" si="939"/>
        <v>2</v>
      </c>
      <c r="DS275" s="116">
        <f t="shared" si="939"/>
        <v>2</v>
      </c>
      <c r="DT275" s="116">
        <f t="shared" si="939"/>
        <v>1</v>
      </c>
      <c r="DU275" s="116">
        <f t="shared" si="939"/>
        <v>2</v>
      </c>
      <c r="DV275" s="116">
        <f t="shared" si="939"/>
        <v>2</v>
      </c>
      <c r="DW275" s="116">
        <f t="shared" si="939"/>
        <v>1</v>
      </c>
      <c r="DX275" s="116">
        <f t="shared" si="939"/>
        <v>2</v>
      </c>
      <c r="DY275" s="116">
        <f t="shared" si="939"/>
        <v>2</v>
      </c>
      <c r="DZ275" s="116">
        <f t="shared" si="939"/>
        <v>1</v>
      </c>
      <c r="EA275" s="116">
        <f t="shared" si="939"/>
        <v>2</v>
      </c>
      <c r="EB275" s="116">
        <f t="shared" si="939"/>
        <v>2</v>
      </c>
      <c r="EC275" s="116">
        <f t="shared" si="939"/>
        <v>1</v>
      </c>
      <c r="ED275" s="116">
        <f t="shared" si="939"/>
        <v>2</v>
      </c>
      <c r="EE275" s="116">
        <f t="shared" si="939"/>
        <v>2</v>
      </c>
      <c r="EF275" s="116">
        <f t="shared" si="939"/>
        <v>1</v>
      </c>
      <c r="EG275" s="116">
        <f t="shared" si="939"/>
        <v>2</v>
      </c>
      <c r="EH275" s="116">
        <f t="shared" si="939"/>
        <v>2</v>
      </c>
      <c r="EI275" s="116">
        <f t="shared" si="939"/>
        <v>1</v>
      </c>
      <c r="EJ275" s="116">
        <f t="shared" si="939"/>
        <v>2</v>
      </c>
      <c r="EK275" s="116">
        <f t="shared" si="939"/>
        <v>4</v>
      </c>
      <c r="EL275" s="116">
        <f t="shared" si="939"/>
        <v>0</v>
      </c>
      <c r="EM275" s="116">
        <f t="shared" si="939"/>
        <v>2</v>
      </c>
      <c r="EN275" s="116">
        <f t="shared" si="939"/>
        <v>4</v>
      </c>
      <c r="EO275" s="116">
        <f t="shared" si="939"/>
        <v>0</v>
      </c>
      <c r="EP275" s="116">
        <f t="shared" si="939"/>
        <v>2</v>
      </c>
      <c r="EQ275" s="116">
        <f t="shared" si="939"/>
        <v>4</v>
      </c>
      <c r="ER275" s="116">
        <f t="shared" si="939"/>
        <v>0</v>
      </c>
      <c r="ES275" s="116">
        <f t="shared" si="939"/>
        <v>2</v>
      </c>
      <c r="ET275" s="116">
        <f t="shared" si="939"/>
        <v>4</v>
      </c>
      <c r="EU275" s="116">
        <f t="shared" si="939"/>
        <v>0</v>
      </c>
      <c r="EV275" s="116">
        <f t="shared" si="939"/>
        <v>2</v>
      </c>
      <c r="EW275" s="116">
        <f t="shared" si="939"/>
        <v>4</v>
      </c>
      <c r="EX275" s="116">
        <f t="shared" si="939"/>
        <v>0</v>
      </c>
      <c r="EY275" s="116">
        <f t="shared" si="939"/>
        <v>2</v>
      </c>
      <c r="EZ275" s="116">
        <f t="shared" si="939"/>
        <v>4</v>
      </c>
      <c r="FA275" s="116">
        <f t="shared" si="939"/>
        <v>0</v>
      </c>
      <c r="FB275" s="116">
        <f t="shared" si="939"/>
        <v>2</v>
      </c>
      <c r="FC275" s="116">
        <f t="shared" si="939"/>
        <v>4</v>
      </c>
      <c r="FD275" s="116">
        <f t="shared" si="939"/>
        <v>0</v>
      </c>
      <c r="FE275" s="116">
        <f t="shared" si="939"/>
        <v>2</v>
      </c>
      <c r="FF275" s="116">
        <f t="shared" si="939"/>
        <v>4</v>
      </c>
      <c r="FG275" s="116">
        <f t="shared" si="939"/>
        <v>0</v>
      </c>
      <c r="FH275" s="116">
        <f t="shared" si="939"/>
        <v>2</v>
      </c>
      <c r="FI275" s="116">
        <f t="shared" si="939"/>
        <v>4</v>
      </c>
      <c r="FJ275" s="116">
        <f t="shared" si="939"/>
        <v>0</v>
      </c>
      <c r="FK275" s="116">
        <f t="shared" si="939"/>
        <v>2</v>
      </c>
      <c r="FL275" s="116">
        <f t="shared" si="939"/>
        <v>0</v>
      </c>
      <c r="FM275" s="116">
        <f t="shared" si="939"/>
        <v>1</v>
      </c>
      <c r="FN275" s="116">
        <f t="shared" si="939"/>
        <v>2</v>
      </c>
      <c r="FO275" s="116">
        <f t="shared" si="939"/>
        <v>0</v>
      </c>
      <c r="FP275" s="116">
        <f t="shared" si="939"/>
        <v>1</v>
      </c>
      <c r="FQ275" s="116">
        <f t="shared" si="939"/>
        <v>2</v>
      </c>
      <c r="FR275" s="116">
        <f t="shared" si="939"/>
        <v>0</v>
      </c>
      <c r="FS275" s="116">
        <f t="shared" si="939"/>
        <v>1</v>
      </c>
      <c r="FT275" s="116">
        <f t="shared" si="939"/>
        <v>2</v>
      </c>
      <c r="FU275" s="116">
        <f t="shared" si="939"/>
        <v>0</v>
      </c>
      <c r="FV275" s="116">
        <f t="shared" ref="FV275:GL275" si="940">FV272</f>
        <v>1</v>
      </c>
      <c r="FW275" s="116">
        <f t="shared" si="940"/>
        <v>2</v>
      </c>
      <c r="FX275" s="116">
        <f t="shared" si="940"/>
        <v>0</v>
      </c>
      <c r="FY275" s="116">
        <f t="shared" si="940"/>
        <v>1</v>
      </c>
      <c r="FZ275" s="116">
        <f t="shared" si="940"/>
        <v>2</v>
      </c>
      <c r="GA275" s="116">
        <f t="shared" si="940"/>
        <v>0</v>
      </c>
      <c r="GB275" s="116">
        <f t="shared" si="940"/>
        <v>1</v>
      </c>
      <c r="GC275" s="116">
        <f t="shared" si="940"/>
        <v>2</v>
      </c>
      <c r="GD275" s="116">
        <f t="shared" si="940"/>
        <v>0</v>
      </c>
      <c r="GE275" s="116">
        <f t="shared" si="940"/>
        <v>1</v>
      </c>
      <c r="GF275" s="116">
        <f t="shared" si="940"/>
        <v>2</v>
      </c>
      <c r="GG275" s="116">
        <f t="shared" si="940"/>
        <v>0</v>
      </c>
      <c r="GH275" s="116">
        <f t="shared" si="940"/>
        <v>1</v>
      </c>
      <c r="GI275" s="116">
        <f t="shared" si="940"/>
        <v>2</v>
      </c>
      <c r="GJ275" s="116">
        <f t="shared" si="940"/>
        <v>0</v>
      </c>
      <c r="GK275" s="116">
        <f t="shared" si="940"/>
        <v>1</v>
      </c>
      <c r="GL275" s="116">
        <f t="shared" si="940"/>
        <v>2</v>
      </c>
    </row>
    <row r="276" spans="14:194" ht="15" customHeight="1">
      <c r="N276" s="116">
        <f t="shared" ref="N276:BY276" si="941">N273</f>
        <v>0</v>
      </c>
      <c r="O276" s="116">
        <f t="shared" si="941"/>
        <v>0</v>
      </c>
      <c r="P276" s="116">
        <f t="shared" si="941"/>
        <v>0</v>
      </c>
      <c r="Q276" s="116">
        <f t="shared" si="941"/>
        <v>0</v>
      </c>
      <c r="R276" s="116">
        <f t="shared" si="941"/>
        <v>0</v>
      </c>
      <c r="S276" s="116">
        <f t="shared" si="941"/>
        <v>0</v>
      </c>
      <c r="T276" s="116">
        <f t="shared" si="941"/>
        <v>0</v>
      </c>
      <c r="U276" s="116">
        <f t="shared" si="941"/>
        <v>0</v>
      </c>
      <c r="V276" s="116">
        <f t="shared" si="941"/>
        <v>0</v>
      </c>
      <c r="W276" s="116">
        <f t="shared" si="941"/>
        <v>0</v>
      </c>
      <c r="X276" s="116">
        <f t="shared" si="941"/>
        <v>0</v>
      </c>
      <c r="Y276" s="116">
        <f t="shared" si="941"/>
        <v>0</v>
      </c>
      <c r="Z276" s="116">
        <f t="shared" si="941"/>
        <v>0</v>
      </c>
      <c r="AA276" s="116">
        <f t="shared" si="941"/>
        <v>0</v>
      </c>
      <c r="AB276" s="116">
        <f t="shared" si="941"/>
        <v>0</v>
      </c>
      <c r="AC276" s="116">
        <f t="shared" si="941"/>
        <v>0</v>
      </c>
      <c r="AD276" s="116">
        <f t="shared" si="941"/>
        <v>0</v>
      </c>
      <c r="AE276" s="116">
        <f t="shared" si="941"/>
        <v>0</v>
      </c>
      <c r="AF276" s="116">
        <f t="shared" si="941"/>
        <v>0</v>
      </c>
      <c r="AG276" s="116">
        <f t="shared" si="941"/>
        <v>0</v>
      </c>
      <c r="AH276" s="116">
        <f t="shared" si="941"/>
        <v>0</v>
      </c>
      <c r="AI276" s="116">
        <f t="shared" si="941"/>
        <v>0</v>
      </c>
      <c r="AJ276" s="116">
        <f t="shared" si="941"/>
        <v>0</v>
      </c>
      <c r="AK276" s="116">
        <f t="shared" si="941"/>
        <v>0</v>
      </c>
      <c r="AL276" s="116">
        <f t="shared" si="941"/>
        <v>0</v>
      </c>
      <c r="AM276" s="116">
        <f t="shared" si="941"/>
        <v>0</v>
      </c>
      <c r="AN276" s="116">
        <f t="shared" si="941"/>
        <v>0</v>
      </c>
      <c r="AO276" s="116">
        <f t="shared" si="941"/>
        <v>0</v>
      </c>
      <c r="AP276" s="116">
        <f t="shared" si="941"/>
        <v>0</v>
      </c>
      <c r="AQ276" s="116">
        <f t="shared" si="941"/>
        <v>0</v>
      </c>
      <c r="AR276" s="116">
        <f t="shared" si="941"/>
        <v>0</v>
      </c>
      <c r="AS276" s="116">
        <f t="shared" si="941"/>
        <v>0</v>
      </c>
      <c r="AT276" s="116">
        <f t="shared" si="941"/>
        <v>0</v>
      </c>
      <c r="AU276" s="116">
        <f t="shared" si="941"/>
        <v>0</v>
      </c>
      <c r="AV276" s="116">
        <f t="shared" si="941"/>
        <v>0</v>
      </c>
      <c r="AW276" s="116">
        <f t="shared" si="941"/>
        <v>0</v>
      </c>
      <c r="AX276" s="116">
        <f t="shared" si="941"/>
        <v>0</v>
      </c>
      <c r="AY276" s="116">
        <f t="shared" si="941"/>
        <v>0</v>
      </c>
      <c r="AZ276" s="116">
        <f t="shared" si="941"/>
        <v>0</v>
      </c>
      <c r="BA276" s="116">
        <f t="shared" si="941"/>
        <v>0</v>
      </c>
      <c r="BB276" s="116">
        <f t="shared" si="941"/>
        <v>0</v>
      </c>
      <c r="BC276" s="116">
        <f t="shared" si="941"/>
        <v>0</v>
      </c>
      <c r="BD276" s="116">
        <f t="shared" si="941"/>
        <v>0</v>
      </c>
      <c r="BE276" s="116">
        <f t="shared" si="941"/>
        <v>0</v>
      </c>
      <c r="BF276" s="116">
        <f t="shared" si="941"/>
        <v>0</v>
      </c>
      <c r="BG276" s="116">
        <f t="shared" si="941"/>
        <v>0</v>
      </c>
      <c r="BH276" s="116">
        <f t="shared" si="941"/>
        <v>0</v>
      </c>
      <c r="BI276" s="116">
        <f t="shared" si="941"/>
        <v>0</v>
      </c>
      <c r="BJ276" s="116">
        <f t="shared" si="941"/>
        <v>0</v>
      </c>
      <c r="BK276" s="116">
        <f t="shared" si="941"/>
        <v>0</v>
      </c>
      <c r="BL276" s="116">
        <f t="shared" si="941"/>
        <v>0</v>
      </c>
      <c r="BM276" s="116">
        <f t="shared" si="941"/>
        <v>0</v>
      </c>
      <c r="BN276" s="116">
        <f t="shared" si="941"/>
        <v>0</v>
      </c>
      <c r="BO276" s="116">
        <f t="shared" si="941"/>
        <v>0</v>
      </c>
      <c r="BP276" s="116">
        <f t="shared" si="941"/>
        <v>0</v>
      </c>
      <c r="BQ276" s="116">
        <f t="shared" si="941"/>
        <v>0</v>
      </c>
      <c r="BR276" s="116">
        <f t="shared" si="941"/>
        <v>0</v>
      </c>
      <c r="BS276" s="116">
        <f t="shared" si="941"/>
        <v>0</v>
      </c>
      <c r="BT276" s="116">
        <f t="shared" si="941"/>
        <v>0</v>
      </c>
      <c r="BU276" s="116">
        <f t="shared" si="941"/>
        <v>0</v>
      </c>
      <c r="BV276" s="116">
        <f t="shared" si="941"/>
        <v>0</v>
      </c>
      <c r="BW276" s="116">
        <f t="shared" si="941"/>
        <v>0</v>
      </c>
      <c r="BX276" s="116">
        <f t="shared" si="941"/>
        <v>0</v>
      </c>
      <c r="BY276" s="116">
        <f t="shared" si="941"/>
        <v>0</v>
      </c>
      <c r="BZ276" s="116">
        <f t="shared" ref="BZ276:CP276" si="942">BZ273</f>
        <v>0</v>
      </c>
      <c r="CA276" s="116">
        <f t="shared" si="942"/>
        <v>0</v>
      </c>
      <c r="CB276" s="116">
        <f t="shared" si="942"/>
        <v>0</v>
      </c>
      <c r="CC276" s="116">
        <f t="shared" si="942"/>
        <v>0</v>
      </c>
      <c r="CD276" s="116">
        <f t="shared" si="942"/>
        <v>0</v>
      </c>
      <c r="CE276" s="116">
        <f t="shared" si="942"/>
        <v>0</v>
      </c>
      <c r="CF276" s="116">
        <f t="shared" si="942"/>
        <v>0</v>
      </c>
      <c r="CG276" s="116">
        <f t="shared" si="942"/>
        <v>0</v>
      </c>
      <c r="CH276" s="116">
        <f t="shared" si="942"/>
        <v>0</v>
      </c>
      <c r="CI276" s="116">
        <f t="shared" si="942"/>
        <v>0</v>
      </c>
      <c r="CJ276" s="116">
        <f t="shared" si="942"/>
        <v>0</v>
      </c>
      <c r="CK276" s="116">
        <f t="shared" si="942"/>
        <v>0</v>
      </c>
      <c r="CL276" s="116">
        <f t="shared" si="942"/>
        <v>0</v>
      </c>
      <c r="CM276" s="116">
        <f t="shared" si="942"/>
        <v>0</v>
      </c>
      <c r="CN276" s="116">
        <f t="shared" si="942"/>
        <v>0</v>
      </c>
      <c r="CO276" s="116">
        <f t="shared" si="942"/>
        <v>0</v>
      </c>
      <c r="CP276" s="116">
        <f t="shared" si="942"/>
        <v>0</v>
      </c>
      <c r="DJ276" s="116">
        <f t="shared" ref="DJ276:FU276" si="943">DJ273</f>
        <v>0</v>
      </c>
      <c r="DK276" s="116">
        <f t="shared" si="943"/>
        <v>1</v>
      </c>
      <c r="DL276" s="116">
        <f t="shared" si="943"/>
        <v>0</v>
      </c>
      <c r="DM276" s="116">
        <f t="shared" si="943"/>
        <v>0</v>
      </c>
      <c r="DN276" s="116">
        <f t="shared" si="943"/>
        <v>1</v>
      </c>
      <c r="DO276" s="116">
        <f t="shared" si="943"/>
        <v>0</v>
      </c>
      <c r="DP276" s="116">
        <f t="shared" si="943"/>
        <v>0</v>
      </c>
      <c r="DQ276" s="116">
        <f t="shared" si="943"/>
        <v>1</v>
      </c>
      <c r="DR276" s="116">
        <f t="shared" si="943"/>
        <v>0</v>
      </c>
      <c r="DS276" s="116">
        <f t="shared" si="943"/>
        <v>0</v>
      </c>
      <c r="DT276" s="116">
        <f t="shared" si="943"/>
        <v>1</v>
      </c>
      <c r="DU276" s="116">
        <f t="shared" si="943"/>
        <v>0</v>
      </c>
      <c r="DV276" s="116">
        <f t="shared" si="943"/>
        <v>0</v>
      </c>
      <c r="DW276" s="116">
        <f t="shared" si="943"/>
        <v>1</v>
      </c>
      <c r="DX276" s="116">
        <f t="shared" si="943"/>
        <v>0</v>
      </c>
      <c r="DY276" s="116">
        <f t="shared" si="943"/>
        <v>0</v>
      </c>
      <c r="DZ276" s="116">
        <f t="shared" si="943"/>
        <v>1</v>
      </c>
      <c r="EA276" s="116">
        <f t="shared" si="943"/>
        <v>0</v>
      </c>
      <c r="EB276" s="116">
        <f t="shared" si="943"/>
        <v>0</v>
      </c>
      <c r="EC276" s="116">
        <f t="shared" si="943"/>
        <v>1</v>
      </c>
      <c r="ED276" s="116">
        <f t="shared" si="943"/>
        <v>0</v>
      </c>
      <c r="EE276" s="116">
        <f t="shared" si="943"/>
        <v>0</v>
      </c>
      <c r="EF276" s="116">
        <f t="shared" si="943"/>
        <v>1</v>
      </c>
      <c r="EG276" s="116">
        <f t="shared" si="943"/>
        <v>0</v>
      </c>
      <c r="EH276" s="116">
        <f t="shared" si="943"/>
        <v>0</v>
      </c>
      <c r="EI276" s="116">
        <f t="shared" si="943"/>
        <v>1</v>
      </c>
      <c r="EJ276" s="116">
        <f t="shared" si="943"/>
        <v>0</v>
      </c>
      <c r="EK276" s="116">
        <f t="shared" si="943"/>
        <v>1</v>
      </c>
      <c r="EL276" s="116">
        <f t="shared" si="943"/>
        <v>2</v>
      </c>
      <c r="EM276" s="116">
        <f t="shared" si="943"/>
        <v>0</v>
      </c>
      <c r="EN276" s="116">
        <f t="shared" si="943"/>
        <v>1</v>
      </c>
      <c r="EO276" s="116">
        <f t="shared" si="943"/>
        <v>2</v>
      </c>
      <c r="EP276" s="116">
        <f t="shared" si="943"/>
        <v>0</v>
      </c>
      <c r="EQ276" s="116">
        <f t="shared" si="943"/>
        <v>1</v>
      </c>
      <c r="ER276" s="116">
        <f t="shared" si="943"/>
        <v>2</v>
      </c>
      <c r="ES276" s="116">
        <f t="shared" si="943"/>
        <v>0</v>
      </c>
      <c r="ET276" s="116">
        <f t="shared" si="943"/>
        <v>1</v>
      </c>
      <c r="EU276" s="116">
        <f t="shared" si="943"/>
        <v>2</v>
      </c>
      <c r="EV276" s="116">
        <f t="shared" si="943"/>
        <v>0</v>
      </c>
      <c r="EW276" s="116">
        <f t="shared" si="943"/>
        <v>1</v>
      </c>
      <c r="EX276" s="116">
        <f t="shared" si="943"/>
        <v>2</v>
      </c>
      <c r="EY276" s="116">
        <f t="shared" si="943"/>
        <v>0</v>
      </c>
      <c r="EZ276" s="116">
        <f t="shared" si="943"/>
        <v>1</v>
      </c>
      <c r="FA276" s="116">
        <f t="shared" si="943"/>
        <v>2</v>
      </c>
      <c r="FB276" s="116">
        <f t="shared" si="943"/>
        <v>0</v>
      </c>
      <c r="FC276" s="116">
        <f t="shared" si="943"/>
        <v>1</v>
      </c>
      <c r="FD276" s="116">
        <f t="shared" si="943"/>
        <v>2</v>
      </c>
      <c r="FE276" s="116">
        <f t="shared" si="943"/>
        <v>0</v>
      </c>
      <c r="FF276" s="116">
        <f t="shared" si="943"/>
        <v>1</v>
      </c>
      <c r="FG276" s="116">
        <f t="shared" si="943"/>
        <v>2</v>
      </c>
      <c r="FH276" s="116">
        <f t="shared" si="943"/>
        <v>0</v>
      </c>
      <c r="FI276" s="116">
        <f t="shared" si="943"/>
        <v>1</v>
      </c>
      <c r="FJ276" s="116">
        <f t="shared" si="943"/>
        <v>2</v>
      </c>
      <c r="FK276" s="116">
        <f t="shared" si="943"/>
        <v>0</v>
      </c>
      <c r="FL276" s="116">
        <f t="shared" si="943"/>
        <v>1</v>
      </c>
      <c r="FM276" s="116">
        <f t="shared" si="943"/>
        <v>3</v>
      </c>
      <c r="FN276" s="116">
        <f t="shared" si="943"/>
        <v>0</v>
      </c>
      <c r="FO276" s="116">
        <f t="shared" si="943"/>
        <v>1</v>
      </c>
      <c r="FP276" s="116">
        <f t="shared" si="943"/>
        <v>3</v>
      </c>
      <c r="FQ276" s="116">
        <f t="shared" si="943"/>
        <v>0</v>
      </c>
      <c r="FR276" s="116">
        <f t="shared" si="943"/>
        <v>1</v>
      </c>
      <c r="FS276" s="116">
        <f t="shared" si="943"/>
        <v>3</v>
      </c>
      <c r="FT276" s="116">
        <f t="shared" si="943"/>
        <v>0</v>
      </c>
      <c r="FU276" s="116">
        <f t="shared" si="943"/>
        <v>1</v>
      </c>
      <c r="FV276" s="116">
        <f t="shared" ref="FV276:GL276" si="944">FV273</f>
        <v>3</v>
      </c>
      <c r="FW276" s="116">
        <f t="shared" si="944"/>
        <v>0</v>
      </c>
      <c r="FX276" s="116">
        <f t="shared" si="944"/>
        <v>1</v>
      </c>
      <c r="FY276" s="116">
        <f t="shared" si="944"/>
        <v>3</v>
      </c>
      <c r="FZ276" s="116">
        <f t="shared" si="944"/>
        <v>0</v>
      </c>
      <c r="GA276" s="116">
        <f t="shared" si="944"/>
        <v>1</v>
      </c>
      <c r="GB276" s="116">
        <f t="shared" si="944"/>
        <v>3</v>
      </c>
      <c r="GC276" s="116">
        <f t="shared" si="944"/>
        <v>0</v>
      </c>
      <c r="GD276" s="116">
        <f t="shared" si="944"/>
        <v>1</v>
      </c>
      <c r="GE276" s="116">
        <f t="shared" si="944"/>
        <v>3</v>
      </c>
      <c r="GF276" s="116">
        <f t="shared" si="944"/>
        <v>0</v>
      </c>
      <c r="GG276" s="116">
        <f t="shared" si="944"/>
        <v>1</v>
      </c>
      <c r="GH276" s="116">
        <f t="shared" si="944"/>
        <v>3</v>
      </c>
      <c r="GI276" s="116">
        <f t="shared" si="944"/>
        <v>0</v>
      </c>
      <c r="GJ276" s="116">
        <f t="shared" si="944"/>
        <v>1</v>
      </c>
      <c r="GK276" s="116">
        <f t="shared" si="944"/>
        <v>3</v>
      </c>
      <c r="GL276" s="116">
        <f t="shared" si="944"/>
        <v>0</v>
      </c>
    </row>
    <row r="277" spans="14:194" ht="15" customHeight="1">
      <c r="N277" s="116">
        <f t="shared" ref="N277:BY277" si="945">N274</f>
        <v>0</v>
      </c>
      <c r="O277" s="116">
        <f t="shared" si="945"/>
        <v>0</v>
      </c>
      <c r="P277" s="116">
        <f t="shared" si="945"/>
        <v>0</v>
      </c>
      <c r="Q277" s="116">
        <f t="shared" si="945"/>
        <v>0</v>
      </c>
      <c r="R277" s="116">
        <f t="shared" si="945"/>
        <v>0</v>
      </c>
      <c r="S277" s="116">
        <f t="shared" si="945"/>
        <v>0</v>
      </c>
      <c r="T277" s="116">
        <f t="shared" si="945"/>
        <v>0</v>
      </c>
      <c r="U277" s="116">
        <f t="shared" si="945"/>
        <v>0</v>
      </c>
      <c r="V277" s="116">
        <f t="shared" si="945"/>
        <v>0</v>
      </c>
      <c r="W277" s="116">
        <f t="shared" si="945"/>
        <v>0</v>
      </c>
      <c r="X277" s="116">
        <f t="shared" si="945"/>
        <v>0</v>
      </c>
      <c r="Y277" s="116">
        <f t="shared" si="945"/>
        <v>0</v>
      </c>
      <c r="Z277" s="116">
        <f t="shared" si="945"/>
        <v>0</v>
      </c>
      <c r="AA277" s="116">
        <f t="shared" si="945"/>
        <v>0</v>
      </c>
      <c r="AB277" s="116">
        <f t="shared" si="945"/>
        <v>0</v>
      </c>
      <c r="AC277" s="116">
        <f t="shared" si="945"/>
        <v>0</v>
      </c>
      <c r="AD277" s="116">
        <f t="shared" si="945"/>
        <v>0</v>
      </c>
      <c r="AE277" s="116">
        <f t="shared" si="945"/>
        <v>0</v>
      </c>
      <c r="AF277" s="116">
        <f t="shared" si="945"/>
        <v>0</v>
      </c>
      <c r="AG277" s="116">
        <f t="shared" si="945"/>
        <v>0</v>
      </c>
      <c r="AH277" s="116">
        <f t="shared" si="945"/>
        <v>0</v>
      </c>
      <c r="AI277" s="116">
        <f t="shared" si="945"/>
        <v>0</v>
      </c>
      <c r="AJ277" s="116">
        <f t="shared" si="945"/>
        <v>0</v>
      </c>
      <c r="AK277" s="116">
        <f t="shared" si="945"/>
        <v>0</v>
      </c>
      <c r="AL277" s="116">
        <f t="shared" si="945"/>
        <v>0</v>
      </c>
      <c r="AM277" s="116">
        <f t="shared" si="945"/>
        <v>0</v>
      </c>
      <c r="AN277" s="116">
        <f t="shared" si="945"/>
        <v>0</v>
      </c>
      <c r="AO277" s="116">
        <f t="shared" si="945"/>
        <v>0</v>
      </c>
      <c r="AP277" s="116">
        <f t="shared" si="945"/>
        <v>0</v>
      </c>
      <c r="AQ277" s="116">
        <f t="shared" si="945"/>
        <v>0</v>
      </c>
      <c r="AR277" s="116">
        <f t="shared" si="945"/>
        <v>0</v>
      </c>
      <c r="AS277" s="116">
        <f t="shared" si="945"/>
        <v>0</v>
      </c>
      <c r="AT277" s="116">
        <f t="shared" si="945"/>
        <v>0</v>
      </c>
      <c r="AU277" s="116">
        <f t="shared" si="945"/>
        <v>0</v>
      </c>
      <c r="AV277" s="116">
        <f t="shared" si="945"/>
        <v>0</v>
      </c>
      <c r="AW277" s="116">
        <f t="shared" si="945"/>
        <v>0</v>
      </c>
      <c r="AX277" s="116">
        <f t="shared" si="945"/>
        <v>0</v>
      </c>
      <c r="AY277" s="116">
        <f t="shared" si="945"/>
        <v>0</v>
      </c>
      <c r="AZ277" s="116">
        <f t="shared" si="945"/>
        <v>0</v>
      </c>
      <c r="BA277" s="116">
        <f t="shared" si="945"/>
        <v>0</v>
      </c>
      <c r="BB277" s="116">
        <f t="shared" si="945"/>
        <v>0</v>
      </c>
      <c r="BC277" s="116">
        <f t="shared" si="945"/>
        <v>0</v>
      </c>
      <c r="BD277" s="116">
        <f t="shared" si="945"/>
        <v>0</v>
      </c>
      <c r="BE277" s="116">
        <f t="shared" si="945"/>
        <v>0</v>
      </c>
      <c r="BF277" s="116">
        <f t="shared" si="945"/>
        <v>0</v>
      </c>
      <c r="BG277" s="116">
        <f t="shared" si="945"/>
        <v>0</v>
      </c>
      <c r="BH277" s="116">
        <f t="shared" si="945"/>
        <v>0</v>
      </c>
      <c r="BI277" s="116">
        <f t="shared" si="945"/>
        <v>0</v>
      </c>
      <c r="BJ277" s="116">
        <f t="shared" si="945"/>
        <v>0</v>
      </c>
      <c r="BK277" s="116">
        <f t="shared" si="945"/>
        <v>0</v>
      </c>
      <c r="BL277" s="116">
        <f t="shared" si="945"/>
        <v>0</v>
      </c>
      <c r="BM277" s="116">
        <f t="shared" si="945"/>
        <v>0</v>
      </c>
      <c r="BN277" s="116">
        <f t="shared" si="945"/>
        <v>0</v>
      </c>
      <c r="BO277" s="116">
        <f t="shared" si="945"/>
        <v>0</v>
      </c>
      <c r="BP277" s="116">
        <f t="shared" si="945"/>
        <v>0</v>
      </c>
      <c r="BQ277" s="116">
        <f t="shared" si="945"/>
        <v>0</v>
      </c>
      <c r="BR277" s="116">
        <f t="shared" si="945"/>
        <v>0</v>
      </c>
      <c r="BS277" s="116">
        <f t="shared" si="945"/>
        <v>0</v>
      </c>
      <c r="BT277" s="116">
        <f t="shared" si="945"/>
        <v>0</v>
      </c>
      <c r="BU277" s="116">
        <f t="shared" si="945"/>
        <v>0</v>
      </c>
      <c r="BV277" s="116">
        <f t="shared" si="945"/>
        <v>0</v>
      </c>
      <c r="BW277" s="116">
        <f t="shared" si="945"/>
        <v>0</v>
      </c>
      <c r="BX277" s="116">
        <f t="shared" si="945"/>
        <v>0</v>
      </c>
      <c r="BY277" s="116">
        <f t="shared" si="945"/>
        <v>0</v>
      </c>
      <c r="BZ277" s="116">
        <f t="shared" ref="BZ277:CP277" si="946">BZ274</f>
        <v>0</v>
      </c>
      <c r="CA277" s="116">
        <f t="shared" si="946"/>
        <v>0</v>
      </c>
      <c r="CB277" s="116">
        <f t="shared" si="946"/>
        <v>0</v>
      </c>
      <c r="CC277" s="116">
        <f t="shared" si="946"/>
        <v>0</v>
      </c>
      <c r="CD277" s="116">
        <f t="shared" si="946"/>
        <v>0</v>
      </c>
      <c r="CE277" s="116">
        <f t="shared" si="946"/>
        <v>0</v>
      </c>
      <c r="CF277" s="116">
        <f t="shared" si="946"/>
        <v>0</v>
      </c>
      <c r="CG277" s="116">
        <f t="shared" si="946"/>
        <v>0</v>
      </c>
      <c r="CH277" s="116">
        <f t="shared" si="946"/>
        <v>0</v>
      </c>
      <c r="CI277" s="116">
        <f t="shared" si="946"/>
        <v>0</v>
      </c>
      <c r="CJ277" s="116">
        <f t="shared" si="946"/>
        <v>0</v>
      </c>
      <c r="CK277" s="116">
        <f t="shared" si="946"/>
        <v>0</v>
      </c>
      <c r="CL277" s="116">
        <f t="shared" si="946"/>
        <v>0</v>
      </c>
      <c r="CM277" s="116">
        <f t="shared" si="946"/>
        <v>0</v>
      </c>
      <c r="CN277" s="116">
        <f t="shared" si="946"/>
        <v>0</v>
      </c>
      <c r="CO277" s="116">
        <f t="shared" si="946"/>
        <v>0</v>
      </c>
      <c r="CP277" s="116">
        <f t="shared" si="946"/>
        <v>0</v>
      </c>
      <c r="DJ277" s="116">
        <f t="shared" ref="DJ277:FU277" si="947">DJ274</f>
        <v>5</v>
      </c>
      <c r="DK277" s="116">
        <f t="shared" si="947"/>
        <v>3</v>
      </c>
      <c r="DL277" s="116">
        <f t="shared" si="947"/>
        <v>1</v>
      </c>
      <c r="DM277" s="116">
        <f t="shared" si="947"/>
        <v>5</v>
      </c>
      <c r="DN277" s="116">
        <f t="shared" si="947"/>
        <v>3</v>
      </c>
      <c r="DO277" s="116">
        <f t="shared" si="947"/>
        <v>1</v>
      </c>
      <c r="DP277" s="116">
        <f t="shared" si="947"/>
        <v>5</v>
      </c>
      <c r="DQ277" s="116">
        <f t="shared" si="947"/>
        <v>3</v>
      </c>
      <c r="DR277" s="116">
        <f t="shared" si="947"/>
        <v>1</v>
      </c>
      <c r="DS277" s="116">
        <f t="shared" si="947"/>
        <v>5</v>
      </c>
      <c r="DT277" s="116">
        <f t="shared" si="947"/>
        <v>3</v>
      </c>
      <c r="DU277" s="116">
        <f t="shared" si="947"/>
        <v>1</v>
      </c>
      <c r="DV277" s="116">
        <f t="shared" si="947"/>
        <v>5</v>
      </c>
      <c r="DW277" s="116">
        <f t="shared" si="947"/>
        <v>3</v>
      </c>
      <c r="DX277" s="116">
        <f t="shared" si="947"/>
        <v>1</v>
      </c>
      <c r="DY277" s="116">
        <f t="shared" si="947"/>
        <v>5</v>
      </c>
      <c r="DZ277" s="116">
        <f t="shared" si="947"/>
        <v>3</v>
      </c>
      <c r="EA277" s="116">
        <f t="shared" si="947"/>
        <v>1</v>
      </c>
      <c r="EB277" s="116">
        <f t="shared" si="947"/>
        <v>5</v>
      </c>
      <c r="EC277" s="116">
        <f t="shared" si="947"/>
        <v>3</v>
      </c>
      <c r="ED277" s="116">
        <f t="shared" si="947"/>
        <v>1</v>
      </c>
      <c r="EE277" s="116">
        <f t="shared" si="947"/>
        <v>5</v>
      </c>
      <c r="EF277" s="116">
        <f t="shared" si="947"/>
        <v>3</v>
      </c>
      <c r="EG277" s="116">
        <f t="shared" si="947"/>
        <v>1</v>
      </c>
      <c r="EH277" s="116">
        <f t="shared" si="947"/>
        <v>5</v>
      </c>
      <c r="EI277" s="116">
        <f t="shared" si="947"/>
        <v>3</v>
      </c>
      <c r="EJ277" s="116">
        <f t="shared" si="947"/>
        <v>1</v>
      </c>
      <c r="EK277" s="116">
        <f t="shared" si="947"/>
        <v>4</v>
      </c>
      <c r="EL277" s="116">
        <f t="shared" si="947"/>
        <v>4</v>
      </c>
      <c r="EM277" s="116">
        <f t="shared" si="947"/>
        <v>0</v>
      </c>
      <c r="EN277" s="116">
        <f t="shared" si="947"/>
        <v>4</v>
      </c>
      <c r="EO277" s="116">
        <f t="shared" si="947"/>
        <v>4</v>
      </c>
      <c r="EP277" s="116">
        <f t="shared" si="947"/>
        <v>0</v>
      </c>
      <c r="EQ277" s="116">
        <f t="shared" si="947"/>
        <v>4</v>
      </c>
      <c r="ER277" s="116">
        <f t="shared" si="947"/>
        <v>4</v>
      </c>
      <c r="ES277" s="116">
        <f t="shared" si="947"/>
        <v>0</v>
      </c>
      <c r="ET277" s="116">
        <f t="shared" si="947"/>
        <v>4</v>
      </c>
      <c r="EU277" s="116">
        <f t="shared" si="947"/>
        <v>4</v>
      </c>
      <c r="EV277" s="116">
        <f t="shared" si="947"/>
        <v>0</v>
      </c>
      <c r="EW277" s="116">
        <f t="shared" si="947"/>
        <v>4</v>
      </c>
      <c r="EX277" s="116">
        <f t="shared" si="947"/>
        <v>4</v>
      </c>
      <c r="EY277" s="116">
        <f t="shared" si="947"/>
        <v>0</v>
      </c>
      <c r="EZ277" s="116">
        <f t="shared" si="947"/>
        <v>4</v>
      </c>
      <c r="FA277" s="116">
        <f t="shared" si="947"/>
        <v>4</v>
      </c>
      <c r="FB277" s="116">
        <f t="shared" si="947"/>
        <v>0</v>
      </c>
      <c r="FC277" s="116">
        <f t="shared" si="947"/>
        <v>4</v>
      </c>
      <c r="FD277" s="116">
        <f t="shared" si="947"/>
        <v>4</v>
      </c>
      <c r="FE277" s="116">
        <f t="shared" si="947"/>
        <v>0</v>
      </c>
      <c r="FF277" s="116">
        <f t="shared" si="947"/>
        <v>4</v>
      </c>
      <c r="FG277" s="116">
        <f t="shared" si="947"/>
        <v>4</v>
      </c>
      <c r="FH277" s="116">
        <f t="shared" si="947"/>
        <v>0</v>
      </c>
      <c r="FI277" s="116">
        <f t="shared" si="947"/>
        <v>4</v>
      </c>
      <c r="FJ277" s="116">
        <f t="shared" si="947"/>
        <v>4</v>
      </c>
      <c r="FK277" s="116">
        <f t="shared" si="947"/>
        <v>0</v>
      </c>
      <c r="FL277" s="116">
        <f t="shared" si="947"/>
        <v>5</v>
      </c>
      <c r="FM277" s="116">
        <f t="shared" si="947"/>
        <v>0</v>
      </c>
      <c r="FN277" s="116">
        <f t="shared" si="947"/>
        <v>3</v>
      </c>
      <c r="FO277" s="116">
        <f t="shared" si="947"/>
        <v>5</v>
      </c>
      <c r="FP277" s="116">
        <f t="shared" si="947"/>
        <v>0</v>
      </c>
      <c r="FQ277" s="116">
        <f t="shared" si="947"/>
        <v>3</v>
      </c>
      <c r="FR277" s="116">
        <f t="shared" si="947"/>
        <v>5</v>
      </c>
      <c r="FS277" s="116">
        <f t="shared" si="947"/>
        <v>0</v>
      </c>
      <c r="FT277" s="116">
        <f t="shared" si="947"/>
        <v>3</v>
      </c>
      <c r="FU277" s="116">
        <f t="shared" si="947"/>
        <v>5</v>
      </c>
      <c r="FV277" s="116">
        <f t="shared" ref="FV277:GL277" si="948">FV274</f>
        <v>0</v>
      </c>
      <c r="FW277" s="116">
        <f t="shared" si="948"/>
        <v>3</v>
      </c>
      <c r="FX277" s="116">
        <f t="shared" si="948"/>
        <v>5</v>
      </c>
      <c r="FY277" s="116">
        <f t="shared" si="948"/>
        <v>0</v>
      </c>
      <c r="FZ277" s="116">
        <f t="shared" si="948"/>
        <v>3</v>
      </c>
      <c r="GA277" s="116">
        <f t="shared" si="948"/>
        <v>5</v>
      </c>
      <c r="GB277" s="116">
        <f t="shared" si="948"/>
        <v>0</v>
      </c>
      <c r="GC277" s="116">
        <f t="shared" si="948"/>
        <v>3</v>
      </c>
      <c r="GD277" s="116">
        <f t="shared" si="948"/>
        <v>5</v>
      </c>
      <c r="GE277" s="116">
        <f t="shared" si="948"/>
        <v>0</v>
      </c>
      <c r="GF277" s="116">
        <f t="shared" si="948"/>
        <v>3</v>
      </c>
      <c r="GG277" s="116">
        <f t="shared" si="948"/>
        <v>5</v>
      </c>
      <c r="GH277" s="116">
        <f t="shared" si="948"/>
        <v>0</v>
      </c>
      <c r="GI277" s="116">
        <f t="shared" si="948"/>
        <v>3</v>
      </c>
      <c r="GJ277" s="116">
        <f t="shared" si="948"/>
        <v>5</v>
      </c>
      <c r="GK277" s="116">
        <f t="shared" si="948"/>
        <v>0</v>
      </c>
      <c r="GL277" s="116">
        <f t="shared" si="948"/>
        <v>3</v>
      </c>
    </row>
    <row r="278" spans="14:194" ht="15" customHeight="1">
      <c r="N278" s="116">
        <f t="shared" ref="N278:BY278" si="949">N275</f>
        <v>0</v>
      </c>
      <c r="O278" s="116">
        <f t="shared" si="949"/>
        <v>0</v>
      </c>
      <c r="P278" s="116">
        <f t="shared" si="949"/>
        <v>0</v>
      </c>
      <c r="Q278" s="116">
        <f t="shared" si="949"/>
        <v>0</v>
      </c>
      <c r="R278" s="116">
        <f t="shared" si="949"/>
        <v>0</v>
      </c>
      <c r="S278" s="116">
        <f t="shared" si="949"/>
        <v>0</v>
      </c>
      <c r="T278" s="116">
        <f t="shared" si="949"/>
        <v>0</v>
      </c>
      <c r="U278" s="116">
        <f t="shared" si="949"/>
        <v>0</v>
      </c>
      <c r="V278" s="116">
        <f t="shared" si="949"/>
        <v>0</v>
      </c>
      <c r="W278" s="116">
        <f t="shared" si="949"/>
        <v>0</v>
      </c>
      <c r="X278" s="116">
        <f t="shared" si="949"/>
        <v>0</v>
      </c>
      <c r="Y278" s="116">
        <f t="shared" si="949"/>
        <v>0</v>
      </c>
      <c r="Z278" s="116">
        <f t="shared" si="949"/>
        <v>0</v>
      </c>
      <c r="AA278" s="116">
        <f t="shared" si="949"/>
        <v>0</v>
      </c>
      <c r="AB278" s="116">
        <f t="shared" si="949"/>
        <v>0</v>
      </c>
      <c r="AC278" s="116">
        <f t="shared" si="949"/>
        <v>0</v>
      </c>
      <c r="AD278" s="116">
        <f t="shared" si="949"/>
        <v>0</v>
      </c>
      <c r="AE278" s="116">
        <f t="shared" si="949"/>
        <v>0</v>
      </c>
      <c r="AF278" s="116">
        <f t="shared" si="949"/>
        <v>0</v>
      </c>
      <c r="AG278" s="116">
        <f t="shared" si="949"/>
        <v>0</v>
      </c>
      <c r="AH278" s="116">
        <f t="shared" si="949"/>
        <v>0</v>
      </c>
      <c r="AI278" s="116">
        <f t="shared" si="949"/>
        <v>0</v>
      </c>
      <c r="AJ278" s="116">
        <f t="shared" si="949"/>
        <v>0</v>
      </c>
      <c r="AK278" s="116">
        <f t="shared" si="949"/>
        <v>0</v>
      </c>
      <c r="AL278" s="116">
        <f t="shared" si="949"/>
        <v>0</v>
      </c>
      <c r="AM278" s="116">
        <f t="shared" si="949"/>
        <v>0</v>
      </c>
      <c r="AN278" s="116">
        <f t="shared" si="949"/>
        <v>0</v>
      </c>
      <c r="AO278" s="116">
        <f t="shared" si="949"/>
        <v>0</v>
      </c>
      <c r="AP278" s="116">
        <f t="shared" si="949"/>
        <v>0</v>
      </c>
      <c r="AQ278" s="116">
        <f t="shared" si="949"/>
        <v>0</v>
      </c>
      <c r="AR278" s="116">
        <f t="shared" si="949"/>
        <v>0</v>
      </c>
      <c r="AS278" s="116">
        <f t="shared" si="949"/>
        <v>0</v>
      </c>
      <c r="AT278" s="116">
        <f t="shared" si="949"/>
        <v>0</v>
      </c>
      <c r="AU278" s="116">
        <f t="shared" si="949"/>
        <v>0</v>
      </c>
      <c r="AV278" s="116">
        <f t="shared" si="949"/>
        <v>0</v>
      </c>
      <c r="AW278" s="116">
        <f t="shared" si="949"/>
        <v>0</v>
      </c>
      <c r="AX278" s="116">
        <f t="shared" si="949"/>
        <v>0</v>
      </c>
      <c r="AY278" s="116">
        <f t="shared" si="949"/>
        <v>0</v>
      </c>
      <c r="AZ278" s="116">
        <f t="shared" si="949"/>
        <v>0</v>
      </c>
      <c r="BA278" s="116">
        <f t="shared" si="949"/>
        <v>0</v>
      </c>
      <c r="BB278" s="116">
        <f t="shared" si="949"/>
        <v>0</v>
      </c>
      <c r="BC278" s="116">
        <f t="shared" si="949"/>
        <v>0</v>
      </c>
      <c r="BD278" s="116">
        <f t="shared" si="949"/>
        <v>0</v>
      </c>
      <c r="BE278" s="116">
        <f t="shared" si="949"/>
        <v>0</v>
      </c>
      <c r="BF278" s="116">
        <f t="shared" si="949"/>
        <v>0</v>
      </c>
      <c r="BG278" s="116">
        <f t="shared" si="949"/>
        <v>0</v>
      </c>
      <c r="BH278" s="116">
        <f t="shared" si="949"/>
        <v>0</v>
      </c>
      <c r="BI278" s="116">
        <f t="shared" si="949"/>
        <v>0</v>
      </c>
      <c r="BJ278" s="116">
        <f t="shared" si="949"/>
        <v>0</v>
      </c>
      <c r="BK278" s="116">
        <f t="shared" si="949"/>
        <v>0</v>
      </c>
      <c r="BL278" s="116">
        <f t="shared" si="949"/>
        <v>0</v>
      </c>
      <c r="BM278" s="116">
        <f t="shared" si="949"/>
        <v>0</v>
      </c>
      <c r="BN278" s="116">
        <f t="shared" si="949"/>
        <v>0</v>
      </c>
      <c r="BO278" s="116">
        <f t="shared" si="949"/>
        <v>0</v>
      </c>
      <c r="BP278" s="116">
        <f t="shared" si="949"/>
        <v>0</v>
      </c>
      <c r="BQ278" s="116">
        <f t="shared" si="949"/>
        <v>0</v>
      </c>
      <c r="BR278" s="116">
        <f t="shared" si="949"/>
        <v>0</v>
      </c>
      <c r="BS278" s="116">
        <f t="shared" si="949"/>
        <v>0</v>
      </c>
      <c r="BT278" s="116">
        <f t="shared" si="949"/>
        <v>0</v>
      </c>
      <c r="BU278" s="116">
        <f t="shared" si="949"/>
        <v>0</v>
      </c>
      <c r="BV278" s="116">
        <f t="shared" si="949"/>
        <v>0</v>
      </c>
      <c r="BW278" s="116">
        <f t="shared" si="949"/>
        <v>0</v>
      </c>
      <c r="BX278" s="116">
        <f t="shared" si="949"/>
        <v>0</v>
      </c>
      <c r="BY278" s="116">
        <f t="shared" si="949"/>
        <v>0</v>
      </c>
      <c r="BZ278" s="116">
        <f t="shared" ref="BZ278:CP278" si="950">BZ275</f>
        <v>0</v>
      </c>
      <c r="CA278" s="116">
        <f t="shared" si="950"/>
        <v>0</v>
      </c>
      <c r="CB278" s="116">
        <f t="shared" si="950"/>
        <v>0</v>
      </c>
      <c r="CC278" s="116">
        <f t="shared" si="950"/>
        <v>0</v>
      </c>
      <c r="CD278" s="116">
        <f t="shared" si="950"/>
        <v>0</v>
      </c>
      <c r="CE278" s="116">
        <f t="shared" si="950"/>
        <v>0</v>
      </c>
      <c r="CF278" s="116">
        <f t="shared" si="950"/>
        <v>0</v>
      </c>
      <c r="CG278" s="116">
        <f t="shared" si="950"/>
        <v>0</v>
      </c>
      <c r="CH278" s="116">
        <f t="shared" si="950"/>
        <v>0</v>
      </c>
      <c r="CI278" s="116">
        <f t="shared" si="950"/>
        <v>0</v>
      </c>
      <c r="CJ278" s="116">
        <f t="shared" si="950"/>
        <v>0</v>
      </c>
      <c r="CK278" s="116">
        <f t="shared" si="950"/>
        <v>0</v>
      </c>
      <c r="CL278" s="116">
        <f t="shared" si="950"/>
        <v>0</v>
      </c>
      <c r="CM278" s="116">
        <f t="shared" si="950"/>
        <v>0</v>
      </c>
      <c r="CN278" s="116">
        <f t="shared" si="950"/>
        <v>0</v>
      </c>
      <c r="CO278" s="116">
        <f t="shared" si="950"/>
        <v>0</v>
      </c>
      <c r="CP278" s="116">
        <f t="shared" si="950"/>
        <v>0</v>
      </c>
      <c r="DJ278" s="116">
        <f t="shared" ref="DJ278:FU278" si="951">DJ275</f>
        <v>2</v>
      </c>
      <c r="DK278" s="116">
        <f t="shared" si="951"/>
        <v>1</v>
      </c>
      <c r="DL278" s="116">
        <f t="shared" si="951"/>
        <v>2</v>
      </c>
      <c r="DM278" s="116">
        <f t="shared" si="951"/>
        <v>2</v>
      </c>
      <c r="DN278" s="116">
        <f t="shared" si="951"/>
        <v>1</v>
      </c>
      <c r="DO278" s="116">
        <f t="shared" si="951"/>
        <v>2</v>
      </c>
      <c r="DP278" s="116">
        <f t="shared" si="951"/>
        <v>2</v>
      </c>
      <c r="DQ278" s="116">
        <f t="shared" si="951"/>
        <v>1</v>
      </c>
      <c r="DR278" s="116">
        <f t="shared" si="951"/>
        <v>2</v>
      </c>
      <c r="DS278" s="116">
        <f t="shared" si="951"/>
        <v>2</v>
      </c>
      <c r="DT278" s="116">
        <f t="shared" si="951"/>
        <v>1</v>
      </c>
      <c r="DU278" s="116">
        <f t="shared" si="951"/>
        <v>2</v>
      </c>
      <c r="DV278" s="116">
        <f t="shared" si="951"/>
        <v>2</v>
      </c>
      <c r="DW278" s="116">
        <f t="shared" si="951"/>
        <v>1</v>
      </c>
      <c r="DX278" s="116">
        <f t="shared" si="951"/>
        <v>2</v>
      </c>
      <c r="DY278" s="116">
        <f t="shared" si="951"/>
        <v>2</v>
      </c>
      <c r="DZ278" s="116">
        <f t="shared" si="951"/>
        <v>1</v>
      </c>
      <c r="EA278" s="116">
        <f t="shared" si="951"/>
        <v>2</v>
      </c>
      <c r="EB278" s="116">
        <f t="shared" si="951"/>
        <v>2</v>
      </c>
      <c r="EC278" s="116">
        <f t="shared" si="951"/>
        <v>1</v>
      </c>
      <c r="ED278" s="116">
        <f t="shared" si="951"/>
        <v>2</v>
      </c>
      <c r="EE278" s="116">
        <f t="shared" si="951"/>
        <v>2</v>
      </c>
      <c r="EF278" s="116">
        <f t="shared" si="951"/>
        <v>1</v>
      </c>
      <c r="EG278" s="116">
        <f t="shared" si="951"/>
        <v>2</v>
      </c>
      <c r="EH278" s="116">
        <f t="shared" si="951"/>
        <v>2</v>
      </c>
      <c r="EI278" s="116">
        <f t="shared" si="951"/>
        <v>1</v>
      </c>
      <c r="EJ278" s="116">
        <f t="shared" si="951"/>
        <v>2</v>
      </c>
      <c r="EK278" s="116">
        <f t="shared" si="951"/>
        <v>4</v>
      </c>
      <c r="EL278" s="116">
        <f t="shared" si="951"/>
        <v>0</v>
      </c>
      <c r="EM278" s="116">
        <f t="shared" si="951"/>
        <v>2</v>
      </c>
      <c r="EN278" s="116">
        <f t="shared" si="951"/>
        <v>4</v>
      </c>
      <c r="EO278" s="116">
        <f t="shared" si="951"/>
        <v>0</v>
      </c>
      <c r="EP278" s="116">
        <f t="shared" si="951"/>
        <v>2</v>
      </c>
      <c r="EQ278" s="116">
        <f t="shared" si="951"/>
        <v>4</v>
      </c>
      <c r="ER278" s="116">
        <f t="shared" si="951"/>
        <v>0</v>
      </c>
      <c r="ES278" s="116">
        <f t="shared" si="951"/>
        <v>2</v>
      </c>
      <c r="ET278" s="116">
        <f t="shared" si="951"/>
        <v>4</v>
      </c>
      <c r="EU278" s="116">
        <f t="shared" si="951"/>
        <v>0</v>
      </c>
      <c r="EV278" s="116">
        <f t="shared" si="951"/>
        <v>2</v>
      </c>
      <c r="EW278" s="116">
        <f t="shared" si="951"/>
        <v>4</v>
      </c>
      <c r="EX278" s="116">
        <f t="shared" si="951"/>
        <v>0</v>
      </c>
      <c r="EY278" s="116">
        <f t="shared" si="951"/>
        <v>2</v>
      </c>
      <c r="EZ278" s="116">
        <f t="shared" si="951"/>
        <v>4</v>
      </c>
      <c r="FA278" s="116">
        <f t="shared" si="951"/>
        <v>0</v>
      </c>
      <c r="FB278" s="116">
        <f t="shared" si="951"/>
        <v>2</v>
      </c>
      <c r="FC278" s="116">
        <f t="shared" si="951"/>
        <v>4</v>
      </c>
      <c r="FD278" s="116">
        <f t="shared" si="951"/>
        <v>0</v>
      </c>
      <c r="FE278" s="116">
        <f t="shared" si="951"/>
        <v>2</v>
      </c>
      <c r="FF278" s="116">
        <f t="shared" si="951"/>
        <v>4</v>
      </c>
      <c r="FG278" s="116">
        <f t="shared" si="951"/>
        <v>0</v>
      </c>
      <c r="FH278" s="116">
        <f t="shared" si="951"/>
        <v>2</v>
      </c>
      <c r="FI278" s="116">
        <f t="shared" si="951"/>
        <v>4</v>
      </c>
      <c r="FJ278" s="116">
        <f t="shared" si="951"/>
        <v>0</v>
      </c>
      <c r="FK278" s="116">
        <f t="shared" si="951"/>
        <v>2</v>
      </c>
      <c r="FL278" s="116">
        <f t="shared" si="951"/>
        <v>0</v>
      </c>
      <c r="FM278" s="116">
        <f t="shared" si="951"/>
        <v>1</v>
      </c>
      <c r="FN278" s="116">
        <f t="shared" si="951"/>
        <v>2</v>
      </c>
      <c r="FO278" s="116">
        <f t="shared" si="951"/>
        <v>0</v>
      </c>
      <c r="FP278" s="116">
        <f t="shared" si="951"/>
        <v>1</v>
      </c>
      <c r="FQ278" s="116">
        <f t="shared" si="951"/>
        <v>2</v>
      </c>
      <c r="FR278" s="116">
        <f t="shared" si="951"/>
        <v>0</v>
      </c>
      <c r="FS278" s="116">
        <f t="shared" si="951"/>
        <v>1</v>
      </c>
      <c r="FT278" s="116">
        <f t="shared" si="951"/>
        <v>2</v>
      </c>
      <c r="FU278" s="116">
        <f t="shared" si="951"/>
        <v>0</v>
      </c>
      <c r="FV278" s="116">
        <f t="shared" ref="FV278:GL278" si="952">FV275</f>
        <v>1</v>
      </c>
      <c r="FW278" s="116">
        <f t="shared" si="952"/>
        <v>2</v>
      </c>
      <c r="FX278" s="116">
        <f t="shared" si="952"/>
        <v>0</v>
      </c>
      <c r="FY278" s="116">
        <f t="shared" si="952"/>
        <v>1</v>
      </c>
      <c r="FZ278" s="116">
        <f t="shared" si="952"/>
        <v>2</v>
      </c>
      <c r="GA278" s="116">
        <f t="shared" si="952"/>
        <v>0</v>
      </c>
      <c r="GB278" s="116">
        <f t="shared" si="952"/>
        <v>1</v>
      </c>
      <c r="GC278" s="116">
        <f t="shared" si="952"/>
        <v>2</v>
      </c>
      <c r="GD278" s="116">
        <f t="shared" si="952"/>
        <v>0</v>
      </c>
      <c r="GE278" s="116">
        <f t="shared" si="952"/>
        <v>1</v>
      </c>
      <c r="GF278" s="116">
        <f t="shared" si="952"/>
        <v>2</v>
      </c>
      <c r="GG278" s="116">
        <f t="shared" si="952"/>
        <v>0</v>
      </c>
      <c r="GH278" s="116">
        <f t="shared" si="952"/>
        <v>1</v>
      </c>
      <c r="GI278" s="116">
        <f t="shared" si="952"/>
        <v>2</v>
      </c>
      <c r="GJ278" s="116">
        <f t="shared" si="952"/>
        <v>0</v>
      </c>
      <c r="GK278" s="116">
        <f t="shared" si="952"/>
        <v>1</v>
      </c>
      <c r="GL278" s="116">
        <f t="shared" si="952"/>
        <v>2</v>
      </c>
    </row>
    <row r="279" spans="14:194" ht="15" customHeight="1">
      <c r="N279" s="116">
        <f t="shared" ref="N279:BY279" si="953">N276</f>
        <v>0</v>
      </c>
      <c r="O279" s="116">
        <f t="shared" si="953"/>
        <v>0</v>
      </c>
      <c r="P279" s="116">
        <f t="shared" si="953"/>
        <v>0</v>
      </c>
      <c r="Q279" s="116">
        <f t="shared" si="953"/>
        <v>0</v>
      </c>
      <c r="R279" s="116">
        <f t="shared" si="953"/>
        <v>0</v>
      </c>
      <c r="S279" s="116">
        <f t="shared" si="953"/>
        <v>0</v>
      </c>
      <c r="T279" s="116">
        <f t="shared" si="953"/>
        <v>0</v>
      </c>
      <c r="U279" s="116">
        <f t="shared" si="953"/>
        <v>0</v>
      </c>
      <c r="V279" s="116">
        <f t="shared" si="953"/>
        <v>0</v>
      </c>
      <c r="W279" s="116">
        <f t="shared" si="953"/>
        <v>0</v>
      </c>
      <c r="X279" s="116">
        <f t="shared" si="953"/>
        <v>0</v>
      </c>
      <c r="Y279" s="116">
        <f t="shared" si="953"/>
        <v>0</v>
      </c>
      <c r="Z279" s="116">
        <f t="shared" si="953"/>
        <v>0</v>
      </c>
      <c r="AA279" s="116">
        <f t="shared" si="953"/>
        <v>0</v>
      </c>
      <c r="AB279" s="116">
        <f t="shared" si="953"/>
        <v>0</v>
      </c>
      <c r="AC279" s="116">
        <f t="shared" si="953"/>
        <v>0</v>
      </c>
      <c r="AD279" s="116">
        <f t="shared" si="953"/>
        <v>0</v>
      </c>
      <c r="AE279" s="116">
        <f t="shared" si="953"/>
        <v>0</v>
      </c>
      <c r="AF279" s="116">
        <f t="shared" si="953"/>
        <v>0</v>
      </c>
      <c r="AG279" s="116">
        <f t="shared" si="953"/>
        <v>0</v>
      </c>
      <c r="AH279" s="116">
        <f t="shared" si="953"/>
        <v>0</v>
      </c>
      <c r="AI279" s="116">
        <f t="shared" si="953"/>
        <v>0</v>
      </c>
      <c r="AJ279" s="116">
        <f t="shared" si="953"/>
        <v>0</v>
      </c>
      <c r="AK279" s="116">
        <f t="shared" si="953"/>
        <v>0</v>
      </c>
      <c r="AL279" s="116">
        <f t="shared" si="953"/>
        <v>0</v>
      </c>
      <c r="AM279" s="116">
        <f t="shared" si="953"/>
        <v>0</v>
      </c>
      <c r="AN279" s="116">
        <f t="shared" si="953"/>
        <v>0</v>
      </c>
      <c r="AO279" s="116">
        <f t="shared" si="953"/>
        <v>0</v>
      </c>
      <c r="AP279" s="116">
        <f t="shared" si="953"/>
        <v>0</v>
      </c>
      <c r="AQ279" s="116">
        <f t="shared" si="953"/>
        <v>0</v>
      </c>
      <c r="AR279" s="116">
        <f t="shared" si="953"/>
        <v>0</v>
      </c>
      <c r="AS279" s="116">
        <f t="shared" si="953"/>
        <v>0</v>
      </c>
      <c r="AT279" s="116">
        <f t="shared" si="953"/>
        <v>0</v>
      </c>
      <c r="AU279" s="116">
        <f t="shared" si="953"/>
        <v>0</v>
      </c>
      <c r="AV279" s="116">
        <f t="shared" si="953"/>
        <v>0</v>
      </c>
      <c r="AW279" s="116">
        <f t="shared" si="953"/>
        <v>0</v>
      </c>
      <c r="AX279" s="116">
        <f t="shared" si="953"/>
        <v>0</v>
      </c>
      <c r="AY279" s="116">
        <f t="shared" si="953"/>
        <v>0</v>
      </c>
      <c r="AZ279" s="116">
        <f t="shared" si="953"/>
        <v>0</v>
      </c>
      <c r="BA279" s="116">
        <f t="shared" si="953"/>
        <v>0</v>
      </c>
      <c r="BB279" s="116">
        <f t="shared" si="953"/>
        <v>0</v>
      </c>
      <c r="BC279" s="116">
        <f t="shared" si="953"/>
        <v>0</v>
      </c>
      <c r="BD279" s="116">
        <f t="shared" si="953"/>
        <v>0</v>
      </c>
      <c r="BE279" s="116">
        <f t="shared" si="953"/>
        <v>0</v>
      </c>
      <c r="BF279" s="116">
        <f t="shared" si="953"/>
        <v>0</v>
      </c>
      <c r="BG279" s="116">
        <f t="shared" si="953"/>
        <v>0</v>
      </c>
      <c r="BH279" s="116">
        <f t="shared" si="953"/>
        <v>0</v>
      </c>
      <c r="BI279" s="116">
        <f t="shared" si="953"/>
        <v>0</v>
      </c>
      <c r="BJ279" s="116">
        <f t="shared" si="953"/>
        <v>0</v>
      </c>
      <c r="BK279" s="116">
        <f t="shared" si="953"/>
        <v>0</v>
      </c>
      <c r="BL279" s="116">
        <f t="shared" si="953"/>
        <v>0</v>
      </c>
      <c r="BM279" s="116">
        <f t="shared" si="953"/>
        <v>0</v>
      </c>
      <c r="BN279" s="116">
        <f t="shared" si="953"/>
        <v>0</v>
      </c>
      <c r="BO279" s="116">
        <f t="shared" si="953"/>
        <v>0</v>
      </c>
      <c r="BP279" s="116">
        <f t="shared" si="953"/>
        <v>0</v>
      </c>
      <c r="BQ279" s="116">
        <f t="shared" si="953"/>
        <v>0</v>
      </c>
      <c r="BR279" s="116">
        <f t="shared" si="953"/>
        <v>0</v>
      </c>
      <c r="BS279" s="116">
        <f t="shared" si="953"/>
        <v>0</v>
      </c>
      <c r="BT279" s="116">
        <f t="shared" si="953"/>
        <v>0</v>
      </c>
      <c r="BU279" s="116">
        <f t="shared" si="953"/>
        <v>0</v>
      </c>
      <c r="BV279" s="116">
        <f t="shared" si="953"/>
        <v>0</v>
      </c>
      <c r="BW279" s="116">
        <f t="shared" si="953"/>
        <v>0</v>
      </c>
      <c r="BX279" s="116">
        <f t="shared" si="953"/>
        <v>0</v>
      </c>
      <c r="BY279" s="116">
        <f t="shared" si="953"/>
        <v>0</v>
      </c>
      <c r="BZ279" s="116">
        <f t="shared" ref="BZ279:CP279" si="954">BZ276</f>
        <v>0</v>
      </c>
      <c r="CA279" s="116">
        <f t="shared" si="954"/>
        <v>0</v>
      </c>
      <c r="CB279" s="116">
        <f t="shared" si="954"/>
        <v>0</v>
      </c>
      <c r="CC279" s="116">
        <f t="shared" si="954"/>
        <v>0</v>
      </c>
      <c r="CD279" s="116">
        <f t="shared" si="954"/>
        <v>0</v>
      </c>
      <c r="CE279" s="116">
        <f t="shared" si="954"/>
        <v>0</v>
      </c>
      <c r="CF279" s="116">
        <f t="shared" si="954"/>
        <v>0</v>
      </c>
      <c r="CG279" s="116">
        <f t="shared" si="954"/>
        <v>0</v>
      </c>
      <c r="CH279" s="116">
        <f t="shared" si="954"/>
        <v>0</v>
      </c>
      <c r="CI279" s="116">
        <f t="shared" si="954"/>
        <v>0</v>
      </c>
      <c r="CJ279" s="116">
        <f t="shared" si="954"/>
        <v>0</v>
      </c>
      <c r="CK279" s="116">
        <f t="shared" si="954"/>
        <v>0</v>
      </c>
      <c r="CL279" s="116">
        <f t="shared" si="954"/>
        <v>0</v>
      </c>
      <c r="CM279" s="116">
        <f t="shared" si="954"/>
        <v>0</v>
      </c>
      <c r="CN279" s="116">
        <f t="shared" si="954"/>
        <v>0</v>
      </c>
      <c r="CO279" s="116">
        <f t="shared" si="954"/>
        <v>0</v>
      </c>
      <c r="CP279" s="116">
        <f t="shared" si="954"/>
        <v>0</v>
      </c>
      <c r="DJ279" s="116">
        <f t="shared" ref="DJ279:FU279" si="955">DJ276</f>
        <v>0</v>
      </c>
      <c r="DK279" s="116">
        <f t="shared" si="955"/>
        <v>1</v>
      </c>
      <c r="DL279" s="116">
        <f t="shared" si="955"/>
        <v>0</v>
      </c>
      <c r="DM279" s="116">
        <f t="shared" si="955"/>
        <v>0</v>
      </c>
      <c r="DN279" s="116">
        <f t="shared" si="955"/>
        <v>1</v>
      </c>
      <c r="DO279" s="116">
        <f t="shared" si="955"/>
        <v>0</v>
      </c>
      <c r="DP279" s="116">
        <f t="shared" si="955"/>
        <v>0</v>
      </c>
      <c r="DQ279" s="116">
        <f t="shared" si="955"/>
        <v>1</v>
      </c>
      <c r="DR279" s="116">
        <f t="shared" si="955"/>
        <v>0</v>
      </c>
      <c r="DS279" s="116">
        <f t="shared" si="955"/>
        <v>0</v>
      </c>
      <c r="DT279" s="116">
        <f t="shared" si="955"/>
        <v>1</v>
      </c>
      <c r="DU279" s="116">
        <f t="shared" si="955"/>
        <v>0</v>
      </c>
      <c r="DV279" s="116">
        <f t="shared" si="955"/>
        <v>0</v>
      </c>
      <c r="DW279" s="116">
        <f t="shared" si="955"/>
        <v>1</v>
      </c>
      <c r="DX279" s="116">
        <f t="shared" si="955"/>
        <v>0</v>
      </c>
      <c r="DY279" s="116">
        <f t="shared" si="955"/>
        <v>0</v>
      </c>
      <c r="DZ279" s="116">
        <f t="shared" si="955"/>
        <v>1</v>
      </c>
      <c r="EA279" s="116">
        <f t="shared" si="955"/>
        <v>0</v>
      </c>
      <c r="EB279" s="116">
        <f t="shared" si="955"/>
        <v>0</v>
      </c>
      <c r="EC279" s="116">
        <f t="shared" si="955"/>
        <v>1</v>
      </c>
      <c r="ED279" s="116">
        <f t="shared" si="955"/>
        <v>0</v>
      </c>
      <c r="EE279" s="116">
        <f t="shared" si="955"/>
        <v>0</v>
      </c>
      <c r="EF279" s="116">
        <f t="shared" si="955"/>
        <v>1</v>
      </c>
      <c r="EG279" s="116">
        <f t="shared" si="955"/>
        <v>0</v>
      </c>
      <c r="EH279" s="116">
        <f t="shared" si="955"/>
        <v>0</v>
      </c>
      <c r="EI279" s="116">
        <f t="shared" si="955"/>
        <v>1</v>
      </c>
      <c r="EJ279" s="116">
        <f t="shared" si="955"/>
        <v>0</v>
      </c>
      <c r="EK279" s="116">
        <f t="shared" si="955"/>
        <v>1</v>
      </c>
      <c r="EL279" s="116">
        <f t="shared" si="955"/>
        <v>2</v>
      </c>
      <c r="EM279" s="116">
        <f t="shared" si="955"/>
        <v>0</v>
      </c>
      <c r="EN279" s="116">
        <f t="shared" si="955"/>
        <v>1</v>
      </c>
      <c r="EO279" s="116">
        <f t="shared" si="955"/>
        <v>2</v>
      </c>
      <c r="EP279" s="116">
        <f t="shared" si="955"/>
        <v>0</v>
      </c>
      <c r="EQ279" s="116">
        <f t="shared" si="955"/>
        <v>1</v>
      </c>
      <c r="ER279" s="116">
        <f t="shared" si="955"/>
        <v>2</v>
      </c>
      <c r="ES279" s="116">
        <f t="shared" si="955"/>
        <v>0</v>
      </c>
      <c r="ET279" s="116">
        <f t="shared" si="955"/>
        <v>1</v>
      </c>
      <c r="EU279" s="116">
        <f t="shared" si="955"/>
        <v>2</v>
      </c>
      <c r="EV279" s="116">
        <f t="shared" si="955"/>
        <v>0</v>
      </c>
      <c r="EW279" s="116">
        <f t="shared" si="955"/>
        <v>1</v>
      </c>
      <c r="EX279" s="116">
        <f t="shared" si="955"/>
        <v>2</v>
      </c>
      <c r="EY279" s="116">
        <f t="shared" si="955"/>
        <v>0</v>
      </c>
      <c r="EZ279" s="116">
        <f t="shared" si="955"/>
        <v>1</v>
      </c>
      <c r="FA279" s="116">
        <f t="shared" si="955"/>
        <v>2</v>
      </c>
      <c r="FB279" s="116">
        <f t="shared" si="955"/>
        <v>0</v>
      </c>
      <c r="FC279" s="116">
        <f t="shared" si="955"/>
        <v>1</v>
      </c>
      <c r="FD279" s="116">
        <f t="shared" si="955"/>
        <v>2</v>
      </c>
      <c r="FE279" s="116">
        <f t="shared" si="955"/>
        <v>0</v>
      </c>
      <c r="FF279" s="116">
        <f t="shared" si="955"/>
        <v>1</v>
      </c>
      <c r="FG279" s="116">
        <f t="shared" si="955"/>
        <v>2</v>
      </c>
      <c r="FH279" s="116">
        <f t="shared" si="955"/>
        <v>0</v>
      </c>
      <c r="FI279" s="116">
        <f t="shared" si="955"/>
        <v>1</v>
      </c>
      <c r="FJ279" s="116">
        <f t="shared" si="955"/>
        <v>2</v>
      </c>
      <c r="FK279" s="116">
        <f t="shared" si="955"/>
        <v>0</v>
      </c>
      <c r="FL279" s="116">
        <f t="shared" si="955"/>
        <v>1</v>
      </c>
      <c r="FM279" s="116">
        <f t="shared" si="955"/>
        <v>3</v>
      </c>
      <c r="FN279" s="116">
        <f t="shared" si="955"/>
        <v>0</v>
      </c>
      <c r="FO279" s="116">
        <f t="shared" si="955"/>
        <v>1</v>
      </c>
      <c r="FP279" s="116">
        <f t="shared" si="955"/>
        <v>3</v>
      </c>
      <c r="FQ279" s="116">
        <f t="shared" si="955"/>
        <v>0</v>
      </c>
      <c r="FR279" s="116">
        <f t="shared" si="955"/>
        <v>1</v>
      </c>
      <c r="FS279" s="116">
        <f t="shared" si="955"/>
        <v>3</v>
      </c>
      <c r="FT279" s="116">
        <f t="shared" si="955"/>
        <v>0</v>
      </c>
      <c r="FU279" s="116">
        <f t="shared" si="955"/>
        <v>1</v>
      </c>
      <c r="FV279" s="116">
        <f t="shared" ref="FV279:GL279" si="956">FV276</f>
        <v>3</v>
      </c>
      <c r="FW279" s="116">
        <f t="shared" si="956"/>
        <v>0</v>
      </c>
      <c r="FX279" s="116">
        <f t="shared" si="956"/>
        <v>1</v>
      </c>
      <c r="FY279" s="116">
        <f t="shared" si="956"/>
        <v>3</v>
      </c>
      <c r="FZ279" s="116">
        <f t="shared" si="956"/>
        <v>0</v>
      </c>
      <c r="GA279" s="116">
        <f t="shared" si="956"/>
        <v>1</v>
      </c>
      <c r="GB279" s="116">
        <f t="shared" si="956"/>
        <v>3</v>
      </c>
      <c r="GC279" s="116">
        <f t="shared" si="956"/>
        <v>0</v>
      </c>
      <c r="GD279" s="116">
        <f t="shared" si="956"/>
        <v>1</v>
      </c>
      <c r="GE279" s="116">
        <f t="shared" si="956"/>
        <v>3</v>
      </c>
      <c r="GF279" s="116">
        <f t="shared" si="956"/>
        <v>0</v>
      </c>
      <c r="GG279" s="116">
        <f t="shared" si="956"/>
        <v>1</v>
      </c>
      <c r="GH279" s="116">
        <f t="shared" si="956"/>
        <v>3</v>
      </c>
      <c r="GI279" s="116">
        <f t="shared" si="956"/>
        <v>0</v>
      </c>
      <c r="GJ279" s="116">
        <f t="shared" si="956"/>
        <v>1</v>
      </c>
      <c r="GK279" s="116">
        <f t="shared" si="956"/>
        <v>3</v>
      </c>
      <c r="GL279" s="116">
        <f t="shared" si="956"/>
        <v>0</v>
      </c>
    </row>
    <row r="280" spans="14:194" ht="15" customHeight="1">
      <c r="N280" s="116">
        <f t="shared" ref="N280:BY280" si="957">N277</f>
        <v>0</v>
      </c>
      <c r="O280" s="116">
        <f t="shared" si="957"/>
        <v>0</v>
      </c>
      <c r="P280" s="116">
        <f t="shared" si="957"/>
        <v>0</v>
      </c>
      <c r="Q280" s="116">
        <f t="shared" si="957"/>
        <v>0</v>
      </c>
      <c r="R280" s="116">
        <f t="shared" si="957"/>
        <v>0</v>
      </c>
      <c r="S280" s="116">
        <f t="shared" si="957"/>
        <v>0</v>
      </c>
      <c r="T280" s="116">
        <f t="shared" si="957"/>
        <v>0</v>
      </c>
      <c r="U280" s="116">
        <f t="shared" si="957"/>
        <v>0</v>
      </c>
      <c r="V280" s="116">
        <f t="shared" si="957"/>
        <v>0</v>
      </c>
      <c r="W280" s="116">
        <f t="shared" si="957"/>
        <v>0</v>
      </c>
      <c r="X280" s="116">
        <f t="shared" si="957"/>
        <v>0</v>
      </c>
      <c r="Y280" s="116">
        <f t="shared" si="957"/>
        <v>0</v>
      </c>
      <c r="Z280" s="116">
        <f t="shared" si="957"/>
        <v>0</v>
      </c>
      <c r="AA280" s="116">
        <f t="shared" si="957"/>
        <v>0</v>
      </c>
      <c r="AB280" s="116">
        <f t="shared" si="957"/>
        <v>0</v>
      </c>
      <c r="AC280" s="116">
        <f t="shared" si="957"/>
        <v>0</v>
      </c>
      <c r="AD280" s="116">
        <f t="shared" si="957"/>
        <v>0</v>
      </c>
      <c r="AE280" s="116">
        <f t="shared" si="957"/>
        <v>0</v>
      </c>
      <c r="AF280" s="116">
        <f t="shared" si="957"/>
        <v>0</v>
      </c>
      <c r="AG280" s="116">
        <f t="shared" si="957"/>
        <v>0</v>
      </c>
      <c r="AH280" s="116">
        <f t="shared" si="957"/>
        <v>0</v>
      </c>
      <c r="AI280" s="116">
        <f t="shared" si="957"/>
        <v>0</v>
      </c>
      <c r="AJ280" s="116">
        <f t="shared" si="957"/>
        <v>0</v>
      </c>
      <c r="AK280" s="116">
        <f t="shared" si="957"/>
        <v>0</v>
      </c>
      <c r="AL280" s="116">
        <f t="shared" si="957"/>
        <v>0</v>
      </c>
      <c r="AM280" s="116">
        <f t="shared" si="957"/>
        <v>0</v>
      </c>
      <c r="AN280" s="116">
        <f t="shared" si="957"/>
        <v>0</v>
      </c>
      <c r="AO280" s="116">
        <f t="shared" si="957"/>
        <v>0</v>
      </c>
      <c r="AP280" s="116">
        <f t="shared" si="957"/>
        <v>0</v>
      </c>
      <c r="AQ280" s="116">
        <f t="shared" si="957"/>
        <v>0</v>
      </c>
      <c r="AR280" s="116">
        <f t="shared" si="957"/>
        <v>0</v>
      </c>
      <c r="AS280" s="116">
        <f t="shared" si="957"/>
        <v>0</v>
      </c>
      <c r="AT280" s="116">
        <f t="shared" si="957"/>
        <v>0</v>
      </c>
      <c r="AU280" s="116">
        <f t="shared" si="957"/>
        <v>0</v>
      </c>
      <c r="AV280" s="116">
        <f t="shared" si="957"/>
        <v>0</v>
      </c>
      <c r="AW280" s="116">
        <f t="shared" si="957"/>
        <v>0</v>
      </c>
      <c r="AX280" s="116">
        <f t="shared" si="957"/>
        <v>0</v>
      </c>
      <c r="AY280" s="116">
        <f t="shared" si="957"/>
        <v>0</v>
      </c>
      <c r="AZ280" s="116">
        <f t="shared" si="957"/>
        <v>0</v>
      </c>
      <c r="BA280" s="116">
        <f t="shared" si="957"/>
        <v>0</v>
      </c>
      <c r="BB280" s="116">
        <f t="shared" si="957"/>
        <v>0</v>
      </c>
      <c r="BC280" s="116">
        <f t="shared" si="957"/>
        <v>0</v>
      </c>
      <c r="BD280" s="116">
        <f t="shared" si="957"/>
        <v>0</v>
      </c>
      <c r="BE280" s="116">
        <f t="shared" si="957"/>
        <v>0</v>
      </c>
      <c r="BF280" s="116">
        <f t="shared" si="957"/>
        <v>0</v>
      </c>
      <c r="BG280" s="116">
        <f t="shared" si="957"/>
        <v>0</v>
      </c>
      <c r="BH280" s="116">
        <f t="shared" si="957"/>
        <v>0</v>
      </c>
      <c r="BI280" s="116">
        <f t="shared" si="957"/>
        <v>0</v>
      </c>
      <c r="BJ280" s="116">
        <f t="shared" si="957"/>
        <v>0</v>
      </c>
      <c r="BK280" s="116">
        <f t="shared" si="957"/>
        <v>0</v>
      </c>
      <c r="BL280" s="116">
        <f t="shared" si="957"/>
        <v>0</v>
      </c>
      <c r="BM280" s="116">
        <f t="shared" si="957"/>
        <v>0</v>
      </c>
      <c r="BN280" s="116">
        <f t="shared" si="957"/>
        <v>0</v>
      </c>
      <c r="BO280" s="116">
        <f t="shared" si="957"/>
        <v>0</v>
      </c>
      <c r="BP280" s="116">
        <f t="shared" si="957"/>
        <v>0</v>
      </c>
      <c r="BQ280" s="116">
        <f t="shared" si="957"/>
        <v>0</v>
      </c>
      <c r="BR280" s="116">
        <f t="shared" si="957"/>
        <v>0</v>
      </c>
      <c r="BS280" s="116">
        <f t="shared" si="957"/>
        <v>0</v>
      </c>
      <c r="BT280" s="116">
        <f t="shared" si="957"/>
        <v>0</v>
      </c>
      <c r="BU280" s="116">
        <f t="shared" si="957"/>
        <v>0</v>
      </c>
      <c r="BV280" s="116">
        <f t="shared" si="957"/>
        <v>0</v>
      </c>
      <c r="BW280" s="116">
        <f t="shared" si="957"/>
        <v>0</v>
      </c>
      <c r="BX280" s="116">
        <f t="shared" si="957"/>
        <v>0</v>
      </c>
      <c r="BY280" s="116">
        <f t="shared" si="957"/>
        <v>0</v>
      </c>
      <c r="BZ280" s="116">
        <f t="shared" ref="BZ280:CP280" si="958">BZ277</f>
        <v>0</v>
      </c>
      <c r="CA280" s="116">
        <f t="shared" si="958"/>
        <v>0</v>
      </c>
      <c r="CB280" s="116">
        <f t="shared" si="958"/>
        <v>0</v>
      </c>
      <c r="CC280" s="116">
        <f t="shared" si="958"/>
        <v>0</v>
      </c>
      <c r="CD280" s="116">
        <f t="shared" si="958"/>
        <v>0</v>
      </c>
      <c r="CE280" s="116">
        <f t="shared" si="958"/>
        <v>0</v>
      </c>
      <c r="CF280" s="116">
        <f t="shared" si="958"/>
        <v>0</v>
      </c>
      <c r="CG280" s="116">
        <f t="shared" si="958"/>
        <v>0</v>
      </c>
      <c r="CH280" s="116">
        <f t="shared" si="958"/>
        <v>0</v>
      </c>
      <c r="CI280" s="116">
        <f t="shared" si="958"/>
        <v>0</v>
      </c>
      <c r="CJ280" s="116">
        <f t="shared" si="958"/>
        <v>0</v>
      </c>
      <c r="CK280" s="116">
        <f t="shared" si="958"/>
        <v>0</v>
      </c>
      <c r="CL280" s="116">
        <f t="shared" si="958"/>
        <v>0</v>
      </c>
      <c r="CM280" s="116">
        <f t="shared" si="958"/>
        <v>0</v>
      </c>
      <c r="CN280" s="116">
        <f t="shared" si="958"/>
        <v>0</v>
      </c>
      <c r="CO280" s="116">
        <f t="shared" si="958"/>
        <v>0</v>
      </c>
      <c r="CP280" s="116">
        <f t="shared" si="958"/>
        <v>0</v>
      </c>
      <c r="DJ280" s="116">
        <f t="shared" ref="DJ280:FU280" si="959">DJ277</f>
        <v>5</v>
      </c>
      <c r="DK280" s="116">
        <f t="shared" si="959"/>
        <v>3</v>
      </c>
      <c r="DL280" s="116">
        <f t="shared" si="959"/>
        <v>1</v>
      </c>
      <c r="DM280" s="116">
        <f t="shared" si="959"/>
        <v>5</v>
      </c>
      <c r="DN280" s="116">
        <f t="shared" si="959"/>
        <v>3</v>
      </c>
      <c r="DO280" s="116">
        <f t="shared" si="959"/>
        <v>1</v>
      </c>
      <c r="DP280" s="116">
        <f t="shared" si="959"/>
        <v>5</v>
      </c>
      <c r="DQ280" s="116">
        <f t="shared" si="959"/>
        <v>3</v>
      </c>
      <c r="DR280" s="116">
        <f t="shared" si="959"/>
        <v>1</v>
      </c>
      <c r="DS280" s="116">
        <f t="shared" si="959"/>
        <v>5</v>
      </c>
      <c r="DT280" s="116">
        <f t="shared" si="959"/>
        <v>3</v>
      </c>
      <c r="DU280" s="116">
        <f t="shared" si="959"/>
        <v>1</v>
      </c>
      <c r="DV280" s="116">
        <f t="shared" si="959"/>
        <v>5</v>
      </c>
      <c r="DW280" s="116">
        <f t="shared" si="959"/>
        <v>3</v>
      </c>
      <c r="DX280" s="116">
        <f t="shared" si="959"/>
        <v>1</v>
      </c>
      <c r="DY280" s="116">
        <f t="shared" si="959"/>
        <v>5</v>
      </c>
      <c r="DZ280" s="116">
        <f t="shared" si="959"/>
        <v>3</v>
      </c>
      <c r="EA280" s="116">
        <f t="shared" si="959"/>
        <v>1</v>
      </c>
      <c r="EB280" s="116">
        <f t="shared" si="959"/>
        <v>5</v>
      </c>
      <c r="EC280" s="116">
        <f t="shared" si="959"/>
        <v>3</v>
      </c>
      <c r="ED280" s="116">
        <f t="shared" si="959"/>
        <v>1</v>
      </c>
      <c r="EE280" s="116">
        <f t="shared" si="959"/>
        <v>5</v>
      </c>
      <c r="EF280" s="116">
        <f t="shared" si="959"/>
        <v>3</v>
      </c>
      <c r="EG280" s="116">
        <f t="shared" si="959"/>
        <v>1</v>
      </c>
      <c r="EH280" s="116">
        <f t="shared" si="959"/>
        <v>5</v>
      </c>
      <c r="EI280" s="116">
        <f t="shared" si="959"/>
        <v>3</v>
      </c>
      <c r="EJ280" s="116">
        <f t="shared" si="959"/>
        <v>1</v>
      </c>
      <c r="EK280" s="116">
        <f t="shared" si="959"/>
        <v>4</v>
      </c>
      <c r="EL280" s="116">
        <f t="shared" si="959"/>
        <v>4</v>
      </c>
      <c r="EM280" s="116">
        <f t="shared" si="959"/>
        <v>0</v>
      </c>
      <c r="EN280" s="116">
        <f t="shared" si="959"/>
        <v>4</v>
      </c>
      <c r="EO280" s="116">
        <f t="shared" si="959"/>
        <v>4</v>
      </c>
      <c r="EP280" s="116">
        <f t="shared" si="959"/>
        <v>0</v>
      </c>
      <c r="EQ280" s="116">
        <f t="shared" si="959"/>
        <v>4</v>
      </c>
      <c r="ER280" s="116">
        <f t="shared" si="959"/>
        <v>4</v>
      </c>
      <c r="ES280" s="116">
        <f t="shared" si="959"/>
        <v>0</v>
      </c>
      <c r="ET280" s="116">
        <f t="shared" si="959"/>
        <v>4</v>
      </c>
      <c r="EU280" s="116">
        <f t="shared" si="959"/>
        <v>4</v>
      </c>
      <c r="EV280" s="116">
        <f t="shared" si="959"/>
        <v>0</v>
      </c>
      <c r="EW280" s="116">
        <f t="shared" si="959"/>
        <v>4</v>
      </c>
      <c r="EX280" s="116">
        <f t="shared" si="959"/>
        <v>4</v>
      </c>
      <c r="EY280" s="116">
        <f t="shared" si="959"/>
        <v>0</v>
      </c>
      <c r="EZ280" s="116">
        <f t="shared" si="959"/>
        <v>4</v>
      </c>
      <c r="FA280" s="116">
        <f t="shared" si="959"/>
        <v>4</v>
      </c>
      <c r="FB280" s="116">
        <f t="shared" si="959"/>
        <v>0</v>
      </c>
      <c r="FC280" s="116">
        <f t="shared" si="959"/>
        <v>4</v>
      </c>
      <c r="FD280" s="116">
        <f t="shared" si="959"/>
        <v>4</v>
      </c>
      <c r="FE280" s="116">
        <f t="shared" si="959"/>
        <v>0</v>
      </c>
      <c r="FF280" s="116">
        <f t="shared" si="959"/>
        <v>4</v>
      </c>
      <c r="FG280" s="116">
        <f t="shared" si="959"/>
        <v>4</v>
      </c>
      <c r="FH280" s="116">
        <f t="shared" si="959"/>
        <v>0</v>
      </c>
      <c r="FI280" s="116">
        <f t="shared" si="959"/>
        <v>4</v>
      </c>
      <c r="FJ280" s="116">
        <f t="shared" si="959"/>
        <v>4</v>
      </c>
      <c r="FK280" s="116">
        <f t="shared" si="959"/>
        <v>0</v>
      </c>
      <c r="FL280" s="116">
        <f t="shared" si="959"/>
        <v>5</v>
      </c>
      <c r="FM280" s="116">
        <f t="shared" si="959"/>
        <v>0</v>
      </c>
      <c r="FN280" s="116">
        <f t="shared" si="959"/>
        <v>3</v>
      </c>
      <c r="FO280" s="116">
        <f t="shared" si="959"/>
        <v>5</v>
      </c>
      <c r="FP280" s="116">
        <f t="shared" si="959"/>
        <v>0</v>
      </c>
      <c r="FQ280" s="116">
        <f t="shared" si="959"/>
        <v>3</v>
      </c>
      <c r="FR280" s="116">
        <f t="shared" si="959"/>
        <v>5</v>
      </c>
      <c r="FS280" s="116">
        <f t="shared" si="959"/>
        <v>0</v>
      </c>
      <c r="FT280" s="116">
        <f t="shared" si="959"/>
        <v>3</v>
      </c>
      <c r="FU280" s="116">
        <f t="shared" si="959"/>
        <v>5</v>
      </c>
      <c r="FV280" s="116">
        <f t="shared" ref="FV280:GL280" si="960">FV277</f>
        <v>0</v>
      </c>
      <c r="FW280" s="116">
        <f t="shared" si="960"/>
        <v>3</v>
      </c>
      <c r="FX280" s="116">
        <f t="shared" si="960"/>
        <v>5</v>
      </c>
      <c r="FY280" s="116">
        <f t="shared" si="960"/>
        <v>0</v>
      </c>
      <c r="FZ280" s="116">
        <f t="shared" si="960"/>
        <v>3</v>
      </c>
      <c r="GA280" s="116">
        <f t="shared" si="960"/>
        <v>5</v>
      </c>
      <c r="GB280" s="116">
        <f t="shared" si="960"/>
        <v>0</v>
      </c>
      <c r="GC280" s="116">
        <f t="shared" si="960"/>
        <v>3</v>
      </c>
      <c r="GD280" s="116">
        <f t="shared" si="960"/>
        <v>5</v>
      </c>
      <c r="GE280" s="116">
        <f t="shared" si="960"/>
        <v>0</v>
      </c>
      <c r="GF280" s="116">
        <f t="shared" si="960"/>
        <v>3</v>
      </c>
      <c r="GG280" s="116">
        <f t="shared" si="960"/>
        <v>5</v>
      </c>
      <c r="GH280" s="116">
        <f t="shared" si="960"/>
        <v>0</v>
      </c>
      <c r="GI280" s="116">
        <f t="shared" si="960"/>
        <v>3</v>
      </c>
      <c r="GJ280" s="116">
        <f t="shared" si="960"/>
        <v>5</v>
      </c>
      <c r="GK280" s="116">
        <f t="shared" si="960"/>
        <v>0</v>
      </c>
      <c r="GL280" s="116">
        <f t="shared" si="960"/>
        <v>3</v>
      </c>
    </row>
    <row r="281" spans="14:194" ht="15" customHeight="1">
      <c r="N281" s="116">
        <f t="shared" ref="N281:BY281" si="961">N278</f>
        <v>0</v>
      </c>
      <c r="O281" s="116">
        <f t="shared" si="961"/>
        <v>0</v>
      </c>
      <c r="P281" s="116">
        <f t="shared" si="961"/>
        <v>0</v>
      </c>
      <c r="Q281" s="116">
        <f t="shared" si="961"/>
        <v>0</v>
      </c>
      <c r="R281" s="116">
        <f t="shared" si="961"/>
        <v>0</v>
      </c>
      <c r="S281" s="116">
        <f t="shared" si="961"/>
        <v>0</v>
      </c>
      <c r="T281" s="116">
        <f t="shared" si="961"/>
        <v>0</v>
      </c>
      <c r="U281" s="116">
        <f t="shared" si="961"/>
        <v>0</v>
      </c>
      <c r="V281" s="116">
        <f t="shared" si="961"/>
        <v>0</v>
      </c>
      <c r="W281" s="116">
        <f t="shared" si="961"/>
        <v>0</v>
      </c>
      <c r="X281" s="116">
        <f t="shared" si="961"/>
        <v>0</v>
      </c>
      <c r="Y281" s="116">
        <f t="shared" si="961"/>
        <v>0</v>
      </c>
      <c r="Z281" s="116">
        <f t="shared" si="961"/>
        <v>0</v>
      </c>
      <c r="AA281" s="116">
        <f t="shared" si="961"/>
        <v>0</v>
      </c>
      <c r="AB281" s="116">
        <f t="shared" si="961"/>
        <v>0</v>
      </c>
      <c r="AC281" s="116">
        <f t="shared" si="961"/>
        <v>0</v>
      </c>
      <c r="AD281" s="116">
        <f t="shared" si="961"/>
        <v>0</v>
      </c>
      <c r="AE281" s="116">
        <f t="shared" si="961"/>
        <v>0</v>
      </c>
      <c r="AF281" s="116">
        <f t="shared" si="961"/>
        <v>0</v>
      </c>
      <c r="AG281" s="116">
        <f t="shared" si="961"/>
        <v>0</v>
      </c>
      <c r="AH281" s="116">
        <f t="shared" si="961"/>
        <v>0</v>
      </c>
      <c r="AI281" s="116">
        <f t="shared" si="961"/>
        <v>0</v>
      </c>
      <c r="AJ281" s="116">
        <f t="shared" si="961"/>
        <v>0</v>
      </c>
      <c r="AK281" s="116">
        <f t="shared" si="961"/>
        <v>0</v>
      </c>
      <c r="AL281" s="116">
        <f t="shared" si="961"/>
        <v>0</v>
      </c>
      <c r="AM281" s="116">
        <f t="shared" si="961"/>
        <v>0</v>
      </c>
      <c r="AN281" s="116">
        <f t="shared" si="961"/>
        <v>0</v>
      </c>
      <c r="AO281" s="116">
        <f t="shared" si="961"/>
        <v>0</v>
      </c>
      <c r="AP281" s="116">
        <f t="shared" si="961"/>
        <v>0</v>
      </c>
      <c r="AQ281" s="116">
        <f t="shared" si="961"/>
        <v>0</v>
      </c>
      <c r="AR281" s="116">
        <f t="shared" si="961"/>
        <v>0</v>
      </c>
      <c r="AS281" s="116">
        <f t="shared" si="961"/>
        <v>0</v>
      </c>
      <c r="AT281" s="116">
        <f t="shared" si="961"/>
        <v>0</v>
      </c>
      <c r="AU281" s="116">
        <f t="shared" si="961"/>
        <v>0</v>
      </c>
      <c r="AV281" s="116">
        <f t="shared" si="961"/>
        <v>0</v>
      </c>
      <c r="AW281" s="116">
        <f t="shared" si="961"/>
        <v>0</v>
      </c>
      <c r="AX281" s="116">
        <f t="shared" si="961"/>
        <v>0</v>
      </c>
      <c r="AY281" s="116">
        <f t="shared" si="961"/>
        <v>0</v>
      </c>
      <c r="AZ281" s="116">
        <f t="shared" si="961"/>
        <v>0</v>
      </c>
      <c r="BA281" s="116">
        <f t="shared" si="961"/>
        <v>0</v>
      </c>
      <c r="BB281" s="116">
        <f t="shared" si="961"/>
        <v>0</v>
      </c>
      <c r="BC281" s="116">
        <f t="shared" si="961"/>
        <v>0</v>
      </c>
      <c r="BD281" s="116">
        <f t="shared" si="961"/>
        <v>0</v>
      </c>
      <c r="BE281" s="116">
        <f t="shared" si="961"/>
        <v>0</v>
      </c>
      <c r="BF281" s="116">
        <f t="shared" si="961"/>
        <v>0</v>
      </c>
      <c r="BG281" s="116">
        <f t="shared" si="961"/>
        <v>0</v>
      </c>
      <c r="BH281" s="116">
        <f t="shared" si="961"/>
        <v>0</v>
      </c>
      <c r="BI281" s="116">
        <f t="shared" si="961"/>
        <v>0</v>
      </c>
      <c r="BJ281" s="116">
        <f t="shared" si="961"/>
        <v>0</v>
      </c>
      <c r="BK281" s="116">
        <f t="shared" si="961"/>
        <v>0</v>
      </c>
      <c r="BL281" s="116">
        <f t="shared" si="961"/>
        <v>0</v>
      </c>
      <c r="BM281" s="116">
        <f t="shared" si="961"/>
        <v>0</v>
      </c>
      <c r="BN281" s="116">
        <f t="shared" si="961"/>
        <v>0</v>
      </c>
      <c r="BO281" s="116">
        <f t="shared" si="961"/>
        <v>0</v>
      </c>
      <c r="BP281" s="116">
        <f t="shared" si="961"/>
        <v>0</v>
      </c>
      <c r="BQ281" s="116">
        <f t="shared" si="961"/>
        <v>0</v>
      </c>
      <c r="BR281" s="116">
        <f t="shared" si="961"/>
        <v>0</v>
      </c>
      <c r="BS281" s="116">
        <f t="shared" si="961"/>
        <v>0</v>
      </c>
      <c r="BT281" s="116">
        <f t="shared" si="961"/>
        <v>0</v>
      </c>
      <c r="BU281" s="116">
        <f t="shared" si="961"/>
        <v>0</v>
      </c>
      <c r="BV281" s="116">
        <f t="shared" si="961"/>
        <v>0</v>
      </c>
      <c r="BW281" s="116">
        <f t="shared" si="961"/>
        <v>0</v>
      </c>
      <c r="BX281" s="116">
        <f t="shared" si="961"/>
        <v>0</v>
      </c>
      <c r="BY281" s="116">
        <f t="shared" si="961"/>
        <v>0</v>
      </c>
      <c r="BZ281" s="116">
        <f t="shared" ref="BZ281:CP281" si="962">BZ278</f>
        <v>0</v>
      </c>
      <c r="CA281" s="116">
        <f t="shared" si="962"/>
        <v>0</v>
      </c>
      <c r="CB281" s="116">
        <f t="shared" si="962"/>
        <v>0</v>
      </c>
      <c r="CC281" s="116">
        <f t="shared" si="962"/>
        <v>0</v>
      </c>
      <c r="CD281" s="116">
        <f t="shared" si="962"/>
        <v>0</v>
      </c>
      <c r="CE281" s="116">
        <f t="shared" si="962"/>
        <v>0</v>
      </c>
      <c r="CF281" s="116">
        <f t="shared" si="962"/>
        <v>0</v>
      </c>
      <c r="CG281" s="116">
        <f t="shared" si="962"/>
        <v>0</v>
      </c>
      <c r="CH281" s="116">
        <f t="shared" si="962"/>
        <v>0</v>
      </c>
      <c r="CI281" s="116">
        <f t="shared" si="962"/>
        <v>0</v>
      </c>
      <c r="CJ281" s="116">
        <f t="shared" si="962"/>
        <v>0</v>
      </c>
      <c r="CK281" s="116">
        <f t="shared" si="962"/>
        <v>0</v>
      </c>
      <c r="CL281" s="116">
        <f t="shared" si="962"/>
        <v>0</v>
      </c>
      <c r="CM281" s="116">
        <f t="shared" si="962"/>
        <v>0</v>
      </c>
      <c r="CN281" s="116">
        <f t="shared" si="962"/>
        <v>0</v>
      </c>
      <c r="CO281" s="116">
        <f t="shared" si="962"/>
        <v>0</v>
      </c>
      <c r="CP281" s="116">
        <f t="shared" si="962"/>
        <v>0</v>
      </c>
      <c r="DJ281" s="116">
        <f t="shared" ref="DJ281:FU281" si="963">DJ278</f>
        <v>2</v>
      </c>
      <c r="DK281" s="116">
        <f t="shared" si="963"/>
        <v>1</v>
      </c>
      <c r="DL281" s="116">
        <f t="shared" si="963"/>
        <v>2</v>
      </c>
      <c r="DM281" s="116">
        <f t="shared" si="963"/>
        <v>2</v>
      </c>
      <c r="DN281" s="116">
        <f t="shared" si="963"/>
        <v>1</v>
      </c>
      <c r="DO281" s="116">
        <f t="shared" si="963"/>
        <v>2</v>
      </c>
      <c r="DP281" s="116">
        <f t="shared" si="963"/>
        <v>2</v>
      </c>
      <c r="DQ281" s="116">
        <f t="shared" si="963"/>
        <v>1</v>
      </c>
      <c r="DR281" s="116">
        <f t="shared" si="963"/>
        <v>2</v>
      </c>
      <c r="DS281" s="116">
        <f t="shared" si="963"/>
        <v>2</v>
      </c>
      <c r="DT281" s="116">
        <f t="shared" si="963"/>
        <v>1</v>
      </c>
      <c r="DU281" s="116">
        <f t="shared" si="963"/>
        <v>2</v>
      </c>
      <c r="DV281" s="116">
        <f t="shared" si="963"/>
        <v>2</v>
      </c>
      <c r="DW281" s="116">
        <f t="shared" si="963"/>
        <v>1</v>
      </c>
      <c r="DX281" s="116">
        <f t="shared" si="963"/>
        <v>2</v>
      </c>
      <c r="DY281" s="116">
        <f t="shared" si="963"/>
        <v>2</v>
      </c>
      <c r="DZ281" s="116">
        <f t="shared" si="963"/>
        <v>1</v>
      </c>
      <c r="EA281" s="116">
        <f t="shared" si="963"/>
        <v>2</v>
      </c>
      <c r="EB281" s="116">
        <f t="shared" si="963"/>
        <v>2</v>
      </c>
      <c r="EC281" s="116">
        <f t="shared" si="963"/>
        <v>1</v>
      </c>
      <c r="ED281" s="116">
        <f t="shared" si="963"/>
        <v>2</v>
      </c>
      <c r="EE281" s="116">
        <f t="shared" si="963"/>
        <v>2</v>
      </c>
      <c r="EF281" s="116">
        <f t="shared" si="963"/>
        <v>1</v>
      </c>
      <c r="EG281" s="116">
        <f t="shared" si="963"/>
        <v>2</v>
      </c>
      <c r="EH281" s="116">
        <f t="shared" si="963"/>
        <v>2</v>
      </c>
      <c r="EI281" s="116">
        <f t="shared" si="963"/>
        <v>1</v>
      </c>
      <c r="EJ281" s="116">
        <f t="shared" si="963"/>
        <v>2</v>
      </c>
      <c r="EK281" s="116">
        <f t="shared" si="963"/>
        <v>4</v>
      </c>
      <c r="EL281" s="116">
        <f t="shared" si="963"/>
        <v>0</v>
      </c>
      <c r="EM281" s="116">
        <f t="shared" si="963"/>
        <v>2</v>
      </c>
      <c r="EN281" s="116">
        <f t="shared" si="963"/>
        <v>4</v>
      </c>
      <c r="EO281" s="116">
        <f t="shared" si="963"/>
        <v>0</v>
      </c>
      <c r="EP281" s="116">
        <f t="shared" si="963"/>
        <v>2</v>
      </c>
      <c r="EQ281" s="116">
        <f t="shared" si="963"/>
        <v>4</v>
      </c>
      <c r="ER281" s="116">
        <f t="shared" si="963"/>
        <v>0</v>
      </c>
      <c r="ES281" s="116">
        <f t="shared" si="963"/>
        <v>2</v>
      </c>
      <c r="ET281" s="116">
        <f t="shared" si="963"/>
        <v>4</v>
      </c>
      <c r="EU281" s="116">
        <f t="shared" si="963"/>
        <v>0</v>
      </c>
      <c r="EV281" s="116">
        <f t="shared" si="963"/>
        <v>2</v>
      </c>
      <c r="EW281" s="116">
        <f t="shared" si="963"/>
        <v>4</v>
      </c>
      <c r="EX281" s="116">
        <f t="shared" si="963"/>
        <v>0</v>
      </c>
      <c r="EY281" s="116">
        <f t="shared" si="963"/>
        <v>2</v>
      </c>
      <c r="EZ281" s="116">
        <f t="shared" si="963"/>
        <v>4</v>
      </c>
      <c r="FA281" s="116">
        <f t="shared" si="963"/>
        <v>0</v>
      </c>
      <c r="FB281" s="116">
        <f t="shared" si="963"/>
        <v>2</v>
      </c>
      <c r="FC281" s="116">
        <f t="shared" si="963"/>
        <v>4</v>
      </c>
      <c r="FD281" s="116">
        <f t="shared" si="963"/>
        <v>0</v>
      </c>
      <c r="FE281" s="116">
        <f t="shared" si="963"/>
        <v>2</v>
      </c>
      <c r="FF281" s="116">
        <f t="shared" si="963"/>
        <v>4</v>
      </c>
      <c r="FG281" s="116">
        <f t="shared" si="963"/>
        <v>0</v>
      </c>
      <c r="FH281" s="116">
        <f t="shared" si="963"/>
        <v>2</v>
      </c>
      <c r="FI281" s="116">
        <f t="shared" si="963"/>
        <v>4</v>
      </c>
      <c r="FJ281" s="116">
        <f t="shared" si="963"/>
        <v>0</v>
      </c>
      <c r="FK281" s="116">
        <f t="shared" si="963"/>
        <v>2</v>
      </c>
      <c r="FL281" s="116">
        <f t="shared" si="963"/>
        <v>0</v>
      </c>
      <c r="FM281" s="116">
        <f t="shared" si="963"/>
        <v>1</v>
      </c>
      <c r="FN281" s="116">
        <f t="shared" si="963"/>
        <v>2</v>
      </c>
      <c r="FO281" s="116">
        <f t="shared" si="963"/>
        <v>0</v>
      </c>
      <c r="FP281" s="116">
        <f t="shared" si="963"/>
        <v>1</v>
      </c>
      <c r="FQ281" s="116">
        <f t="shared" si="963"/>
        <v>2</v>
      </c>
      <c r="FR281" s="116">
        <f t="shared" si="963"/>
        <v>0</v>
      </c>
      <c r="FS281" s="116">
        <f t="shared" si="963"/>
        <v>1</v>
      </c>
      <c r="FT281" s="116">
        <f t="shared" si="963"/>
        <v>2</v>
      </c>
      <c r="FU281" s="116">
        <f t="shared" si="963"/>
        <v>0</v>
      </c>
      <c r="FV281" s="116">
        <f t="shared" ref="FV281:GL281" si="964">FV278</f>
        <v>1</v>
      </c>
      <c r="FW281" s="116">
        <f t="shared" si="964"/>
        <v>2</v>
      </c>
      <c r="FX281" s="116">
        <f t="shared" si="964"/>
        <v>0</v>
      </c>
      <c r="FY281" s="116">
        <f t="shared" si="964"/>
        <v>1</v>
      </c>
      <c r="FZ281" s="116">
        <f t="shared" si="964"/>
        <v>2</v>
      </c>
      <c r="GA281" s="116">
        <f t="shared" si="964"/>
        <v>0</v>
      </c>
      <c r="GB281" s="116">
        <f t="shared" si="964"/>
        <v>1</v>
      </c>
      <c r="GC281" s="116">
        <f t="shared" si="964"/>
        <v>2</v>
      </c>
      <c r="GD281" s="116">
        <f t="shared" si="964"/>
        <v>0</v>
      </c>
      <c r="GE281" s="116">
        <f t="shared" si="964"/>
        <v>1</v>
      </c>
      <c r="GF281" s="116">
        <f t="shared" si="964"/>
        <v>2</v>
      </c>
      <c r="GG281" s="116">
        <f t="shared" si="964"/>
        <v>0</v>
      </c>
      <c r="GH281" s="116">
        <f t="shared" si="964"/>
        <v>1</v>
      </c>
      <c r="GI281" s="116">
        <f t="shared" si="964"/>
        <v>2</v>
      </c>
      <c r="GJ281" s="116">
        <f t="shared" si="964"/>
        <v>0</v>
      </c>
      <c r="GK281" s="116">
        <f t="shared" si="964"/>
        <v>1</v>
      </c>
      <c r="GL281" s="116">
        <f t="shared" si="964"/>
        <v>2</v>
      </c>
    </row>
    <row r="282" spans="14:194" ht="15" customHeight="1">
      <c r="N282" s="116">
        <f t="shared" ref="N282:BY282" si="965">N279</f>
        <v>0</v>
      </c>
      <c r="O282" s="116">
        <f t="shared" si="965"/>
        <v>0</v>
      </c>
      <c r="P282" s="116">
        <f t="shared" si="965"/>
        <v>0</v>
      </c>
      <c r="Q282" s="116">
        <f t="shared" si="965"/>
        <v>0</v>
      </c>
      <c r="R282" s="116">
        <f t="shared" si="965"/>
        <v>0</v>
      </c>
      <c r="S282" s="116">
        <f t="shared" si="965"/>
        <v>0</v>
      </c>
      <c r="T282" s="116">
        <f t="shared" si="965"/>
        <v>0</v>
      </c>
      <c r="U282" s="116">
        <f t="shared" si="965"/>
        <v>0</v>
      </c>
      <c r="V282" s="116">
        <f t="shared" si="965"/>
        <v>0</v>
      </c>
      <c r="W282" s="116">
        <f t="shared" si="965"/>
        <v>0</v>
      </c>
      <c r="X282" s="116">
        <f t="shared" si="965"/>
        <v>0</v>
      </c>
      <c r="Y282" s="116">
        <f t="shared" si="965"/>
        <v>0</v>
      </c>
      <c r="Z282" s="116">
        <f t="shared" si="965"/>
        <v>0</v>
      </c>
      <c r="AA282" s="116">
        <f t="shared" si="965"/>
        <v>0</v>
      </c>
      <c r="AB282" s="116">
        <f t="shared" si="965"/>
        <v>0</v>
      </c>
      <c r="AC282" s="116">
        <f t="shared" si="965"/>
        <v>0</v>
      </c>
      <c r="AD282" s="116">
        <f t="shared" si="965"/>
        <v>0</v>
      </c>
      <c r="AE282" s="116">
        <f t="shared" si="965"/>
        <v>0</v>
      </c>
      <c r="AF282" s="116">
        <f t="shared" si="965"/>
        <v>0</v>
      </c>
      <c r="AG282" s="116">
        <f t="shared" si="965"/>
        <v>0</v>
      </c>
      <c r="AH282" s="116">
        <f t="shared" si="965"/>
        <v>0</v>
      </c>
      <c r="AI282" s="116">
        <f t="shared" si="965"/>
        <v>0</v>
      </c>
      <c r="AJ282" s="116">
        <f t="shared" si="965"/>
        <v>0</v>
      </c>
      <c r="AK282" s="116">
        <f t="shared" si="965"/>
        <v>0</v>
      </c>
      <c r="AL282" s="116">
        <f t="shared" si="965"/>
        <v>0</v>
      </c>
      <c r="AM282" s="116">
        <f t="shared" si="965"/>
        <v>0</v>
      </c>
      <c r="AN282" s="116">
        <f t="shared" si="965"/>
        <v>0</v>
      </c>
      <c r="AO282" s="116">
        <f t="shared" si="965"/>
        <v>0</v>
      </c>
      <c r="AP282" s="116">
        <f t="shared" si="965"/>
        <v>0</v>
      </c>
      <c r="AQ282" s="116">
        <f t="shared" si="965"/>
        <v>0</v>
      </c>
      <c r="AR282" s="116">
        <f t="shared" si="965"/>
        <v>0</v>
      </c>
      <c r="AS282" s="116">
        <f t="shared" si="965"/>
        <v>0</v>
      </c>
      <c r="AT282" s="116">
        <f t="shared" si="965"/>
        <v>0</v>
      </c>
      <c r="AU282" s="116">
        <f t="shared" si="965"/>
        <v>0</v>
      </c>
      <c r="AV282" s="116">
        <f t="shared" si="965"/>
        <v>0</v>
      </c>
      <c r="AW282" s="116">
        <f t="shared" si="965"/>
        <v>0</v>
      </c>
      <c r="AX282" s="116">
        <f t="shared" si="965"/>
        <v>0</v>
      </c>
      <c r="AY282" s="116">
        <f t="shared" si="965"/>
        <v>0</v>
      </c>
      <c r="AZ282" s="116">
        <f t="shared" si="965"/>
        <v>0</v>
      </c>
      <c r="BA282" s="116">
        <f t="shared" si="965"/>
        <v>0</v>
      </c>
      <c r="BB282" s="116">
        <f t="shared" si="965"/>
        <v>0</v>
      </c>
      <c r="BC282" s="116">
        <f t="shared" si="965"/>
        <v>0</v>
      </c>
      <c r="BD282" s="116">
        <f t="shared" si="965"/>
        <v>0</v>
      </c>
      <c r="BE282" s="116">
        <f t="shared" si="965"/>
        <v>0</v>
      </c>
      <c r="BF282" s="116">
        <f t="shared" si="965"/>
        <v>0</v>
      </c>
      <c r="BG282" s="116">
        <f t="shared" si="965"/>
        <v>0</v>
      </c>
      <c r="BH282" s="116">
        <f t="shared" si="965"/>
        <v>0</v>
      </c>
      <c r="BI282" s="116">
        <f t="shared" si="965"/>
        <v>0</v>
      </c>
      <c r="BJ282" s="116">
        <f t="shared" si="965"/>
        <v>0</v>
      </c>
      <c r="BK282" s="116">
        <f t="shared" si="965"/>
        <v>0</v>
      </c>
      <c r="BL282" s="116">
        <f t="shared" si="965"/>
        <v>0</v>
      </c>
      <c r="BM282" s="116">
        <f t="shared" si="965"/>
        <v>0</v>
      </c>
      <c r="BN282" s="116">
        <f t="shared" si="965"/>
        <v>0</v>
      </c>
      <c r="BO282" s="116">
        <f t="shared" si="965"/>
        <v>0</v>
      </c>
      <c r="BP282" s="116">
        <f t="shared" si="965"/>
        <v>0</v>
      </c>
      <c r="BQ282" s="116">
        <f t="shared" si="965"/>
        <v>0</v>
      </c>
      <c r="BR282" s="116">
        <f t="shared" si="965"/>
        <v>0</v>
      </c>
      <c r="BS282" s="116">
        <f t="shared" si="965"/>
        <v>0</v>
      </c>
      <c r="BT282" s="116">
        <f t="shared" si="965"/>
        <v>0</v>
      </c>
      <c r="BU282" s="116">
        <f t="shared" si="965"/>
        <v>0</v>
      </c>
      <c r="BV282" s="116">
        <f t="shared" si="965"/>
        <v>0</v>
      </c>
      <c r="BW282" s="116">
        <f t="shared" si="965"/>
        <v>0</v>
      </c>
      <c r="BX282" s="116">
        <f t="shared" si="965"/>
        <v>0</v>
      </c>
      <c r="BY282" s="116">
        <f t="shared" si="965"/>
        <v>0</v>
      </c>
      <c r="BZ282" s="116">
        <f t="shared" ref="BZ282:CP282" si="966">BZ279</f>
        <v>0</v>
      </c>
      <c r="CA282" s="116">
        <f t="shared" si="966"/>
        <v>0</v>
      </c>
      <c r="CB282" s="116">
        <f t="shared" si="966"/>
        <v>0</v>
      </c>
      <c r="CC282" s="116">
        <f t="shared" si="966"/>
        <v>0</v>
      </c>
      <c r="CD282" s="116">
        <f t="shared" si="966"/>
        <v>0</v>
      </c>
      <c r="CE282" s="116">
        <f t="shared" si="966"/>
        <v>0</v>
      </c>
      <c r="CF282" s="116">
        <f t="shared" si="966"/>
        <v>0</v>
      </c>
      <c r="CG282" s="116">
        <f t="shared" si="966"/>
        <v>0</v>
      </c>
      <c r="CH282" s="116">
        <f t="shared" si="966"/>
        <v>0</v>
      </c>
      <c r="CI282" s="116">
        <f t="shared" si="966"/>
        <v>0</v>
      </c>
      <c r="CJ282" s="116">
        <f t="shared" si="966"/>
        <v>0</v>
      </c>
      <c r="CK282" s="116">
        <f t="shared" si="966"/>
        <v>0</v>
      </c>
      <c r="CL282" s="116">
        <f t="shared" si="966"/>
        <v>0</v>
      </c>
      <c r="CM282" s="116">
        <f t="shared" si="966"/>
        <v>0</v>
      </c>
      <c r="CN282" s="116">
        <f t="shared" si="966"/>
        <v>0</v>
      </c>
      <c r="CO282" s="116">
        <f t="shared" si="966"/>
        <v>0</v>
      </c>
      <c r="CP282" s="116">
        <f t="shared" si="966"/>
        <v>0</v>
      </c>
      <c r="DJ282" s="116">
        <f t="shared" ref="DJ282:FU282" si="967">DJ279</f>
        <v>0</v>
      </c>
      <c r="DK282" s="116">
        <f t="shared" si="967"/>
        <v>1</v>
      </c>
      <c r="DL282" s="116">
        <f t="shared" si="967"/>
        <v>0</v>
      </c>
      <c r="DM282" s="116">
        <f t="shared" si="967"/>
        <v>0</v>
      </c>
      <c r="DN282" s="116">
        <f t="shared" si="967"/>
        <v>1</v>
      </c>
      <c r="DO282" s="116">
        <f t="shared" si="967"/>
        <v>0</v>
      </c>
      <c r="DP282" s="116">
        <f t="shared" si="967"/>
        <v>0</v>
      </c>
      <c r="DQ282" s="116">
        <f t="shared" si="967"/>
        <v>1</v>
      </c>
      <c r="DR282" s="116">
        <f t="shared" si="967"/>
        <v>0</v>
      </c>
      <c r="DS282" s="116">
        <f t="shared" si="967"/>
        <v>0</v>
      </c>
      <c r="DT282" s="116">
        <f t="shared" si="967"/>
        <v>1</v>
      </c>
      <c r="DU282" s="116">
        <f t="shared" si="967"/>
        <v>0</v>
      </c>
      <c r="DV282" s="116">
        <f t="shared" si="967"/>
        <v>0</v>
      </c>
      <c r="DW282" s="116">
        <f t="shared" si="967"/>
        <v>1</v>
      </c>
      <c r="DX282" s="116">
        <f t="shared" si="967"/>
        <v>0</v>
      </c>
      <c r="DY282" s="116">
        <f t="shared" si="967"/>
        <v>0</v>
      </c>
      <c r="DZ282" s="116">
        <f t="shared" si="967"/>
        <v>1</v>
      </c>
      <c r="EA282" s="116">
        <f t="shared" si="967"/>
        <v>0</v>
      </c>
      <c r="EB282" s="116">
        <f t="shared" si="967"/>
        <v>0</v>
      </c>
      <c r="EC282" s="116">
        <f t="shared" si="967"/>
        <v>1</v>
      </c>
      <c r="ED282" s="116">
        <f t="shared" si="967"/>
        <v>0</v>
      </c>
      <c r="EE282" s="116">
        <f t="shared" si="967"/>
        <v>0</v>
      </c>
      <c r="EF282" s="116">
        <f t="shared" si="967"/>
        <v>1</v>
      </c>
      <c r="EG282" s="116">
        <f t="shared" si="967"/>
        <v>0</v>
      </c>
      <c r="EH282" s="116">
        <f t="shared" si="967"/>
        <v>0</v>
      </c>
      <c r="EI282" s="116">
        <f t="shared" si="967"/>
        <v>1</v>
      </c>
      <c r="EJ282" s="116">
        <f t="shared" si="967"/>
        <v>0</v>
      </c>
      <c r="EK282" s="116">
        <f t="shared" si="967"/>
        <v>1</v>
      </c>
      <c r="EL282" s="116">
        <f t="shared" si="967"/>
        <v>2</v>
      </c>
      <c r="EM282" s="116">
        <f t="shared" si="967"/>
        <v>0</v>
      </c>
      <c r="EN282" s="116">
        <f t="shared" si="967"/>
        <v>1</v>
      </c>
      <c r="EO282" s="116">
        <f t="shared" si="967"/>
        <v>2</v>
      </c>
      <c r="EP282" s="116">
        <f t="shared" si="967"/>
        <v>0</v>
      </c>
      <c r="EQ282" s="116">
        <f t="shared" si="967"/>
        <v>1</v>
      </c>
      <c r="ER282" s="116">
        <f t="shared" si="967"/>
        <v>2</v>
      </c>
      <c r="ES282" s="116">
        <f t="shared" si="967"/>
        <v>0</v>
      </c>
      <c r="ET282" s="116">
        <f t="shared" si="967"/>
        <v>1</v>
      </c>
      <c r="EU282" s="116">
        <f t="shared" si="967"/>
        <v>2</v>
      </c>
      <c r="EV282" s="116">
        <f t="shared" si="967"/>
        <v>0</v>
      </c>
      <c r="EW282" s="116">
        <f t="shared" si="967"/>
        <v>1</v>
      </c>
      <c r="EX282" s="116">
        <f t="shared" si="967"/>
        <v>2</v>
      </c>
      <c r="EY282" s="116">
        <f t="shared" si="967"/>
        <v>0</v>
      </c>
      <c r="EZ282" s="116">
        <f t="shared" si="967"/>
        <v>1</v>
      </c>
      <c r="FA282" s="116">
        <f t="shared" si="967"/>
        <v>2</v>
      </c>
      <c r="FB282" s="116">
        <f t="shared" si="967"/>
        <v>0</v>
      </c>
      <c r="FC282" s="116">
        <f t="shared" si="967"/>
        <v>1</v>
      </c>
      <c r="FD282" s="116">
        <f t="shared" si="967"/>
        <v>2</v>
      </c>
      <c r="FE282" s="116">
        <f t="shared" si="967"/>
        <v>0</v>
      </c>
      <c r="FF282" s="116">
        <f t="shared" si="967"/>
        <v>1</v>
      </c>
      <c r="FG282" s="116">
        <f t="shared" si="967"/>
        <v>2</v>
      </c>
      <c r="FH282" s="116">
        <f t="shared" si="967"/>
        <v>0</v>
      </c>
      <c r="FI282" s="116">
        <f t="shared" si="967"/>
        <v>1</v>
      </c>
      <c r="FJ282" s="116">
        <f t="shared" si="967"/>
        <v>2</v>
      </c>
      <c r="FK282" s="116">
        <f t="shared" si="967"/>
        <v>0</v>
      </c>
      <c r="FL282" s="116">
        <f t="shared" si="967"/>
        <v>1</v>
      </c>
      <c r="FM282" s="116">
        <f t="shared" si="967"/>
        <v>3</v>
      </c>
      <c r="FN282" s="116">
        <f t="shared" si="967"/>
        <v>0</v>
      </c>
      <c r="FO282" s="116">
        <f t="shared" si="967"/>
        <v>1</v>
      </c>
      <c r="FP282" s="116">
        <f t="shared" si="967"/>
        <v>3</v>
      </c>
      <c r="FQ282" s="116">
        <f t="shared" si="967"/>
        <v>0</v>
      </c>
      <c r="FR282" s="116">
        <f t="shared" si="967"/>
        <v>1</v>
      </c>
      <c r="FS282" s="116">
        <f t="shared" si="967"/>
        <v>3</v>
      </c>
      <c r="FT282" s="116">
        <f t="shared" si="967"/>
        <v>0</v>
      </c>
      <c r="FU282" s="116">
        <f t="shared" si="967"/>
        <v>1</v>
      </c>
      <c r="FV282" s="116">
        <f t="shared" ref="FV282:GL282" si="968">FV279</f>
        <v>3</v>
      </c>
      <c r="FW282" s="116">
        <f t="shared" si="968"/>
        <v>0</v>
      </c>
      <c r="FX282" s="116">
        <f t="shared" si="968"/>
        <v>1</v>
      </c>
      <c r="FY282" s="116">
        <f t="shared" si="968"/>
        <v>3</v>
      </c>
      <c r="FZ282" s="116">
        <f t="shared" si="968"/>
        <v>0</v>
      </c>
      <c r="GA282" s="116">
        <f t="shared" si="968"/>
        <v>1</v>
      </c>
      <c r="GB282" s="116">
        <f t="shared" si="968"/>
        <v>3</v>
      </c>
      <c r="GC282" s="116">
        <f t="shared" si="968"/>
        <v>0</v>
      </c>
      <c r="GD282" s="116">
        <f t="shared" si="968"/>
        <v>1</v>
      </c>
      <c r="GE282" s="116">
        <f t="shared" si="968"/>
        <v>3</v>
      </c>
      <c r="GF282" s="116">
        <f t="shared" si="968"/>
        <v>0</v>
      </c>
      <c r="GG282" s="116">
        <f t="shared" si="968"/>
        <v>1</v>
      </c>
      <c r="GH282" s="116">
        <f t="shared" si="968"/>
        <v>3</v>
      </c>
      <c r="GI282" s="116">
        <f t="shared" si="968"/>
        <v>0</v>
      </c>
      <c r="GJ282" s="116">
        <f t="shared" si="968"/>
        <v>1</v>
      </c>
      <c r="GK282" s="116">
        <f t="shared" si="968"/>
        <v>3</v>
      </c>
      <c r="GL282" s="116">
        <f t="shared" si="968"/>
        <v>0</v>
      </c>
    </row>
    <row r="283" spans="14:194" ht="15" customHeight="1">
      <c r="N283" s="116">
        <f t="shared" ref="N283:BY283" si="969">N280</f>
        <v>0</v>
      </c>
      <c r="O283" s="116">
        <f t="shared" si="969"/>
        <v>0</v>
      </c>
      <c r="P283" s="116">
        <f t="shared" si="969"/>
        <v>0</v>
      </c>
      <c r="Q283" s="116">
        <f t="shared" si="969"/>
        <v>0</v>
      </c>
      <c r="R283" s="116">
        <f t="shared" si="969"/>
        <v>0</v>
      </c>
      <c r="S283" s="116">
        <f t="shared" si="969"/>
        <v>0</v>
      </c>
      <c r="T283" s="116">
        <f t="shared" si="969"/>
        <v>0</v>
      </c>
      <c r="U283" s="116">
        <f t="shared" si="969"/>
        <v>0</v>
      </c>
      <c r="V283" s="116">
        <f t="shared" si="969"/>
        <v>0</v>
      </c>
      <c r="W283" s="116">
        <f t="shared" si="969"/>
        <v>0</v>
      </c>
      <c r="X283" s="116">
        <f t="shared" si="969"/>
        <v>0</v>
      </c>
      <c r="Y283" s="116">
        <f t="shared" si="969"/>
        <v>0</v>
      </c>
      <c r="Z283" s="116">
        <f t="shared" si="969"/>
        <v>0</v>
      </c>
      <c r="AA283" s="116">
        <f t="shared" si="969"/>
        <v>0</v>
      </c>
      <c r="AB283" s="116">
        <f t="shared" si="969"/>
        <v>0</v>
      </c>
      <c r="AC283" s="116">
        <f t="shared" si="969"/>
        <v>0</v>
      </c>
      <c r="AD283" s="116">
        <f t="shared" si="969"/>
        <v>0</v>
      </c>
      <c r="AE283" s="116">
        <f t="shared" si="969"/>
        <v>0</v>
      </c>
      <c r="AF283" s="116">
        <f t="shared" si="969"/>
        <v>0</v>
      </c>
      <c r="AG283" s="116">
        <f t="shared" si="969"/>
        <v>0</v>
      </c>
      <c r="AH283" s="116">
        <f t="shared" si="969"/>
        <v>0</v>
      </c>
      <c r="AI283" s="116">
        <f t="shared" si="969"/>
        <v>0</v>
      </c>
      <c r="AJ283" s="116">
        <f t="shared" si="969"/>
        <v>0</v>
      </c>
      <c r="AK283" s="116">
        <f t="shared" si="969"/>
        <v>0</v>
      </c>
      <c r="AL283" s="116">
        <f t="shared" si="969"/>
        <v>0</v>
      </c>
      <c r="AM283" s="116">
        <f t="shared" si="969"/>
        <v>0</v>
      </c>
      <c r="AN283" s="116">
        <f t="shared" si="969"/>
        <v>0</v>
      </c>
      <c r="AO283" s="116">
        <f t="shared" si="969"/>
        <v>0</v>
      </c>
      <c r="AP283" s="116">
        <f t="shared" si="969"/>
        <v>0</v>
      </c>
      <c r="AQ283" s="116">
        <f t="shared" si="969"/>
        <v>0</v>
      </c>
      <c r="AR283" s="116">
        <f t="shared" si="969"/>
        <v>0</v>
      </c>
      <c r="AS283" s="116">
        <f t="shared" si="969"/>
        <v>0</v>
      </c>
      <c r="AT283" s="116">
        <f t="shared" si="969"/>
        <v>0</v>
      </c>
      <c r="AU283" s="116">
        <f t="shared" si="969"/>
        <v>0</v>
      </c>
      <c r="AV283" s="116">
        <f t="shared" si="969"/>
        <v>0</v>
      </c>
      <c r="AW283" s="116">
        <f t="shared" si="969"/>
        <v>0</v>
      </c>
      <c r="AX283" s="116">
        <f t="shared" si="969"/>
        <v>0</v>
      </c>
      <c r="AY283" s="116">
        <f t="shared" si="969"/>
        <v>0</v>
      </c>
      <c r="AZ283" s="116">
        <f t="shared" si="969"/>
        <v>0</v>
      </c>
      <c r="BA283" s="116">
        <f t="shared" si="969"/>
        <v>0</v>
      </c>
      <c r="BB283" s="116">
        <f t="shared" si="969"/>
        <v>0</v>
      </c>
      <c r="BC283" s="116">
        <f t="shared" si="969"/>
        <v>0</v>
      </c>
      <c r="BD283" s="116">
        <f t="shared" si="969"/>
        <v>0</v>
      </c>
      <c r="BE283" s="116">
        <f t="shared" si="969"/>
        <v>0</v>
      </c>
      <c r="BF283" s="116">
        <f t="shared" si="969"/>
        <v>0</v>
      </c>
      <c r="BG283" s="116">
        <f t="shared" si="969"/>
        <v>0</v>
      </c>
      <c r="BH283" s="116">
        <f t="shared" si="969"/>
        <v>0</v>
      </c>
      <c r="BI283" s="116">
        <f t="shared" si="969"/>
        <v>0</v>
      </c>
      <c r="BJ283" s="116">
        <f t="shared" si="969"/>
        <v>0</v>
      </c>
      <c r="BK283" s="116">
        <f t="shared" si="969"/>
        <v>0</v>
      </c>
      <c r="BL283" s="116">
        <f t="shared" si="969"/>
        <v>0</v>
      </c>
      <c r="BM283" s="116">
        <f t="shared" si="969"/>
        <v>0</v>
      </c>
      <c r="BN283" s="116">
        <f t="shared" si="969"/>
        <v>0</v>
      </c>
      <c r="BO283" s="116">
        <f t="shared" si="969"/>
        <v>0</v>
      </c>
      <c r="BP283" s="116">
        <f t="shared" si="969"/>
        <v>0</v>
      </c>
      <c r="BQ283" s="116">
        <f t="shared" si="969"/>
        <v>0</v>
      </c>
      <c r="BR283" s="116">
        <f t="shared" si="969"/>
        <v>0</v>
      </c>
      <c r="BS283" s="116">
        <f t="shared" si="969"/>
        <v>0</v>
      </c>
      <c r="BT283" s="116">
        <f t="shared" si="969"/>
        <v>0</v>
      </c>
      <c r="BU283" s="116">
        <f t="shared" si="969"/>
        <v>0</v>
      </c>
      <c r="BV283" s="116">
        <f t="shared" si="969"/>
        <v>0</v>
      </c>
      <c r="BW283" s="116">
        <f t="shared" si="969"/>
        <v>0</v>
      </c>
      <c r="BX283" s="116">
        <f t="shared" si="969"/>
        <v>0</v>
      </c>
      <c r="BY283" s="116">
        <f t="shared" si="969"/>
        <v>0</v>
      </c>
      <c r="BZ283" s="116">
        <f t="shared" ref="BZ283:CP283" si="970">BZ280</f>
        <v>0</v>
      </c>
      <c r="CA283" s="116">
        <f t="shared" si="970"/>
        <v>0</v>
      </c>
      <c r="CB283" s="116">
        <f t="shared" si="970"/>
        <v>0</v>
      </c>
      <c r="CC283" s="116">
        <f t="shared" si="970"/>
        <v>0</v>
      </c>
      <c r="CD283" s="116">
        <f t="shared" si="970"/>
        <v>0</v>
      </c>
      <c r="CE283" s="116">
        <f t="shared" si="970"/>
        <v>0</v>
      </c>
      <c r="CF283" s="116">
        <f t="shared" si="970"/>
        <v>0</v>
      </c>
      <c r="CG283" s="116">
        <f t="shared" si="970"/>
        <v>0</v>
      </c>
      <c r="CH283" s="116">
        <f t="shared" si="970"/>
        <v>0</v>
      </c>
      <c r="CI283" s="116">
        <f t="shared" si="970"/>
        <v>0</v>
      </c>
      <c r="CJ283" s="116">
        <f t="shared" si="970"/>
        <v>0</v>
      </c>
      <c r="CK283" s="116">
        <f t="shared" si="970"/>
        <v>0</v>
      </c>
      <c r="CL283" s="116">
        <f t="shared" si="970"/>
        <v>0</v>
      </c>
      <c r="CM283" s="116">
        <f t="shared" si="970"/>
        <v>0</v>
      </c>
      <c r="CN283" s="116">
        <f t="shared" si="970"/>
        <v>0</v>
      </c>
      <c r="CO283" s="116">
        <f t="shared" si="970"/>
        <v>0</v>
      </c>
      <c r="CP283" s="116">
        <f t="shared" si="970"/>
        <v>0</v>
      </c>
      <c r="DJ283" s="116">
        <f t="shared" ref="DJ283:FU283" si="971">DJ280</f>
        <v>5</v>
      </c>
      <c r="DK283" s="116">
        <f t="shared" si="971"/>
        <v>3</v>
      </c>
      <c r="DL283" s="116">
        <f t="shared" si="971"/>
        <v>1</v>
      </c>
      <c r="DM283" s="116">
        <f t="shared" si="971"/>
        <v>5</v>
      </c>
      <c r="DN283" s="116">
        <f t="shared" si="971"/>
        <v>3</v>
      </c>
      <c r="DO283" s="116">
        <f t="shared" si="971"/>
        <v>1</v>
      </c>
      <c r="DP283" s="116">
        <f t="shared" si="971"/>
        <v>5</v>
      </c>
      <c r="DQ283" s="116">
        <f t="shared" si="971"/>
        <v>3</v>
      </c>
      <c r="DR283" s="116">
        <f t="shared" si="971"/>
        <v>1</v>
      </c>
      <c r="DS283" s="116">
        <f t="shared" si="971"/>
        <v>5</v>
      </c>
      <c r="DT283" s="116">
        <f t="shared" si="971"/>
        <v>3</v>
      </c>
      <c r="DU283" s="116">
        <f t="shared" si="971"/>
        <v>1</v>
      </c>
      <c r="DV283" s="116">
        <f t="shared" si="971"/>
        <v>5</v>
      </c>
      <c r="DW283" s="116">
        <f t="shared" si="971"/>
        <v>3</v>
      </c>
      <c r="DX283" s="116">
        <f t="shared" si="971"/>
        <v>1</v>
      </c>
      <c r="DY283" s="116">
        <f t="shared" si="971"/>
        <v>5</v>
      </c>
      <c r="DZ283" s="116">
        <f t="shared" si="971"/>
        <v>3</v>
      </c>
      <c r="EA283" s="116">
        <f t="shared" si="971"/>
        <v>1</v>
      </c>
      <c r="EB283" s="116">
        <f t="shared" si="971"/>
        <v>5</v>
      </c>
      <c r="EC283" s="116">
        <f t="shared" si="971"/>
        <v>3</v>
      </c>
      <c r="ED283" s="116">
        <f t="shared" si="971"/>
        <v>1</v>
      </c>
      <c r="EE283" s="116">
        <f t="shared" si="971"/>
        <v>5</v>
      </c>
      <c r="EF283" s="116">
        <f t="shared" si="971"/>
        <v>3</v>
      </c>
      <c r="EG283" s="116">
        <f t="shared" si="971"/>
        <v>1</v>
      </c>
      <c r="EH283" s="116">
        <f t="shared" si="971"/>
        <v>5</v>
      </c>
      <c r="EI283" s="116">
        <f t="shared" si="971"/>
        <v>3</v>
      </c>
      <c r="EJ283" s="116">
        <f t="shared" si="971"/>
        <v>1</v>
      </c>
      <c r="EK283" s="116">
        <f t="shared" si="971"/>
        <v>4</v>
      </c>
      <c r="EL283" s="116">
        <f t="shared" si="971"/>
        <v>4</v>
      </c>
      <c r="EM283" s="116">
        <f t="shared" si="971"/>
        <v>0</v>
      </c>
      <c r="EN283" s="116">
        <f t="shared" si="971"/>
        <v>4</v>
      </c>
      <c r="EO283" s="116">
        <f t="shared" si="971"/>
        <v>4</v>
      </c>
      <c r="EP283" s="116">
        <f t="shared" si="971"/>
        <v>0</v>
      </c>
      <c r="EQ283" s="116">
        <f t="shared" si="971"/>
        <v>4</v>
      </c>
      <c r="ER283" s="116">
        <f t="shared" si="971"/>
        <v>4</v>
      </c>
      <c r="ES283" s="116">
        <f t="shared" si="971"/>
        <v>0</v>
      </c>
      <c r="ET283" s="116">
        <f t="shared" si="971"/>
        <v>4</v>
      </c>
      <c r="EU283" s="116">
        <f t="shared" si="971"/>
        <v>4</v>
      </c>
      <c r="EV283" s="116">
        <f t="shared" si="971"/>
        <v>0</v>
      </c>
      <c r="EW283" s="116">
        <f t="shared" si="971"/>
        <v>4</v>
      </c>
      <c r="EX283" s="116">
        <f t="shared" si="971"/>
        <v>4</v>
      </c>
      <c r="EY283" s="116">
        <f t="shared" si="971"/>
        <v>0</v>
      </c>
      <c r="EZ283" s="116">
        <f t="shared" si="971"/>
        <v>4</v>
      </c>
      <c r="FA283" s="116">
        <f t="shared" si="971"/>
        <v>4</v>
      </c>
      <c r="FB283" s="116">
        <f t="shared" si="971"/>
        <v>0</v>
      </c>
      <c r="FC283" s="116">
        <f t="shared" si="971"/>
        <v>4</v>
      </c>
      <c r="FD283" s="116">
        <f t="shared" si="971"/>
        <v>4</v>
      </c>
      <c r="FE283" s="116">
        <f t="shared" si="971"/>
        <v>0</v>
      </c>
      <c r="FF283" s="116">
        <f t="shared" si="971"/>
        <v>4</v>
      </c>
      <c r="FG283" s="116">
        <f t="shared" si="971"/>
        <v>4</v>
      </c>
      <c r="FH283" s="116">
        <f t="shared" si="971"/>
        <v>0</v>
      </c>
      <c r="FI283" s="116">
        <f t="shared" si="971"/>
        <v>4</v>
      </c>
      <c r="FJ283" s="116">
        <f t="shared" si="971"/>
        <v>4</v>
      </c>
      <c r="FK283" s="116">
        <f t="shared" si="971"/>
        <v>0</v>
      </c>
      <c r="FL283" s="116">
        <f t="shared" si="971"/>
        <v>5</v>
      </c>
      <c r="FM283" s="116">
        <f t="shared" si="971"/>
        <v>0</v>
      </c>
      <c r="FN283" s="116">
        <f t="shared" si="971"/>
        <v>3</v>
      </c>
      <c r="FO283" s="116">
        <f t="shared" si="971"/>
        <v>5</v>
      </c>
      <c r="FP283" s="116">
        <f t="shared" si="971"/>
        <v>0</v>
      </c>
      <c r="FQ283" s="116">
        <f t="shared" si="971"/>
        <v>3</v>
      </c>
      <c r="FR283" s="116">
        <f t="shared" si="971"/>
        <v>5</v>
      </c>
      <c r="FS283" s="116">
        <f t="shared" si="971"/>
        <v>0</v>
      </c>
      <c r="FT283" s="116">
        <f t="shared" si="971"/>
        <v>3</v>
      </c>
      <c r="FU283" s="116">
        <f t="shared" si="971"/>
        <v>5</v>
      </c>
      <c r="FV283" s="116">
        <f t="shared" ref="FV283:GL283" si="972">FV280</f>
        <v>0</v>
      </c>
      <c r="FW283" s="116">
        <f t="shared" si="972"/>
        <v>3</v>
      </c>
      <c r="FX283" s="116">
        <f t="shared" si="972"/>
        <v>5</v>
      </c>
      <c r="FY283" s="116">
        <f t="shared" si="972"/>
        <v>0</v>
      </c>
      <c r="FZ283" s="116">
        <f t="shared" si="972"/>
        <v>3</v>
      </c>
      <c r="GA283" s="116">
        <f t="shared" si="972"/>
        <v>5</v>
      </c>
      <c r="GB283" s="116">
        <f t="shared" si="972"/>
        <v>0</v>
      </c>
      <c r="GC283" s="116">
        <f t="shared" si="972"/>
        <v>3</v>
      </c>
      <c r="GD283" s="116">
        <f t="shared" si="972"/>
        <v>5</v>
      </c>
      <c r="GE283" s="116">
        <f t="shared" si="972"/>
        <v>0</v>
      </c>
      <c r="GF283" s="116">
        <f t="shared" si="972"/>
        <v>3</v>
      </c>
      <c r="GG283" s="116">
        <f t="shared" si="972"/>
        <v>5</v>
      </c>
      <c r="GH283" s="116">
        <f t="shared" si="972"/>
        <v>0</v>
      </c>
      <c r="GI283" s="116">
        <f t="shared" si="972"/>
        <v>3</v>
      </c>
      <c r="GJ283" s="116">
        <f t="shared" si="972"/>
        <v>5</v>
      </c>
      <c r="GK283" s="116">
        <f t="shared" si="972"/>
        <v>0</v>
      </c>
      <c r="GL283" s="116">
        <f t="shared" si="972"/>
        <v>3</v>
      </c>
    </row>
    <row r="284" spans="14:194" ht="15" customHeight="1">
      <c r="N284" s="116">
        <f t="shared" ref="N284:BY284" si="973">N281</f>
        <v>0</v>
      </c>
      <c r="O284" s="116">
        <f t="shared" si="973"/>
        <v>0</v>
      </c>
      <c r="P284" s="116">
        <f t="shared" si="973"/>
        <v>0</v>
      </c>
      <c r="Q284" s="116">
        <f t="shared" si="973"/>
        <v>0</v>
      </c>
      <c r="R284" s="116">
        <f t="shared" si="973"/>
        <v>0</v>
      </c>
      <c r="S284" s="116">
        <f t="shared" si="973"/>
        <v>0</v>
      </c>
      <c r="T284" s="116">
        <f t="shared" si="973"/>
        <v>0</v>
      </c>
      <c r="U284" s="116">
        <f t="shared" si="973"/>
        <v>0</v>
      </c>
      <c r="V284" s="116">
        <f t="shared" si="973"/>
        <v>0</v>
      </c>
      <c r="W284" s="116">
        <f t="shared" si="973"/>
        <v>0</v>
      </c>
      <c r="X284" s="116">
        <f t="shared" si="973"/>
        <v>0</v>
      </c>
      <c r="Y284" s="116">
        <f t="shared" si="973"/>
        <v>0</v>
      </c>
      <c r="Z284" s="116">
        <f t="shared" si="973"/>
        <v>0</v>
      </c>
      <c r="AA284" s="116">
        <f t="shared" si="973"/>
        <v>0</v>
      </c>
      <c r="AB284" s="116">
        <f t="shared" si="973"/>
        <v>0</v>
      </c>
      <c r="AC284" s="116">
        <f t="shared" si="973"/>
        <v>0</v>
      </c>
      <c r="AD284" s="116">
        <f t="shared" si="973"/>
        <v>0</v>
      </c>
      <c r="AE284" s="116">
        <f t="shared" si="973"/>
        <v>0</v>
      </c>
      <c r="AF284" s="116">
        <f t="shared" si="973"/>
        <v>0</v>
      </c>
      <c r="AG284" s="116">
        <f t="shared" si="973"/>
        <v>0</v>
      </c>
      <c r="AH284" s="116">
        <f t="shared" si="973"/>
        <v>0</v>
      </c>
      <c r="AI284" s="116">
        <f t="shared" si="973"/>
        <v>0</v>
      </c>
      <c r="AJ284" s="116">
        <f t="shared" si="973"/>
        <v>0</v>
      </c>
      <c r="AK284" s="116">
        <f t="shared" si="973"/>
        <v>0</v>
      </c>
      <c r="AL284" s="116">
        <f t="shared" si="973"/>
        <v>0</v>
      </c>
      <c r="AM284" s="116">
        <f t="shared" si="973"/>
        <v>0</v>
      </c>
      <c r="AN284" s="116">
        <f t="shared" si="973"/>
        <v>0</v>
      </c>
      <c r="AO284" s="116">
        <f t="shared" si="973"/>
        <v>0</v>
      </c>
      <c r="AP284" s="116">
        <f t="shared" si="973"/>
        <v>0</v>
      </c>
      <c r="AQ284" s="116">
        <f t="shared" si="973"/>
        <v>0</v>
      </c>
      <c r="AR284" s="116">
        <f t="shared" si="973"/>
        <v>0</v>
      </c>
      <c r="AS284" s="116">
        <f t="shared" si="973"/>
        <v>0</v>
      </c>
      <c r="AT284" s="116">
        <f t="shared" si="973"/>
        <v>0</v>
      </c>
      <c r="AU284" s="116">
        <f t="shared" si="973"/>
        <v>0</v>
      </c>
      <c r="AV284" s="116">
        <f t="shared" si="973"/>
        <v>0</v>
      </c>
      <c r="AW284" s="116">
        <f t="shared" si="973"/>
        <v>0</v>
      </c>
      <c r="AX284" s="116">
        <f t="shared" si="973"/>
        <v>0</v>
      </c>
      <c r="AY284" s="116">
        <f t="shared" si="973"/>
        <v>0</v>
      </c>
      <c r="AZ284" s="116">
        <f t="shared" si="973"/>
        <v>0</v>
      </c>
      <c r="BA284" s="116">
        <f t="shared" si="973"/>
        <v>0</v>
      </c>
      <c r="BB284" s="116">
        <f t="shared" si="973"/>
        <v>0</v>
      </c>
      <c r="BC284" s="116">
        <f t="shared" si="973"/>
        <v>0</v>
      </c>
      <c r="BD284" s="116">
        <f t="shared" si="973"/>
        <v>0</v>
      </c>
      <c r="BE284" s="116">
        <f t="shared" si="973"/>
        <v>0</v>
      </c>
      <c r="BF284" s="116">
        <f t="shared" si="973"/>
        <v>0</v>
      </c>
      <c r="BG284" s="116">
        <f t="shared" si="973"/>
        <v>0</v>
      </c>
      <c r="BH284" s="116">
        <f t="shared" si="973"/>
        <v>0</v>
      </c>
      <c r="BI284" s="116">
        <f t="shared" si="973"/>
        <v>0</v>
      </c>
      <c r="BJ284" s="116">
        <f t="shared" si="973"/>
        <v>0</v>
      </c>
      <c r="BK284" s="116">
        <f t="shared" si="973"/>
        <v>0</v>
      </c>
      <c r="BL284" s="116">
        <f t="shared" si="973"/>
        <v>0</v>
      </c>
      <c r="BM284" s="116">
        <f t="shared" si="973"/>
        <v>0</v>
      </c>
      <c r="BN284" s="116">
        <f t="shared" si="973"/>
        <v>0</v>
      </c>
      <c r="BO284" s="116">
        <f t="shared" si="973"/>
        <v>0</v>
      </c>
      <c r="BP284" s="116">
        <f t="shared" si="973"/>
        <v>0</v>
      </c>
      <c r="BQ284" s="116">
        <f t="shared" si="973"/>
        <v>0</v>
      </c>
      <c r="BR284" s="116">
        <f t="shared" si="973"/>
        <v>0</v>
      </c>
      <c r="BS284" s="116">
        <f t="shared" si="973"/>
        <v>0</v>
      </c>
      <c r="BT284" s="116">
        <f t="shared" si="973"/>
        <v>0</v>
      </c>
      <c r="BU284" s="116">
        <f t="shared" si="973"/>
        <v>0</v>
      </c>
      <c r="BV284" s="116">
        <f t="shared" si="973"/>
        <v>0</v>
      </c>
      <c r="BW284" s="116">
        <f t="shared" si="973"/>
        <v>0</v>
      </c>
      <c r="BX284" s="116">
        <f t="shared" si="973"/>
        <v>0</v>
      </c>
      <c r="BY284" s="116">
        <f t="shared" si="973"/>
        <v>0</v>
      </c>
      <c r="BZ284" s="116">
        <f t="shared" ref="BZ284:CP284" si="974">BZ281</f>
        <v>0</v>
      </c>
      <c r="CA284" s="116">
        <f t="shared" si="974"/>
        <v>0</v>
      </c>
      <c r="CB284" s="116">
        <f t="shared" si="974"/>
        <v>0</v>
      </c>
      <c r="CC284" s="116">
        <f t="shared" si="974"/>
        <v>0</v>
      </c>
      <c r="CD284" s="116">
        <f t="shared" si="974"/>
        <v>0</v>
      </c>
      <c r="CE284" s="116">
        <f t="shared" si="974"/>
        <v>0</v>
      </c>
      <c r="CF284" s="116">
        <f t="shared" si="974"/>
        <v>0</v>
      </c>
      <c r="CG284" s="116">
        <f t="shared" si="974"/>
        <v>0</v>
      </c>
      <c r="CH284" s="116">
        <f t="shared" si="974"/>
        <v>0</v>
      </c>
      <c r="CI284" s="116">
        <f t="shared" si="974"/>
        <v>0</v>
      </c>
      <c r="CJ284" s="116">
        <f t="shared" si="974"/>
        <v>0</v>
      </c>
      <c r="CK284" s="116">
        <f t="shared" si="974"/>
        <v>0</v>
      </c>
      <c r="CL284" s="116">
        <f t="shared" si="974"/>
        <v>0</v>
      </c>
      <c r="CM284" s="116">
        <f t="shared" si="974"/>
        <v>0</v>
      </c>
      <c r="CN284" s="116">
        <f t="shared" si="974"/>
        <v>0</v>
      </c>
      <c r="CO284" s="116">
        <f t="shared" si="974"/>
        <v>0</v>
      </c>
      <c r="CP284" s="116">
        <f t="shared" si="974"/>
        <v>0</v>
      </c>
      <c r="DJ284" s="116">
        <f t="shared" ref="DJ284:FU284" si="975">DJ281</f>
        <v>2</v>
      </c>
      <c r="DK284" s="116">
        <f t="shared" si="975"/>
        <v>1</v>
      </c>
      <c r="DL284" s="116">
        <f t="shared" si="975"/>
        <v>2</v>
      </c>
      <c r="DM284" s="116">
        <f t="shared" si="975"/>
        <v>2</v>
      </c>
      <c r="DN284" s="116">
        <f t="shared" si="975"/>
        <v>1</v>
      </c>
      <c r="DO284" s="116">
        <f t="shared" si="975"/>
        <v>2</v>
      </c>
      <c r="DP284" s="116">
        <f t="shared" si="975"/>
        <v>2</v>
      </c>
      <c r="DQ284" s="116">
        <f t="shared" si="975"/>
        <v>1</v>
      </c>
      <c r="DR284" s="116">
        <f t="shared" si="975"/>
        <v>2</v>
      </c>
      <c r="DS284" s="116">
        <f t="shared" si="975"/>
        <v>2</v>
      </c>
      <c r="DT284" s="116">
        <f t="shared" si="975"/>
        <v>1</v>
      </c>
      <c r="DU284" s="116">
        <f t="shared" si="975"/>
        <v>2</v>
      </c>
      <c r="DV284" s="116">
        <f t="shared" si="975"/>
        <v>2</v>
      </c>
      <c r="DW284" s="116">
        <f t="shared" si="975"/>
        <v>1</v>
      </c>
      <c r="DX284" s="116">
        <f t="shared" si="975"/>
        <v>2</v>
      </c>
      <c r="DY284" s="116">
        <f t="shared" si="975"/>
        <v>2</v>
      </c>
      <c r="DZ284" s="116">
        <f t="shared" si="975"/>
        <v>1</v>
      </c>
      <c r="EA284" s="116">
        <f t="shared" si="975"/>
        <v>2</v>
      </c>
      <c r="EB284" s="116">
        <f t="shared" si="975"/>
        <v>2</v>
      </c>
      <c r="EC284" s="116">
        <f t="shared" si="975"/>
        <v>1</v>
      </c>
      <c r="ED284" s="116">
        <f t="shared" si="975"/>
        <v>2</v>
      </c>
      <c r="EE284" s="116">
        <f t="shared" si="975"/>
        <v>2</v>
      </c>
      <c r="EF284" s="116">
        <f t="shared" si="975"/>
        <v>1</v>
      </c>
      <c r="EG284" s="116">
        <f t="shared" si="975"/>
        <v>2</v>
      </c>
      <c r="EH284" s="116">
        <f t="shared" si="975"/>
        <v>2</v>
      </c>
      <c r="EI284" s="116">
        <f t="shared" si="975"/>
        <v>1</v>
      </c>
      <c r="EJ284" s="116">
        <f t="shared" si="975"/>
        <v>2</v>
      </c>
      <c r="EK284" s="116">
        <f t="shared" si="975"/>
        <v>4</v>
      </c>
      <c r="EL284" s="116">
        <f t="shared" si="975"/>
        <v>0</v>
      </c>
      <c r="EM284" s="116">
        <f t="shared" si="975"/>
        <v>2</v>
      </c>
      <c r="EN284" s="116">
        <f t="shared" si="975"/>
        <v>4</v>
      </c>
      <c r="EO284" s="116">
        <f t="shared" si="975"/>
        <v>0</v>
      </c>
      <c r="EP284" s="116">
        <f t="shared" si="975"/>
        <v>2</v>
      </c>
      <c r="EQ284" s="116">
        <f t="shared" si="975"/>
        <v>4</v>
      </c>
      <c r="ER284" s="116">
        <f t="shared" si="975"/>
        <v>0</v>
      </c>
      <c r="ES284" s="116">
        <f t="shared" si="975"/>
        <v>2</v>
      </c>
      <c r="ET284" s="116">
        <f t="shared" si="975"/>
        <v>4</v>
      </c>
      <c r="EU284" s="116">
        <f t="shared" si="975"/>
        <v>0</v>
      </c>
      <c r="EV284" s="116">
        <f t="shared" si="975"/>
        <v>2</v>
      </c>
      <c r="EW284" s="116">
        <f t="shared" si="975"/>
        <v>4</v>
      </c>
      <c r="EX284" s="116">
        <f t="shared" si="975"/>
        <v>0</v>
      </c>
      <c r="EY284" s="116">
        <f t="shared" si="975"/>
        <v>2</v>
      </c>
      <c r="EZ284" s="116">
        <f t="shared" si="975"/>
        <v>4</v>
      </c>
      <c r="FA284" s="116">
        <f t="shared" si="975"/>
        <v>0</v>
      </c>
      <c r="FB284" s="116">
        <f t="shared" si="975"/>
        <v>2</v>
      </c>
      <c r="FC284" s="116">
        <f t="shared" si="975"/>
        <v>4</v>
      </c>
      <c r="FD284" s="116">
        <f t="shared" si="975"/>
        <v>0</v>
      </c>
      <c r="FE284" s="116">
        <f t="shared" si="975"/>
        <v>2</v>
      </c>
      <c r="FF284" s="116">
        <f t="shared" si="975"/>
        <v>4</v>
      </c>
      <c r="FG284" s="116">
        <f t="shared" si="975"/>
        <v>0</v>
      </c>
      <c r="FH284" s="116">
        <f t="shared" si="975"/>
        <v>2</v>
      </c>
      <c r="FI284" s="116">
        <f t="shared" si="975"/>
        <v>4</v>
      </c>
      <c r="FJ284" s="116">
        <f t="shared" si="975"/>
        <v>0</v>
      </c>
      <c r="FK284" s="116">
        <f t="shared" si="975"/>
        <v>2</v>
      </c>
      <c r="FL284" s="116">
        <f t="shared" si="975"/>
        <v>0</v>
      </c>
      <c r="FM284" s="116">
        <f t="shared" si="975"/>
        <v>1</v>
      </c>
      <c r="FN284" s="116">
        <f t="shared" si="975"/>
        <v>2</v>
      </c>
      <c r="FO284" s="116">
        <f t="shared" si="975"/>
        <v>0</v>
      </c>
      <c r="FP284" s="116">
        <f t="shared" si="975"/>
        <v>1</v>
      </c>
      <c r="FQ284" s="116">
        <f t="shared" si="975"/>
        <v>2</v>
      </c>
      <c r="FR284" s="116">
        <f t="shared" si="975"/>
        <v>0</v>
      </c>
      <c r="FS284" s="116">
        <f t="shared" si="975"/>
        <v>1</v>
      </c>
      <c r="FT284" s="116">
        <f t="shared" si="975"/>
        <v>2</v>
      </c>
      <c r="FU284" s="116">
        <f t="shared" si="975"/>
        <v>0</v>
      </c>
      <c r="FV284" s="116">
        <f t="shared" ref="FV284:GL284" si="976">FV281</f>
        <v>1</v>
      </c>
      <c r="FW284" s="116">
        <f t="shared" si="976"/>
        <v>2</v>
      </c>
      <c r="FX284" s="116">
        <f t="shared" si="976"/>
        <v>0</v>
      </c>
      <c r="FY284" s="116">
        <f t="shared" si="976"/>
        <v>1</v>
      </c>
      <c r="FZ284" s="116">
        <f t="shared" si="976"/>
        <v>2</v>
      </c>
      <c r="GA284" s="116">
        <f t="shared" si="976"/>
        <v>0</v>
      </c>
      <c r="GB284" s="116">
        <f t="shared" si="976"/>
        <v>1</v>
      </c>
      <c r="GC284" s="116">
        <f t="shared" si="976"/>
        <v>2</v>
      </c>
      <c r="GD284" s="116">
        <f t="shared" si="976"/>
        <v>0</v>
      </c>
      <c r="GE284" s="116">
        <f t="shared" si="976"/>
        <v>1</v>
      </c>
      <c r="GF284" s="116">
        <f t="shared" si="976"/>
        <v>2</v>
      </c>
      <c r="GG284" s="116">
        <f t="shared" si="976"/>
        <v>0</v>
      </c>
      <c r="GH284" s="116">
        <f t="shared" si="976"/>
        <v>1</v>
      </c>
      <c r="GI284" s="116">
        <f t="shared" si="976"/>
        <v>2</v>
      </c>
      <c r="GJ284" s="116">
        <f t="shared" si="976"/>
        <v>0</v>
      </c>
      <c r="GK284" s="116">
        <f t="shared" si="976"/>
        <v>1</v>
      </c>
      <c r="GL284" s="116">
        <f t="shared" si="976"/>
        <v>2</v>
      </c>
    </row>
    <row r="285" spans="14:194" ht="15" customHeight="1">
      <c r="N285" s="116">
        <f t="shared" ref="N285:BY285" si="977">N282</f>
        <v>0</v>
      </c>
      <c r="O285" s="116">
        <f t="shared" si="977"/>
        <v>0</v>
      </c>
      <c r="P285" s="116">
        <f t="shared" si="977"/>
        <v>0</v>
      </c>
      <c r="Q285" s="116">
        <f t="shared" si="977"/>
        <v>0</v>
      </c>
      <c r="R285" s="116">
        <f t="shared" si="977"/>
        <v>0</v>
      </c>
      <c r="S285" s="116">
        <f t="shared" si="977"/>
        <v>0</v>
      </c>
      <c r="T285" s="116">
        <f t="shared" si="977"/>
        <v>0</v>
      </c>
      <c r="U285" s="116">
        <f t="shared" si="977"/>
        <v>0</v>
      </c>
      <c r="V285" s="116">
        <f t="shared" si="977"/>
        <v>0</v>
      </c>
      <c r="W285" s="116">
        <f t="shared" si="977"/>
        <v>0</v>
      </c>
      <c r="X285" s="116">
        <f t="shared" si="977"/>
        <v>0</v>
      </c>
      <c r="Y285" s="116">
        <f t="shared" si="977"/>
        <v>0</v>
      </c>
      <c r="Z285" s="116">
        <f t="shared" si="977"/>
        <v>0</v>
      </c>
      <c r="AA285" s="116">
        <f t="shared" si="977"/>
        <v>0</v>
      </c>
      <c r="AB285" s="116">
        <f t="shared" si="977"/>
        <v>0</v>
      </c>
      <c r="AC285" s="116">
        <f t="shared" si="977"/>
        <v>0</v>
      </c>
      <c r="AD285" s="116">
        <f t="shared" si="977"/>
        <v>0</v>
      </c>
      <c r="AE285" s="116">
        <f t="shared" si="977"/>
        <v>0</v>
      </c>
      <c r="AF285" s="116">
        <f t="shared" si="977"/>
        <v>0</v>
      </c>
      <c r="AG285" s="116">
        <f t="shared" si="977"/>
        <v>0</v>
      </c>
      <c r="AH285" s="116">
        <f t="shared" si="977"/>
        <v>0</v>
      </c>
      <c r="AI285" s="116">
        <f t="shared" si="977"/>
        <v>0</v>
      </c>
      <c r="AJ285" s="116">
        <f t="shared" si="977"/>
        <v>0</v>
      </c>
      <c r="AK285" s="116">
        <f t="shared" si="977"/>
        <v>0</v>
      </c>
      <c r="AL285" s="116">
        <f t="shared" si="977"/>
        <v>0</v>
      </c>
      <c r="AM285" s="116">
        <f t="shared" si="977"/>
        <v>0</v>
      </c>
      <c r="AN285" s="116">
        <f t="shared" si="977"/>
        <v>0</v>
      </c>
      <c r="AO285" s="116">
        <f t="shared" si="977"/>
        <v>0</v>
      </c>
      <c r="AP285" s="116">
        <f t="shared" si="977"/>
        <v>0</v>
      </c>
      <c r="AQ285" s="116">
        <f t="shared" si="977"/>
        <v>0</v>
      </c>
      <c r="AR285" s="116">
        <f t="shared" si="977"/>
        <v>0</v>
      </c>
      <c r="AS285" s="116">
        <f t="shared" si="977"/>
        <v>0</v>
      </c>
      <c r="AT285" s="116">
        <f t="shared" si="977"/>
        <v>0</v>
      </c>
      <c r="AU285" s="116">
        <f t="shared" si="977"/>
        <v>0</v>
      </c>
      <c r="AV285" s="116">
        <f t="shared" si="977"/>
        <v>0</v>
      </c>
      <c r="AW285" s="116">
        <f t="shared" si="977"/>
        <v>0</v>
      </c>
      <c r="AX285" s="116">
        <f t="shared" si="977"/>
        <v>0</v>
      </c>
      <c r="AY285" s="116">
        <f t="shared" si="977"/>
        <v>0</v>
      </c>
      <c r="AZ285" s="116">
        <f t="shared" si="977"/>
        <v>0</v>
      </c>
      <c r="BA285" s="116">
        <f t="shared" si="977"/>
        <v>0</v>
      </c>
      <c r="BB285" s="116">
        <f t="shared" si="977"/>
        <v>0</v>
      </c>
      <c r="BC285" s="116">
        <f t="shared" si="977"/>
        <v>0</v>
      </c>
      <c r="BD285" s="116">
        <f t="shared" si="977"/>
        <v>0</v>
      </c>
      <c r="BE285" s="116">
        <f t="shared" si="977"/>
        <v>0</v>
      </c>
      <c r="BF285" s="116">
        <f t="shared" si="977"/>
        <v>0</v>
      </c>
      <c r="BG285" s="116">
        <f t="shared" si="977"/>
        <v>0</v>
      </c>
      <c r="BH285" s="116">
        <f t="shared" si="977"/>
        <v>0</v>
      </c>
      <c r="BI285" s="116">
        <f t="shared" si="977"/>
        <v>0</v>
      </c>
      <c r="BJ285" s="116">
        <f t="shared" si="977"/>
        <v>0</v>
      </c>
      <c r="BK285" s="116">
        <f t="shared" si="977"/>
        <v>0</v>
      </c>
      <c r="BL285" s="116">
        <f t="shared" si="977"/>
        <v>0</v>
      </c>
      <c r="BM285" s="116">
        <f t="shared" si="977"/>
        <v>0</v>
      </c>
      <c r="BN285" s="116">
        <f t="shared" si="977"/>
        <v>0</v>
      </c>
      <c r="BO285" s="116">
        <f t="shared" si="977"/>
        <v>0</v>
      </c>
      <c r="BP285" s="116">
        <f t="shared" si="977"/>
        <v>0</v>
      </c>
      <c r="BQ285" s="116">
        <f t="shared" si="977"/>
        <v>0</v>
      </c>
      <c r="BR285" s="116">
        <f t="shared" si="977"/>
        <v>0</v>
      </c>
      <c r="BS285" s="116">
        <f t="shared" si="977"/>
        <v>0</v>
      </c>
      <c r="BT285" s="116">
        <f t="shared" si="977"/>
        <v>0</v>
      </c>
      <c r="BU285" s="116">
        <f t="shared" si="977"/>
        <v>0</v>
      </c>
      <c r="BV285" s="116">
        <f t="shared" si="977"/>
        <v>0</v>
      </c>
      <c r="BW285" s="116">
        <f t="shared" si="977"/>
        <v>0</v>
      </c>
      <c r="BX285" s="116">
        <f t="shared" si="977"/>
        <v>0</v>
      </c>
      <c r="BY285" s="116">
        <f t="shared" si="977"/>
        <v>0</v>
      </c>
      <c r="BZ285" s="116">
        <f t="shared" ref="BZ285:CP285" si="978">BZ282</f>
        <v>0</v>
      </c>
      <c r="CA285" s="116">
        <f t="shared" si="978"/>
        <v>0</v>
      </c>
      <c r="CB285" s="116">
        <f t="shared" si="978"/>
        <v>0</v>
      </c>
      <c r="CC285" s="116">
        <f t="shared" si="978"/>
        <v>0</v>
      </c>
      <c r="CD285" s="116">
        <f t="shared" si="978"/>
        <v>0</v>
      </c>
      <c r="CE285" s="116">
        <f t="shared" si="978"/>
        <v>0</v>
      </c>
      <c r="CF285" s="116">
        <f t="shared" si="978"/>
        <v>0</v>
      </c>
      <c r="CG285" s="116">
        <f t="shared" si="978"/>
        <v>0</v>
      </c>
      <c r="CH285" s="116">
        <f t="shared" si="978"/>
        <v>0</v>
      </c>
      <c r="CI285" s="116">
        <f t="shared" si="978"/>
        <v>0</v>
      </c>
      <c r="CJ285" s="116">
        <f t="shared" si="978"/>
        <v>0</v>
      </c>
      <c r="CK285" s="116">
        <f t="shared" si="978"/>
        <v>0</v>
      </c>
      <c r="CL285" s="116">
        <f t="shared" si="978"/>
        <v>0</v>
      </c>
      <c r="CM285" s="116">
        <f t="shared" si="978"/>
        <v>0</v>
      </c>
      <c r="CN285" s="116">
        <f t="shared" si="978"/>
        <v>0</v>
      </c>
      <c r="CO285" s="116">
        <f t="shared" si="978"/>
        <v>0</v>
      </c>
      <c r="CP285" s="116">
        <f t="shared" si="978"/>
        <v>0</v>
      </c>
      <c r="DJ285" s="116">
        <f t="shared" ref="DJ285:FU285" si="979">DJ282</f>
        <v>0</v>
      </c>
      <c r="DK285" s="116">
        <f t="shared" si="979"/>
        <v>1</v>
      </c>
      <c r="DL285" s="116">
        <f t="shared" si="979"/>
        <v>0</v>
      </c>
      <c r="DM285" s="116">
        <f t="shared" si="979"/>
        <v>0</v>
      </c>
      <c r="DN285" s="116">
        <f t="shared" si="979"/>
        <v>1</v>
      </c>
      <c r="DO285" s="116">
        <f t="shared" si="979"/>
        <v>0</v>
      </c>
      <c r="DP285" s="116">
        <f t="shared" si="979"/>
        <v>0</v>
      </c>
      <c r="DQ285" s="116">
        <f t="shared" si="979"/>
        <v>1</v>
      </c>
      <c r="DR285" s="116">
        <f t="shared" si="979"/>
        <v>0</v>
      </c>
      <c r="DS285" s="116">
        <f t="shared" si="979"/>
        <v>0</v>
      </c>
      <c r="DT285" s="116">
        <f t="shared" si="979"/>
        <v>1</v>
      </c>
      <c r="DU285" s="116">
        <f t="shared" si="979"/>
        <v>0</v>
      </c>
      <c r="DV285" s="116">
        <f t="shared" si="979"/>
        <v>0</v>
      </c>
      <c r="DW285" s="116">
        <f t="shared" si="979"/>
        <v>1</v>
      </c>
      <c r="DX285" s="116">
        <f t="shared" si="979"/>
        <v>0</v>
      </c>
      <c r="DY285" s="116">
        <f t="shared" si="979"/>
        <v>0</v>
      </c>
      <c r="DZ285" s="116">
        <f t="shared" si="979"/>
        <v>1</v>
      </c>
      <c r="EA285" s="116">
        <f t="shared" si="979"/>
        <v>0</v>
      </c>
      <c r="EB285" s="116">
        <f t="shared" si="979"/>
        <v>0</v>
      </c>
      <c r="EC285" s="116">
        <f t="shared" si="979"/>
        <v>1</v>
      </c>
      <c r="ED285" s="116">
        <f t="shared" si="979"/>
        <v>0</v>
      </c>
      <c r="EE285" s="116">
        <f t="shared" si="979"/>
        <v>0</v>
      </c>
      <c r="EF285" s="116">
        <f t="shared" si="979"/>
        <v>1</v>
      </c>
      <c r="EG285" s="116">
        <f t="shared" si="979"/>
        <v>0</v>
      </c>
      <c r="EH285" s="116">
        <f t="shared" si="979"/>
        <v>0</v>
      </c>
      <c r="EI285" s="116">
        <f t="shared" si="979"/>
        <v>1</v>
      </c>
      <c r="EJ285" s="116">
        <f t="shared" si="979"/>
        <v>0</v>
      </c>
      <c r="EK285" s="116">
        <f t="shared" si="979"/>
        <v>1</v>
      </c>
      <c r="EL285" s="116">
        <f t="shared" si="979"/>
        <v>2</v>
      </c>
      <c r="EM285" s="116">
        <f t="shared" si="979"/>
        <v>0</v>
      </c>
      <c r="EN285" s="116">
        <f t="shared" si="979"/>
        <v>1</v>
      </c>
      <c r="EO285" s="116">
        <f t="shared" si="979"/>
        <v>2</v>
      </c>
      <c r="EP285" s="116">
        <f t="shared" si="979"/>
        <v>0</v>
      </c>
      <c r="EQ285" s="116">
        <f t="shared" si="979"/>
        <v>1</v>
      </c>
      <c r="ER285" s="116">
        <f t="shared" si="979"/>
        <v>2</v>
      </c>
      <c r="ES285" s="116">
        <f t="shared" si="979"/>
        <v>0</v>
      </c>
      <c r="ET285" s="116">
        <f t="shared" si="979"/>
        <v>1</v>
      </c>
      <c r="EU285" s="116">
        <f t="shared" si="979"/>
        <v>2</v>
      </c>
      <c r="EV285" s="116">
        <f t="shared" si="979"/>
        <v>0</v>
      </c>
      <c r="EW285" s="116">
        <f t="shared" si="979"/>
        <v>1</v>
      </c>
      <c r="EX285" s="116">
        <f t="shared" si="979"/>
        <v>2</v>
      </c>
      <c r="EY285" s="116">
        <f t="shared" si="979"/>
        <v>0</v>
      </c>
      <c r="EZ285" s="116">
        <f t="shared" si="979"/>
        <v>1</v>
      </c>
      <c r="FA285" s="116">
        <f t="shared" si="979"/>
        <v>2</v>
      </c>
      <c r="FB285" s="116">
        <f t="shared" si="979"/>
        <v>0</v>
      </c>
      <c r="FC285" s="116">
        <f t="shared" si="979"/>
        <v>1</v>
      </c>
      <c r="FD285" s="116">
        <f t="shared" si="979"/>
        <v>2</v>
      </c>
      <c r="FE285" s="116">
        <f t="shared" si="979"/>
        <v>0</v>
      </c>
      <c r="FF285" s="116">
        <f t="shared" si="979"/>
        <v>1</v>
      </c>
      <c r="FG285" s="116">
        <f t="shared" si="979"/>
        <v>2</v>
      </c>
      <c r="FH285" s="116">
        <f t="shared" si="979"/>
        <v>0</v>
      </c>
      <c r="FI285" s="116">
        <f t="shared" si="979"/>
        <v>1</v>
      </c>
      <c r="FJ285" s="116">
        <f t="shared" si="979"/>
        <v>2</v>
      </c>
      <c r="FK285" s="116">
        <f t="shared" si="979"/>
        <v>0</v>
      </c>
      <c r="FL285" s="116">
        <f t="shared" si="979"/>
        <v>1</v>
      </c>
      <c r="FM285" s="116">
        <f t="shared" si="979"/>
        <v>3</v>
      </c>
      <c r="FN285" s="116">
        <f t="shared" si="979"/>
        <v>0</v>
      </c>
      <c r="FO285" s="116">
        <f t="shared" si="979"/>
        <v>1</v>
      </c>
      <c r="FP285" s="116">
        <f t="shared" si="979"/>
        <v>3</v>
      </c>
      <c r="FQ285" s="116">
        <f t="shared" si="979"/>
        <v>0</v>
      </c>
      <c r="FR285" s="116">
        <f t="shared" si="979"/>
        <v>1</v>
      </c>
      <c r="FS285" s="116">
        <f t="shared" si="979"/>
        <v>3</v>
      </c>
      <c r="FT285" s="116">
        <f t="shared" si="979"/>
        <v>0</v>
      </c>
      <c r="FU285" s="116">
        <f t="shared" si="979"/>
        <v>1</v>
      </c>
      <c r="FV285" s="116">
        <f t="shared" ref="FV285:GL285" si="980">FV282</f>
        <v>3</v>
      </c>
      <c r="FW285" s="116">
        <f t="shared" si="980"/>
        <v>0</v>
      </c>
      <c r="FX285" s="116">
        <f t="shared" si="980"/>
        <v>1</v>
      </c>
      <c r="FY285" s="116">
        <f t="shared" si="980"/>
        <v>3</v>
      </c>
      <c r="FZ285" s="116">
        <f t="shared" si="980"/>
        <v>0</v>
      </c>
      <c r="GA285" s="116">
        <f t="shared" si="980"/>
        <v>1</v>
      </c>
      <c r="GB285" s="116">
        <f t="shared" si="980"/>
        <v>3</v>
      </c>
      <c r="GC285" s="116">
        <f t="shared" si="980"/>
        <v>0</v>
      </c>
      <c r="GD285" s="116">
        <f t="shared" si="980"/>
        <v>1</v>
      </c>
      <c r="GE285" s="116">
        <f t="shared" si="980"/>
        <v>3</v>
      </c>
      <c r="GF285" s="116">
        <f t="shared" si="980"/>
        <v>0</v>
      </c>
      <c r="GG285" s="116">
        <f t="shared" si="980"/>
        <v>1</v>
      </c>
      <c r="GH285" s="116">
        <f t="shared" si="980"/>
        <v>3</v>
      </c>
      <c r="GI285" s="116">
        <f t="shared" si="980"/>
        <v>0</v>
      </c>
      <c r="GJ285" s="116">
        <f t="shared" si="980"/>
        <v>1</v>
      </c>
      <c r="GK285" s="116">
        <f t="shared" si="980"/>
        <v>3</v>
      </c>
      <c r="GL285" s="116">
        <f t="shared" si="980"/>
        <v>0</v>
      </c>
    </row>
    <row r="286" spans="14:194" ht="15" customHeight="1">
      <c r="DJ286" s="116">
        <f t="shared" ref="DJ286:FU286" si="981">DJ283</f>
        <v>5</v>
      </c>
      <c r="DK286" s="116">
        <f t="shared" si="981"/>
        <v>3</v>
      </c>
      <c r="DL286" s="116">
        <f t="shared" si="981"/>
        <v>1</v>
      </c>
      <c r="DM286" s="116">
        <f t="shared" si="981"/>
        <v>5</v>
      </c>
      <c r="DN286" s="116">
        <f t="shared" si="981"/>
        <v>3</v>
      </c>
      <c r="DO286" s="116">
        <f t="shared" si="981"/>
        <v>1</v>
      </c>
      <c r="DP286" s="116">
        <f t="shared" si="981"/>
        <v>5</v>
      </c>
      <c r="DQ286" s="116">
        <f t="shared" si="981"/>
        <v>3</v>
      </c>
      <c r="DR286" s="116">
        <f t="shared" si="981"/>
        <v>1</v>
      </c>
      <c r="DS286" s="116">
        <f t="shared" si="981"/>
        <v>5</v>
      </c>
      <c r="DT286" s="116">
        <f t="shared" si="981"/>
        <v>3</v>
      </c>
      <c r="DU286" s="116">
        <f t="shared" si="981"/>
        <v>1</v>
      </c>
      <c r="DV286" s="116">
        <f t="shared" si="981"/>
        <v>5</v>
      </c>
      <c r="DW286" s="116">
        <f t="shared" si="981"/>
        <v>3</v>
      </c>
      <c r="DX286" s="116">
        <f t="shared" si="981"/>
        <v>1</v>
      </c>
      <c r="DY286" s="116">
        <f t="shared" si="981"/>
        <v>5</v>
      </c>
      <c r="DZ286" s="116">
        <f t="shared" si="981"/>
        <v>3</v>
      </c>
      <c r="EA286" s="116">
        <f t="shared" si="981"/>
        <v>1</v>
      </c>
      <c r="EB286" s="116">
        <f t="shared" si="981"/>
        <v>5</v>
      </c>
      <c r="EC286" s="116">
        <f t="shared" si="981"/>
        <v>3</v>
      </c>
      <c r="ED286" s="116">
        <f t="shared" si="981"/>
        <v>1</v>
      </c>
      <c r="EE286" s="116">
        <f t="shared" si="981"/>
        <v>5</v>
      </c>
      <c r="EF286" s="116">
        <f t="shared" si="981"/>
        <v>3</v>
      </c>
      <c r="EG286" s="116">
        <f t="shared" si="981"/>
        <v>1</v>
      </c>
      <c r="EH286" s="116">
        <f t="shared" si="981"/>
        <v>5</v>
      </c>
      <c r="EI286" s="116">
        <f t="shared" si="981"/>
        <v>3</v>
      </c>
      <c r="EJ286" s="116">
        <f t="shared" si="981"/>
        <v>1</v>
      </c>
      <c r="EK286" s="116">
        <f t="shared" si="981"/>
        <v>4</v>
      </c>
      <c r="EL286" s="116">
        <f t="shared" si="981"/>
        <v>4</v>
      </c>
      <c r="EM286" s="116">
        <f t="shared" si="981"/>
        <v>0</v>
      </c>
      <c r="EN286" s="116">
        <f t="shared" si="981"/>
        <v>4</v>
      </c>
      <c r="EO286" s="116">
        <f t="shared" si="981"/>
        <v>4</v>
      </c>
      <c r="EP286" s="116">
        <f t="shared" si="981"/>
        <v>0</v>
      </c>
      <c r="EQ286" s="116">
        <f t="shared" si="981"/>
        <v>4</v>
      </c>
      <c r="ER286" s="116">
        <f t="shared" si="981"/>
        <v>4</v>
      </c>
      <c r="ES286" s="116">
        <f t="shared" si="981"/>
        <v>0</v>
      </c>
      <c r="ET286" s="116">
        <f t="shared" si="981"/>
        <v>4</v>
      </c>
      <c r="EU286" s="116">
        <f t="shared" si="981"/>
        <v>4</v>
      </c>
      <c r="EV286" s="116">
        <f t="shared" si="981"/>
        <v>0</v>
      </c>
      <c r="EW286" s="116">
        <f t="shared" si="981"/>
        <v>4</v>
      </c>
      <c r="EX286" s="116">
        <f t="shared" si="981"/>
        <v>4</v>
      </c>
      <c r="EY286" s="116">
        <f t="shared" si="981"/>
        <v>0</v>
      </c>
      <c r="EZ286" s="116">
        <f t="shared" si="981"/>
        <v>4</v>
      </c>
      <c r="FA286" s="116">
        <f t="shared" si="981"/>
        <v>4</v>
      </c>
      <c r="FB286" s="116">
        <f t="shared" si="981"/>
        <v>0</v>
      </c>
      <c r="FC286" s="116">
        <f t="shared" si="981"/>
        <v>4</v>
      </c>
      <c r="FD286" s="116">
        <f t="shared" si="981"/>
        <v>4</v>
      </c>
      <c r="FE286" s="116">
        <f t="shared" si="981"/>
        <v>0</v>
      </c>
      <c r="FF286" s="116">
        <f t="shared" si="981"/>
        <v>4</v>
      </c>
      <c r="FG286" s="116">
        <f t="shared" si="981"/>
        <v>4</v>
      </c>
      <c r="FH286" s="116">
        <f t="shared" si="981"/>
        <v>0</v>
      </c>
      <c r="FI286" s="116">
        <f t="shared" si="981"/>
        <v>4</v>
      </c>
      <c r="FJ286" s="116">
        <f t="shared" si="981"/>
        <v>4</v>
      </c>
      <c r="FK286" s="116">
        <f t="shared" si="981"/>
        <v>0</v>
      </c>
      <c r="FL286" s="116">
        <f t="shared" si="981"/>
        <v>5</v>
      </c>
      <c r="FM286" s="116">
        <f t="shared" si="981"/>
        <v>0</v>
      </c>
      <c r="FN286" s="116">
        <f t="shared" si="981"/>
        <v>3</v>
      </c>
      <c r="FO286" s="116">
        <f t="shared" si="981"/>
        <v>5</v>
      </c>
      <c r="FP286" s="116">
        <f t="shared" si="981"/>
        <v>0</v>
      </c>
      <c r="FQ286" s="116">
        <f t="shared" si="981"/>
        <v>3</v>
      </c>
      <c r="FR286" s="116">
        <f t="shared" si="981"/>
        <v>5</v>
      </c>
      <c r="FS286" s="116">
        <f t="shared" si="981"/>
        <v>0</v>
      </c>
      <c r="FT286" s="116">
        <f t="shared" si="981"/>
        <v>3</v>
      </c>
      <c r="FU286" s="116">
        <f t="shared" si="981"/>
        <v>5</v>
      </c>
      <c r="FV286" s="116">
        <f t="shared" ref="FV286:GL286" si="982">FV283</f>
        <v>0</v>
      </c>
      <c r="FW286" s="116">
        <f t="shared" si="982"/>
        <v>3</v>
      </c>
      <c r="FX286" s="116">
        <f t="shared" si="982"/>
        <v>5</v>
      </c>
      <c r="FY286" s="116">
        <f t="shared" si="982"/>
        <v>0</v>
      </c>
      <c r="FZ286" s="116">
        <f t="shared" si="982"/>
        <v>3</v>
      </c>
      <c r="GA286" s="116">
        <f t="shared" si="982"/>
        <v>5</v>
      </c>
      <c r="GB286" s="116">
        <f t="shared" si="982"/>
        <v>0</v>
      </c>
      <c r="GC286" s="116">
        <f t="shared" si="982"/>
        <v>3</v>
      </c>
      <c r="GD286" s="116">
        <f t="shared" si="982"/>
        <v>5</v>
      </c>
      <c r="GE286" s="116">
        <f t="shared" si="982"/>
        <v>0</v>
      </c>
      <c r="GF286" s="116">
        <f t="shared" si="982"/>
        <v>3</v>
      </c>
      <c r="GG286" s="116">
        <f t="shared" si="982"/>
        <v>5</v>
      </c>
      <c r="GH286" s="116">
        <f t="shared" si="982"/>
        <v>0</v>
      </c>
      <c r="GI286" s="116">
        <f t="shared" si="982"/>
        <v>3</v>
      </c>
      <c r="GJ286" s="116">
        <f t="shared" si="982"/>
        <v>5</v>
      </c>
      <c r="GK286" s="116">
        <f t="shared" si="982"/>
        <v>0</v>
      </c>
      <c r="GL286" s="116">
        <f t="shared" si="982"/>
        <v>3</v>
      </c>
    </row>
    <row r="287" spans="14:194" ht="15" customHeight="1">
      <c r="DJ287" s="116">
        <f t="shared" ref="DJ287:FU287" si="983">DJ284</f>
        <v>2</v>
      </c>
      <c r="DK287" s="116">
        <f t="shared" si="983"/>
        <v>1</v>
      </c>
      <c r="DL287" s="116">
        <f t="shared" si="983"/>
        <v>2</v>
      </c>
      <c r="DM287" s="116">
        <f t="shared" si="983"/>
        <v>2</v>
      </c>
      <c r="DN287" s="116">
        <f t="shared" si="983"/>
        <v>1</v>
      </c>
      <c r="DO287" s="116">
        <f t="shared" si="983"/>
        <v>2</v>
      </c>
      <c r="DP287" s="116">
        <f t="shared" si="983"/>
        <v>2</v>
      </c>
      <c r="DQ287" s="116">
        <f t="shared" si="983"/>
        <v>1</v>
      </c>
      <c r="DR287" s="116">
        <f t="shared" si="983"/>
        <v>2</v>
      </c>
      <c r="DS287" s="116">
        <f t="shared" si="983"/>
        <v>2</v>
      </c>
      <c r="DT287" s="116">
        <f t="shared" si="983"/>
        <v>1</v>
      </c>
      <c r="DU287" s="116">
        <f t="shared" si="983"/>
        <v>2</v>
      </c>
      <c r="DV287" s="116">
        <f t="shared" si="983"/>
        <v>2</v>
      </c>
      <c r="DW287" s="116">
        <f t="shared" si="983"/>
        <v>1</v>
      </c>
      <c r="DX287" s="116">
        <f t="shared" si="983"/>
        <v>2</v>
      </c>
      <c r="DY287" s="116">
        <f t="shared" si="983"/>
        <v>2</v>
      </c>
      <c r="DZ287" s="116">
        <f t="shared" si="983"/>
        <v>1</v>
      </c>
      <c r="EA287" s="116">
        <f t="shared" si="983"/>
        <v>2</v>
      </c>
      <c r="EB287" s="116">
        <f t="shared" si="983"/>
        <v>2</v>
      </c>
      <c r="EC287" s="116">
        <f t="shared" si="983"/>
        <v>1</v>
      </c>
      <c r="ED287" s="116">
        <f t="shared" si="983"/>
        <v>2</v>
      </c>
      <c r="EE287" s="116">
        <f t="shared" si="983"/>
        <v>2</v>
      </c>
      <c r="EF287" s="116">
        <f t="shared" si="983"/>
        <v>1</v>
      </c>
      <c r="EG287" s="116">
        <f t="shared" si="983"/>
        <v>2</v>
      </c>
      <c r="EH287" s="116">
        <f t="shared" si="983"/>
        <v>2</v>
      </c>
      <c r="EI287" s="116">
        <f t="shared" si="983"/>
        <v>1</v>
      </c>
      <c r="EJ287" s="116">
        <f t="shared" si="983"/>
        <v>2</v>
      </c>
      <c r="EK287" s="116">
        <f t="shared" si="983"/>
        <v>4</v>
      </c>
      <c r="EL287" s="116">
        <f t="shared" si="983"/>
        <v>0</v>
      </c>
      <c r="EM287" s="116">
        <f t="shared" si="983"/>
        <v>2</v>
      </c>
      <c r="EN287" s="116">
        <f t="shared" si="983"/>
        <v>4</v>
      </c>
      <c r="EO287" s="116">
        <f t="shared" si="983"/>
        <v>0</v>
      </c>
      <c r="EP287" s="116">
        <f t="shared" si="983"/>
        <v>2</v>
      </c>
      <c r="EQ287" s="116">
        <f t="shared" si="983"/>
        <v>4</v>
      </c>
      <c r="ER287" s="116">
        <f t="shared" si="983"/>
        <v>0</v>
      </c>
      <c r="ES287" s="116">
        <f t="shared" si="983"/>
        <v>2</v>
      </c>
      <c r="ET287" s="116">
        <f t="shared" si="983"/>
        <v>4</v>
      </c>
      <c r="EU287" s="116">
        <f t="shared" si="983"/>
        <v>0</v>
      </c>
      <c r="EV287" s="116">
        <f t="shared" si="983"/>
        <v>2</v>
      </c>
      <c r="EW287" s="116">
        <f t="shared" si="983"/>
        <v>4</v>
      </c>
      <c r="EX287" s="116">
        <f t="shared" si="983"/>
        <v>0</v>
      </c>
      <c r="EY287" s="116">
        <f t="shared" si="983"/>
        <v>2</v>
      </c>
      <c r="EZ287" s="116">
        <f t="shared" si="983"/>
        <v>4</v>
      </c>
      <c r="FA287" s="116">
        <f t="shared" si="983"/>
        <v>0</v>
      </c>
      <c r="FB287" s="116">
        <f t="shared" si="983"/>
        <v>2</v>
      </c>
      <c r="FC287" s="116">
        <f t="shared" si="983"/>
        <v>4</v>
      </c>
      <c r="FD287" s="116">
        <f t="shared" si="983"/>
        <v>0</v>
      </c>
      <c r="FE287" s="116">
        <f t="shared" si="983"/>
        <v>2</v>
      </c>
      <c r="FF287" s="116">
        <f t="shared" si="983"/>
        <v>4</v>
      </c>
      <c r="FG287" s="116">
        <f t="shared" si="983"/>
        <v>0</v>
      </c>
      <c r="FH287" s="116">
        <f t="shared" si="983"/>
        <v>2</v>
      </c>
      <c r="FI287" s="116">
        <f t="shared" si="983"/>
        <v>4</v>
      </c>
      <c r="FJ287" s="116">
        <f t="shared" si="983"/>
        <v>0</v>
      </c>
      <c r="FK287" s="116">
        <f t="shared" si="983"/>
        <v>2</v>
      </c>
      <c r="FL287" s="116">
        <f t="shared" si="983"/>
        <v>0</v>
      </c>
      <c r="FM287" s="116">
        <f t="shared" si="983"/>
        <v>1</v>
      </c>
      <c r="FN287" s="116">
        <f t="shared" si="983"/>
        <v>2</v>
      </c>
      <c r="FO287" s="116">
        <f t="shared" si="983"/>
        <v>0</v>
      </c>
      <c r="FP287" s="116">
        <f t="shared" si="983"/>
        <v>1</v>
      </c>
      <c r="FQ287" s="116">
        <f t="shared" si="983"/>
        <v>2</v>
      </c>
      <c r="FR287" s="116">
        <f t="shared" si="983"/>
        <v>0</v>
      </c>
      <c r="FS287" s="116">
        <f t="shared" si="983"/>
        <v>1</v>
      </c>
      <c r="FT287" s="116">
        <f t="shared" si="983"/>
        <v>2</v>
      </c>
      <c r="FU287" s="116">
        <f t="shared" si="983"/>
        <v>0</v>
      </c>
      <c r="FV287" s="116">
        <f t="shared" ref="FV287:GL287" si="984">FV284</f>
        <v>1</v>
      </c>
      <c r="FW287" s="116">
        <f t="shared" si="984"/>
        <v>2</v>
      </c>
      <c r="FX287" s="116">
        <f t="shared" si="984"/>
        <v>0</v>
      </c>
      <c r="FY287" s="116">
        <f t="shared" si="984"/>
        <v>1</v>
      </c>
      <c r="FZ287" s="116">
        <f t="shared" si="984"/>
        <v>2</v>
      </c>
      <c r="GA287" s="116">
        <f t="shared" si="984"/>
        <v>0</v>
      </c>
      <c r="GB287" s="116">
        <f t="shared" si="984"/>
        <v>1</v>
      </c>
      <c r="GC287" s="116">
        <f t="shared" si="984"/>
        <v>2</v>
      </c>
      <c r="GD287" s="116">
        <f t="shared" si="984"/>
        <v>0</v>
      </c>
      <c r="GE287" s="116">
        <f t="shared" si="984"/>
        <v>1</v>
      </c>
      <c r="GF287" s="116">
        <f t="shared" si="984"/>
        <v>2</v>
      </c>
      <c r="GG287" s="116">
        <f t="shared" si="984"/>
        <v>0</v>
      </c>
      <c r="GH287" s="116">
        <f t="shared" si="984"/>
        <v>1</v>
      </c>
      <c r="GI287" s="116">
        <f t="shared" si="984"/>
        <v>2</v>
      </c>
      <c r="GJ287" s="116">
        <f t="shared" si="984"/>
        <v>0</v>
      </c>
      <c r="GK287" s="116">
        <f t="shared" si="984"/>
        <v>1</v>
      </c>
      <c r="GL287" s="116">
        <f t="shared" si="984"/>
        <v>2</v>
      </c>
    </row>
    <row r="288" spans="14:194" ht="15" customHeight="1">
      <c r="DJ288" s="116">
        <f t="shared" ref="DJ288:FU288" si="985">DJ285</f>
        <v>0</v>
      </c>
      <c r="DK288" s="116">
        <f t="shared" si="985"/>
        <v>1</v>
      </c>
      <c r="DL288" s="116">
        <f t="shared" si="985"/>
        <v>0</v>
      </c>
      <c r="DM288" s="116">
        <f t="shared" si="985"/>
        <v>0</v>
      </c>
      <c r="DN288" s="116">
        <f t="shared" si="985"/>
        <v>1</v>
      </c>
      <c r="DO288" s="116">
        <f t="shared" si="985"/>
        <v>0</v>
      </c>
      <c r="DP288" s="116">
        <f t="shared" si="985"/>
        <v>0</v>
      </c>
      <c r="DQ288" s="116">
        <f t="shared" si="985"/>
        <v>1</v>
      </c>
      <c r="DR288" s="116">
        <f t="shared" si="985"/>
        <v>0</v>
      </c>
      <c r="DS288" s="116">
        <f t="shared" si="985"/>
        <v>0</v>
      </c>
      <c r="DT288" s="116">
        <f t="shared" si="985"/>
        <v>1</v>
      </c>
      <c r="DU288" s="116">
        <f t="shared" si="985"/>
        <v>0</v>
      </c>
      <c r="DV288" s="116">
        <f t="shared" si="985"/>
        <v>0</v>
      </c>
      <c r="DW288" s="116">
        <f t="shared" si="985"/>
        <v>1</v>
      </c>
      <c r="DX288" s="116">
        <f t="shared" si="985"/>
        <v>0</v>
      </c>
      <c r="DY288" s="116">
        <f t="shared" si="985"/>
        <v>0</v>
      </c>
      <c r="DZ288" s="116">
        <f t="shared" si="985"/>
        <v>1</v>
      </c>
      <c r="EA288" s="116">
        <f t="shared" si="985"/>
        <v>0</v>
      </c>
      <c r="EB288" s="116">
        <f t="shared" si="985"/>
        <v>0</v>
      </c>
      <c r="EC288" s="116">
        <f t="shared" si="985"/>
        <v>1</v>
      </c>
      <c r="ED288" s="116">
        <f t="shared" si="985"/>
        <v>0</v>
      </c>
      <c r="EE288" s="116">
        <f t="shared" si="985"/>
        <v>0</v>
      </c>
      <c r="EF288" s="116">
        <f t="shared" si="985"/>
        <v>1</v>
      </c>
      <c r="EG288" s="116">
        <f t="shared" si="985"/>
        <v>0</v>
      </c>
      <c r="EH288" s="116">
        <f t="shared" si="985"/>
        <v>0</v>
      </c>
      <c r="EI288" s="116">
        <f t="shared" si="985"/>
        <v>1</v>
      </c>
      <c r="EJ288" s="116">
        <f t="shared" si="985"/>
        <v>0</v>
      </c>
      <c r="EK288" s="116">
        <f t="shared" si="985"/>
        <v>1</v>
      </c>
      <c r="EL288" s="116">
        <f t="shared" si="985"/>
        <v>2</v>
      </c>
      <c r="EM288" s="116">
        <f t="shared" si="985"/>
        <v>0</v>
      </c>
      <c r="EN288" s="116">
        <f t="shared" si="985"/>
        <v>1</v>
      </c>
      <c r="EO288" s="116">
        <f t="shared" si="985"/>
        <v>2</v>
      </c>
      <c r="EP288" s="116">
        <f t="shared" si="985"/>
        <v>0</v>
      </c>
      <c r="EQ288" s="116">
        <f t="shared" si="985"/>
        <v>1</v>
      </c>
      <c r="ER288" s="116">
        <f t="shared" si="985"/>
        <v>2</v>
      </c>
      <c r="ES288" s="116">
        <f t="shared" si="985"/>
        <v>0</v>
      </c>
      <c r="ET288" s="116">
        <f t="shared" si="985"/>
        <v>1</v>
      </c>
      <c r="EU288" s="116">
        <f t="shared" si="985"/>
        <v>2</v>
      </c>
      <c r="EV288" s="116">
        <f t="shared" si="985"/>
        <v>0</v>
      </c>
      <c r="EW288" s="116">
        <f t="shared" si="985"/>
        <v>1</v>
      </c>
      <c r="EX288" s="116">
        <f t="shared" si="985"/>
        <v>2</v>
      </c>
      <c r="EY288" s="116">
        <f t="shared" si="985"/>
        <v>0</v>
      </c>
      <c r="EZ288" s="116">
        <f t="shared" si="985"/>
        <v>1</v>
      </c>
      <c r="FA288" s="116">
        <f t="shared" si="985"/>
        <v>2</v>
      </c>
      <c r="FB288" s="116">
        <f t="shared" si="985"/>
        <v>0</v>
      </c>
      <c r="FC288" s="116">
        <f t="shared" si="985"/>
        <v>1</v>
      </c>
      <c r="FD288" s="116">
        <f t="shared" si="985"/>
        <v>2</v>
      </c>
      <c r="FE288" s="116">
        <f t="shared" si="985"/>
        <v>0</v>
      </c>
      <c r="FF288" s="116">
        <f t="shared" si="985"/>
        <v>1</v>
      </c>
      <c r="FG288" s="116">
        <f t="shared" si="985"/>
        <v>2</v>
      </c>
      <c r="FH288" s="116">
        <f t="shared" si="985"/>
        <v>0</v>
      </c>
      <c r="FI288" s="116">
        <f t="shared" si="985"/>
        <v>1</v>
      </c>
      <c r="FJ288" s="116">
        <f t="shared" si="985"/>
        <v>2</v>
      </c>
      <c r="FK288" s="116">
        <f t="shared" si="985"/>
        <v>0</v>
      </c>
      <c r="FL288" s="116">
        <f t="shared" si="985"/>
        <v>1</v>
      </c>
      <c r="FM288" s="116">
        <f t="shared" si="985"/>
        <v>3</v>
      </c>
      <c r="FN288" s="116">
        <f t="shared" si="985"/>
        <v>0</v>
      </c>
      <c r="FO288" s="116">
        <f t="shared" si="985"/>
        <v>1</v>
      </c>
      <c r="FP288" s="116">
        <f t="shared" si="985"/>
        <v>3</v>
      </c>
      <c r="FQ288" s="116">
        <f t="shared" si="985"/>
        <v>0</v>
      </c>
      <c r="FR288" s="116">
        <f t="shared" si="985"/>
        <v>1</v>
      </c>
      <c r="FS288" s="116">
        <f t="shared" si="985"/>
        <v>3</v>
      </c>
      <c r="FT288" s="116">
        <f t="shared" si="985"/>
        <v>0</v>
      </c>
      <c r="FU288" s="116">
        <f t="shared" si="985"/>
        <v>1</v>
      </c>
      <c r="FV288" s="116">
        <f t="shared" ref="FV288:GL288" si="986">FV285</f>
        <v>3</v>
      </c>
      <c r="FW288" s="116">
        <f t="shared" si="986"/>
        <v>0</v>
      </c>
      <c r="FX288" s="116">
        <f t="shared" si="986"/>
        <v>1</v>
      </c>
      <c r="FY288" s="116">
        <f t="shared" si="986"/>
        <v>3</v>
      </c>
      <c r="FZ288" s="116">
        <f t="shared" si="986"/>
        <v>0</v>
      </c>
      <c r="GA288" s="116">
        <f t="shared" si="986"/>
        <v>1</v>
      </c>
      <c r="GB288" s="116">
        <f t="shared" si="986"/>
        <v>3</v>
      </c>
      <c r="GC288" s="116">
        <f t="shared" si="986"/>
        <v>0</v>
      </c>
      <c r="GD288" s="116">
        <f t="shared" si="986"/>
        <v>1</v>
      </c>
      <c r="GE288" s="116">
        <f t="shared" si="986"/>
        <v>3</v>
      </c>
      <c r="GF288" s="116">
        <f t="shared" si="986"/>
        <v>0</v>
      </c>
      <c r="GG288" s="116">
        <f t="shared" si="986"/>
        <v>1</v>
      </c>
      <c r="GH288" s="116">
        <f t="shared" si="986"/>
        <v>3</v>
      </c>
      <c r="GI288" s="116">
        <f t="shared" si="986"/>
        <v>0</v>
      </c>
      <c r="GJ288" s="116">
        <f t="shared" si="986"/>
        <v>1</v>
      </c>
      <c r="GK288" s="116">
        <f t="shared" si="986"/>
        <v>3</v>
      </c>
      <c r="GL288" s="116">
        <f t="shared" si="986"/>
        <v>0</v>
      </c>
    </row>
    <row r="289" spans="14:194" ht="15" customHeight="1" thickBot="1">
      <c r="N289" s="26" t="s">
        <v>9</v>
      </c>
      <c r="DJ289" s="116">
        <f t="shared" ref="DJ289:FU289" si="987">DJ286</f>
        <v>5</v>
      </c>
      <c r="DK289" s="116">
        <f t="shared" si="987"/>
        <v>3</v>
      </c>
      <c r="DL289" s="116">
        <f t="shared" si="987"/>
        <v>1</v>
      </c>
      <c r="DM289" s="116">
        <f t="shared" si="987"/>
        <v>5</v>
      </c>
      <c r="DN289" s="116">
        <f t="shared" si="987"/>
        <v>3</v>
      </c>
      <c r="DO289" s="116">
        <f t="shared" si="987"/>
        <v>1</v>
      </c>
      <c r="DP289" s="116">
        <f t="shared" si="987"/>
        <v>5</v>
      </c>
      <c r="DQ289" s="116">
        <f t="shared" si="987"/>
        <v>3</v>
      </c>
      <c r="DR289" s="116">
        <f t="shared" si="987"/>
        <v>1</v>
      </c>
      <c r="DS289" s="116">
        <f t="shared" si="987"/>
        <v>5</v>
      </c>
      <c r="DT289" s="116">
        <f t="shared" si="987"/>
        <v>3</v>
      </c>
      <c r="DU289" s="116">
        <f t="shared" si="987"/>
        <v>1</v>
      </c>
      <c r="DV289" s="116">
        <f t="shared" si="987"/>
        <v>5</v>
      </c>
      <c r="DW289" s="116">
        <f t="shared" si="987"/>
        <v>3</v>
      </c>
      <c r="DX289" s="116">
        <f t="shared" si="987"/>
        <v>1</v>
      </c>
      <c r="DY289" s="116">
        <f t="shared" si="987"/>
        <v>5</v>
      </c>
      <c r="DZ289" s="116">
        <f t="shared" si="987"/>
        <v>3</v>
      </c>
      <c r="EA289" s="116">
        <f t="shared" si="987"/>
        <v>1</v>
      </c>
      <c r="EB289" s="116">
        <f t="shared" si="987"/>
        <v>5</v>
      </c>
      <c r="EC289" s="116">
        <f t="shared" si="987"/>
        <v>3</v>
      </c>
      <c r="ED289" s="116">
        <f t="shared" si="987"/>
        <v>1</v>
      </c>
      <c r="EE289" s="116">
        <f t="shared" si="987"/>
        <v>5</v>
      </c>
      <c r="EF289" s="116">
        <f t="shared" si="987"/>
        <v>3</v>
      </c>
      <c r="EG289" s="116">
        <f t="shared" si="987"/>
        <v>1</v>
      </c>
      <c r="EH289" s="116">
        <f t="shared" si="987"/>
        <v>5</v>
      </c>
      <c r="EI289" s="116">
        <f t="shared" si="987"/>
        <v>3</v>
      </c>
      <c r="EJ289" s="116">
        <f t="shared" si="987"/>
        <v>1</v>
      </c>
      <c r="EK289" s="116">
        <f t="shared" si="987"/>
        <v>4</v>
      </c>
      <c r="EL289" s="116">
        <f t="shared" si="987"/>
        <v>4</v>
      </c>
      <c r="EM289" s="116">
        <f t="shared" si="987"/>
        <v>0</v>
      </c>
      <c r="EN289" s="116">
        <f t="shared" si="987"/>
        <v>4</v>
      </c>
      <c r="EO289" s="116">
        <f t="shared" si="987"/>
        <v>4</v>
      </c>
      <c r="EP289" s="116">
        <f t="shared" si="987"/>
        <v>0</v>
      </c>
      <c r="EQ289" s="116">
        <f t="shared" si="987"/>
        <v>4</v>
      </c>
      <c r="ER289" s="116">
        <f t="shared" si="987"/>
        <v>4</v>
      </c>
      <c r="ES289" s="116">
        <f t="shared" si="987"/>
        <v>0</v>
      </c>
      <c r="ET289" s="116">
        <f t="shared" si="987"/>
        <v>4</v>
      </c>
      <c r="EU289" s="116">
        <f t="shared" si="987"/>
        <v>4</v>
      </c>
      <c r="EV289" s="116">
        <f t="shared" si="987"/>
        <v>0</v>
      </c>
      <c r="EW289" s="116">
        <f t="shared" si="987"/>
        <v>4</v>
      </c>
      <c r="EX289" s="116">
        <f t="shared" si="987"/>
        <v>4</v>
      </c>
      <c r="EY289" s="116">
        <f t="shared" si="987"/>
        <v>0</v>
      </c>
      <c r="EZ289" s="116">
        <f t="shared" si="987"/>
        <v>4</v>
      </c>
      <c r="FA289" s="116">
        <f t="shared" si="987"/>
        <v>4</v>
      </c>
      <c r="FB289" s="116">
        <f t="shared" si="987"/>
        <v>0</v>
      </c>
      <c r="FC289" s="116">
        <f t="shared" si="987"/>
        <v>4</v>
      </c>
      <c r="FD289" s="116">
        <f t="shared" si="987"/>
        <v>4</v>
      </c>
      <c r="FE289" s="116">
        <f t="shared" si="987"/>
        <v>0</v>
      </c>
      <c r="FF289" s="116">
        <f t="shared" si="987"/>
        <v>4</v>
      </c>
      <c r="FG289" s="116">
        <f t="shared" si="987"/>
        <v>4</v>
      </c>
      <c r="FH289" s="116">
        <f t="shared" si="987"/>
        <v>0</v>
      </c>
      <c r="FI289" s="116">
        <f t="shared" si="987"/>
        <v>4</v>
      </c>
      <c r="FJ289" s="116">
        <f t="shared" si="987"/>
        <v>4</v>
      </c>
      <c r="FK289" s="116">
        <f t="shared" si="987"/>
        <v>0</v>
      </c>
      <c r="FL289" s="116">
        <f t="shared" si="987"/>
        <v>5</v>
      </c>
      <c r="FM289" s="116">
        <f t="shared" si="987"/>
        <v>0</v>
      </c>
      <c r="FN289" s="116">
        <f t="shared" si="987"/>
        <v>3</v>
      </c>
      <c r="FO289" s="116">
        <f t="shared" si="987"/>
        <v>5</v>
      </c>
      <c r="FP289" s="116">
        <f t="shared" si="987"/>
        <v>0</v>
      </c>
      <c r="FQ289" s="116">
        <f t="shared" si="987"/>
        <v>3</v>
      </c>
      <c r="FR289" s="116">
        <f t="shared" si="987"/>
        <v>5</v>
      </c>
      <c r="FS289" s="116">
        <f t="shared" si="987"/>
        <v>0</v>
      </c>
      <c r="FT289" s="116">
        <f t="shared" si="987"/>
        <v>3</v>
      </c>
      <c r="FU289" s="116">
        <f t="shared" si="987"/>
        <v>5</v>
      </c>
      <c r="FV289" s="116">
        <f t="shared" ref="FV289:GL289" si="988">FV286</f>
        <v>0</v>
      </c>
      <c r="FW289" s="116">
        <f t="shared" si="988"/>
        <v>3</v>
      </c>
      <c r="FX289" s="116">
        <f t="shared" si="988"/>
        <v>5</v>
      </c>
      <c r="FY289" s="116">
        <f t="shared" si="988"/>
        <v>0</v>
      </c>
      <c r="FZ289" s="116">
        <f t="shared" si="988"/>
        <v>3</v>
      </c>
      <c r="GA289" s="116">
        <f t="shared" si="988"/>
        <v>5</v>
      </c>
      <c r="GB289" s="116">
        <f t="shared" si="988"/>
        <v>0</v>
      </c>
      <c r="GC289" s="116">
        <f t="shared" si="988"/>
        <v>3</v>
      </c>
      <c r="GD289" s="116">
        <f t="shared" si="988"/>
        <v>5</v>
      </c>
      <c r="GE289" s="116">
        <f t="shared" si="988"/>
        <v>0</v>
      </c>
      <c r="GF289" s="116">
        <f t="shared" si="988"/>
        <v>3</v>
      </c>
      <c r="GG289" s="116">
        <f t="shared" si="988"/>
        <v>5</v>
      </c>
      <c r="GH289" s="116">
        <f t="shared" si="988"/>
        <v>0</v>
      </c>
      <c r="GI289" s="116">
        <f t="shared" si="988"/>
        <v>3</v>
      </c>
      <c r="GJ289" s="116">
        <f t="shared" si="988"/>
        <v>5</v>
      </c>
      <c r="GK289" s="116">
        <f t="shared" si="988"/>
        <v>0</v>
      </c>
      <c r="GL289" s="116">
        <f t="shared" si="988"/>
        <v>3</v>
      </c>
    </row>
    <row r="290" spans="14:194" ht="15" customHeight="1" thickTop="1">
      <c r="N290" s="84">
        <f>IF(N107=-1,"x",IF(OR(N205=1,N$195=1,$CX107=1),N107,0))</f>
        <v>0</v>
      </c>
      <c r="O290" s="85">
        <f>IF(O107=-1,"x",IF(OR(O205=1,O$195=1,$CY107=1),O107,0))</f>
        <v>0</v>
      </c>
      <c r="P290" s="85">
        <f>IF(P107=-1,"x",IF(OR(P205=1,P$195=1,$CZ107=1),P107,0))</f>
        <v>0</v>
      </c>
      <c r="Q290" s="86">
        <f>IF(Q107=-1,"x",IF(OR(Q205=1,Q$195=1,$CX107=1),Q107,0))</f>
        <v>0</v>
      </c>
      <c r="R290" s="85">
        <f>IF(R107=-1,"x",IF(OR(R205=1,R$195=1,$CY107=1),R107,0))</f>
        <v>0</v>
      </c>
      <c r="S290" s="87">
        <f>IF(S107=-1,"x",IF(OR(S205=1,S$195=1,$CZ107=1),S107,0))</f>
        <v>0</v>
      </c>
      <c r="T290" s="86">
        <f>IF(T107=-1,"x",IF(OR(T205=1,T$195=1,$CX107=1),T107,0))</f>
        <v>0</v>
      </c>
      <c r="U290" s="85">
        <f>IF(U107=-1,"x",IF(OR(U205=1,U$195=1,$CY107=1),U107,0))</f>
        <v>0</v>
      </c>
      <c r="V290" s="88">
        <f>IF(V107=-1,"x",IF(OR(V205=1,V$195=1,$CZ107=1),V107,0))</f>
        <v>0</v>
      </c>
      <c r="W290" s="89" t="str">
        <f>IF(W107=-1,"x",IF(OR(W205=1,W$195=1,$CX107=1),W107,0))</f>
        <v>x</v>
      </c>
      <c r="X290" s="85" t="str">
        <f>IF(X107=-1,"x",IF(OR(X205=1,X$195=1,$CY107=1),X107,0))</f>
        <v>x</v>
      </c>
      <c r="Y290" s="87" t="str">
        <f>IF(Y107=-1,"x",IF(OR(Y205=1,Y$195=1,$CZ107=1),Y107,0))</f>
        <v>x</v>
      </c>
      <c r="Z290" s="86" t="str">
        <f>IF(Z107=-1,"x",IF(OR(Z205=1,Z$195=1,$CX107=1),Z107,0))</f>
        <v>x</v>
      </c>
      <c r="AA290" s="85" t="str">
        <f>IF(AA107=-1,"x",IF(OR(AA205=1,AA$195=1,$CY107=1),AA107,0))</f>
        <v>x</v>
      </c>
      <c r="AB290" s="87" t="str">
        <f>IF(AB107=-1,"x",IF(OR(AB205=1,AB$195=1,$CZ107=1),AB107,0))</f>
        <v>x</v>
      </c>
      <c r="AC290" s="86" t="str">
        <f>IF(AC107=-1,"x",IF(OR(AC205=1,AC$195=1,$CX107=1),AC107,0))</f>
        <v>x</v>
      </c>
      <c r="AD290" s="85" t="str">
        <f>IF(AD107=-1,"x",IF(OR(AD205=1,AD$195=1,$CY107=1),AD107,0))</f>
        <v>x</v>
      </c>
      <c r="AE290" s="88" t="str">
        <f>IF(AE107=-1,"x",IF(OR(AE205=1,AE$195=1,$CZ107=1),AE107,0))</f>
        <v>x</v>
      </c>
      <c r="AF290" s="89" t="str">
        <f>IF(AF107=-1,"x",IF(OR(AF205=1,AF$195=1,$CX107=1),AF107,0))</f>
        <v>x</v>
      </c>
      <c r="AG290" s="85" t="str">
        <f>IF(AG107=-1,"x",IF(OR(AG205=1,AG$195=1,$CY107=1),AG107,0))</f>
        <v>x</v>
      </c>
      <c r="AH290" s="87" t="str">
        <f>IF(AH107=-1,"x",IF(OR(AH205=1,AH$195=1,$CZ107=1),AH107,0))</f>
        <v>x</v>
      </c>
      <c r="AI290" s="86" t="str">
        <f>IF(AI107=-1,"x",IF(OR(AI205=1,AI$195=1,$CX107=1),AI107,0))</f>
        <v>x</v>
      </c>
      <c r="AJ290" s="85" t="str">
        <f>IF(AJ107=-1,"x",IF(OR(AJ205=1,AJ$195=1,$CY107=1),AJ107,0))</f>
        <v>x</v>
      </c>
      <c r="AK290" s="87" t="str">
        <f>IF(AK107=-1,"x",IF(OR(AK205=1,AK$195=1,$CZ107=1),AK107,0))</f>
        <v>x</v>
      </c>
      <c r="AL290" s="86" t="str">
        <f>IF(AL107=-1,"x",IF(OR(AL205=1,AL$195=1,$CX107=1),AL107,0))</f>
        <v>x</v>
      </c>
      <c r="AM290" s="85" t="str">
        <f>IF(AM107=-1,"x",IF(OR(AM205=1,AM$195=1,$CY107=1),AM107,0))</f>
        <v>x</v>
      </c>
      <c r="AN290" s="90" t="str">
        <f>IF(AN107=-1,"x",IF(OR(AN205=1,AN$195=1,$CZ107=1),AN107,0))</f>
        <v>x</v>
      </c>
      <c r="AO290" s="84" t="str">
        <f>IF(AO107=-1,"x",IF(OR(AO205=1,AO$195=1,$CX107=1),AO107,0))</f>
        <v>x</v>
      </c>
      <c r="AP290" s="85" t="str">
        <f>IF(AP107=-1,"x",IF(OR(AP205=1,AP$195=1,$CY107=1),AP107,0))</f>
        <v>x</v>
      </c>
      <c r="AQ290" s="87" t="str">
        <f>IF(AQ107=-1,"x",IF(OR(AQ205=1,AQ$195=1,$CZ107=1),AQ107,0))</f>
        <v>x</v>
      </c>
      <c r="AR290" s="86" t="str">
        <f>IF(AR107=-1,"x",IF(OR(AR205=1,AR$195=1,$CX107=1),AR107,0))</f>
        <v>x</v>
      </c>
      <c r="AS290" s="85" t="str">
        <f>IF(AS107=-1,"x",IF(OR(AS205=1,AS$195=1,$CY107=1),AS107,0))</f>
        <v>x</v>
      </c>
      <c r="AT290" s="87" t="str">
        <f>IF(AT107=-1,"x",IF(OR(AT205=1,AT$195=1,$CZ107=1),AT107,0))</f>
        <v>x</v>
      </c>
      <c r="AU290" s="86" t="str">
        <f>IF(AU107=-1,"x",IF(OR(AU205=1,AU$195=1,$CX107=1),AU107,0))</f>
        <v>x</v>
      </c>
      <c r="AV290" s="85" t="str">
        <f>IF(AV107=-1,"x",IF(OR(AV205=1,AV$195=1,$CY107=1),AV107,0))</f>
        <v>x</v>
      </c>
      <c r="AW290" s="88" t="str">
        <f>IF(AW107=-1,"x",IF(OR(AW205=1,AW$195=1,$CZ107=1),AW107,0))</f>
        <v>x</v>
      </c>
      <c r="AX290" s="89">
        <f>IF(AX107=-1,"x",IF(OR(AX205=1,AX$195=1,$CX107=1),AX107,0))</f>
        <v>0</v>
      </c>
      <c r="AY290" s="85">
        <f>IF(AY107=-1,"x",IF(OR(AY205=1,AY$195=1,$CY107=1),AY107,0))</f>
        <v>0</v>
      </c>
      <c r="AZ290" s="87">
        <f>IF(AZ107=-1,"x",IF(OR(AZ205=1,AZ$195=1,$CZ107=1),AZ107,0))</f>
        <v>0</v>
      </c>
      <c r="BA290" s="86">
        <f>IF(BA107=-1,"x",IF(OR(BA205=1,BA$195=1,$CX107=1),BA107,0))</f>
        <v>0</v>
      </c>
      <c r="BB290" s="85">
        <f>IF(BB107=-1,"x",IF(OR(BB205=1,BB$195=1,$CY107=1),BB107,0))</f>
        <v>0</v>
      </c>
      <c r="BC290" s="87">
        <f>IF(BC107=-1,"x",IF(OR(BC205=1,BC$195=1,$CZ107=1),BC107,0))</f>
        <v>0</v>
      </c>
      <c r="BD290" s="86">
        <f>IF(BD107=-1,"x",IF(OR(BD205=1,BD$195=1,$CX107=1),BD107,0))</f>
        <v>0</v>
      </c>
      <c r="BE290" s="85">
        <f>IF(BE107=-1,"x",IF(OR(BE205=1,BE$195=1,$CY107=1),BE107,0))</f>
        <v>0</v>
      </c>
      <c r="BF290" s="88">
        <f>IF(BF107=-1,"x",IF(OR(BF205=1,BF$195=1,$CZ107=1),BF107,0))</f>
        <v>0</v>
      </c>
      <c r="BG290" s="89" t="str">
        <f>IF(BG107=-1,"x",IF(OR(BG205=1,BG$195=1,$CX107=1),BG107,0))</f>
        <v>x</v>
      </c>
      <c r="BH290" s="85" t="str">
        <f>IF(BH107=-1,"x",IF(OR(BH205=1,BH$195=1,$CY107=1),BH107,0))</f>
        <v>x</v>
      </c>
      <c r="BI290" s="87" t="str">
        <f>IF(BI107=-1,"x",IF(OR(BI205=1,BI$195=1,$CZ107=1),BI107,0))</f>
        <v>x</v>
      </c>
      <c r="BJ290" s="86" t="str">
        <f>IF(BJ107=-1,"x",IF(OR(BJ205=1,BJ$195=1,$CX107=1),BJ107,0))</f>
        <v>x</v>
      </c>
      <c r="BK290" s="85" t="str">
        <f>IF(BK107=-1,"x",IF(OR(BK205=1,BK$195=1,$CY107=1),BK107,0))</f>
        <v>x</v>
      </c>
      <c r="BL290" s="87" t="str">
        <f>IF(BL107=-1,"x",IF(OR(BL205=1,BL$195=1,$CZ107=1),BL107,0))</f>
        <v>x</v>
      </c>
      <c r="BM290" s="86" t="str">
        <f>IF(BM107=-1,"x",IF(OR(BM205=1,BM$195=1,$CX107=1),BM107,0))</f>
        <v>x</v>
      </c>
      <c r="BN290" s="85" t="str">
        <f>IF(BN107=-1,"x",IF(OR(BN205=1,BN$195=1,$CY107=1),BN107,0))</f>
        <v>x</v>
      </c>
      <c r="BO290" s="90" t="str">
        <f>IF(BO107=-1,"x",IF(OR(BO205=1,BO$195=1,$CZ107=1),BO107,0))</f>
        <v>x</v>
      </c>
      <c r="BP290" s="84" t="str">
        <f>IF(BP107=-1,"x",IF(OR(BP205=1,BP$195=1,$CX107=1),BP107,0))</f>
        <v>x</v>
      </c>
      <c r="BQ290" s="85" t="str">
        <f>IF(BQ107=-1,"x",IF(OR(BQ205=1,BQ$195=1,$CY107=1),BQ107,0))</f>
        <v>x</v>
      </c>
      <c r="BR290" s="87" t="str">
        <f>IF(BR107=-1,"x",IF(OR(BR205=1,BR$195=1,$CZ107=1),BR107,0))</f>
        <v>x</v>
      </c>
      <c r="BS290" s="86" t="str">
        <f>IF(BS107=-1,"x",IF(OR(BS205=1,BS$195=1,$CX107=1),BS107,0))</f>
        <v>x</v>
      </c>
      <c r="BT290" s="85" t="str">
        <f>IF(BT107=-1,"x",IF(OR(BT205=1,BT$195=1,$CY107=1),BT107,0))</f>
        <v>x</v>
      </c>
      <c r="BU290" s="87" t="str">
        <f>IF(BU107=-1,"x",IF(OR(BU205=1,BU$195=1,$CZ107=1),BU107,0))</f>
        <v>x</v>
      </c>
      <c r="BV290" s="86" t="str">
        <f>IF(BV107=-1,"x",IF(OR(BV205=1,BV$195=1,$CX107=1),BV107,0))</f>
        <v>x</v>
      </c>
      <c r="BW290" s="85" t="str">
        <f>IF(BW107=-1,"x",IF(OR(BW205=1,BW$195=1,$CY107=1),BW107,0))</f>
        <v>x</v>
      </c>
      <c r="BX290" s="88" t="str">
        <f>IF(BX107=-1,"x",IF(OR(BX205=1,BX$195=1,$CZ107=1),BX107,0))</f>
        <v>x</v>
      </c>
      <c r="BY290" s="89" t="str">
        <f>IF(BY107=-1,"x",IF(OR(BY205=1,BY$195=1,$CX107=1),BY107,0))</f>
        <v>x</v>
      </c>
      <c r="BZ290" s="85" t="str">
        <f>IF(BZ107=-1,"x",IF(OR(BZ205=1,BZ$195=1,$CY107=1),BZ107,0))</f>
        <v>x</v>
      </c>
      <c r="CA290" s="87" t="str">
        <f>IF(CA107=-1,"x",IF(OR(CA205=1,CA$195=1,$CZ107=1),CA107,0))</f>
        <v>x</v>
      </c>
      <c r="CB290" s="86" t="str">
        <f>IF(CB107=-1,"x",IF(OR(CB205=1,CB$195=1,$CX107=1),CB107,0))</f>
        <v>x</v>
      </c>
      <c r="CC290" s="85" t="str">
        <f>IF(CC107=-1,"x",IF(OR(CC205=1,CC$195=1,$CY107=1),CC107,0))</f>
        <v>x</v>
      </c>
      <c r="CD290" s="87" t="str">
        <f>IF(CD107=-1,"x",IF(OR(CD205=1,CD$195=1,$CZ107=1),CD107,0))</f>
        <v>x</v>
      </c>
      <c r="CE290" s="86" t="str">
        <f>IF(CE107=-1,"x",IF(OR(CE205=1,CE$195=1,$CX107=1),CE107,0))</f>
        <v>x</v>
      </c>
      <c r="CF290" s="85" t="str">
        <f>IF(CF107=-1,"x",IF(OR(CF205=1,CF$195=1,$CY107=1),CF107,0))</f>
        <v>x</v>
      </c>
      <c r="CG290" s="88" t="str">
        <f>IF(CG107=-1,"x",IF(OR(CG205=1,CG$195=1,$CZ107=1),CG107,0))</f>
        <v>x</v>
      </c>
      <c r="CH290" s="89" t="str">
        <f>IF(CH107=-1,"x",IF(OR(CH205=1,CH$195=1,$CX107=1),CH107,0))</f>
        <v>x</v>
      </c>
      <c r="CI290" s="85" t="str">
        <f>IF(CI107=-1,"x",IF(OR(CI205=1,CI$195=1,$CY107=1),CI107,0))</f>
        <v>x</v>
      </c>
      <c r="CJ290" s="87" t="str">
        <f>IF(CJ107=-1,"x",IF(OR(CJ205=1,CJ$195=1,$CZ107=1),CJ107,0))</f>
        <v>x</v>
      </c>
      <c r="CK290" s="86">
        <f>IF(CK107=-1,"x",IF(OR(CK205=1,CK$195=1,$CX107=1),CK107,0))</f>
        <v>0</v>
      </c>
      <c r="CL290" s="85">
        <f>IF(CL107=-1,"x",IF(OR(CL205=1,CL$195=1,$CY107=1),CL107,0))</f>
        <v>0</v>
      </c>
      <c r="CM290" s="87">
        <f>IF(CM107=-1,"x",IF(OR(CM205=1,CM$195=1,$CZ107=1),CM107,0))</f>
        <v>0</v>
      </c>
      <c r="CN290" s="86" t="str">
        <f>IF(CN107=-1,"x",IF(OR(CN205=1,CN$195=1,$CX107=1),CN107,0))</f>
        <v>x</v>
      </c>
      <c r="CO290" s="85" t="str">
        <f>IF(CO107=-1,"x",IF(OR(CO205=1,CO$195=1,$CY107=1),CO107,0))</f>
        <v>x</v>
      </c>
      <c r="CP290" s="90" t="str">
        <f>IF(CP107=-1,"x",IF(OR(CP205=1,CP$195=1,$CZ107=1),CP107,0))</f>
        <v>x</v>
      </c>
      <c r="DJ290" s="116">
        <f t="shared" ref="DJ290:FU290" si="989">DJ287</f>
        <v>2</v>
      </c>
      <c r="DK290" s="116">
        <f t="shared" si="989"/>
        <v>1</v>
      </c>
      <c r="DL290" s="116">
        <f t="shared" si="989"/>
        <v>2</v>
      </c>
      <c r="DM290" s="116">
        <f t="shared" si="989"/>
        <v>2</v>
      </c>
      <c r="DN290" s="116">
        <f t="shared" si="989"/>
        <v>1</v>
      </c>
      <c r="DO290" s="116">
        <f t="shared" si="989"/>
        <v>2</v>
      </c>
      <c r="DP290" s="116">
        <f t="shared" si="989"/>
        <v>2</v>
      </c>
      <c r="DQ290" s="116">
        <f t="shared" si="989"/>
        <v>1</v>
      </c>
      <c r="DR290" s="116">
        <f t="shared" si="989"/>
        <v>2</v>
      </c>
      <c r="DS290" s="116">
        <f t="shared" si="989"/>
        <v>2</v>
      </c>
      <c r="DT290" s="116">
        <f t="shared" si="989"/>
        <v>1</v>
      </c>
      <c r="DU290" s="116">
        <f t="shared" si="989"/>
        <v>2</v>
      </c>
      <c r="DV290" s="116">
        <f t="shared" si="989"/>
        <v>2</v>
      </c>
      <c r="DW290" s="116">
        <f t="shared" si="989"/>
        <v>1</v>
      </c>
      <c r="DX290" s="116">
        <f t="shared" si="989"/>
        <v>2</v>
      </c>
      <c r="DY290" s="116">
        <f t="shared" si="989"/>
        <v>2</v>
      </c>
      <c r="DZ290" s="116">
        <f t="shared" si="989"/>
        <v>1</v>
      </c>
      <c r="EA290" s="116">
        <f t="shared" si="989"/>
        <v>2</v>
      </c>
      <c r="EB290" s="116">
        <f t="shared" si="989"/>
        <v>2</v>
      </c>
      <c r="EC290" s="116">
        <f t="shared" si="989"/>
        <v>1</v>
      </c>
      <c r="ED290" s="116">
        <f t="shared" si="989"/>
        <v>2</v>
      </c>
      <c r="EE290" s="116">
        <f t="shared" si="989"/>
        <v>2</v>
      </c>
      <c r="EF290" s="116">
        <f t="shared" si="989"/>
        <v>1</v>
      </c>
      <c r="EG290" s="116">
        <f t="shared" si="989"/>
        <v>2</v>
      </c>
      <c r="EH290" s="116">
        <f t="shared" si="989"/>
        <v>2</v>
      </c>
      <c r="EI290" s="116">
        <f t="shared" si="989"/>
        <v>1</v>
      </c>
      <c r="EJ290" s="116">
        <f t="shared" si="989"/>
        <v>2</v>
      </c>
      <c r="EK290" s="116">
        <f t="shared" si="989"/>
        <v>4</v>
      </c>
      <c r="EL290" s="116">
        <f t="shared" si="989"/>
        <v>0</v>
      </c>
      <c r="EM290" s="116">
        <f t="shared" si="989"/>
        <v>2</v>
      </c>
      <c r="EN290" s="116">
        <f t="shared" si="989"/>
        <v>4</v>
      </c>
      <c r="EO290" s="116">
        <f t="shared" si="989"/>
        <v>0</v>
      </c>
      <c r="EP290" s="116">
        <f t="shared" si="989"/>
        <v>2</v>
      </c>
      <c r="EQ290" s="116">
        <f t="shared" si="989"/>
        <v>4</v>
      </c>
      <c r="ER290" s="116">
        <f t="shared" si="989"/>
        <v>0</v>
      </c>
      <c r="ES290" s="116">
        <f t="shared" si="989"/>
        <v>2</v>
      </c>
      <c r="ET290" s="116">
        <f t="shared" si="989"/>
        <v>4</v>
      </c>
      <c r="EU290" s="116">
        <f t="shared" si="989"/>
        <v>0</v>
      </c>
      <c r="EV290" s="116">
        <f t="shared" si="989"/>
        <v>2</v>
      </c>
      <c r="EW290" s="116">
        <f t="shared" si="989"/>
        <v>4</v>
      </c>
      <c r="EX290" s="116">
        <f t="shared" si="989"/>
        <v>0</v>
      </c>
      <c r="EY290" s="116">
        <f t="shared" si="989"/>
        <v>2</v>
      </c>
      <c r="EZ290" s="116">
        <f t="shared" si="989"/>
        <v>4</v>
      </c>
      <c r="FA290" s="116">
        <f t="shared" si="989"/>
        <v>0</v>
      </c>
      <c r="FB290" s="116">
        <f t="shared" si="989"/>
        <v>2</v>
      </c>
      <c r="FC290" s="116">
        <f t="shared" si="989"/>
        <v>4</v>
      </c>
      <c r="FD290" s="116">
        <f t="shared" si="989"/>
        <v>0</v>
      </c>
      <c r="FE290" s="116">
        <f t="shared" si="989"/>
        <v>2</v>
      </c>
      <c r="FF290" s="116">
        <f t="shared" si="989"/>
        <v>4</v>
      </c>
      <c r="FG290" s="116">
        <f t="shared" si="989"/>
        <v>0</v>
      </c>
      <c r="FH290" s="116">
        <f t="shared" si="989"/>
        <v>2</v>
      </c>
      <c r="FI290" s="116">
        <f t="shared" si="989"/>
        <v>4</v>
      </c>
      <c r="FJ290" s="116">
        <f t="shared" si="989"/>
        <v>0</v>
      </c>
      <c r="FK290" s="116">
        <f t="shared" si="989"/>
        <v>2</v>
      </c>
      <c r="FL290" s="116">
        <f t="shared" si="989"/>
        <v>0</v>
      </c>
      <c r="FM290" s="116">
        <f t="shared" si="989"/>
        <v>1</v>
      </c>
      <c r="FN290" s="116">
        <f t="shared" si="989"/>
        <v>2</v>
      </c>
      <c r="FO290" s="116">
        <f t="shared" si="989"/>
        <v>0</v>
      </c>
      <c r="FP290" s="116">
        <f t="shared" si="989"/>
        <v>1</v>
      </c>
      <c r="FQ290" s="116">
        <f t="shared" si="989"/>
        <v>2</v>
      </c>
      <c r="FR290" s="116">
        <f t="shared" si="989"/>
        <v>0</v>
      </c>
      <c r="FS290" s="116">
        <f t="shared" si="989"/>
        <v>1</v>
      </c>
      <c r="FT290" s="116">
        <f t="shared" si="989"/>
        <v>2</v>
      </c>
      <c r="FU290" s="116">
        <f t="shared" si="989"/>
        <v>0</v>
      </c>
      <c r="FV290" s="116">
        <f t="shared" ref="FV290:GL290" si="990">FV287</f>
        <v>1</v>
      </c>
      <c r="FW290" s="116">
        <f t="shared" si="990"/>
        <v>2</v>
      </c>
      <c r="FX290" s="116">
        <f t="shared" si="990"/>
        <v>0</v>
      </c>
      <c r="FY290" s="116">
        <f t="shared" si="990"/>
        <v>1</v>
      </c>
      <c r="FZ290" s="116">
        <f t="shared" si="990"/>
        <v>2</v>
      </c>
      <c r="GA290" s="116">
        <f t="shared" si="990"/>
        <v>0</v>
      </c>
      <c r="GB290" s="116">
        <f t="shared" si="990"/>
        <v>1</v>
      </c>
      <c r="GC290" s="116">
        <f t="shared" si="990"/>
        <v>2</v>
      </c>
      <c r="GD290" s="116">
        <f t="shared" si="990"/>
        <v>0</v>
      </c>
      <c r="GE290" s="116">
        <f t="shared" si="990"/>
        <v>1</v>
      </c>
      <c r="GF290" s="116">
        <f t="shared" si="990"/>
        <v>2</v>
      </c>
      <c r="GG290" s="116">
        <f t="shared" si="990"/>
        <v>0</v>
      </c>
      <c r="GH290" s="116">
        <f t="shared" si="990"/>
        <v>1</v>
      </c>
      <c r="GI290" s="116">
        <f t="shared" si="990"/>
        <v>2</v>
      </c>
      <c r="GJ290" s="116">
        <f t="shared" si="990"/>
        <v>0</v>
      </c>
      <c r="GK290" s="116">
        <f t="shared" si="990"/>
        <v>1</v>
      </c>
      <c r="GL290" s="116">
        <f t="shared" si="990"/>
        <v>2</v>
      </c>
    </row>
    <row r="291" spans="14:194" ht="15" customHeight="1">
      <c r="N291" s="94">
        <f>IF(N108=-1,"x",IF(OR(N206=1,N$196=1,$CX108=1),N108,0))</f>
        <v>0</v>
      </c>
      <c r="O291" s="39">
        <f>IF(O108=-1,"x",IF(OR(O206=1,O$196=1,$CY108=1),O108,0))</f>
        <v>0</v>
      </c>
      <c r="P291" s="41">
        <f>IF(P108=-1,"x",IF(OR(P206=1,P$196=1,$CZ108=1),P108,0))</f>
        <v>0</v>
      </c>
      <c r="Q291" s="40">
        <f>IF(Q108=-1,"x",IF(OR(Q206=1,Q$196=1,$CX108=1),Q108,0))</f>
        <v>0</v>
      </c>
      <c r="R291" s="39">
        <f>IF(R108=-1,"x",IF(OR(R206=1,R$196=1,$CY108=1),R108,0))</f>
        <v>0</v>
      </c>
      <c r="S291" s="41">
        <f>IF(S108=-1,"x",IF(OR(S206=1,S$196=1,$CZ108=1),S108,0))</f>
        <v>0</v>
      </c>
      <c r="T291" s="40">
        <f>IF(T108=-1,"x",IF(OR(T206=1,T$196=1,$CX108=1),T108,0))</f>
        <v>0</v>
      </c>
      <c r="U291" s="39">
        <f>IF(U108=-1,"x",IF(OR(U206=1,U$196=1,$CY108=1),U108,0))</f>
        <v>0</v>
      </c>
      <c r="V291" s="42">
        <f>IF(V108=-1,"x",IF(OR(V206=1,V$196=1,$CZ108=1),V108,0))</f>
        <v>0</v>
      </c>
      <c r="W291" s="43" t="str">
        <f>IF(W108=-1,"x",IF(OR(W206=1,W$196=1,$CX108=1),W108,0))</f>
        <v>x</v>
      </c>
      <c r="X291" s="39" t="str">
        <f>IF(X108=-1,"x",IF(OR(X206=1,X$196=1,$CY108=1),X108,0))</f>
        <v>x</v>
      </c>
      <c r="Y291" s="41" t="str">
        <f>IF(Y108=-1,"x",IF(OR(Y206=1,Y$196=1,$CZ108=1),Y108,0))</f>
        <v>x</v>
      </c>
      <c r="Z291" s="40" t="str">
        <f>IF(Z108=-1,"x",IF(OR(Z206=1,Z$196=1,$CX108=1),Z108,0))</f>
        <v>x</v>
      </c>
      <c r="AA291" s="39" t="str">
        <f>IF(AA108=-1,"x",IF(OR(AA206=1,AA$196=1,$CY108=1),AA108,0))</f>
        <v>x</v>
      </c>
      <c r="AB291" s="41" t="str">
        <f>IF(AB108=-1,"x",IF(OR(AB206=1,AB$196=1,$CZ108=1),AB108,0))</f>
        <v>x</v>
      </c>
      <c r="AC291" s="40" t="str">
        <f>IF(AC108=-1,"x",IF(OR(AC206=1,AC$196=1,$CX108=1),AC108,0))</f>
        <v>x</v>
      </c>
      <c r="AD291" s="39" t="str">
        <f>IF(AD108=-1,"x",IF(OR(AD206=1,AD$196=1,$CY108=1),AD108,0))</f>
        <v>x</v>
      </c>
      <c r="AE291" s="42" t="str">
        <f>IF(AE108=-1,"x",IF(OR(AE206=1,AE$196=1,$CZ108=1),AE108,0))</f>
        <v>x</v>
      </c>
      <c r="AF291" s="43" t="str">
        <f>IF(AF108=-1,"x",IF(OR(AF206=1,AF$196=1,$CX108=1),AF108,0))</f>
        <v>x</v>
      </c>
      <c r="AG291" s="39" t="str">
        <f>IF(AG108=-1,"x",IF(OR(AG206=1,AG$196=1,$CY108=1),AG108,0))</f>
        <v>x</v>
      </c>
      <c r="AH291" s="41" t="str">
        <f>IF(AH108=-1,"x",IF(OR(AH206=1,AH$196=1,$CZ108=1),AH108,0))</f>
        <v>x</v>
      </c>
      <c r="AI291" s="40" t="str">
        <f>IF(AI108=-1,"x",IF(OR(AI206=1,AI$196=1,$CX108=1),AI108,0))</f>
        <v>x</v>
      </c>
      <c r="AJ291" s="39" t="str">
        <f>IF(AJ108=-1,"x",IF(OR(AJ206=1,AJ$196=1,$CY108=1),AJ108,0))</f>
        <v>x</v>
      </c>
      <c r="AK291" s="41" t="str">
        <f>IF(AK108=-1,"x",IF(OR(AK206=1,AK$196=1,$CZ108=1),AK108,0))</f>
        <v>x</v>
      </c>
      <c r="AL291" s="40" t="str">
        <f>IF(AL108=-1,"x",IF(OR(AL206=1,AL$196=1,$CX108=1),AL108,0))</f>
        <v>x</v>
      </c>
      <c r="AM291" s="39" t="str">
        <f>IF(AM108=-1,"x",IF(OR(AM206=1,AM$196=1,$CY108=1),AM108,0))</f>
        <v>x</v>
      </c>
      <c r="AN291" s="95" t="str">
        <f>IF(AN108=-1,"x",IF(OR(AN206=1,AN$196=1,$CZ108=1),AN108,0))</f>
        <v>x</v>
      </c>
      <c r="AO291" s="94" t="str">
        <f>IF(AO108=-1,"x",IF(OR(AO206=1,AO$196=1,$CX108=1),AO108,0))</f>
        <v>x</v>
      </c>
      <c r="AP291" s="39" t="str">
        <f>IF(AP108=-1,"x",IF(OR(AP206=1,AP$196=1,$CY108=1),AP108,0))</f>
        <v>x</v>
      </c>
      <c r="AQ291" s="41" t="str">
        <f>IF(AQ108=-1,"x",IF(OR(AQ206=1,AQ$196=1,$CZ108=1),AQ108,0))</f>
        <v>x</v>
      </c>
      <c r="AR291" s="40" t="str">
        <f>IF(AR108=-1,"x",IF(OR(AR206=1,AR$196=1,$CX108=1),AR108,0))</f>
        <v>x</v>
      </c>
      <c r="AS291" s="39" t="str">
        <f>IF(AS108=-1,"x",IF(OR(AS206=1,AS$196=1,$CY108=1),AS108,0))</f>
        <v>x</v>
      </c>
      <c r="AT291" s="41" t="str">
        <f>IF(AT108=-1,"x",IF(OR(AT206=1,AT$196=1,$CZ108=1),AT108,0))</f>
        <v>x</v>
      </c>
      <c r="AU291" s="40" t="str">
        <f>IF(AU108=-1,"x",IF(OR(AU206=1,AU$196=1,$CX108=1),AU108,0))</f>
        <v>x</v>
      </c>
      <c r="AV291" s="39" t="str">
        <f>IF(AV108=-1,"x",IF(OR(AV206=1,AV$196=1,$CY108=1),AV108,0))</f>
        <v>x</v>
      </c>
      <c r="AW291" s="42" t="str">
        <f>IF(AW108=-1,"x",IF(OR(AW206=1,AW$196=1,$CZ108=1),AW108,0))</f>
        <v>x</v>
      </c>
      <c r="AX291" s="43">
        <f>IF(AX108=-1,"x",IF(OR(AX206=1,AX$196=1,$CX108=1),AX108,0))</f>
        <v>0</v>
      </c>
      <c r="AY291" s="39">
        <f>IF(AY108=-1,"x",IF(OR(AY206=1,AY$196=1,$CY108=1),AY108,0))</f>
        <v>0</v>
      </c>
      <c r="AZ291" s="41">
        <f>IF(AZ108=-1,"x",IF(OR(AZ206=1,AZ$196=1,$CZ108=1),AZ108,0))</f>
        <v>0</v>
      </c>
      <c r="BA291" s="40">
        <f>IF(BA108=-1,"x",IF(OR(BA206=1,BA$196=1,$CX108=1),BA108,0))</f>
        <v>0</v>
      </c>
      <c r="BB291" s="39">
        <f>IF(BB108=-1,"x",IF(OR(BB206=1,BB$196=1,$CY108=1),BB108,0))</f>
        <v>0</v>
      </c>
      <c r="BC291" s="41">
        <f>IF(BC108=-1,"x",IF(OR(BC206=1,BC$196=1,$CZ108=1),BC108,0))</f>
        <v>0</v>
      </c>
      <c r="BD291" s="40">
        <f>IF(BD108=-1,"x",IF(OR(BD206=1,BD$196=1,$CX108=1),BD108,0))</f>
        <v>0</v>
      </c>
      <c r="BE291" s="39">
        <f>IF(BE108=-1,"x",IF(OR(BE206=1,BE$196=1,$CY108=1),BE108,0))</f>
        <v>0</v>
      </c>
      <c r="BF291" s="42">
        <f>IF(BF108=-1,"x",IF(OR(BF206=1,BF$196=1,$CZ108=1),BF108,0))</f>
        <v>0</v>
      </c>
      <c r="BG291" s="43" t="str">
        <f>IF(BG108=-1,"x",IF(OR(BG206=1,BG$196=1,$CX108=1),BG108,0))</f>
        <v>x</v>
      </c>
      <c r="BH291" s="39" t="str">
        <f>IF(BH108=-1,"x",IF(OR(BH206=1,BH$196=1,$CY108=1),BH108,0))</f>
        <v>x</v>
      </c>
      <c r="BI291" s="41" t="str">
        <f>IF(BI108=-1,"x",IF(OR(BI206=1,BI$196=1,$CZ108=1),BI108,0))</f>
        <v>x</v>
      </c>
      <c r="BJ291" s="40" t="str">
        <f>IF(BJ108=-1,"x",IF(OR(BJ206=1,BJ$196=1,$CX108=1),BJ108,0))</f>
        <v>x</v>
      </c>
      <c r="BK291" s="39" t="str">
        <f>IF(BK108=-1,"x",IF(OR(BK206=1,BK$196=1,$CY108=1),BK108,0))</f>
        <v>x</v>
      </c>
      <c r="BL291" s="41" t="str">
        <f>IF(BL108=-1,"x",IF(OR(BL206=1,BL$196=1,$CZ108=1),BL108,0))</f>
        <v>x</v>
      </c>
      <c r="BM291" s="40" t="str">
        <f>IF(BM108=-1,"x",IF(OR(BM206=1,BM$196=1,$CX108=1),BM108,0))</f>
        <v>x</v>
      </c>
      <c r="BN291" s="39" t="str">
        <f>IF(BN108=-1,"x",IF(OR(BN206=1,BN$196=1,$CY108=1),BN108,0))</f>
        <v>x</v>
      </c>
      <c r="BO291" s="95" t="str">
        <f>IF(BO108=-1,"x",IF(OR(BO206=1,BO$196=1,$CZ108=1),BO108,0))</f>
        <v>x</v>
      </c>
      <c r="BP291" s="94" t="str">
        <f>IF(BP108=-1,"x",IF(OR(BP206=1,BP$196=1,$CX108=1),BP108,0))</f>
        <v>x</v>
      </c>
      <c r="BQ291" s="39" t="str">
        <f>IF(BQ108=-1,"x",IF(OR(BQ206=1,BQ$196=1,$CY108=1),BQ108,0))</f>
        <v>x</v>
      </c>
      <c r="BR291" s="41" t="str">
        <f>IF(BR108=-1,"x",IF(OR(BR206=1,BR$196=1,$CZ108=1),BR108,0))</f>
        <v>x</v>
      </c>
      <c r="BS291" s="40" t="str">
        <f>IF(BS108=-1,"x",IF(OR(BS206=1,BS$196=1,$CX108=1),BS108,0))</f>
        <v>x</v>
      </c>
      <c r="BT291" s="39" t="str">
        <f>IF(BT108=-1,"x",IF(OR(BT206=1,BT$196=1,$CY108=1),BT108,0))</f>
        <v>x</v>
      </c>
      <c r="BU291" s="41" t="str">
        <f>IF(BU108=-1,"x",IF(OR(BU206=1,BU$196=1,$CZ108=1),BU108,0))</f>
        <v>x</v>
      </c>
      <c r="BV291" s="40" t="str">
        <f>IF(BV108=-1,"x",IF(OR(BV206=1,BV$196=1,$CX108=1),BV108,0))</f>
        <v>x</v>
      </c>
      <c r="BW291" s="39" t="str">
        <f>IF(BW108=-1,"x",IF(OR(BW206=1,BW$196=1,$CY108=1),BW108,0))</f>
        <v>x</v>
      </c>
      <c r="BX291" s="42" t="str">
        <f>IF(BX108=-1,"x",IF(OR(BX206=1,BX$196=1,$CZ108=1),BX108,0))</f>
        <v>x</v>
      </c>
      <c r="BY291" s="43" t="str">
        <f>IF(BY108=-1,"x",IF(OR(BY206=1,BY$196=1,$CX108=1),BY108,0))</f>
        <v>x</v>
      </c>
      <c r="BZ291" s="39" t="str">
        <f>IF(BZ108=-1,"x",IF(OR(BZ206=1,BZ$196=1,$CY108=1),BZ108,0))</f>
        <v>x</v>
      </c>
      <c r="CA291" s="41" t="str">
        <f>IF(CA108=-1,"x",IF(OR(CA206=1,CA$196=1,$CZ108=1),CA108,0))</f>
        <v>x</v>
      </c>
      <c r="CB291" s="40" t="str">
        <f>IF(CB108=-1,"x",IF(OR(CB206=1,CB$196=1,$CX108=1),CB108,0))</f>
        <v>x</v>
      </c>
      <c r="CC291" s="39" t="str">
        <f>IF(CC108=-1,"x",IF(OR(CC206=1,CC$196=1,$CY108=1),CC108,0))</f>
        <v>x</v>
      </c>
      <c r="CD291" s="41" t="str">
        <f>IF(CD108=-1,"x",IF(OR(CD206=1,CD$196=1,$CZ108=1),CD108,0))</f>
        <v>x</v>
      </c>
      <c r="CE291" s="40" t="str">
        <f>IF(CE108=-1,"x",IF(OR(CE206=1,CE$196=1,$CX108=1),CE108,0))</f>
        <v>x</v>
      </c>
      <c r="CF291" s="39" t="str">
        <f>IF(CF108=-1,"x",IF(OR(CF206=1,CF$196=1,$CY108=1),CF108,0))</f>
        <v>x</v>
      </c>
      <c r="CG291" s="42" t="str">
        <f>IF(CG108=-1,"x",IF(OR(CG206=1,CG$196=1,$CZ108=1),CG108,0))</f>
        <v>x</v>
      </c>
      <c r="CH291" s="43" t="str">
        <f>IF(CH108=-1,"x",IF(OR(CH206=1,CH$196=1,$CX108=1),CH108,0))</f>
        <v>x</v>
      </c>
      <c r="CI291" s="39" t="str">
        <f>IF(CI108=-1,"x",IF(OR(CI206=1,CI$196=1,$CY108=1),CI108,0))</f>
        <v>x</v>
      </c>
      <c r="CJ291" s="41" t="str">
        <f>IF(CJ108=-1,"x",IF(OR(CJ206=1,CJ$196=1,$CZ108=1),CJ108,0))</f>
        <v>x</v>
      </c>
      <c r="CK291" s="40">
        <f>IF(CK108=-1,"x",IF(OR(CK206=1,CK$196=1,$CX108=1),CK108,0))</f>
        <v>0</v>
      </c>
      <c r="CL291" s="39">
        <f>IF(CL108=-1,"x",IF(OR(CL206=1,CL$196=1,$CY108=1),CL108,0))</f>
        <v>0</v>
      </c>
      <c r="CM291" s="41">
        <f>IF(CM108=-1,"x",IF(OR(CM206=1,CM$196=1,$CZ108=1),CM108,0))</f>
        <v>0</v>
      </c>
      <c r="CN291" s="40" t="str">
        <f>IF(CN108=-1,"x",IF(OR(CN206=1,CN$196=1,$CX108=1),CN108,0))</f>
        <v>x</v>
      </c>
      <c r="CO291" s="39" t="str">
        <f>IF(CO108=-1,"x",IF(OR(CO206=1,CO$196=1,$CY108=1),CO108,0))</f>
        <v>x</v>
      </c>
      <c r="CP291" s="95" t="str">
        <f>IF(CP108=-1,"x",IF(OR(CP206=1,CP$196=1,$CZ108=1),CP108,0))</f>
        <v>x</v>
      </c>
      <c r="DJ291" s="116">
        <f t="shared" ref="DJ291:FU291" si="991">DJ288</f>
        <v>0</v>
      </c>
      <c r="DK291" s="116">
        <f t="shared" si="991"/>
        <v>1</v>
      </c>
      <c r="DL291" s="116">
        <f t="shared" si="991"/>
        <v>0</v>
      </c>
      <c r="DM291" s="116">
        <f t="shared" si="991"/>
        <v>0</v>
      </c>
      <c r="DN291" s="116">
        <f t="shared" si="991"/>
        <v>1</v>
      </c>
      <c r="DO291" s="116">
        <f t="shared" si="991"/>
        <v>0</v>
      </c>
      <c r="DP291" s="116">
        <f t="shared" si="991"/>
        <v>0</v>
      </c>
      <c r="DQ291" s="116">
        <f t="shared" si="991"/>
        <v>1</v>
      </c>
      <c r="DR291" s="116">
        <f t="shared" si="991"/>
        <v>0</v>
      </c>
      <c r="DS291" s="116">
        <f t="shared" si="991"/>
        <v>0</v>
      </c>
      <c r="DT291" s="116">
        <f t="shared" si="991"/>
        <v>1</v>
      </c>
      <c r="DU291" s="116">
        <f t="shared" si="991"/>
        <v>0</v>
      </c>
      <c r="DV291" s="116">
        <f t="shared" si="991"/>
        <v>0</v>
      </c>
      <c r="DW291" s="116">
        <f t="shared" si="991"/>
        <v>1</v>
      </c>
      <c r="DX291" s="116">
        <f t="shared" si="991"/>
        <v>0</v>
      </c>
      <c r="DY291" s="116">
        <f t="shared" si="991"/>
        <v>0</v>
      </c>
      <c r="DZ291" s="116">
        <f t="shared" si="991"/>
        <v>1</v>
      </c>
      <c r="EA291" s="116">
        <f t="shared" si="991"/>
        <v>0</v>
      </c>
      <c r="EB291" s="116">
        <f t="shared" si="991"/>
        <v>0</v>
      </c>
      <c r="EC291" s="116">
        <f t="shared" si="991"/>
        <v>1</v>
      </c>
      <c r="ED291" s="116">
        <f t="shared" si="991"/>
        <v>0</v>
      </c>
      <c r="EE291" s="116">
        <f t="shared" si="991"/>
        <v>0</v>
      </c>
      <c r="EF291" s="116">
        <f t="shared" si="991"/>
        <v>1</v>
      </c>
      <c r="EG291" s="116">
        <f t="shared" si="991"/>
        <v>0</v>
      </c>
      <c r="EH291" s="116">
        <f t="shared" si="991"/>
        <v>0</v>
      </c>
      <c r="EI291" s="116">
        <f t="shared" si="991"/>
        <v>1</v>
      </c>
      <c r="EJ291" s="116">
        <f t="shared" si="991"/>
        <v>0</v>
      </c>
      <c r="EK291" s="116">
        <f t="shared" si="991"/>
        <v>1</v>
      </c>
      <c r="EL291" s="116">
        <f t="shared" si="991"/>
        <v>2</v>
      </c>
      <c r="EM291" s="116">
        <f t="shared" si="991"/>
        <v>0</v>
      </c>
      <c r="EN291" s="116">
        <f t="shared" si="991"/>
        <v>1</v>
      </c>
      <c r="EO291" s="116">
        <f t="shared" si="991"/>
        <v>2</v>
      </c>
      <c r="EP291" s="116">
        <f t="shared" si="991"/>
        <v>0</v>
      </c>
      <c r="EQ291" s="116">
        <f t="shared" si="991"/>
        <v>1</v>
      </c>
      <c r="ER291" s="116">
        <f t="shared" si="991"/>
        <v>2</v>
      </c>
      <c r="ES291" s="116">
        <f t="shared" si="991"/>
        <v>0</v>
      </c>
      <c r="ET291" s="116">
        <f t="shared" si="991"/>
        <v>1</v>
      </c>
      <c r="EU291" s="116">
        <f t="shared" si="991"/>
        <v>2</v>
      </c>
      <c r="EV291" s="116">
        <f t="shared" si="991"/>
        <v>0</v>
      </c>
      <c r="EW291" s="116">
        <f t="shared" si="991"/>
        <v>1</v>
      </c>
      <c r="EX291" s="116">
        <f t="shared" si="991"/>
        <v>2</v>
      </c>
      <c r="EY291" s="116">
        <f t="shared" si="991"/>
        <v>0</v>
      </c>
      <c r="EZ291" s="116">
        <f t="shared" si="991"/>
        <v>1</v>
      </c>
      <c r="FA291" s="116">
        <f t="shared" si="991"/>
        <v>2</v>
      </c>
      <c r="FB291" s="116">
        <f t="shared" si="991"/>
        <v>0</v>
      </c>
      <c r="FC291" s="116">
        <f t="shared" si="991"/>
        <v>1</v>
      </c>
      <c r="FD291" s="116">
        <f t="shared" si="991"/>
        <v>2</v>
      </c>
      <c r="FE291" s="116">
        <f t="shared" si="991"/>
        <v>0</v>
      </c>
      <c r="FF291" s="116">
        <f t="shared" si="991"/>
        <v>1</v>
      </c>
      <c r="FG291" s="116">
        <f t="shared" si="991"/>
        <v>2</v>
      </c>
      <c r="FH291" s="116">
        <f t="shared" si="991"/>
        <v>0</v>
      </c>
      <c r="FI291" s="116">
        <f t="shared" si="991"/>
        <v>1</v>
      </c>
      <c r="FJ291" s="116">
        <f t="shared" si="991"/>
        <v>2</v>
      </c>
      <c r="FK291" s="116">
        <f t="shared" si="991"/>
        <v>0</v>
      </c>
      <c r="FL291" s="116">
        <f t="shared" si="991"/>
        <v>1</v>
      </c>
      <c r="FM291" s="116">
        <f t="shared" si="991"/>
        <v>3</v>
      </c>
      <c r="FN291" s="116">
        <f t="shared" si="991"/>
        <v>0</v>
      </c>
      <c r="FO291" s="116">
        <f t="shared" si="991"/>
        <v>1</v>
      </c>
      <c r="FP291" s="116">
        <f t="shared" si="991"/>
        <v>3</v>
      </c>
      <c r="FQ291" s="116">
        <f t="shared" si="991"/>
        <v>0</v>
      </c>
      <c r="FR291" s="116">
        <f t="shared" si="991"/>
        <v>1</v>
      </c>
      <c r="FS291" s="116">
        <f t="shared" si="991"/>
        <v>3</v>
      </c>
      <c r="FT291" s="116">
        <f t="shared" si="991"/>
        <v>0</v>
      </c>
      <c r="FU291" s="116">
        <f t="shared" si="991"/>
        <v>1</v>
      </c>
      <c r="FV291" s="116">
        <f t="shared" ref="FV291:GL291" si="992">FV288</f>
        <v>3</v>
      </c>
      <c r="FW291" s="116">
        <f t="shared" si="992"/>
        <v>0</v>
      </c>
      <c r="FX291" s="116">
        <f t="shared" si="992"/>
        <v>1</v>
      </c>
      <c r="FY291" s="116">
        <f t="shared" si="992"/>
        <v>3</v>
      </c>
      <c r="FZ291" s="116">
        <f t="shared" si="992"/>
        <v>0</v>
      </c>
      <c r="GA291" s="116">
        <f t="shared" si="992"/>
        <v>1</v>
      </c>
      <c r="GB291" s="116">
        <f t="shared" si="992"/>
        <v>3</v>
      </c>
      <c r="GC291" s="116">
        <f t="shared" si="992"/>
        <v>0</v>
      </c>
      <c r="GD291" s="116">
        <f t="shared" si="992"/>
        <v>1</v>
      </c>
      <c r="GE291" s="116">
        <f t="shared" si="992"/>
        <v>3</v>
      </c>
      <c r="GF291" s="116">
        <f t="shared" si="992"/>
        <v>0</v>
      </c>
      <c r="GG291" s="116">
        <f t="shared" si="992"/>
        <v>1</v>
      </c>
      <c r="GH291" s="116">
        <f t="shared" si="992"/>
        <v>3</v>
      </c>
      <c r="GI291" s="116">
        <f t="shared" si="992"/>
        <v>0</v>
      </c>
      <c r="GJ291" s="116">
        <f t="shared" si="992"/>
        <v>1</v>
      </c>
      <c r="GK291" s="116">
        <f t="shared" si="992"/>
        <v>3</v>
      </c>
      <c r="GL291" s="116">
        <f t="shared" si="992"/>
        <v>0</v>
      </c>
    </row>
    <row r="292" spans="14:194" ht="15" customHeight="1">
      <c r="N292" s="99">
        <f>IF(N109=-1,"x",IF(OR(N207=1,N$197=1,$CX109=1),N109,0))</f>
        <v>0</v>
      </c>
      <c r="O292" s="45">
        <f>IF(O109=-1,"x",IF(OR(O207=1,O$197=1,$CY109=1),O109,0))</f>
        <v>0</v>
      </c>
      <c r="P292" s="47">
        <f>IF(P109=-1,"x",IF(OR(P207=1,P$197=1,$CZ109=1),P109,0))</f>
        <v>0</v>
      </c>
      <c r="Q292" s="46">
        <f>IF(Q109=-1,"x",IF(OR(Q207=1,Q$197=1,$CX109=1),Q109,0))</f>
        <v>0</v>
      </c>
      <c r="R292" s="45">
        <f>IF(R109=-1,"x",IF(OR(R207=1,R$197=1,$CY109=1),R109,0))</f>
        <v>0</v>
      </c>
      <c r="S292" s="47">
        <f>IF(S109=-1,"x",IF(OR(S207=1,S$197=1,$CZ109=1),S109,0))</f>
        <v>0</v>
      </c>
      <c r="T292" s="46">
        <f>IF(T109=-1,"x",IF(OR(T207=1,T$197=1,$CX109=1),T109,0))</f>
        <v>0</v>
      </c>
      <c r="U292" s="45">
        <f>IF(U109=-1,"x",IF(OR(U207=1,U$197=1,$CY109=1),U109,0))</f>
        <v>0</v>
      </c>
      <c r="V292" s="48">
        <f>IF(V109=-1,"x",IF(OR(V207=1,V$197=1,$CZ109=1),V109,0))</f>
        <v>0</v>
      </c>
      <c r="W292" s="44" t="str">
        <f>IF(W109=-1,"x",IF(OR(W207=1,W$197=1,$CX109=1),W109,0))</f>
        <v>x</v>
      </c>
      <c r="X292" s="45" t="str">
        <f>IF(X109=-1,"x",IF(OR(X207=1,X$197=1,$CY109=1),X109,0))</f>
        <v>x</v>
      </c>
      <c r="Y292" s="47" t="str">
        <f>IF(Y109=-1,"x",IF(OR(Y207=1,Y$197=1,$CZ109=1),Y109,0))</f>
        <v>x</v>
      </c>
      <c r="Z292" s="46" t="str">
        <f>IF(Z109=-1,"x",IF(OR(Z207=1,Z$197=1,$CX109=1),Z109,0))</f>
        <v>x</v>
      </c>
      <c r="AA292" s="45" t="str">
        <f>IF(AA109=-1,"x",IF(OR(AA207=1,AA$197=1,$CY109=1),AA109,0))</f>
        <v>x</v>
      </c>
      <c r="AB292" s="47" t="str">
        <f>IF(AB109=-1,"x",IF(OR(AB207=1,AB$197=1,$CZ109=1),AB109,0))</f>
        <v>x</v>
      </c>
      <c r="AC292" s="46" t="str">
        <f>IF(AC109=-1,"x",IF(OR(AC207=1,AC$197=1,$CX109=1),AC109,0))</f>
        <v>x</v>
      </c>
      <c r="AD292" s="45" t="str">
        <f>IF(AD109=-1,"x",IF(OR(AD207=1,AD$197=1,$CY109=1),AD109,0))</f>
        <v>x</v>
      </c>
      <c r="AE292" s="48" t="str">
        <f>IF(AE109=-1,"x",IF(OR(AE207=1,AE$197=1,$CZ109=1),AE109,0))</f>
        <v>x</v>
      </c>
      <c r="AF292" s="44" t="str">
        <f>IF(AF109=-1,"x",IF(OR(AF207=1,AF$197=1,$CX109=1),AF109,0))</f>
        <v>x</v>
      </c>
      <c r="AG292" s="45" t="str">
        <f>IF(AG109=-1,"x",IF(OR(AG207=1,AG$197=1,$CY109=1),AG109,0))</f>
        <v>x</v>
      </c>
      <c r="AH292" s="47" t="str">
        <f>IF(AH109=-1,"x",IF(OR(AH207=1,AH$197=1,$CZ109=1),AH109,0))</f>
        <v>x</v>
      </c>
      <c r="AI292" s="46" t="str">
        <f>IF(AI109=-1,"x",IF(OR(AI207=1,AI$197=1,$CX109=1),AI109,0))</f>
        <v>x</v>
      </c>
      <c r="AJ292" s="45" t="str">
        <f>IF(AJ109=-1,"x",IF(OR(AJ207=1,AJ$197=1,$CY109=1),AJ109,0))</f>
        <v>x</v>
      </c>
      <c r="AK292" s="47" t="str">
        <f>IF(AK109=-1,"x",IF(OR(AK207=1,AK$197=1,$CZ109=1),AK109,0))</f>
        <v>x</v>
      </c>
      <c r="AL292" s="46" t="str">
        <f>IF(AL109=-1,"x",IF(OR(AL207=1,AL$197=1,$CX109=1),AL109,0))</f>
        <v>x</v>
      </c>
      <c r="AM292" s="45" t="str">
        <f>IF(AM109=-1,"x",IF(OR(AM207=1,AM$197=1,$CY109=1),AM109,0))</f>
        <v>x</v>
      </c>
      <c r="AN292" s="100" t="str">
        <f>IF(AN109=-1,"x",IF(OR(AN207=1,AN$197=1,$CZ109=1),AN109,0))</f>
        <v>x</v>
      </c>
      <c r="AO292" s="99" t="str">
        <f>IF(AO109=-1,"x",IF(OR(AO207=1,AO$197=1,$CX109=1),AO109,0))</f>
        <v>x</v>
      </c>
      <c r="AP292" s="45" t="str">
        <f>IF(AP109=-1,"x",IF(OR(AP207=1,AP$197=1,$CY109=1),AP109,0))</f>
        <v>x</v>
      </c>
      <c r="AQ292" s="47" t="str">
        <f>IF(AQ109=-1,"x",IF(OR(AQ207=1,AQ$197=1,$CZ109=1),AQ109,0))</f>
        <v>x</v>
      </c>
      <c r="AR292" s="46" t="str">
        <f>IF(AR109=-1,"x",IF(OR(AR207=1,AR$197=1,$CX109=1),AR109,0))</f>
        <v>x</v>
      </c>
      <c r="AS292" s="45" t="str">
        <f>IF(AS109=-1,"x",IF(OR(AS207=1,AS$197=1,$CY109=1),AS109,0))</f>
        <v>x</v>
      </c>
      <c r="AT292" s="47" t="str">
        <f>IF(AT109=-1,"x",IF(OR(AT207=1,AT$197=1,$CZ109=1),AT109,0))</f>
        <v>x</v>
      </c>
      <c r="AU292" s="46" t="str">
        <f>IF(AU109=-1,"x",IF(OR(AU207=1,AU$197=1,$CX109=1),AU109,0))</f>
        <v>x</v>
      </c>
      <c r="AV292" s="45" t="str">
        <f>IF(AV109=-1,"x",IF(OR(AV207=1,AV$197=1,$CY109=1),AV109,0))</f>
        <v>x</v>
      </c>
      <c r="AW292" s="48" t="str">
        <f>IF(AW109=-1,"x",IF(OR(AW207=1,AW$197=1,$CZ109=1),AW109,0))</f>
        <v>x</v>
      </c>
      <c r="AX292" s="44">
        <f>IF(AX109=-1,"x",IF(OR(AX207=1,AX$197=1,$CX109=1),AX109,0))</f>
        <v>0</v>
      </c>
      <c r="AY292" s="45">
        <f>IF(AY109=-1,"x",IF(OR(AY207=1,AY$197=1,$CY109=1),AY109,0))</f>
        <v>0</v>
      </c>
      <c r="AZ292" s="47">
        <f>IF(AZ109=-1,"x",IF(OR(AZ207=1,AZ$197=1,$CZ109=1),AZ109,0))</f>
        <v>0</v>
      </c>
      <c r="BA292" s="46">
        <f>IF(BA109=-1,"x",IF(OR(BA207=1,BA$197=1,$CX109=1),BA109,0))</f>
        <v>0</v>
      </c>
      <c r="BB292" s="45">
        <f>IF(BB109=-1,"x",IF(OR(BB207=1,BB$197=1,$CY109=1),BB109,0))</f>
        <v>0</v>
      </c>
      <c r="BC292" s="47">
        <f>IF(BC109=-1,"x",IF(OR(BC207=1,BC$197=1,$CZ109=1),BC109,0))</f>
        <v>0</v>
      </c>
      <c r="BD292" s="46">
        <f>IF(BD109=-1,"x",IF(OR(BD207=1,BD$197=1,$CX109=1),BD109,0))</f>
        <v>0</v>
      </c>
      <c r="BE292" s="45">
        <f>IF(BE109=-1,"x",IF(OR(BE207=1,BE$197=1,$CY109=1),BE109,0))</f>
        <v>0</v>
      </c>
      <c r="BF292" s="48">
        <f>IF(BF109=-1,"x",IF(OR(BF207=1,BF$197=1,$CZ109=1),BF109,0))</f>
        <v>0</v>
      </c>
      <c r="BG292" s="44" t="str">
        <f>IF(BG109=-1,"x",IF(OR(BG207=1,BG$197=1,$CX109=1),BG109,0))</f>
        <v>x</v>
      </c>
      <c r="BH292" s="45" t="str">
        <f>IF(BH109=-1,"x",IF(OR(BH207=1,BH$197=1,$CY109=1),BH109,0))</f>
        <v>x</v>
      </c>
      <c r="BI292" s="47" t="str">
        <f>IF(BI109=-1,"x",IF(OR(BI207=1,BI$197=1,$CZ109=1),BI109,0))</f>
        <v>x</v>
      </c>
      <c r="BJ292" s="46" t="str">
        <f>IF(BJ109=-1,"x",IF(OR(BJ207=1,BJ$197=1,$CX109=1),BJ109,0))</f>
        <v>x</v>
      </c>
      <c r="BK292" s="45" t="str">
        <f>IF(BK109=-1,"x",IF(OR(BK207=1,BK$197=1,$CY109=1),BK109,0))</f>
        <v>x</v>
      </c>
      <c r="BL292" s="47" t="str">
        <f>IF(BL109=-1,"x",IF(OR(BL207=1,BL$197=1,$CZ109=1),BL109,0))</f>
        <v>x</v>
      </c>
      <c r="BM292" s="46" t="str">
        <f>IF(BM109=-1,"x",IF(OR(BM207=1,BM$197=1,$CX109=1),BM109,0))</f>
        <v>x</v>
      </c>
      <c r="BN292" s="45" t="str">
        <f>IF(BN109=-1,"x",IF(OR(BN207=1,BN$197=1,$CY109=1),BN109,0))</f>
        <v>x</v>
      </c>
      <c r="BO292" s="100" t="str">
        <f>IF(BO109=-1,"x",IF(OR(BO207=1,BO$197=1,$CZ109=1),BO109,0))</f>
        <v>x</v>
      </c>
      <c r="BP292" s="99" t="str">
        <f>IF(BP109=-1,"x",IF(OR(BP207=1,BP$197=1,$CX109=1),BP109,0))</f>
        <v>x</v>
      </c>
      <c r="BQ292" s="45" t="str">
        <f>IF(BQ109=-1,"x",IF(OR(BQ207=1,BQ$197=1,$CY109=1),BQ109,0))</f>
        <v>x</v>
      </c>
      <c r="BR292" s="47" t="str">
        <f>IF(BR109=-1,"x",IF(OR(BR207=1,BR$197=1,$CZ109=1),BR109,0))</f>
        <v>x</v>
      </c>
      <c r="BS292" s="46" t="str">
        <f>IF(BS109=-1,"x",IF(OR(BS207=1,BS$197=1,$CX109=1),BS109,0))</f>
        <v>x</v>
      </c>
      <c r="BT292" s="45" t="str">
        <f>IF(BT109=-1,"x",IF(OR(BT207=1,BT$197=1,$CY109=1),BT109,0))</f>
        <v>x</v>
      </c>
      <c r="BU292" s="47" t="str">
        <f>IF(BU109=-1,"x",IF(OR(BU207=1,BU$197=1,$CZ109=1),BU109,0))</f>
        <v>x</v>
      </c>
      <c r="BV292" s="46" t="str">
        <f>IF(BV109=-1,"x",IF(OR(BV207=1,BV$197=1,$CX109=1),BV109,0))</f>
        <v>x</v>
      </c>
      <c r="BW292" s="45" t="str">
        <f>IF(BW109=-1,"x",IF(OR(BW207=1,BW$197=1,$CY109=1),BW109,0))</f>
        <v>x</v>
      </c>
      <c r="BX292" s="48" t="str">
        <f>IF(BX109=-1,"x",IF(OR(BX207=1,BX$197=1,$CZ109=1),BX109,0))</f>
        <v>x</v>
      </c>
      <c r="BY292" s="44" t="str">
        <f>IF(BY109=-1,"x",IF(OR(BY207=1,BY$197=1,$CX109=1),BY109,0))</f>
        <v>x</v>
      </c>
      <c r="BZ292" s="45" t="str">
        <f>IF(BZ109=-1,"x",IF(OR(BZ207=1,BZ$197=1,$CY109=1),BZ109,0))</f>
        <v>x</v>
      </c>
      <c r="CA292" s="47" t="str">
        <f>IF(CA109=-1,"x",IF(OR(CA207=1,CA$197=1,$CZ109=1),CA109,0))</f>
        <v>x</v>
      </c>
      <c r="CB292" s="46" t="str">
        <f>IF(CB109=-1,"x",IF(OR(CB207=1,CB$197=1,$CX109=1),CB109,0))</f>
        <v>x</v>
      </c>
      <c r="CC292" s="45" t="str">
        <f>IF(CC109=-1,"x",IF(OR(CC207=1,CC$197=1,$CY109=1),CC109,0))</f>
        <v>x</v>
      </c>
      <c r="CD292" s="47" t="str">
        <f>IF(CD109=-1,"x",IF(OR(CD207=1,CD$197=1,$CZ109=1),CD109,0))</f>
        <v>x</v>
      </c>
      <c r="CE292" s="46" t="str">
        <f>IF(CE109=-1,"x",IF(OR(CE207=1,CE$197=1,$CX109=1),CE109,0))</f>
        <v>x</v>
      </c>
      <c r="CF292" s="45" t="str">
        <f>IF(CF109=-1,"x",IF(OR(CF207=1,CF$197=1,$CY109=1),CF109,0))</f>
        <v>x</v>
      </c>
      <c r="CG292" s="48" t="str">
        <f>IF(CG109=-1,"x",IF(OR(CG207=1,CG$197=1,$CZ109=1),CG109,0))</f>
        <v>x</v>
      </c>
      <c r="CH292" s="44" t="str">
        <f>IF(CH109=-1,"x",IF(OR(CH207=1,CH$197=1,$CX109=1),CH109,0))</f>
        <v>x</v>
      </c>
      <c r="CI292" s="45" t="str">
        <f>IF(CI109=-1,"x",IF(OR(CI207=1,CI$197=1,$CY109=1),CI109,0))</f>
        <v>x</v>
      </c>
      <c r="CJ292" s="47" t="str">
        <f>IF(CJ109=-1,"x",IF(OR(CJ207=1,CJ$197=1,$CZ109=1),CJ109,0))</f>
        <v>x</v>
      </c>
      <c r="CK292" s="46">
        <f>IF(CK109=-1,"x",IF(OR(CK207=1,CK$197=1,$CX109=1),CK109,0))</f>
        <v>0</v>
      </c>
      <c r="CL292" s="45">
        <f>IF(CL109=-1,"x",IF(OR(CL207=1,CL$197=1,$CY109=1),CL109,0))</f>
        <v>0</v>
      </c>
      <c r="CM292" s="47">
        <f>IF(CM109=-1,"x",IF(OR(CM207=1,CM$197=1,$CZ109=1),CM109,0))</f>
        <v>0</v>
      </c>
      <c r="CN292" s="46" t="str">
        <f>IF(CN109=-1,"x",IF(OR(CN207=1,CN$197=1,$CX109=1),CN109,0))</f>
        <v>x</v>
      </c>
      <c r="CO292" s="45" t="str">
        <f>IF(CO109=-1,"x",IF(OR(CO207=1,CO$197=1,$CY109=1),CO109,0))</f>
        <v>x</v>
      </c>
      <c r="CP292" s="100" t="str">
        <f>IF(CP109=-1,"x",IF(OR(CP207=1,CP$197=1,$CZ109=1),CP109,0))</f>
        <v>x</v>
      </c>
      <c r="DJ292" s="119">
        <f>COUNTIF(DJ194:EJ220,1)</f>
        <v>6</v>
      </c>
      <c r="DK292" s="120">
        <f>COUNTIF(DJ194:EJ220,2)</f>
        <v>0</v>
      </c>
      <c r="DL292" s="121">
        <f>COUNTIF(DJ194:EJ220,3)</f>
        <v>2</v>
      </c>
      <c r="DM292" s="116">
        <f>DJ292</f>
        <v>6</v>
      </c>
      <c r="DN292" s="116">
        <f t="shared" ref="DN292:DN294" si="993">DK292</f>
        <v>0</v>
      </c>
      <c r="DO292" s="116">
        <f t="shared" ref="DO292:DO294" si="994">DL292</f>
        <v>2</v>
      </c>
      <c r="DP292" s="116">
        <f t="shared" ref="DP292:DP294" si="995">DM292</f>
        <v>6</v>
      </c>
      <c r="DQ292" s="116">
        <f t="shared" ref="DQ292:DQ294" si="996">DN292</f>
        <v>0</v>
      </c>
      <c r="DR292" s="116">
        <f t="shared" ref="DR292:DR294" si="997">DO292</f>
        <v>2</v>
      </c>
      <c r="DS292" s="116">
        <f t="shared" ref="DS292:DS294" si="998">DP292</f>
        <v>6</v>
      </c>
      <c r="DT292" s="116">
        <f t="shared" ref="DT292:DT294" si="999">DQ292</f>
        <v>0</v>
      </c>
      <c r="DU292" s="116">
        <f t="shared" ref="DU292:DU294" si="1000">DR292</f>
        <v>2</v>
      </c>
      <c r="DV292" s="116">
        <f t="shared" ref="DV292:DV294" si="1001">DS292</f>
        <v>6</v>
      </c>
      <c r="DW292" s="116">
        <f t="shared" ref="DW292:DW294" si="1002">DT292</f>
        <v>0</v>
      </c>
      <c r="DX292" s="116">
        <f t="shared" ref="DX292:DX294" si="1003">DU292</f>
        <v>2</v>
      </c>
      <c r="DY292" s="116">
        <f t="shared" ref="DY292:DY294" si="1004">DV292</f>
        <v>6</v>
      </c>
      <c r="DZ292" s="116">
        <f t="shared" ref="DZ292:DZ294" si="1005">DW292</f>
        <v>0</v>
      </c>
      <c r="EA292" s="116">
        <f t="shared" ref="EA292:EA294" si="1006">DX292</f>
        <v>2</v>
      </c>
      <c r="EB292" s="116">
        <f t="shared" ref="EB292:EB294" si="1007">DY292</f>
        <v>6</v>
      </c>
      <c r="EC292" s="116">
        <f t="shared" ref="EC292:EC294" si="1008">DZ292</f>
        <v>0</v>
      </c>
      <c r="ED292" s="116">
        <f t="shared" ref="ED292:ED294" si="1009">EA292</f>
        <v>2</v>
      </c>
      <c r="EE292" s="116">
        <f t="shared" ref="EE292:EE294" si="1010">EB292</f>
        <v>6</v>
      </c>
      <c r="EF292" s="116">
        <f t="shared" ref="EF292:EF294" si="1011">EC292</f>
        <v>0</v>
      </c>
      <c r="EG292" s="116">
        <f t="shared" ref="EG292:EG294" si="1012">ED292</f>
        <v>2</v>
      </c>
      <c r="EH292" s="116">
        <f t="shared" ref="EH292:EH294" si="1013">EE292</f>
        <v>6</v>
      </c>
      <c r="EI292" s="116">
        <f t="shared" ref="EI292:EI294" si="1014">EF292</f>
        <v>0</v>
      </c>
      <c r="EJ292" s="116">
        <f t="shared" ref="EJ292:EJ294" si="1015">EG292</f>
        <v>2</v>
      </c>
      <c r="EK292" s="119">
        <f>COUNTIF(EK194:FK220,1)</f>
        <v>2</v>
      </c>
      <c r="EL292" s="120">
        <f>COUNTIF(EK194:FK220,2)</f>
        <v>0</v>
      </c>
      <c r="EM292" s="121">
        <f>COUNTIF(EK194:FK220,3)</f>
        <v>2</v>
      </c>
      <c r="EN292" s="116">
        <f>EK292</f>
        <v>2</v>
      </c>
      <c r="EO292" s="116">
        <f t="shared" ref="EO292:EO294" si="1016">EL292</f>
        <v>0</v>
      </c>
      <c r="EP292" s="116">
        <f t="shared" ref="EP292:EP294" si="1017">EM292</f>
        <v>2</v>
      </c>
      <c r="EQ292" s="116">
        <f t="shared" ref="EQ292:EQ294" si="1018">EN292</f>
        <v>2</v>
      </c>
      <c r="ER292" s="116">
        <f t="shared" ref="ER292:ER294" si="1019">EO292</f>
        <v>0</v>
      </c>
      <c r="ES292" s="116">
        <f t="shared" ref="ES292:ES294" si="1020">EP292</f>
        <v>2</v>
      </c>
      <c r="ET292" s="116">
        <f t="shared" ref="ET292:ET294" si="1021">EQ292</f>
        <v>2</v>
      </c>
      <c r="EU292" s="116">
        <f t="shared" ref="EU292:EU294" si="1022">ER292</f>
        <v>0</v>
      </c>
      <c r="EV292" s="116">
        <f t="shared" ref="EV292:EV294" si="1023">ES292</f>
        <v>2</v>
      </c>
      <c r="EW292" s="116">
        <f t="shared" ref="EW292:EW294" si="1024">ET292</f>
        <v>2</v>
      </c>
      <c r="EX292" s="116">
        <f t="shared" ref="EX292:EX294" si="1025">EU292</f>
        <v>0</v>
      </c>
      <c r="EY292" s="116">
        <f t="shared" ref="EY292:EY294" si="1026">EV292</f>
        <v>2</v>
      </c>
      <c r="EZ292" s="116">
        <f t="shared" ref="EZ292:EZ294" si="1027">EW292</f>
        <v>2</v>
      </c>
      <c r="FA292" s="116">
        <f t="shared" ref="FA292:FA294" si="1028">EX292</f>
        <v>0</v>
      </c>
      <c r="FB292" s="116">
        <f t="shared" ref="FB292:FB294" si="1029">EY292</f>
        <v>2</v>
      </c>
      <c r="FC292" s="116">
        <f t="shared" ref="FC292:FC294" si="1030">EZ292</f>
        <v>2</v>
      </c>
      <c r="FD292" s="116">
        <f t="shared" ref="FD292:FD294" si="1031">FA292</f>
        <v>0</v>
      </c>
      <c r="FE292" s="116">
        <f t="shared" ref="FE292:FE294" si="1032">FB292</f>
        <v>2</v>
      </c>
      <c r="FF292" s="116">
        <f t="shared" ref="FF292:FF294" si="1033">FC292</f>
        <v>2</v>
      </c>
      <c r="FG292" s="116">
        <f t="shared" ref="FG292:FG294" si="1034">FD292</f>
        <v>0</v>
      </c>
      <c r="FH292" s="116">
        <f t="shared" ref="FH292:FH294" si="1035">FE292</f>
        <v>2</v>
      </c>
      <c r="FI292" s="116">
        <f t="shared" ref="FI292:FI294" si="1036">FF292</f>
        <v>2</v>
      </c>
      <c r="FJ292" s="116">
        <f t="shared" ref="FJ292:FJ294" si="1037">FG292</f>
        <v>0</v>
      </c>
      <c r="FK292" s="116">
        <f t="shared" ref="FK292:FK294" si="1038">FH292</f>
        <v>2</v>
      </c>
      <c r="FL292" s="119">
        <f>COUNTIF(FL194:GL220,1)</f>
        <v>5</v>
      </c>
      <c r="FM292" s="120">
        <f>COUNTIF(FL194:GL220,2)</f>
        <v>3</v>
      </c>
      <c r="FN292" s="121">
        <f>COUNTIF(FL194:GL220,3)</f>
        <v>7</v>
      </c>
      <c r="FO292" s="116">
        <f>FL292</f>
        <v>5</v>
      </c>
      <c r="FP292" s="116">
        <f t="shared" ref="FP292:FP294" si="1039">FM292</f>
        <v>3</v>
      </c>
      <c r="FQ292" s="116">
        <f t="shared" ref="FQ292:FQ294" si="1040">FN292</f>
        <v>7</v>
      </c>
      <c r="FR292" s="116">
        <f t="shared" ref="FR292:FR294" si="1041">FO292</f>
        <v>5</v>
      </c>
      <c r="FS292" s="116">
        <f t="shared" ref="FS292:FS294" si="1042">FP292</f>
        <v>3</v>
      </c>
      <c r="FT292" s="116">
        <f t="shared" ref="FT292:FT294" si="1043">FQ292</f>
        <v>7</v>
      </c>
      <c r="FU292" s="116">
        <f t="shared" ref="FU292:FU294" si="1044">FR292</f>
        <v>5</v>
      </c>
      <c r="FV292" s="116">
        <f t="shared" ref="FV292:FV294" si="1045">FS292</f>
        <v>3</v>
      </c>
      <c r="FW292" s="116">
        <f t="shared" ref="FW292:FW294" si="1046">FT292</f>
        <v>7</v>
      </c>
      <c r="FX292" s="116">
        <f t="shared" ref="FX292:FX294" si="1047">FU292</f>
        <v>5</v>
      </c>
      <c r="FY292" s="116">
        <f t="shared" ref="FY292:FY294" si="1048">FV292</f>
        <v>3</v>
      </c>
      <c r="FZ292" s="116">
        <f t="shared" ref="FZ292:FZ294" si="1049">FW292</f>
        <v>7</v>
      </c>
      <c r="GA292" s="116">
        <f t="shared" ref="GA292:GA294" si="1050">FX292</f>
        <v>5</v>
      </c>
      <c r="GB292" s="116">
        <f t="shared" ref="GB292:GB294" si="1051">FY292</f>
        <v>3</v>
      </c>
      <c r="GC292" s="116">
        <f t="shared" ref="GC292:GC294" si="1052">FZ292</f>
        <v>7</v>
      </c>
      <c r="GD292" s="116">
        <f t="shared" ref="GD292:GD294" si="1053">GA292</f>
        <v>5</v>
      </c>
      <c r="GE292" s="116">
        <f t="shared" ref="GE292:GE294" si="1054">GB292</f>
        <v>3</v>
      </c>
      <c r="GF292" s="116">
        <f t="shared" ref="GF292:GF294" si="1055">GC292</f>
        <v>7</v>
      </c>
      <c r="GG292" s="116">
        <f t="shared" ref="GG292:GG294" si="1056">GD292</f>
        <v>5</v>
      </c>
      <c r="GH292" s="116">
        <f t="shared" ref="GH292:GH294" si="1057">GE292</f>
        <v>3</v>
      </c>
      <c r="GI292" s="116">
        <f t="shared" ref="GI292:GI294" si="1058">GF292</f>
        <v>7</v>
      </c>
      <c r="GJ292" s="116">
        <f t="shared" ref="GJ292:GJ294" si="1059">GG292</f>
        <v>5</v>
      </c>
      <c r="GK292" s="116">
        <f t="shared" ref="GK292:GK294" si="1060">GH292</f>
        <v>3</v>
      </c>
      <c r="GL292" s="116">
        <f t="shared" ref="GL292:GL294" si="1061">GI292</f>
        <v>7</v>
      </c>
    </row>
    <row r="293" spans="14:194" ht="15" customHeight="1">
      <c r="N293" s="104">
        <f>IF(N110=-1,"x",IF(OR(N208=1,N$195=1,$CX110=1),N110,0))</f>
        <v>0</v>
      </c>
      <c r="O293" s="50">
        <f>IF(O110=-1,"x",IF(OR(O208=1,O$195=1,$CY110=1),O110,0))</f>
        <v>0</v>
      </c>
      <c r="P293" s="51">
        <f>IF(P110=-1,"x",IF(OR(P208=1,P$195=1,$CZ110=1),P110,0))</f>
        <v>0</v>
      </c>
      <c r="Q293" s="52" t="str">
        <f>IF(Q110=-1,"x",IF(OR(Q208=1,Q$195=1,$CX110=1),Q110,0))</f>
        <v>x</v>
      </c>
      <c r="R293" s="50" t="str">
        <f>IF(R110=-1,"x",IF(OR(R208=1,R$195=1,$CY110=1),R110,0))</f>
        <v>x</v>
      </c>
      <c r="S293" s="51" t="str">
        <f>IF(S110=-1,"x",IF(OR(S208=1,S$195=1,$CZ110=1),S110,0))</f>
        <v>x</v>
      </c>
      <c r="T293" s="52" t="str">
        <f>IF(T110=-1,"x",IF(OR(T208=1,T$195=1,$CX110=1),T110,0))</f>
        <v>x</v>
      </c>
      <c r="U293" s="50" t="str">
        <f>IF(U110=-1,"x",IF(OR(U208=1,U$195=1,$CY110=1),U110,0))</f>
        <v>x</v>
      </c>
      <c r="V293" s="53" t="str">
        <f>IF(V110=-1,"x",IF(OR(V208=1,V$195=1,$CZ110=1),V110,0))</f>
        <v>x</v>
      </c>
      <c r="W293" s="49" t="str">
        <f>IF(W110=-1,"x",IF(OR(W208=1,W$195=1,$CX110=1),W110,0))</f>
        <v>x</v>
      </c>
      <c r="X293" s="50" t="str">
        <f>IF(X110=-1,"x",IF(OR(X208=1,X$195=1,$CY110=1),X110,0))</f>
        <v>x</v>
      </c>
      <c r="Y293" s="51" t="str">
        <f>IF(Y110=-1,"x",IF(OR(Y208=1,Y$195=1,$CZ110=1),Y110,0))</f>
        <v>x</v>
      </c>
      <c r="Z293" s="52" t="str">
        <f>IF(Z110=-1,"x",IF(OR(Z208=1,Z$195=1,$CX110=1),Z110,0))</f>
        <v>x</v>
      </c>
      <c r="AA293" s="50" t="str">
        <f>IF(AA110=-1,"x",IF(OR(AA208=1,AA$195=1,$CY110=1),AA110,0))</f>
        <v>x</v>
      </c>
      <c r="AB293" s="51" t="str">
        <f>IF(AB110=-1,"x",IF(OR(AB208=1,AB$195=1,$CZ110=1),AB110,0))</f>
        <v>x</v>
      </c>
      <c r="AC293" s="52" t="str">
        <f>IF(AC110=-1,"x",IF(OR(AC208=1,AC$195=1,$CX110=1),AC110,0))</f>
        <v>x</v>
      </c>
      <c r="AD293" s="50" t="str">
        <f>IF(AD110=-1,"x",IF(OR(AD208=1,AD$195=1,$CY110=1),AD110,0))</f>
        <v>x</v>
      </c>
      <c r="AE293" s="53" t="str">
        <f>IF(AE110=-1,"x",IF(OR(AE208=1,AE$195=1,$CZ110=1),AE110,0))</f>
        <v>x</v>
      </c>
      <c r="AF293" s="49" t="str">
        <f>IF(AF110=-1,"x",IF(OR(AF208=1,AF$195=1,$CX110=1),AF110,0))</f>
        <v>x</v>
      </c>
      <c r="AG293" s="50" t="str">
        <f>IF(AG110=-1,"x",IF(OR(AG208=1,AG$195=1,$CY110=1),AG110,0))</f>
        <v>x</v>
      </c>
      <c r="AH293" s="51" t="str">
        <f>IF(AH110=-1,"x",IF(OR(AH208=1,AH$195=1,$CZ110=1),AH110,0))</f>
        <v>x</v>
      </c>
      <c r="AI293" s="52" t="str">
        <f>IF(AI110=-1,"x",IF(OR(AI208=1,AI$195=1,$CX110=1),AI110,0))</f>
        <v>x</v>
      </c>
      <c r="AJ293" s="50" t="str">
        <f>IF(AJ110=-1,"x",IF(OR(AJ208=1,AJ$195=1,$CY110=1),AJ110,0))</f>
        <v>x</v>
      </c>
      <c r="AK293" s="51" t="str">
        <f>IF(AK110=-1,"x",IF(OR(AK208=1,AK$195=1,$CZ110=1),AK110,0))</f>
        <v>x</v>
      </c>
      <c r="AL293" s="52" t="str">
        <f>IF(AL110=-1,"x",IF(OR(AL208=1,AL$195=1,$CX110=1),AL110,0))</f>
        <v>x</v>
      </c>
      <c r="AM293" s="50" t="str">
        <f>IF(AM110=-1,"x",IF(OR(AM208=1,AM$195=1,$CY110=1),AM110,0))</f>
        <v>x</v>
      </c>
      <c r="AN293" s="105" t="str">
        <f>IF(AN110=-1,"x",IF(OR(AN208=1,AN$195=1,$CZ110=1),AN110,0))</f>
        <v>x</v>
      </c>
      <c r="AO293" s="104" t="str">
        <f>IF(AO110=-1,"x",IF(OR(AO208=1,AO$195=1,$CX110=1),AO110,0))</f>
        <v>x</v>
      </c>
      <c r="AP293" s="50" t="str">
        <f>IF(AP110=-1,"x",IF(OR(AP208=1,AP$195=1,$CY110=1),AP110,0))</f>
        <v>x</v>
      </c>
      <c r="AQ293" s="51" t="str">
        <f>IF(AQ110=-1,"x",IF(OR(AQ208=1,AQ$195=1,$CZ110=1),AQ110,0))</f>
        <v>x</v>
      </c>
      <c r="AR293" s="52" t="str">
        <f>IF(AR110=-1,"x",IF(OR(AR208=1,AR$195=1,$CX110=1),AR110,0))</f>
        <v>x</v>
      </c>
      <c r="AS293" s="50" t="str">
        <f>IF(AS110=-1,"x",IF(OR(AS208=1,AS$195=1,$CY110=1),AS110,0))</f>
        <v>x</v>
      </c>
      <c r="AT293" s="51" t="str">
        <f>IF(AT110=-1,"x",IF(OR(AT208=1,AT$195=1,$CZ110=1),AT110,0))</f>
        <v>x</v>
      </c>
      <c r="AU293" s="52" t="str">
        <f>IF(AU110=-1,"x",IF(OR(AU208=1,AU$195=1,$CX110=1),AU110,0))</f>
        <v>x</v>
      </c>
      <c r="AV293" s="50" t="str">
        <f>IF(AV110=-1,"x",IF(OR(AV208=1,AV$195=1,$CY110=1),AV110,0))</f>
        <v>x</v>
      </c>
      <c r="AW293" s="53" t="str">
        <f>IF(AW110=-1,"x",IF(OR(AW208=1,AW$195=1,$CZ110=1),AW110,0))</f>
        <v>x</v>
      </c>
      <c r="AX293" s="49">
        <f>IF(AX110=-1,"x",IF(OR(AX208=1,AX$195=1,$CX110=1),AX110,0))</f>
        <v>0</v>
      </c>
      <c r="AY293" s="50">
        <f>IF(AY110=-1,"x",IF(OR(AY208=1,AY$195=1,$CY110=1),AY110,0))</f>
        <v>0</v>
      </c>
      <c r="AZ293" s="51">
        <f>IF(AZ110=-1,"x",IF(OR(AZ208=1,AZ$195=1,$CZ110=1),AZ110,0))</f>
        <v>0</v>
      </c>
      <c r="BA293" s="52">
        <f>IF(BA110=-1,"x",IF(OR(BA208=1,BA$195=1,$CX110=1),BA110,0))</f>
        <v>0</v>
      </c>
      <c r="BB293" s="50">
        <f>IF(BB110=-1,"x",IF(OR(BB208=1,BB$195=1,$CY110=1),BB110,0))</f>
        <v>0</v>
      </c>
      <c r="BC293" s="51">
        <f>IF(BC110=-1,"x",IF(OR(BC208=1,BC$195=1,$CZ110=1),BC110,0))</f>
        <v>0</v>
      </c>
      <c r="BD293" s="52" t="str">
        <f>IF(BD110=-1,"x",IF(OR(BD208=1,BD$195=1,$CX110=1),BD110,0))</f>
        <v>x</v>
      </c>
      <c r="BE293" s="50" t="str">
        <f>IF(BE110=-1,"x",IF(OR(BE208=1,BE$195=1,$CY110=1),BE110,0))</f>
        <v>x</v>
      </c>
      <c r="BF293" s="53" t="str">
        <f>IF(BF110=-1,"x",IF(OR(BF208=1,BF$195=1,$CZ110=1),BF110,0))</f>
        <v>x</v>
      </c>
      <c r="BG293" s="49" t="str">
        <f>IF(BG110=-1,"x",IF(OR(BG208=1,BG$195=1,$CX110=1),BG110,0))</f>
        <v>x</v>
      </c>
      <c r="BH293" s="50" t="str">
        <f>IF(BH110=-1,"x",IF(OR(BH208=1,BH$195=1,$CY110=1),BH110,0))</f>
        <v>x</v>
      </c>
      <c r="BI293" s="51" t="str">
        <f>IF(BI110=-1,"x",IF(OR(BI208=1,BI$195=1,$CZ110=1),BI110,0))</f>
        <v>x</v>
      </c>
      <c r="BJ293" s="52" t="str">
        <f>IF(BJ110=-1,"x",IF(OR(BJ208=1,BJ$195=1,$CX110=1),BJ110,0))</f>
        <v>x</v>
      </c>
      <c r="BK293" s="50" t="str">
        <f>IF(BK110=-1,"x",IF(OR(BK208=1,BK$195=1,$CY110=1),BK110,0))</f>
        <v>x</v>
      </c>
      <c r="BL293" s="51" t="str">
        <f>IF(BL110=-1,"x",IF(OR(BL208=1,BL$195=1,$CZ110=1),BL110,0))</f>
        <v>x</v>
      </c>
      <c r="BM293" s="52" t="str">
        <f>IF(BM110=-1,"x",IF(OR(BM208=1,BM$195=1,$CX110=1),BM110,0))</f>
        <v>x</v>
      </c>
      <c r="BN293" s="50" t="str">
        <f>IF(BN110=-1,"x",IF(OR(BN208=1,BN$195=1,$CY110=1),BN110,0))</f>
        <v>x</v>
      </c>
      <c r="BO293" s="105" t="str">
        <f>IF(BO110=-1,"x",IF(OR(BO208=1,BO$195=1,$CZ110=1),BO110,0))</f>
        <v>x</v>
      </c>
      <c r="BP293" s="104" t="str">
        <f>IF(BP110=-1,"x",IF(OR(BP208=1,BP$195=1,$CX110=1),BP110,0))</f>
        <v>x</v>
      </c>
      <c r="BQ293" s="50" t="str">
        <f>IF(BQ110=-1,"x",IF(OR(BQ208=1,BQ$195=1,$CY110=1),BQ110,0))</f>
        <v>x</v>
      </c>
      <c r="BR293" s="51" t="str">
        <f>IF(BR110=-1,"x",IF(OR(BR208=1,BR$195=1,$CZ110=1),BR110,0))</f>
        <v>x</v>
      </c>
      <c r="BS293" s="52" t="str">
        <f>IF(BS110=-1,"x",IF(OR(BS208=1,BS$195=1,$CX110=1),BS110,0))</f>
        <v>x</v>
      </c>
      <c r="BT293" s="50" t="str">
        <f>IF(BT110=-1,"x",IF(OR(BT208=1,BT$195=1,$CY110=1),BT110,0))</f>
        <v>x</v>
      </c>
      <c r="BU293" s="51" t="str">
        <f>IF(BU110=-1,"x",IF(OR(BU208=1,BU$195=1,$CZ110=1),BU110,0))</f>
        <v>x</v>
      </c>
      <c r="BV293" s="52" t="str">
        <f>IF(BV110=-1,"x",IF(OR(BV208=1,BV$195=1,$CX110=1),BV110,0))</f>
        <v>x</v>
      </c>
      <c r="BW293" s="50" t="str">
        <f>IF(BW110=-1,"x",IF(OR(BW208=1,BW$195=1,$CY110=1),BW110,0))</f>
        <v>x</v>
      </c>
      <c r="BX293" s="53" t="str">
        <f>IF(BX110=-1,"x",IF(OR(BX208=1,BX$195=1,$CZ110=1),BX110,0))</f>
        <v>x</v>
      </c>
      <c r="BY293" s="49" t="str">
        <f>IF(BY110=-1,"x",IF(OR(BY208=1,BY$195=1,$CX110=1),BY110,0))</f>
        <v>x</v>
      </c>
      <c r="BZ293" s="50" t="str">
        <f>IF(BZ110=-1,"x",IF(OR(BZ208=1,BZ$195=1,$CY110=1),BZ110,0))</f>
        <v>x</v>
      </c>
      <c r="CA293" s="51" t="str">
        <f>IF(CA110=-1,"x",IF(OR(CA208=1,CA$195=1,$CZ110=1),CA110,0))</f>
        <v>x</v>
      </c>
      <c r="CB293" s="52" t="str">
        <f>IF(CB110=-1,"x",IF(OR(CB208=1,CB$195=1,$CX110=1),CB110,0))</f>
        <v>x</v>
      </c>
      <c r="CC293" s="50" t="str">
        <f>IF(CC110=-1,"x",IF(OR(CC208=1,CC$195=1,$CY110=1),CC110,0))</f>
        <v>x</v>
      </c>
      <c r="CD293" s="51" t="str">
        <f>IF(CD110=-1,"x",IF(OR(CD208=1,CD$195=1,$CZ110=1),CD110,0))</f>
        <v>x</v>
      </c>
      <c r="CE293" s="52" t="str">
        <f>IF(CE110=-1,"x",IF(OR(CE208=1,CE$195=1,$CX110=1),CE110,0))</f>
        <v>x</v>
      </c>
      <c r="CF293" s="50" t="str">
        <f>IF(CF110=-1,"x",IF(OR(CF208=1,CF$195=1,$CY110=1),CF110,0))</f>
        <v>x</v>
      </c>
      <c r="CG293" s="53" t="str">
        <f>IF(CG110=-1,"x",IF(OR(CG208=1,CG$195=1,$CZ110=1),CG110,0))</f>
        <v>x</v>
      </c>
      <c r="CH293" s="49" t="str">
        <f>IF(CH110=-1,"x",IF(OR(CH208=1,CH$195=1,$CX110=1),CH110,0))</f>
        <v>x</v>
      </c>
      <c r="CI293" s="50" t="str">
        <f>IF(CI110=-1,"x",IF(OR(CI208=1,CI$195=1,$CY110=1),CI110,0))</f>
        <v>x</v>
      </c>
      <c r="CJ293" s="51" t="str">
        <f>IF(CJ110=-1,"x",IF(OR(CJ208=1,CJ$195=1,$CZ110=1),CJ110,0))</f>
        <v>x</v>
      </c>
      <c r="CK293" s="52" t="str">
        <f>IF(CK110=-1,"x",IF(OR(CK208=1,CK$195=1,$CX110=1),CK110,0))</f>
        <v>x</v>
      </c>
      <c r="CL293" s="50" t="str">
        <f>IF(CL110=-1,"x",IF(OR(CL208=1,CL$195=1,$CY110=1),CL110,0))</f>
        <v>x</v>
      </c>
      <c r="CM293" s="51" t="str">
        <f>IF(CM110=-1,"x",IF(OR(CM208=1,CM$195=1,$CZ110=1),CM110,0))</f>
        <v>x</v>
      </c>
      <c r="CN293" s="52">
        <f>IF(CN110=-1,"x",IF(OR(CN208=1,CN$195=1,$CX110=1),CN110,0))</f>
        <v>0</v>
      </c>
      <c r="CO293" s="50">
        <f>IF(CO110=-1,"x",IF(OR(CO208=1,CO$195=1,$CY110=1),CO110,0))</f>
        <v>0</v>
      </c>
      <c r="CP293" s="105">
        <f>IF(CP110=-1,"x",IF(OR(CP208=1,CP$195=1,$CZ110=1),CP110,0))</f>
        <v>0</v>
      </c>
      <c r="DJ293" s="122">
        <f>COUNTIF(DJ194:EJ220,4)</f>
        <v>6</v>
      </c>
      <c r="DK293" s="97">
        <f>COUNTIF(DJ194:EJ220,5)</f>
        <v>1</v>
      </c>
      <c r="DL293" s="123">
        <f>COUNTIF(DJ194:EJ220,6)</f>
        <v>4</v>
      </c>
      <c r="DM293" s="116">
        <f>DJ293</f>
        <v>6</v>
      </c>
      <c r="DN293" s="116">
        <f t="shared" si="993"/>
        <v>1</v>
      </c>
      <c r="DO293" s="116">
        <f t="shared" si="994"/>
        <v>4</v>
      </c>
      <c r="DP293" s="116">
        <f t="shared" si="995"/>
        <v>6</v>
      </c>
      <c r="DQ293" s="116">
        <f t="shared" si="996"/>
        <v>1</v>
      </c>
      <c r="DR293" s="116">
        <f t="shared" si="997"/>
        <v>4</v>
      </c>
      <c r="DS293" s="116">
        <f t="shared" si="998"/>
        <v>6</v>
      </c>
      <c r="DT293" s="116">
        <f t="shared" si="999"/>
        <v>1</v>
      </c>
      <c r="DU293" s="116">
        <f t="shared" si="1000"/>
        <v>4</v>
      </c>
      <c r="DV293" s="116">
        <f t="shared" si="1001"/>
        <v>6</v>
      </c>
      <c r="DW293" s="116">
        <f t="shared" si="1002"/>
        <v>1</v>
      </c>
      <c r="DX293" s="116">
        <f t="shared" si="1003"/>
        <v>4</v>
      </c>
      <c r="DY293" s="116">
        <f t="shared" si="1004"/>
        <v>6</v>
      </c>
      <c r="DZ293" s="116">
        <f t="shared" si="1005"/>
        <v>1</v>
      </c>
      <c r="EA293" s="116">
        <f t="shared" si="1006"/>
        <v>4</v>
      </c>
      <c r="EB293" s="116">
        <f t="shared" si="1007"/>
        <v>6</v>
      </c>
      <c r="EC293" s="116">
        <f t="shared" si="1008"/>
        <v>1</v>
      </c>
      <c r="ED293" s="116">
        <f t="shared" si="1009"/>
        <v>4</v>
      </c>
      <c r="EE293" s="116">
        <f t="shared" si="1010"/>
        <v>6</v>
      </c>
      <c r="EF293" s="116">
        <f t="shared" si="1011"/>
        <v>1</v>
      </c>
      <c r="EG293" s="116">
        <f t="shared" si="1012"/>
        <v>4</v>
      </c>
      <c r="EH293" s="116">
        <f t="shared" si="1013"/>
        <v>6</v>
      </c>
      <c r="EI293" s="116">
        <f t="shared" si="1014"/>
        <v>1</v>
      </c>
      <c r="EJ293" s="116">
        <f t="shared" si="1015"/>
        <v>4</v>
      </c>
      <c r="EK293" s="122">
        <f>COUNTIF(EK194:FK220,4)</f>
        <v>1</v>
      </c>
      <c r="EL293" s="97">
        <f>COUNTIF(EK194:FK220,5)</f>
        <v>0</v>
      </c>
      <c r="EM293" s="123">
        <f>COUNTIF(EK194:FK220,6)</f>
        <v>0</v>
      </c>
      <c r="EN293" s="116">
        <f>EK293</f>
        <v>1</v>
      </c>
      <c r="EO293" s="116">
        <f t="shared" si="1016"/>
        <v>0</v>
      </c>
      <c r="EP293" s="116">
        <f t="shared" si="1017"/>
        <v>0</v>
      </c>
      <c r="EQ293" s="116">
        <f t="shared" si="1018"/>
        <v>1</v>
      </c>
      <c r="ER293" s="116">
        <f t="shared" si="1019"/>
        <v>0</v>
      </c>
      <c r="ES293" s="116">
        <f t="shared" si="1020"/>
        <v>0</v>
      </c>
      <c r="ET293" s="116">
        <f t="shared" si="1021"/>
        <v>1</v>
      </c>
      <c r="EU293" s="116">
        <f t="shared" si="1022"/>
        <v>0</v>
      </c>
      <c r="EV293" s="116">
        <f t="shared" si="1023"/>
        <v>0</v>
      </c>
      <c r="EW293" s="116">
        <f t="shared" si="1024"/>
        <v>1</v>
      </c>
      <c r="EX293" s="116">
        <f t="shared" si="1025"/>
        <v>0</v>
      </c>
      <c r="EY293" s="116">
        <f t="shared" si="1026"/>
        <v>0</v>
      </c>
      <c r="EZ293" s="116">
        <f t="shared" si="1027"/>
        <v>1</v>
      </c>
      <c r="FA293" s="116">
        <f t="shared" si="1028"/>
        <v>0</v>
      </c>
      <c r="FB293" s="116">
        <f t="shared" si="1029"/>
        <v>0</v>
      </c>
      <c r="FC293" s="116">
        <f t="shared" si="1030"/>
        <v>1</v>
      </c>
      <c r="FD293" s="116">
        <f t="shared" si="1031"/>
        <v>0</v>
      </c>
      <c r="FE293" s="116">
        <f t="shared" si="1032"/>
        <v>0</v>
      </c>
      <c r="FF293" s="116">
        <f t="shared" si="1033"/>
        <v>1</v>
      </c>
      <c r="FG293" s="116">
        <f t="shared" si="1034"/>
        <v>0</v>
      </c>
      <c r="FH293" s="116">
        <f t="shared" si="1035"/>
        <v>0</v>
      </c>
      <c r="FI293" s="116">
        <f t="shared" si="1036"/>
        <v>1</v>
      </c>
      <c r="FJ293" s="116">
        <f t="shared" si="1037"/>
        <v>0</v>
      </c>
      <c r="FK293" s="116">
        <f t="shared" si="1038"/>
        <v>0</v>
      </c>
      <c r="FL293" s="122">
        <f>COUNTIF(FL194:GL220,4)</f>
        <v>2</v>
      </c>
      <c r="FM293" s="97">
        <f>COUNTIF(FL194:GL220,5)</f>
        <v>0</v>
      </c>
      <c r="FN293" s="123">
        <f>COUNTIF(FL194:GL220,6)</f>
        <v>2</v>
      </c>
      <c r="FO293" s="116">
        <f>FL293</f>
        <v>2</v>
      </c>
      <c r="FP293" s="116">
        <f t="shared" si="1039"/>
        <v>0</v>
      </c>
      <c r="FQ293" s="116">
        <f t="shared" si="1040"/>
        <v>2</v>
      </c>
      <c r="FR293" s="116">
        <f t="shared" si="1041"/>
        <v>2</v>
      </c>
      <c r="FS293" s="116">
        <f t="shared" si="1042"/>
        <v>0</v>
      </c>
      <c r="FT293" s="116">
        <f t="shared" si="1043"/>
        <v>2</v>
      </c>
      <c r="FU293" s="116">
        <f t="shared" si="1044"/>
        <v>2</v>
      </c>
      <c r="FV293" s="116">
        <f t="shared" si="1045"/>
        <v>0</v>
      </c>
      <c r="FW293" s="116">
        <f t="shared" si="1046"/>
        <v>2</v>
      </c>
      <c r="FX293" s="116">
        <f t="shared" si="1047"/>
        <v>2</v>
      </c>
      <c r="FY293" s="116">
        <f t="shared" si="1048"/>
        <v>0</v>
      </c>
      <c r="FZ293" s="116">
        <f t="shared" si="1049"/>
        <v>2</v>
      </c>
      <c r="GA293" s="116">
        <f t="shared" si="1050"/>
        <v>2</v>
      </c>
      <c r="GB293" s="116">
        <f t="shared" si="1051"/>
        <v>0</v>
      </c>
      <c r="GC293" s="116">
        <f t="shared" si="1052"/>
        <v>2</v>
      </c>
      <c r="GD293" s="116">
        <f t="shared" si="1053"/>
        <v>2</v>
      </c>
      <c r="GE293" s="116">
        <f t="shared" si="1054"/>
        <v>0</v>
      </c>
      <c r="GF293" s="116">
        <f t="shared" si="1055"/>
        <v>2</v>
      </c>
      <c r="GG293" s="116">
        <f t="shared" si="1056"/>
        <v>2</v>
      </c>
      <c r="GH293" s="116">
        <f t="shared" si="1057"/>
        <v>0</v>
      </c>
      <c r="GI293" s="116">
        <f t="shared" si="1058"/>
        <v>2</v>
      </c>
      <c r="GJ293" s="116">
        <f t="shared" si="1059"/>
        <v>2</v>
      </c>
      <c r="GK293" s="116">
        <f t="shared" si="1060"/>
        <v>0</v>
      </c>
      <c r="GL293" s="116">
        <f t="shared" si="1061"/>
        <v>2</v>
      </c>
    </row>
    <row r="294" spans="14:194" ht="15" customHeight="1">
      <c r="N294" s="94">
        <f>IF(N111=-1,"x",IF(OR(N209=1,N$196=1,$CX111=1),N111,0))</f>
        <v>0</v>
      </c>
      <c r="O294" s="39">
        <f>IF(O111=-1,"x",IF(OR(O209=1,O$196=1,$CY111=1),O111,0))</f>
        <v>0</v>
      </c>
      <c r="P294" s="41">
        <f>IF(P111=-1,"x",IF(OR(P209=1,P$196=1,$CZ111=1),P111,0))</f>
        <v>0</v>
      </c>
      <c r="Q294" s="40" t="str">
        <f>IF(Q111=-1,"x",IF(OR(Q209=1,Q$196=1,$CX111=1),Q111,0))</f>
        <v>x</v>
      </c>
      <c r="R294" s="39" t="str">
        <f>IF(R111=-1,"x",IF(OR(R209=1,R$196=1,$CY111=1),R111,0))</f>
        <v>x</v>
      </c>
      <c r="S294" s="41" t="str">
        <f>IF(S111=-1,"x",IF(OR(S209=1,S$196=1,$CZ111=1),S111,0))</f>
        <v>x</v>
      </c>
      <c r="T294" s="40" t="str">
        <f>IF(T111=-1,"x",IF(OR(T209=1,T$196=1,$CX111=1),T111,0))</f>
        <v>x</v>
      </c>
      <c r="U294" s="39" t="str">
        <f>IF(U111=-1,"x",IF(OR(U209=1,U$196=1,$CY111=1),U111,0))</f>
        <v>x</v>
      </c>
      <c r="V294" s="42" t="str">
        <f>IF(V111=-1,"x",IF(OR(V209=1,V$196=1,$CZ111=1),V111,0))</f>
        <v>x</v>
      </c>
      <c r="W294" s="43" t="str">
        <f>IF(W111=-1,"x",IF(OR(W209=1,W$196=1,$CX111=1),W111,0))</f>
        <v>x</v>
      </c>
      <c r="X294" s="39" t="str">
        <f>IF(X111=-1,"x",IF(OR(X209=1,X$196=1,$CY111=1),X111,0))</f>
        <v>x</v>
      </c>
      <c r="Y294" s="41" t="str">
        <f>IF(Y111=-1,"x",IF(OR(Y209=1,Y$196=1,$CZ111=1),Y111,0))</f>
        <v>x</v>
      </c>
      <c r="Z294" s="40" t="str">
        <f>IF(Z111=-1,"x",IF(OR(Z209=1,Z$196=1,$CX111=1),Z111,0))</f>
        <v>x</v>
      </c>
      <c r="AA294" s="39" t="str">
        <f>IF(AA111=-1,"x",IF(OR(AA209=1,AA$196=1,$CY111=1),AA111,0))</f>
        <v>x</v>
      </c>
      <c r="AB294" s="41" t="str">
        <f>IF(AB111=-1,"x",IF(OR(AB209=1,AB$196=1,$CZ111=1),AB111,0))</f>
        <v>x</v>
      </c>
      <c r="AC294" s="40" t="str">
        <f>IF(AC111=-1,"x",IF(OR(AC209=1,AC$196=1,$CX111=1),AC111,0))</f>
        <v>x</v>
      </c>
      <c r="AD294" s="39" t="str">
        <f>IF(AD111=-1,"x",IF(OR(AD209=1,AD$196=1,$CY111=1),AD111,0))</f>
        <v>x</v>
      </c>
      <c r="AE294" s="42" t="str">
        <f>IF(AE111=-1,"x",IF(OR(AE209=1,AE$196=1,$CZ111=1),AE111,0))</f>
        <v>x</v>
      </c>
      <c r="AF294" s="43" t="str">
        <f>IF(AF111=-1,"x",IF(OR(AF209=1,AF$196=1,$CX111=1),AF111,0))</f>
        <v>x</v>
      </c>
      <c r="AG294" s="39" t="str">
        <f>IF(AG111=-1,"x",IF(OR(AG209=1,AG$196=1,$CY111=1),AG111,0))</f>
        <v>x</v>
      </c>
      <c r="AH294" s="41" t="str">
        <f>IF(AH111=-1,"x",IF(OR(AH209=1,AH$196=1,$CZ111=1),AH111,0))</f>
        <v>x</v>
      </c>
      <c r="AI294" s="40" t="str">
        <f>IF(AI111=-1,"x",IF(OR(AI209=1,AI$196=1,$CX111=1),AI111,0))</f>
        <v>x</v>
      </c>
      <c r="AJ294" s="39" t="str">
        <f>IF(AJ111=-1,"x",IF(OR(AJ209=1,AJ$196=1,$CY111=1),AJ111,0))</f>
        <v>x</v>
      </c>
      <c r="AK294" s="41" t="str">
        <f>IF(AK111=-1,"x",IF(OR(AK209=1,AK$196=1,$CZ111=1),AK111,0))</f>
        <v>x</v>
      </c>
      <c r="AL294" s="40" t="str">
        <f>IF(AL111=-1,"x",IF(OR(AL209=1,AL$196=1,$CX111=1),AL111,0))</f>
        <v>x</v>
      </c>
      <c r="AM294" s="39" t="str">
        <f>IF(AM111=-1,"x",IF(OR(AM209=1,AM$196=1,$CY111=1),AM111,0))</f>
        <v>x</v>
      </c>
      <c r="AN294" s="95" t="str">
        <f>IF(AN111=-1,"x",IF(OR(AN209=1,AN$196=1,$CZ111=1),AN111,0))</f>
        <v>x</v>
      </c>
      <c r="AO294" s="94" t="str">
        <f>IF(AO111=-1,"x",IF(OR(AO209=1,AO$196=1,$CX111=1),AO111,0))</f>
        <v>x</v>
      </c>
      <c r="AP294" s="39" t="str">
        <f>IF(AP111=-1,"x",IF(OR(AP209=1,AP$196=1,$CY111=1),AP111,0))</f>
        <v>x</v>
      </c>
      <c r="AQ294" s="41" t="str">
        <f>IF(AQ111=-1,"x",IF(OR(AQ209=1,AQ$196=1,$CZ111=1),AQ111,0))</f>
        <v>x</v>
      </c>
      <c r="AR294" s="40" t="str">
        <f>IF(AR111=-1,"x",IF(OR(AR209=1,AR$196=1,$CX111=1),AR111,0))</f>
        <v>x</v>
      </c>
      <c r="AS294" s="39" t="str">
        <f>IF(AS111=-1,"x",IF(OR(AS209=1,AS$196=1,$CY111=1),AS111,0))</f>
        <v>x</v>
      </c>
      <c r="AT294" s="41" t="str">
        <f>IF(AT111=-1,"x",IF(OR(AT209=1,AT$196=1,$CZ111=1),AT111,0))</f>
        <v>x</v>
      </c>
      <c r="AU294" s="40" t="str">
        <f>IF(AU111=-1,"x",IF(OR(AU209=1,AU$196=1,$CX111=1),AU111,0))</f>
        <v>x</v>
      </c>
      <c r="AV294" s="39" t="str">
        <f>IF(AV111=-1,"x",IF(OR(AV209=1,AV$196=1,$CY111=1),AV111,0))</f>
        <v>x</v>
      </c>
      <c r="AW294" s="42" t="str">
        <f>IF(AW111=-1,"x",IF(OR(AW209=1,AW$196=1,$CZ111=1),AW111,0))</f>
        <v>x</v>
      </c>
      <c r="AX294" s="43">
        <f>IF(AX111=-1,"x",IF(OR(AX209=1,AX$196=1,$CX111=1),AX111,0))</f>
        <v>0</v>
      </c>
      <c r="AY294" s="39">
        <f>IF(AY111=-1,"x",IF(OR(AY209=1,AY$196=1,$CY111=1),AY111,0))</f>
        <v>0</v>
      </c>
      <c r="AZ294" s="41">
        <f>IF(AZ111=-1,"x",IF(OR(AZ209=1,AZ$196=1,$CZ111=1),AZ111,0))</f>
        <v>0</v>
      </c>
      <c r="BA294" s="40">
        <f>IF(BA111=-1,"x",IF(OR(BA209=1,BA$196=1,$CX111=1),BA111,0))</f>
        <v>0</v>
      </c>
      <c r="BB294" s="39">
        <f>IF(BB111=-1,"x",IF(OR(BB209=1,BB$196=1,$CY111=1),BB111,0))</f>
        <v>0</v>
      </c>
      <c r="BC294" s="41">
        <f>IF(BC111=-1,"x",IF(OR(BC209=1,BC$196=1,$CZ111=1),BC111,0))</f>
        <v>0</v>
      </c>
      <c r="BD294" s="40" t="str">
        <f>IF(BD111=-1,"x",IF(OR(BD209=1,BD$196=1,$CX111=1),BD111,0))</f>
        <v>x</v>
      </c>
      <c r="BE294" s="39" t="str">
        <f>IF(BE111=-1,"x",IF(OR(BE209=1,BE$196=1,$CY111=1),BE111,0))</f>
        <v>x</v>
      </c>
      <c r="BF294" s="42" t="str">
        <f>IF(BF111=-1,"x",IF(OR(BF209=1,BF$196=1,$CZ111=1),BF111,0))</f>
        <v>x</v>
      </c>
      <c r="BG294" s="43" t="str">
        <f>IF(BG111=-1,"x",IF(OR(BG209=1,BG$196=1,$CX111=1),BG111,0))</f>
        <v>x</v>
      </c>
      <c r="BH294" s="39" t="str">
        <f>IF(BH111=-1,"x",IF(OR(BH209=1,BH$196=1,$CY111=1),BH111,0))</f>
        <v>x</v>
      </c>
      <c r="BI294" s="41" t="str">
        <f>IF(BI111=-1,"x",IF(OR(BI209=1,BI$196=1,$CZ111=1),BI111,0))</f>
        <v>x</v>
      </c>
      <c r="BJ294" s="40" t="str">
        <f>IF(BJ111=-1,"x",IF(OR(BJ209=1,BJ$196=1,$CX111=1),BJ111,0))</f>
        <v>x</v>
      </c>
      <c r="BK294" s="39" t="str">
        <f>IF(BK111=-1,"x",IF(OR(BK209=1,BK$196=1,$CY111=1),BK111,0))</f>
        <v>x</v>
      </c>
      <c r="BL294" s="41" t="str">
        <f>IF(BL111=-1,"x",IF(OR(BL209=1,BL$196=1,$CZ111=1),BL111,0))</f>
        <v>x</v>
      </c>
      <c r="BM294" s="40" t="str">
        <f>IF(BM111=-1,"x",IF(OR(BM209=1,BM$196=1,$CX111=1),BM111,0))</f>
        <v>x</v>
      </c>
      <c r="BN294" s="39" t="str">
        <f>IF(BN111=-1,"x",IF(OR(BN209=1,BN$196=1,$CY111=1),BN111,0))</f>
        <v>x</v>
      </c>
      <c r="BO294" s="95" t="str">
        <f>IF(BO111=-1,"x",IF(OR(BO209=1,BO$196=1,$CZ111=1),BO111,0))</f>
        <v>x</v>
      </c>
      <c r="BP294" s="94" t="str">
        <f>IF(BP111=-1,"x",IF(OR(BP209=1,BP$196=1,$CX111=1),BP111,0))</f>
        <v>x</v>
      </c>
      <c r="BQ294" s="39" t="str">
        <f>IF(BQ111=-1,"x",IF(OR(BQ209=1,BQ$196=1,$CY111=1),BQ111,0))</f>
        <v>x</v>
      </c>
      <c r="BR294" s="41" t="str">
        <f>IF(BR111=-1,"x",IF(OR(BR209=1,BR$196=1,$CZ111=1),BR111,0))</f>
        <v>x</v>
      </c>
      <c r="BS294" s="40" t="str">
        <f>IF(BS111=-1,"x",IF(OR(BS209=1,BS$196=1,$CX111=1),BS111,0))</f>
        <v>x</v>
      </c>
      <c r="BT294" s="39" t="str">
        <f>IF(BT111=-1,"x",IF(OR(BT209=1,BT$196=1,$CY111=1),BT111,0))</f>
        <v>x</v>
      </c>
      <c r="BU294" s="41" t="str">
        <f>IF(BU111=-1,"x",IF(OR(BU209=1,BU$196=1,$CZ111=1),BU111,0))</f>
        <v>x</v>
      </c>
      <c r="BV294" s="40" t="str">
        <f>IF(BV111=-1,"x",IF(OR(BV209=1,BV$196=1,$CX111=1),BV111,0))</f>
        <v>x</v>
      </c>
      <c r="BW294" s="39" t="str">
        <f>IF(BW111=-1,"x",IF(OR(BW209=1,BW$196=1,$CY111=1),BW111,0))</f>
        <v>x</v>
      </c>
      <c r="BX294" s="42" t="str">
        <f>IF(BX111=-1,"x",IF(OR(BX209=1,BX$196=1,$CZ111=1),BX111,0))</f>
        <v>x</v>
      </c>
      <c r="BY294" s="43" t="str">
        <f>IF(BY111=-1,"x",IF(OR(BY209=1,BY$196=1,$CX111=1),BY111,0))</f>
        <v>x</v>
      </c>
      <c r="BZ294" s="39" t="str">
        <f>IF(BZ111=-1,"x",IF(OR(BZ209=1,BZ$196=1,$CY111=1),BZ111,0))</f>
        <v>x</v>
      </c>
      <c r="CA294" s="41" t="str">
        <f>IF(CA111=-1,"x",IF(OR(CA209=1,CA$196=1,$CZ111=1),CA111,0))</f>
        <v>x</v>
      </c>
      <c r="CB294" s="40" t="str">
        <f>IF(CB111=-1,"x",IF(OR(CB209=1,CB$196=1,$CX111=1),CB111,0))</f>
        <v>x</v>
      </c>
      <c r="CC294" s="39" t="str">
        <f>IF(CC111=-1,"x",IF(OR(CC209=1,CC$196=1,$CY111=1),CC111,0))</f>
        <v>x</v>
      </c>
      <c r="CD294" s="41" t="str">
        <f>IF(CD111=-1,"x",IF(OR(CD209=1,CD$196=1,$CZ111=1),CD111,0))</f>
        <v>x</v>
      </c>
      <c r="CE294" s="40" t="str">
        <f>IF(CE111=-1,"x",IF(OR(CE209=1,CE$196=1,$CX111=1),CE111,0))</f>
        <v>x</v>
      </c>
      <c r="CF294" s="39" t="str">
        <f>IF(CF111=-1,"x",IF(OR(CF209=1,CF$196=1,$CY111=1),CF111,0))</f>
        <v>x</v>
      </c>
      <c r="CG294" s="42" t="str">
        <f>IF(CG111=-1,"x",IF(OR(CG209=1,CG$196=1,$CZ111=1),CG111,0))</f>
        <v>x</v>
      </c>
      <c r="CH294" s="43" t="str">
        <f>IF(CH111=-1,"x",IF(OR(CH209=1,CH$196=1,$CX111=1),CH111,0))</f>
        <v>x</v>
      </c>
      <c r="CI294" s="39" t="str">
        <f>IF(CI111=-1,"x",IF(OR(CI209=1,CI$196=1,$CY111=1),CI111,0))</f>
        <v>x</v>
      </c>
      <c r="CJ294" s="41" t="str">
        <f>IF(CJ111=-1,"x",IF(OR(CJ209=1,CJ$196=1,$CZ111=1),CJ111,0))</f>
        <v>x</v>
      </c>
      <c r="CK294" s="40" t="str">
        <f>IF(CK111=-1,"x",IF(OR(CK209=1,CK$196=1,$CX111=1),CK111,0))</f>
        <v>x</v>
      </c>
      <c r="CL294" s="39" t="str">
        <f>IF(CL111=-1,"x",IF(OR(CL209=1,CL$196=1,$CY111=1),CL111,0))</f>
        <v>x</v>
      </c>
      <c r="CM294" s="41" t="str">
        <f>IF(CM111=-1,"x",IF(OR(CM209=1,CM$196=1,$CZ111=1),CM111,0))</f>
        <v>x</v>
      </c>
      <c r="CN294" s="40">
        <f>IF(CN111=-1,"x",IF(OR(CN209=1,CN$196=1,$CX111=1),CN111,0))</f>
        <v>0</v>
      </c>
      <c r="CO294" s="39">
        <f>IF(CO111=-1,"x",IF(OR(CO209=1,CO$196=1,$CY111=1),CO111,0))</f>
        <v>0</v>
      </c>
      <c r="CP294" s="95">
        <f>IF(CP111=-1,"x",IF(OR(CP209=1,CP$196=1,$CZ111=1),CP111,0))</f>
        <v>0</v>
      </c>
      <c r="DJ294" s="124">
        <f>COUNTIF(DJ194:EJ220,7)</f>
        <v>0</v>
      </c>
      <c r="DK294" s="125">
        <f>COUNTIF(DJ194:EJ220,8)</f>
        <v>2</v>
      </c>
      <c r="DL294" s="126">
        <f>COUNTIF(DJ194:EJ220,9)</f>
        <v>0</v>
      </c>
      <c r="DM294" s="116">
        <f>DJ294</f>
        <v>0</v>
      </c>
      <c r="DN294" s="116">
        <f t="shared" si="993"/>
        <v>2</v>
      </c>
      <c r="DO294" s="116">
        <f t="shared" si="994"/>
        <v>0</v>
      </c>
      <c r="DP294" s="116">
        <f t="shared" si="995"/>
        <v>0</v>
      </c>
      <c r="DQ294" s="116">
        <f t="shared" si="996"/>
        <v>2</v>
      </c>
      <c r="DR294" s="116">
        <f t="shared" si="997"/>
        <v>0</v>
      </c>
      <c r="DS294" s="116">
        <f t="shared" si="998"/>
        <v>0</v>
      </c>
      <c r="DT294" s="116">
        <f t="shared" si="999"/>
        <v>2</v>
      </c>
      <c r="DU294" s="116">
        <f t="shared" si="1000"/>
        <v>0</v>
      </c>
      <c r="DV294" s="116">
        <f t="shared" si="1001"/>
        <v>0</v>
      </c>
      <c r="DW294" s="116">
        <f t="shared" si="1002"/>
        <v>2</v>
      </c>
      <c r="DX294" s="116">
        <f t="shared" si="1003"/>
        <v>0</v>
      </c>
      <c r="DY294" s="116">
        <f t="shared" si="1004"/>
        <v>0</v>
      </c>
      <c r="DZ294" s="116">
        <f t="shared" si="1005"/>
        <v>2</v>
      </c>
      <c r="EA294" s="116">
        <f t="shared" si="1006"/>
        <v>0</v>
      </c>
      <c r="EB294" s="116">
        <f t="shared" si="1007"/>
        <v>0</v>
      </c>
      <c r="EC294" s="116">
        <f t="shared" si="1008"/>
        <v>2</v>
      </c>
      <c r="ED294" s="116">
        <f t="shared" si="1009"/>
        <v>0</v>
      </c>
      <c r="EE294" s="116">
        <f t="shared" si="1010"/>
        <v>0</v>
      </c>
      <c r="EF294" s="116">
        <f t="shared" si="1011"/>
        <v>2</v>
      </c>
      <c r="EG294" s="116">
        <f t="shared" si="1012"/>
        <v>0</v>
      </c>
      <c r="EH294" s="116">
        <f t="shared" si="1013"/>
        <v>0</v>
      </c>
      <c r="EI294" s="116">
        <f t="shared" si="1014"/>
        <v>2</v>
      </c>
      <c r="EJ294" s="116">
        <f t="shared" si="1015"/>
        <v>0</v>
      </c>
      <c r="EK294" s="124">
        <f>COUNTIF(EK194:FK220,7)</f>
        <v>1</v>
      </c>
      <c r="EL294" s="125">
        <f>COUNTIF(EK194:FK220,8)</f>
        <v>2</v>
      </c>
      <c r="EM294" s="126">
        <f>COUNTIF(EK194:FK220,9)</f>
        <v>0</v>
      </c>
      <c r="EN294" s="116">
        <f>EK294</f>
        <v>1</v>
      </c>
      <c r="EO294" s="116">
        <f t="shared" si="1016"/>
        <v>2</v>
      </c>
      <c r="EP294" s="116">
        <f t="shared" si="1017"/>
        <v>0</v>
      </c>
      <c r="EQ294" s="116">
        <f t="shared" si="1018"/>
        <v>1</v>
      </c>
      <c r="ER294" s="116">
        <f t="shared" si="1019"/>
        <v>2</v>
      </c>
      <c r="ES294" s="116">
        <f t="shared" si="1020"/>
        <v>0</v>
      </c>
      <c r="ET294" s="116">
        <f t="shared" si="1021"/>
        <v>1</v>
      </c>
      <c r="EU294" s="116">
        <f t="shared" si="1022"/>
        <v>2</v>
      </c>
      <c r="EV294" s="116">
        <f t="shared" si="1023"/>
        <v>0</v>
      </c>
      <c r="EW294" s="116">
        <f t="shared" si="1024"/>
        <v>1</v>
      </c>
      <c r="EX294" s="116">
        <f t="shared" si="1025"/>
        <v>2</v>
      </c>
      <c r="EY294" s="116">
        <f t="shared" si="1026"/>
        <v>0</v>
      </c>
      <c r="EZ294" s="116">
        <f t="shared" si="1027"/>
        <v>1</v>
      </c>
      <c r="FA294" s="116">
        <f t="shared" si="1028"/>
        <v>2</v>
      </c>
      <c r="FB294" s="116">
        <f t="shared" si="1029"/>
        <v>0</v>
      </c>
      <c r="FC294" s="116">
        <f t="shared" si="1030"/>
        <v>1</v>
      </c>
      <c r="FD294" s="116">
        <f t="shared" si="1031"/>
        <v>2</v>
      </c>
      <c r="FE294" s="116">
        <f t="shared" si="1032"/>
        <v>0</v>
      </c>
      <c r="FF294" s="116">
        <f t="shared" si="1033"/>
        <v>1</v>
      </c>
      <c r="FG294" s="116">
        <f t="shared" si="1034"/>
        <v>2</v>
      </c>
      <c r="FH294" s="116">
        <f t="shared" si="1035"/>
        <v>0</v>
      </c>
      <c r="FI294" s="116">
        <f t="shared" si="1036"/>
        <v>1</v>
      </c>
      <c r="FJ294" s="116">
        <f t="shared" si="1037"/>
        <v>2</v>
      </c>
      <c r="FK294" s="116">
        <f t="shared" si="1038"/>
        <v>0</v>
      </c>
      <c r="FL294" s="124">
        <f>COUNTIF(FL194:GL220,7)</f>
        <v>1</v>
      </c>
      <c r="FM294" s="125">
        <f>COUNTIF(FL194:GL220,8)</f>
        <v>7</v>
      </c>
      <c r="FN294" s="126">
        <f>COUNTIF(FL194:GL220,9)</f>
        <v>0</v>
      </c>
      <c r="FO294" s="116">
        <f>FL294</f>
        <v>1</v>
      </c>
      <c r="FP294" s="116">
        <f t="shared" si="1039"/>
        <v>7</v>
      </c>
      <c r="FQ294" s="116">
        <f t="shared" si="1040"/>
        <v>0</v>
      </c>
      <c r="FR294" s="116">
        <f t="shared" si="1041"/>
        <v>1</v>
      </c>
      <c r="FS294" s="116">
        <f t="shared" si="1042"/>
        <v>7</v>
      </c>
      <c r="FT294" s="116">
        <f t="shared" si="1043"/>
        <v>0</v>
      </c>
      <c r="FU294" s="116">
        <f t="shared" si="1044"/>
        <v>1</v>
      </c>
      <c r="FV294" s="116">
        <f t="shared" si="1045"/>
        <v>7</v>
      </c>
      <c r="FW294" s="116">
        <f t="shared" si="1046"/>
        <v>0</v>
      </c>
      <c r="FX294" s="116">
        <f t="shared" si="1047"/>
        <v>1</v>
      </c>
      <c r="FY294" s="116">
        <f t="shared" si="1048"/>
        <v>7</v>
      </c>
      <c r="FZ294" s="116">
        <f t="shared" si="1049"/>
        <v>0</v>
      </c>
      <c r="GA294" s="116">
        <f t="shared" si="1050"/>
        <v>1</v>
      </c>
      <c r="GB294" s="116">
        <f t="shared" si="1051"/>
        <v>7</v>
      </c>
      <c r="GC294" s="116">
        <f t="shared" si="1052"/>
        <v>0</v>
      </c>
      <c r="GD294" s="116">
        <f t="shared" si="1053"/>
        <v>1</v>
      </c>
      <c r="GE294" s="116">
        <f t="shared" si="1054"/>
        <v>7</v>
      </c>
      <c r="GF294" s="116">
        <f t="shared" si="1055"/>
        <v>0</v>
      </c>
      <c r="GG294" s="116">
        <f t="shared" si="1056"/>
        <v>1</v>
      </c>
      <c r="GH294" s="116">
        <f t="shared" si="1057"/>
        <v>7</v>
      </c>
      <c r="GI294" s="116">
        <f t="shared" si="1058"/>
        <v>0</v>
      </c>
      <c r="GJ294" s="116">
        <f t="shared" si="1059"/>
        <v>1</v>
      </c>
      <c r="GK294" s="116">
        <f t="shared" si="1060"/>
        <v>7</v>
      </c>
      <c r="GL294" s="116">
        <f t="shared" si="1061"/>
        <v>0</v>
      </c>
    </row>
    <row r="295" spans="14:194" ht="15" customHeight="1">
      <c r="N295" s="99">
        <f>IF(N112=-1,"x",IF(OR(N210=1,N$197=1,$CX112=1),N112,0))</f>
        <v>0</v>
      </c>
      <c r="O295" s="45">
        <f>IF(O112=-1,"x",IF(OR(O210=1,O$197=1,$CY112=1),O112,0))</f>
        <v>0</v>
      </c>
      <c r="P295" s="47">
        <f>IF(P112=-1,"x",IF(OR(P210=1,P$197=1,$CZ112=1),P112,0))</f>
        <v>0</v>
      </c>
      <c r="Q295" s="46" t="str">
        <f>IF(Q112=-1,"x",IF(OR(Q210=1,Q$197=1,$CX112=1),Q112,0))</f>
        <v>x</v>
      </c>
      <c r="R295" s="45" t="str">
        <f>IF(R112=-1,"x",IF(OR(R210=1,R$197=1,$CY112=1),R112,0))</f>
        <v>x</v>
      </c>
      <c r="S295" s="47" t="str">
        <f>IF(S112=-1,"x",IF(OR(S210=1,S$197=1,$CZ112=1),S112,0))</f>
        <v>x</v>
      </c>
      <c r="T295" s="46" t="str">
        <f>IF(T112=-1,"x",IF(OR(T210=1,T$197=1,$CX112=1),T112,0))</f>
        <v>x</v>
      </c>
      <c r="U295" s="45" t="str">
        <f>IF(U112=-1,"x",IF(OR(U210=1,U$197=1,$CY112=1),U112,0))</f>
        <v>x</v>
      </c>
      <c r="V295" s="48" t="str">
        <f>IF(V112=-1,"x",IF(OR(V210=1,V$197=1,$CZ112=1),V112,0))</f>
        <v>x</v>
      </c>
      <c r="W295" s="44" t="str">
        <f>IF(W112=-1,"x",IF(OR(W210=1,W$197=1,$CX112=1),W112,0))</f>
        <v>x</v>
      </c>
      <c r="X295" s="45" t="str">
        <f>IF(X112=-1,"x",IF(OR(X210=1,X$197=1,$CY112=1),X112,0))</f>
        <v>x</v>
      </c>
      <c r="Y295" s="47" t="str">
        <f>IF(Y112=-1,"x",IF(OR(Y210=1,Y$197=1,$CZ112=1),Y112,0))</f>
        <v>x</v>
      </c>
      <c r="Z295" s="46" t="str">
        <f>IF(Z112=-1,"x",IF(OR(Z210=1,Z$197=1,$CX112=1),Z112,0))</f>
        <v>x</v>
      </c>
      <c r="AA295" s="45" t="str">
        <f>IF(AA112=-1,"x",IF(OR(AA210=1,AA$197=1,$CY112=1),AA112,0))</f>
        <v>x</v>
      </c>
      <c r="AB295" s="47" t="str">
        <f>IF(AB112=-1,"x",IF(OR(AB210=1,AB$197=1,$CZ112=1),AB112,0))</f>
        <v>x</v>
      </c>
      <c r="AC295" s="46" t="str">
        <f>IF(AC112=-1,"x",IF(OR(AC210=1,AC$197=1,$CX112=1),AC112,0))</f>
        <v>x</v>
      </c>
      <c r="AD295" s="45" t="str">
        <f>IF(AD112=-1,"x",IF(OR(AD210=1,AD$197=1,$CY112=1),AD112,0))</f>
        <v>x</v>
      </c>
      <c r="AE295" s="48" t="str">
        <f>IF(AE112=-1,"x",IF(OR(AE210=1,AE$197=1,$CZ112=1),AE112,0))</f>
        <v>x</v>
      </c>
      <c r="AF295" s="44" t="str">
        <f>IF(AF112=-1,"x",IF(OR(AF210=1,AF$197=1,$CX112=1),AF112,0))</f>
        <v>x</v>
      </c>
      <c r="AG295" s="45" t="str">
        <f>IF(AG112=-1,"x",IF(OR(AG210=1,AG$197=1,$CY112=1),AG112,0))</f>
        <v>x</v>
      </c>
      <c r="AH295" s="47" t="str">
        <f>IF(AH112=-1,"x",IF(OR(AH210=1,AH$197=1,$CZ112=1),AH112,0))</f>
        <v>x</v>
      </c>
      <c r="AI295" s="46" t="str">
        <f>IF(AI112=-1,"x",IF(OR(AI210=1,AI$197=1,$CX112=1),AI112,0))</f>
        <v>x</v>
      </c>
      <c r="AJ295" s="45" t="str">
        <f>IF(AJ112=-1,"x",IF(OR(AJ210=1,AJ$197=1,$CY112=1),AJ112,0))</f>
        <v>x</v>
      </c>
      <c r="AK295" s="47" t="str">
        <f>IF(AK112=-1,"x",IF(OR(AK210=1,AK$197=1,$CZ112=1),AK112,0))</f>
        <v>x</v>
      </c>
      <c r="AL295" s="46" t="str">
        <f>IF(AL112=-1,"x",IF(OR(AL210=1,AL$197=1,$CX112=1),AL112,0))</f>
        <v>x</v>
      </c>
      <c r="AM295" s="45" t="str">
        <f>IF(AM112=-1,"x",IF(OR(AM210=1,AM$197=1,$CY112=1),AM112,0))</f>
        <v>x</v>
      </c>
      <c r="AN295" s="100" t="str">
        <f>IF(AN112=-1,"x",IF(OR(AN210=1,AN$197=1,$CZ112=1),AN112,0))</f>
        <v>x</v>
      </c>
      <c r="AO295" s="99" t="str">
        <f>IF(AO112=-1,"x",IF(OR(AO210=1,AO$197=1,$CX112=1),AO112,0))</f>
        <v>x</v>
      </c>
      <c r="AP295" s="45" t="str">
        <f>IF(AP112=-1,"x",IF(OR(AP210=1,AP$197=1,$CY112=1),AP112,0))</f>
        <v>x</v>
      </c>
      <c r="AQ295" s="47" t="str">
        <f>IF(AQ112=-1,"x",IF(OR(AQ210=1,AQ$197=1,$CZ112=1),AQ112,0))</f>
        <v>x</v>
      </c>
      <c r="AR295" s="46" t="str">
        <f>IF(AR112=-1,"x",IF(OR(AR210=1,AR$197=1,$CX112=1),AR112,0))</f>
        <v>x</v>
      </c>
      <c r="AS295" s="45" t="str">
        <f>IF(AS112=-1,"x",IF(OR(AS210=1,AS$197=1,$CY112=1),AS112,0))</f>
        <v>x</v>
      </c>
      <c r="AT295" s="47" t="str">
        <f>IF(AT112=-1,"x",IF(OR(AT210=1,AT$197=1,$CZ112=1),AT112,0))</f>
        <v>x</v>
      </c>
      <c r="AU295" s="46" t="str">
        <f>IF(AU112=-1,"x",IF(OR(AU210=1,AU$197=1,$CX112=1),AU112,0))</f>
        <v>x</v>
      </c>
      <c r="AV295" s="45" t="str">
        <f>IF(AV112=-1,"x",IF(OR(AV210=1,AV$197=1,$CY112=1),AV112,0))</f>
        <v>x</v>
      </c>
      <c r="AW295" s="48" t="str">
        <f>IF(AW112=-1,"x",IF(OR(AW210=1,AW$197=1,$CZ112=1),AW112,0))</f>
        <v>x</v>
      </c>
      <c r="AX295" s="44">
        <f>IF(AX112=-1,"x",IF(OR(AX210=1,AX$197=1,$CX112=1),AX112,0))</f>
        <v>0</v>
      </c>
      <c r="AY295" s="45">
        <f>IF(AY112=-1,"x",IF(OR(AY210=1,AY$197=1,$CY112=1),AY112,0))</f>
        <v>0</v>
      </c>
      <c r="AZ295" s="47">
        <f>IF(AZ112=-1,"x",IF(OR(AZ210=1,AZ$197=1,$CZ112=1),AZ112,0))</f>
        <v>0</v>
      </c>
      <c r="BA295" s="46">
        <f>IF(BA112=-1,"x",IF(OR(BA210=1,BA$197=1,$CX112=1),BA112,0))</f>
        <v>0</v>
      </c>
      <c r="BB295" s="45">
        <f>IF(BB112=-1,"x",IF(OR(BB210=1,BB$197=1,$CY112=1),BB112,0))</f>
        <v>0</v>
      </c>
      <c r="BC295" s="47">
        <f>IF(BC112=-1,"x",IF(OR(BC210=1,BC$197=1,$CZ112=1),BC112,0))</f>
        <v>0</v>
      </c>
      <c r="BD295" s="46" t="str">
        <f>IF(BD112=-1,"x",IF(OR(BD210=1,BD$197=1,$CX112=1),BD112,0))</f>
        <v>x</v>
      </c>
      <c r="BE295" s="45" t="str">
        <f>IF(BE112=-1,"x",IF(OR(BE210=1,BE$197=1,$CY112=1),BE112,0))</f>
        <v>x</v>
      </c>
      <c r="BF295" s="48" t="str">
        <f>IF(BF112=-1,"x",IF(OR(BF210=1,BF$197=1,$CZ112=1),BF112,0))</f>
        <v>x</v>
      </c>
      <c r="BG295" s="44" t="str">
        <f>IF(BG112=-1,"x",IF(OR(BG210=1,BG$197=1,$CX112=1),BG112,0))</f>
        <v>x</v>
      </c>
      <c r="BH295" s="45" t="str">
        <f>IF(BH112=-1,"x",IF(OR(BH210=1,BH$197=1,$CY112=1),BH112,0))</f>
        <v>x</v>
      </c>
      <c r="BI295" s="47" t="str">
        <f>IF(BI112=-1,"x",IF(OR(BI210=1,BI$197=1,$CZ112=1),BI112,0))</f>
        <v>x</v>
      </c>
      <c r="BJ295" s="46" t="str">
        <f>IF(BJ112=-1,"x",IF(OR(BJ210=1,BJ$197=1,$CX112=1),BJ112,0))</f>
        <v>x</v>
      </c>
      <c r="BK295" s="45" t="str">
        <f>IF(BK112=-1,"x",IF(OR(BK210=1,BK$197=1,$CY112=1),BK112,0))</f>
        <v>x</v>
      </c>
      <c r="BL295" s="47" t="str">
        <f>IF(BL112=-1,"x",IF(OR(BL210=1,BL$197=1,$CZ112=1),BL112,0))</f>
        <v>x</v>
      </c>
      <c r="BM295" s="46" t="str">
        <f>IF(BM112=-1,"x",IF(OR(BM210=1,BM$197=1,$CX112=1),BM112,0))</f>
        <v>x</v>
      </c>
      <c r="BN295" s="45" t="str">
        <f>IF(BN112=-1,"x",IF(OR(BN210=1,BN$197=1,$CY112=1),BN112,0))</f>
        <v>x</v>
      </c>
      <c r="BO295" s="100" t="str">
        <f>IF(BO112=-1,"x",IF(OR(BO210=1,BO$197=1,$CZ112=1),BO112,0))</f>
        <v>x</v>
      </c>
      <c r="BP295" s="99" t="str">
        <f>IF(BP112=-1,"x",IF(OR(BP210=1,BP$197=1,$CX112=1),BP112,0))</f>
        <v>x</v>
      </c>
      <c r="BQ295" s="45" t="str">
        <f>IF(BQ112=-1,"x",IF(OR(BQ210=1,BQ$197=1,$CY112=1),BQ112,0))</f>
        <v>x</v>
      </c>
      <c r="BR295" s="47" t="str">
        <f>IF(BR112=-1,"x",IF(OR(BR210=1,BR$197=1,$CZ112=1),BR112,0))</f>
        <v>x</v>
      </c>
      <c r="BS295" s="46" t="str">
        <f>IF(BS112=-1,"x",IF(OR(BS210=1,BS$197=1,$CX112=1),BS112,0))</f>
        <v>x</v>
      </c>
      <c r="BT295" s="45" t="str">
        <f>IF(BT112=-1,"x",IF(OR(BT210=1,BT$197=1,$CY112=1),BT112,0))</f>
        <v>x</v>
      </c>
      <c r="BU295" s="47" t="str">
        <f>IF(BU112=-1,"x",IF(OR(BU210=1,BU$197=1,$CZ112=1),BU112,0))</f>
        <v>x</v>
      </c>
      <c r="BV295" s="46" t="str">
        <f>IF(BV112=-1,"x",IF(OR(BV210=1,BV$197=1,$CX112=1),BV112,0))</f>
        <v>x</v>
      </c>
      <c r="BW295" s="45" t="str">
        <f>IF(BW112=-1,"x",IF(OR(BW210=1,BW$197=1,$CY112=1),BW112,0))</f>
        <v>x</v>
      </c>
      <c r="BX295" s="48" t="str">
        <f>IF(BX112=-1,"x",IF(OR(BX210=1,BX$197=1,$CZ112=1),BX112,0))</f>
        <v>x</v>
      </c>
      <c r="BY295" s="44" t="str">
        <f>IF(BY112=-1,"x",IF(OR(BY210=1,BY$197=1,$CX112=1),BY112,0))</f>
        <v>x</v>
      </c>
      <c r="BZ295" s="45" t="str">
        <f>IF(BZ112=-1,"x",IF(OR(BZ210=1,BZ$197=1,$CY112=1),BZ112,0))</f>
        <v>x</v>
      </c>
      <c r="CA295" s="47" t="str">
        <f>IF(CA112=-1,"x",IF(OR(CA210=1,CA$197=1,$CZ112=1),CA112,0))</f>
        <v>x</v>
      </c>
      <c r="CB295" s="46" t="str">
        <f>IF(CB112=-1,"x",IF(OR(CB210=1,CB$197=1,$CX112=1),CB112,0))</f>
        <v>x</v>
      </c>
      <c r="CC295" s="45" t="str">
        <f>IF(CC112=-1,"x",IF(OR(CC210=1,CC$197=1,$CY112=1),CC112,0))</f>
        <v>x</v>
      </c>
      <c r="CD295" s="47" t="str">
        <f>IF(CD112=-1,"x",IF(OR(CD210=1,CD$197=1,$CZ112=1),CD112,0))</f>
        <v>x</v>
      </c>
      <c r="CE295" s="46" t="str">
        <f>IF(CE112=-1,"x",IF(OR(CE210=1,CE$197=1,$CX112=1),CE112,0))</f>
        <v>x</v>
      </c>
      <c r="CF295" s="45" t="str">
        <f>IF(CF112=-1,"x",IF(OR(CF210=1,CF$197=1,$CY112=1),CF112,0))</f>
        <v>x</v>
      </c>
      <c r="CG295" s="48" t="str">
        <f>IF(CG112=-1,"x",IF(OR(CG210=1,CG$197=1,$CZ112=1),CG112,0))</f>
        <v>x</v>
      </c>
      <c r="CH295" s="44" t="str">
        <f>IF(CH112=-1,"x",IF(OR(CH210=1,CH$197=1,$CX112=1),CH112,0))</f>
        <v>x</v>
      </c>
      <c r="CI295" s="45" t="str">
        <f>IF(CI112=-1,"x",IF(OR(CI210=1,CI$197=1,$CY112=1),CI112,0))</f>
        <v>x</v>
      </c>
      <c r="CJ295" s="47" t="str">
        <f>IF(CJ112=-1,"x",IF(OR(CJ210=1,CJ$197=1,$CZ112=1),CJ112,0))</f>
        <v>x</v>
      </c>
      <c r="CK295" s="46" t="str">
        <f>IF(CK112=-1,"x",IF(OR(CK210=1,CK$197=1,$CX112=1),CK112,0))</f>
        <v>x</v>
      </c>
      <c r="CL295" s="45" t="str">
        <f>IF(CL112=-1,"x",IF(OR(CL210=1,CL$197=1,$CY112=1),CL112,0))</f>
        <v>x</v>
      </c>
      <c r="CM295" s="47" t="str">
        <f>IF(CM112=-1,"x",IF(OR(CM210=1,CM$197=1,$CZ112=1),CM112,0))</f>
        <v>x</v>
      </c>
      <c r="CN295" s="46">
        <f>IF(CN112=-1,"x",IF(OR(CN210=1,CN$197=1,$CX112=1),CN112,0))</f>
        <v>0</v>
      </c>
      <c r="CO295" s="45">
        <f>IF(CO112=-1,"x",IF(OR(CO210=1,CO$197=1,$CY112=1),CO112,0))</f>
        <v>0</v>
      </c>
      <c r="CP295" s="100">
        <f>IF(CP112=-1,"x",IF(OR(CP210=1,CP$197=1,$CZ112=1),CP112,0))</f>
        <v>0</v>
      </c>
      <c r="DJ295" s="116">
        <f>DJ292</f>
        <v>6</v>
      </c>
      <c r="DK295" s="116">
        <f t="shared" ref="DK295:FV295" si="1062">DK292</f>
        <v>0</v>
      </c>
      <c r="DL295" s="116">
        <f t="shared" si="1062"/>
        <v>2</v>
      </c>
      <c r="DM295" s="116">
        <f t="shared" si="1062"/>
        <v>6</v>
      </c>
      <c r="DN295" s="116">
        <f t="shared" si="1062"/>
        <v>0</v>
      </c>
      <c r="DO295" s="116">
        <f t="shared" si="1062"/>
        <v>2</v>
      </c>
      <c r="DP295" s="116">
        <f t="shared" si="1062"/>
        <v>6</v>
      </c>
      <c r="DQ295" s="116">
        <f t="shared" si="1062"/>
        <v>0</v>
      </c>
      <c r="DR295" s="116">
        <f t="shared" si="1062"/>
        <v>2</v>
      </c>
      <c r="DS295" s="116">
        <f t="shared" si="1062"/>
        <v>6</v>
      </c>
      <c r="DT295" s="116">
        <f t="shared" si="1062"/>
        <v>0</v>
      </c>
      <c r="DU295" s="116">
        <f t="shared" si="1062"/>
        <v>2</v>
      </c>
      <c r="DV295" s="116">
        <f t="shared" si="1062"/>
        <v>6</v>
      </c>
      <c r="DW295" s="116">
        <f t="shared" si="1062"/>
        <v>0</v>
      </c>
      <c r="DX295" s="116">
        <f t="shared" si="1062"/>
        <v>2</v>
      </c>
      <c r="DY295" s="116">
        <f t="shared" si="1062"/>
        <v>6</v>
      </c>
      <c r="DZ295" s="116">
        <f t="shared" si="1062"/>
        <v>0</v>
      </c>
      <c r="EA295" s="116">
        <f t="shared" si="1062"/>
        <v>2</v>
      </c>
      <c r="EB295" s="116">
        <f t="shared" si="1062"/>
        <v>6</v>
      </c>
      <c r="EC295" s="116">
        <f t="shared" si="1062"/>
        <v>0</v>
      </c>
      <c r="ED295" s="116">
        <f t="shared" si="1062"/>
        <v>2</v>
      </c>
      <c r="EE295" s="116">
        <f t="shared" si="1062"/>
        <v>6</v>
      </c>
      <c r="EF295" s="116">
        <f t="shared" si="1062"/>
        <v>0</v>
      </c>
      <c r="EG295" s="116">
        <f t="shared" si="1062"/>
        <v>2</v>
      </c>
      <c r="EH295" s="116">
        <f t="shared" si="1062"/>
        <v>6</v>
      </c>
      <c r="EI295" s="116">
        <f t="shared" si="1062"/>
        <v>0</v>
      </c>
      <c r="EJ295" s="116">
        <f t="shared" si="1062"/>
        <v>2</v>
      </c>
      <c r="EK295" s="116">
        <f t="shared" si="1062"/>
        <v>2</v>
      </c>
      <c r="EL295" s="116">
        <f t="shared" si="1062"/>
        <v>0</v>
      </c>
      <c r="EM295" s="116">
        <f t="shared" si="1062"/>
        <v>2</v>
      </c>
      <c r="EN295" s="116">
        <f t="shared" si="1062"/>
        <v>2</v>
      </c>
      <c r="EO295" s="116">
        <f t="shared" si="1062"/>
        <v>0</v>
      </c>
      <c r="EP295" s="116">
        <f t="shared" si="1062"/>
        <v>2</v>
      </c>
      <c r="EQ295" s="116">
        <f t="shared" si="1062"/>
        <v>2</v>
      </c>
      <c r="ER295" s="116">
        <f t="shared" si="1062"/>
        <v>0</v>
      </c>
      <c r="ES295" s="116">
        <f t="shared" si="1062"/>
        <v>2</v>
      </c>
      <c r="ET295" s="116">
        <f t="shared" si="1062"/>
        <v>2</v>
      </c>
      <c r="EU295" s="116">
        <f t="shared" si="1062"/>
        <v>0</v>
      </c>
      <c r="EV295" s="116">
        <f t="shared" si="1062"/>
        <v>2</v>
      </c>
      <c r="EW295" s="116">
        <f t="shared" si="1062"/>
        <v>2</v>
      </c>
      <c r="EX295" s="116">
        <f t="shared" si="1062"/>
        <v>0</v>
      </c>
      <c r="EY295" s="116">
        <f t="shared" si="1062"/>
        <v>2</v>
      </c>
      <c r="EZ295" s="116">
        <f t="shared" si="1062"/>
        <v>2</v>
      </c>
      <c r="FA295" s="116">
        <f t="shared" si="1062"/>
        <v>0</v>
      </c>
      <c r="FB295" s="116">
        <f t="shared" si="1062"/>
        <v>2</v>
      </c>
      <c r="FC295" s="116">
        <f t="shared" si="1062"/>
        <v>2</v>
      </c>
      <c r="FD295" s="116">
        <f t="shared" si="1062"/>
        <v>0</v>
      </c>
      <c r="FE295" s="116">
        <f t="shared" si="1062"/>
        <v>2</v>
      </c>
      <c r="FF295" s="116">
        <f t="shared" si="1062"/>
        <v>2</v>
      </c>
      <c r="FG295" s="116">
        <f t="shared" si="1062"/>
        <v>0</v>
      </c>
      <c r="FH295" s="116">
        <f t="shared" si="1062"/>
        <v>2</v>
      </c>
      <c r="FI295" s="116">
        <f t="shared" si="1062"/>
        <v>2</v>
      </c>
      <c r="FJ295" s="116">
        <f t="shared" si="1062"/>
        <v>0</v>
      </c>
      <c r="FK295" s="116">
        <f t="shared" si="1062"/>
        <v>2</v>
      </c>
      <c r="FL295" s="116">
        <f t="shared" si="1062"/>
        <v>5</v>
      </c>
      <c r="FM295" s="116">
        <f t="shared" si="1062"/>
        <v>3</v>
      </c>
      <c r="FN295" s="116">
        <f t="shared" si="1062"/>
        <v>7</v>
      </c>
      <c r="FO295" s="116">
        <f t="shared" si="1062"/>
        <v>5</v>
      </c>
      <c r="FP295" s="116">
        <f t="shared" si="1062"/>
        <v>3</v>
      </c>
      <c r="FQ295" s="116">
        <f t="shared" si="1062"/>
        <v>7</v>
      </c>
      <c r="FR295" s="116">
        <f t="shared" si="1062"/>
        <v>5</v>
      </c>
      <c r="FS295" s="116">
        <f t="shared" si="1062"/>
        <v>3</v>
      </c>
      <c r="FT295" s="116">
        <f t="shared" si="1062"/>
        <v>7</v>
      </c>
      <c r="FU295" s="116">
        <f t="shared" si="1062"/>
        <v>5</v>
      </c>
      <c r="FV295" s="116">
        <f t="shared" si="1062"/>
        <v>3</v>
      </c>
      <c r="FW295" s="116">
        <f t="shared" ref="FW295:GL295" si="1063">FW292</f>
        <v>7</v>
      </c>
      <c r="FX295" s="116">
        <f t="shared" si="1063"/>
        <v>5</v>
      </c>
      <c r="FY295" s="116">
        <f t="shared" si="1063"/>
        <v>3</v>
      </c>
      <c r="FZ295" s="116">
        <f t="shared" si="1063"/>
        <v>7</v>
      </c>
      <c r="GA295" s="116">
        <f t="shared" si="1063"/>
        <v>5</v>
      </c>
      <c r="GB295" s="116">
        <f t="shared" si="1063"/>
        <v>3</v>
      </c>
      <c r="GC295" s="116">
        <f t="shared" si="1063"/>
        <v>7</v>
      </c>
      <c r="GD295" s="116">
        <f t="shared" si="1063"/>
        <v>5</v>
      </c>
      <c r="GE295" s="116">
        <f t="shared" si="1063"/>
        <v>3</v>
      </c>
      <c r="GF295" s="116">
        <f t="shared" si="1063"/>
        <v>7</v>
      </c>
      <c r="GG295" s="116">
        <f t="shared" si="1063"/>
        <v>5</v>
      </c>
      <c r="GH295" s="116">
        <f t="shared" si="1063"/>
        <v>3</v>
      </c>
      <c r="GI295" s="116">
        <f t="shared" si="1063"/>
        <v>7</v>
      </c>
      <c r="GJ295" s="116">
        <f t="shared" si="1063"/>
        <v>5</v>
      </c>
      <c r="GK295" s="116">
        <f t="shared" si="1063"/>
        <v>3</v>
      </c>
      <c r="GL295" s="116">
        <f t="shared" si="1063"/>
        <v>7</v>
      </c>
    </row>
    <row r="296" spans="14:194" ht="15" customHeight="1">
      <c r="N296" s="104">
        <f>IF(N113=-1,"x",IF(OR(N211=1,N$195=1,$CX113=1),N113,0))</f>
        <v>0</v>
      </c>
      <c r="O296" s="50">
        <f>IF(O113=-1,"x",IF(OR(O211=1,O$195=1,$CY113=1),O113,0))</f>
        <v>0</v>
      </c>
      <c r="P296" s="51">
        <f>IF(P113=-1,"x",IF(OR(P211=1,P$195=1,$CZ113=1),P113,0))</f>
        <v>0</v>
      </c>
      <c r="Q296" s="52" t="str">
        <f>IF(Q113=-1,"x",IF(OR(Q211=1,Q$195=1,$CX113=1),Q113,0))</f>
        <v>x</v>
      </c>
      <c r="R296" s="50" t="str">
        <f>IF(R113=-1,"x",IF(OR(R211=1,R$195=1,$CY113=1),R113,0))</f>
        <v>x</v>
      </c>
      <c r="S296" s="51" t="str">
        <f>IF(S113=-1,"x",IF(OR(S211=1,S$195=1,$CZ113=1),S113,0))</f>
        <v>x</v>
      </c>
      <c r="T296" s="52" t="str">
        <f>IF(T113=-1,"x",IF(OR(T211=1,T$195=1,$CX113=1),T113,0))</f>
        <v>x</v>
      </c>
      <c r="U296" s="50" t="str">
        <f>IF(U113=-1,"x",IF(OR(U211=1,U$195=1,$CY113=1),U113,0))</f>
        <v>x</v>
      </c>
      <c r="V296" s="53" t="str">
        <f>IF(V113=-1,"x",IF(OR(V211=1,V$195=1,$CZ113=1),V113,0))</f>
        <v>x</v>
      </c>
      <c r="W296" s="49" t="str">
        <f>IF(W113=-1,"x",IF(OR(W211=1,W$195=1,$CX113=1),W113,0))</f>
        <v>x</v>
      </c>
      <c r="X296" s="50" t="str">
        <f>IF(X113=-1,"x",IF(OR(X211=1,X$195=1,$CY113=1),X113,0))</f>
        <v>x</v>
      </c>
      <c r="Y296" s="51" t="str">
        <f>IF(Y113=-1,"x",IF(OR(Y211=1,Y$195=1,$CZ113=1),Y113,0))</f>
        <v>x</v>
      </c>
      <c r="Z296" s="52" t="str">
        <f>IF(Z113=-1,"x",IF(OR(Z211=1,Z$195=1,$CX113=1),Z113,0))</f>
        <v>x</v>
      </c>
      <c r="AA296" s="50" t="str">
        <f>IF(AA113=-1,"x",IF(OR(AA211=1,AA$195=1,$CY113=1),AA113,0))</f>
        <v>x</v>
      </c>
      <c r="AB296" s="51" t="str">
        <f>IF(AB113=-1,"x",IF(OR(AB211=1,AB$195=1,$CZ113=1),AB113,0))</f>
        <v>x</v>
      </c>
      <c r="AC296" s="52" t="str">
        <f>IF(AC113=-1,"x",IF(OR(AC211=1,AC$195=1,$CX113=1),AC113,0))</f>
        <v>x</v>
      </c>
      <c r="AD296" s="50" t="str">
        <f>IF(AD113=-1,"x",IF(OR(AD211=1,AD$195=1,$CY113=1),AD113,0))</f>
        <v>x</v>
      </c>
      <c r="AE296" s="53" t="str">
        <f>IF(AE113=-1,"x",IF(OR(AE211=1,AE$195=1,$CZ113=1),AE113,0))</f>
        <v>x</v>
      </c>
      <c r="AF296" s="49" t="str">
        <f>IF(AF113=-1,"x",IF(OR(AF211=1,AF$195=1,$CX113=1),AF113,0))</f>
        <v>x</v>
      </c>
      <c r="AG296" s="50" t="str">
        <f>IF(AG113=-1,"x",IF(OR(AG211=1,AG$195=1,$CY113=1),AG113,0))</f>
        <v>x</v>
      </c>
      <c r="AH296" s="51" t="str">
        <f>IF(AH113=-1,"x",IF(OR(AH211=1,AH$195=1,$CZ113=1),AH113,0))</f>
        <v>x</v>
      </c>
      <c r="AI296" s="52" t="str">
        <f>IF(AI113=-1,"x",IF(OR(AI211=1,AI$195=1,$CX113=1),AI113,0))</f>
        <v>x</v>
      </c>
      <c r="AJ296" s="50" t="str">
        <f>IF(AJ113=-1,"x",IF(OR(AJ211=1,AJ$195=1,$CY113=1),AJ113,0))</f>
        <v>x</v>
      </c>
      <c r="AK296" s="51" t="str">
        <f>IF(AK113=-1,"x",IF(OR(AK211=1,AK$195=1,$CZ113=1),AK113,0))</f>
        <v>x</v>
      </c>
      <c r="AL296" s="52" t="str">
        <f>IF(AL113=-1,"x",IF(OR(AL211=1,AL$195=1,$CX113=1),AL113,0))</f>
        <v>x</v>
      </c>
      <c r="AM296" s="50" t="str">
        <f>IF(AM113=-1,"x",IF(OR(AM211=1,AM$195=1,$CY113=1),AM113,0))</f>
        <v>x</v>
      </c>
      <c r="AN296" s="105" t="str">
        <f>IF(AN113=-1,"x",IF(OR(AN211=1,AN$195=1,$CZ113=1),AN113,0))</f>
        <v>x</v>
      </c>
      <c r="AO296" s="104" t="str">
        <f>IF(AO113=-1,"x",IF(OR(AO211=1,AO$195=1,$CX113=1),AO113,0))</f>
        <v>x</v>
      </c>
      <c r="AP296" s="50" t="str">
        <f>IF(AP113=-1,"x",IF(OR(AP211=1,AP$195=1,$CY113=1),AP113,0))</f>
        <v>x</v>
      </c>
      <c r="AQ296" s="51" t="str">
        <f>IF(AQ113=-1,"x",IF(OR(AQ211=1,AQ$195=1,$CZ113=1),AQ113,0))</f>
        <v>x</v>
      </c>
      <c r="AR296" s="52" t="str">
        <f>IF(AR113=-1,"x",IF(OR(AR211=1,AR$195=1,$CX113=1),AR113,0))</f>
        <v>x</v>
      </c>
      <c r="AS296" s="50" t="str">
        <f>IF(AS113=-1,"x",IF(OR(AS211=1,AS$195=1,$CY113=1),AS113,0))</f>
        <v>x</v>
      </c>
      <c r="AT296" s="51" t="str">
        <f>IF(AT113=-1,"x",IF(OR(AT211=1,AT$195=1,$CZ113=1),AT113,0))</f>
        <v>x</v>
      </c>
      <c r="AU296" s="52">
        <f>IF(AU113=-1,"x",IF(OR(AU211=1,AU$195=1,$CX113=1),AU113,0))</f>
        <v>0</v>
      </c>
      <c r="AV296" s="50">
        <f>IF(AV113=-1,"x",IF(OR(AV211=1,AV$195=1,$CY113=1),AV113,0))</f>
        <v>0</v>
      </c>
      <c r="AW296" s="53">
        <f>IF(AW113=-1,"x",IF(OR(AW211=1,AW$195=1,$CZ113=1),AW113,0))</f>
        <v>0</v>
      </c>
      <c r="AX296" s="49" t="str">
        <f>IF(AX113=-1,"x",IF(OR(AX211=1,AX$195=1,$CX113=1),AX113,0))</f>
        <v>x</v>
      </c>
      <c r="AY296" s="50" t="str">
        <f>IF(AY113=-1,"x",IF(OR(AY211=1,AY$195=1,$CY113=1),AY113,0))</f>
        <v>x</v>
      </c>
      <c r="AZ296" s="51" t="str">
        <f>IF(AZ113=-1,"x",IF(OR(AZ211=1,AZ$195=1,$CZ113=1),AZ113,0))</f>
        <v>x</v>
      </c>
      <c r="BA296" s="52" t="str">
        <f>IF(BA113=-1,"x",IF(OR(BA211=1,BA$195=1,$CX113=1),BA113,0))</f>
        <v>x</v>
      </c>
      <c r="BB296" s="50" t="str">
        <f>IF(BB113=-1,"x",IF(OR(BB211=1,BB$195=1,$CY113=1),BB113,0))</f>
        <v>x</v>
      </c>
      <c r="BC296" s="51" t="str">
        <f>IF(BC113=-1,"x",IF(OR(BC211=1,BC$195=1,$CZ113=1),BC113,0))</f>
        <v>x</v>
      </c>
      <c r="BD296" s="52" t="str">
        <f>IF(BD113=-1,"x",IF(OR(BD211=1,BD$195=1,$CX113=1),BD113,0))</f>
        <v>x</v>
      </c>
      <c r="BE296" s="50" t="str">
        <f>IF(BE113=-1,"x",IF(OR(BE211=1,BE$195=1,$CY113=1),BE113,0))</f>
        <v>x</v>
      </c>
      <c r="BF296" s="53" t="str">
        <f>IF(BF113=-1,"x",IF(OR(BF211=1,BF$195=1,$CZ113=1),BF113,0))</f>
        <v>x</v>
      </c>
      <c r="BG296" s="49" t="str">
        <f>IF(BG113=-1,"x",IF(OR(BG211=1,BG$195=1,$CX113=1),BG113,0))</f>
        <v>x</v>
      </c>
      <c r="BH296" s="50" t="str">
        <f>IF(BH113=-1,"x",IF(OR(BH211=1,BH$195=1,$CY113=1),BH113,0))</f>
        <v>x</v>
      </c>
      <c r="BI296" s="51" t="str">
        <f>IF(BI113=-1,"x",IF(OR(BI211=1,BI$195=1,$CZ113=1),BI113,0))</f>
        <v>x</v>
      </c>
      <c r="BJ296" s="52" t="str">
        <f>IF(BJ113=-1,"x",IF(OR(BJ211=1,BJ$195=1,$CX113=1),BJ113,0))</f>
        <v>x</v>
      </c>
      <c r="BK296" s="50" t="str">
        <f>IF(BK113=-1,"x",IF(OR(BK211=1,BK$195=1,$CY113=1),BK113,0))</f>
        <v>x</v>
      </c>
      <c r="BL296" s="51" t="str">
        <f>IF(BL113=-1,"x",IF(OR(BL211=1,BL$195=1,$CZ113=1),BL113,0))</f>
        <v>x</v>
      </c>
      <c r="BM296" s="52" t="str">
        <f>IF(BM113=-1,"x",IF(OR(BM211=1,BM$195=1,$CX113=1),BM113,0))</f>
        <v>x</v>
      </c>
      <c r="BN296" s="50" t="str">
        <f>IF(BN113=-1,"x",IF(OR(BN211=1,BN$195=1,$CY113=1),BN113,0))</f>
        <v>x</v>
      </c>
      <c r="BO296" s="105" t="str">
        <f>IF(BO113=-1,"x",IF(OR(BO211=1,BO$195=1,$CZ113=1),BO113,0))</f>
        <v>x</v>
      </c>
      <c r="BP296" s="104" t="str">
        <f>IF(BP113=-1,"x",IF(OR(BP211=1,BP$195=1,$CX113=1),BP113,0))</f>
        <v>x</v>
      </c>
      <c r="BQ296" s="50" t="str">
        <f>IF(BQ113=-1,"x",IF(OR(BQ211=1,BQ$195=1,$CY113=1),BQ113,0))</f>
        <v>x</v>
      </c>
      <c r="BR296" s="51" t="str">
        <f>IF(BR113=-1,"x",IF(OR(BR211=1,BR$195=1,$CZ113=1),BR113,0))</f>
        <v>x</v>
      </c>
      <c r="BS296" s="52" t="str">
        <f>IF(BS113=-1,"x",IF(OR(BS211=1,BS$195=1,$CX113=1),BS113,0))</f>
        <v>x</v>
      </c>
      <c r="BT296" s="50" t="str">
        <f>IF(BT113=-1,"x",IF(OR(BT211=1,BT$195=1,$CY113=1),BT113,0))</f>
        <v>x</v>
      </c>
      <c r="BU296" s="51" t="str">
        <f>IF(BU113=-1,"x",IF(OR(BU211=1,BU$195=1,$CZ113=1),BU113,0))</f>
        <v>x</v>
      </c>
      <c r="BV296" s="52" t="str">
        <f>IF(BV113=-1,"x",IF(OR(BV211=1,BV$195=1,$CX113=1),BV113,0))</f>
        <v>x</v>
      </c>
      <c r="BW296" s="50" t="str">
        <f>IF(BW113=-1,"x",IF(OR(BW211=1,BW$195=1,$CY113=1),BW113,0))</f>
        <v>x</v>
      </c>
      <c r="BX296" s="53" t="str">
        <f>IF(BX113=-1,"x",IF(OR(BX211=1,BX$195=1,$CZ113=1),BX113,0))</f>
        <v>x</v>
      </c>
      <c r="BY296" s="49" t="str">
        <f>IF(BY113=-1,"x",IF(OR(BY211=1,BY$195=1,$CX113=1),BY113,0))</f>
        <v>x</v>
      </c>
      <c r="BZ296" s="50" t="str">
        <f>IF(BZ113=-1,"x",IF(OR(BZ211=1,BZ$195=1,$CY113=1),BZ113,0))</f>
        <v>x</v>
      </c>
      <c r="CA296" s="51" t="str">
        <f>IF(CA113=-1,"x",IF(OR(CA211=1,CA$195=1,$CZ113=1),CA113,0))</f>
        <v>x</v>
      </c>
      <c r="CB296" s="52" t="str">
        <f>IF(CB113=-1,"x",IF(OR(CB211=1,CB$195=1,$CX113=1),CB113,0))</f>
        <v>x</v>
      </c>
      <c r="CC296" s="50" t="str">
        <f>IF(CC113=-1,"x",IF(OR(CC211=1,CC$195=1,$CY113=1),CC113,0))</f>
        <v>x</v>
      </c>
      <c r="CD296" s="51" t="str">
        <f>IF(CD113=-1,"x",IF(OR(CD211=1,CD$195=1,$CZ113=1),CD113,0))</f>
        <v>x</v>
      </c>
      <c r="CE296" s="52" t="str">
        <f>IF(CE113=-1,"x",IF(OR(CE211=1,CE$195=1,$CX113=1),CE113,0))</f>
        <v>x</v>
      </c>
      <c r="CF296" s="50" t="str">
        <f>IF(CF113=-1,"x",IF(OR(CF211=1,CF$195=1,$CY113=1),CF113,0))</f>
        <v>x</v>
      </c>
      <c r="CG296" s="53" t="str">
        <f>IF(CG113=-1,"x",IF(OR(CG211=1,CG$195=1,$CZ113=1),CG113,0))</f>
        <v>x</v>
      </c>
      <c r="CH296" s="49" t="str">
        <f>IF(CH113=-1,"x",IF(OR(CH211=1,CH$195=1,$CX113=1),CH113,0))</f>
        <v>x</v>
      </c>
      <c r="CI296" s="50" t="str">
        <f>IF(CI113=-1,"x",IF(OR(CI211=1,CI$195=1,$CY113=1),CI113,0))</f>
        <v>x</v>
      </c>
      <c r="CJ296" s="51" t="str">
        <f>IF(CJ113=-1,"x",IF(OR(CJ211=1,CJ$195=1,$CZ113=1),CJ113,0))</f>
        <v>x</v>
      </c>
      <c r="CK296" s="52">
        <f>IF(CK113=-1,"x",IF(OR(CK211=1,CK$195=1,$CX113=1),CK113,0))</f>
        <v>0</v>
      </c>
      <c r="CL296" s="50">
        <f>IF(CL113=-1,"x",IF(OR(CL211=1,CL$195=1,$CY113=1),CL113,0))</f>
        <v>0</v>
      </c>
      <c r="CM296" s="51">
        <f>IF(CM113=-1,"x",IF(OR(CM211=1,CM$195=1,$CZ113=1),CM113,0))</f>
        <v>0</v>
      </c>
      <c r="CN296" s="52">
        <f>IF(CN113=-1,"x",IF(OR(CN211=1,CN$195=1,$CX113=1),CN113,0))</f>
        <v>0</v>
      </c>
      <c r="CO296" s="50">
        <f>IF(CO113=-1,"x",IF(OR(CO211=1,CO$195=1,$CY113=1),CO113,0))</f>
        <v>0</v>
      </c>
      <c r="CP296" s="105">
        <f>IF(CP113=-1,"x",IF(OR(CP211=1,CP$195=1,$CZ113=1),CP113,0))</f>
        <v>0</v>
      </c>
      <c r="DJ296" s="116">
        <f t="shared" ref="DJ296:FU296" si="1064">DJ293</f>
        <v>6</v>
      </c>
      <c r="DK296" s="116">
        <f t="shared" si="1064"/>
        <v>1</v>
      </c>
      <c r="DL296" s="116">
        <f t="shared" si="1064"/>
        <v>4</v>
      </c>
      <c r="DM296" s="116">
        <f t="shared" si="1064"/>
        <v>6</v>
      </c>
      <c r="DN296" s="116">
        <f t="shared" si="1064"/>
        <v>1</v>
      </c>
      <c r="DO296" s="116">
        <f t="shared" si="1064"/>
        <v>4</v>
      </c>
      <c r="DP296" s="116">
        <f t="shared" si="1064"/>
        <v>6</v>
      </c>
      <c r="DQ296" s="116">
        <f t="shared" si="1064"/>
        <v>1</v>
      </c>
      <c r="DR296" s="116">
        <f t="shared" si="1064"/>
        <v>4</v>
      </c>
      <c r="DS296" s="116">
        <f t="shared" si="1064"/>
        <v>6</v>
      </c>
      <c r="DT296" s="116">
        <f t="shared" si="1064"/>
        <v>1</v>
      </c>
      <c r="DU296" s="116">
        <f t="shared" si="1064"/>
        <v>4</v>
      </c>
      <c r="DV296" s="116">
        <f t="shared" si="1064"/>
        <v>6</v>
      </c>
      <c r="DW296" s="116">
        <f t="shared" si="1064"/>
        <v>1</v>
      </c>
      <c r="DX296" s="116">
        <f t="shared" si="1064"/>
        <v>4</v>
      </c>
      <c r="DY296" s="116">
        <f t="shared" si="1064"/>
        <v>6</v>
      </c>
      <c r="DZ296" s="116">
        <f t="shared" si="1064"/>
        <v>1</v>
      </c>
      <c r="EA296" s="116">
        <f t="shared" si="1064"/>
        <v>4</v>
      </c>
      <c r="EB296" s="116">
        <f t="shared" si="1064"/>
        <v>6</v>
      </c>
      <c r="EC296" s="116">
        <f t="shared" si="1064"/>
        <v>1</v>
      </c>
      <c r="ED296" s="116">
        <f t="shared" si="1064"/>
        <v>4</v>
      </c>
      <c r="EE296" s="116">
        <f t="shared" si="1064"/>
        <v>6</v>
      </c>
      <c r="EF296" s="116">
        <f t="shared" si="1064"/>
        <v>1</v>
      </c>
      <c r="EG296" s="116">
        <f t="shared" si="1064"/>
        <v>4</v>
      </c>
      <c r="EH296" s="116">
        <f t="shared" si="1064"/>
        <v>6</v>
      </c>
      <c r="EI296" s="116">
        <f t="shared" si="1064"/>
        <v>1</v>
      </c>
      <c r="EJ296" s="116">
        <f t="shared" si="1064"/>
        <v>4</v>
      </c>
      <c r="EK296" s="116">
        <f t="shared" si="1064"/>
        <v>1</v>
      </c>
      <c r="EL296" s="116">
        <f t="shared" si="1064"/>
        <v>0</v>
      </c>
      <c r="EM296" s="116">
        <f t="shared" si="1064"/>
        <v>0</v>
      </c>
      <c r="EN296" s="116">
        <f t="shared" si="1064"/>
        <v>1</v>
      </c>
      <c r="EO296" s="116">
        <f t="shared" si="1064"/>
        <v>0</v>
      </c>
      <c r="EP296" s="116">
        <f t="shared" si="1064"/>
        <v>0</v>
      </c>
      <c r="EQ296" s="116">
        <f t="shared" si="1064"/>
        <v>1</v>
      </c>
      <c r="ER296" s="116">
        <f t="shared" si="1064"/>
        <v>0</v>
      </c>
      <c r="ES296" s="116">
        <f t="shared" si="1064"/>
        <v>0</v>
      </c>
      <c r="ET296" s="116">
        <f t="shared" si="1064"/>
        <v>1</v>
      </c>
      <c r="EU296" s="116">
        <f t="shared" si="1064"/>
        <v>0</v>
      </c>
      <c r="EV296" s="116">
        <f t="shared" si="1064"/>
        <v>0</v>
      </c>
      <c r="EW296" s="116">
        <f t="shared" si="1064"/>
        <v>1</v>
      </c>
      <c r="EX296" s="116">
        <f t="shared" si="1064"/>
        <v>0</v>
      </c>
      <c r="EY296" s="116">
        <f t="shared" si="1064"/>
        <v>0</v>
      </c>
      <c r="EZ296" s="116">
        <f t="shared" si="1064"/>
        <v>1</v>
      </c>
      <c r="FA296" s="116">
        <f t="shared" si="1064"/>
        <v>0</v>
      </c>
      <c r="FB296" s="116">
        <f t="shared" si="1064"/>
        <v>0</v>
      </c>
      <c r="FC296" s="116">
        <f t="shared" si="1064"/>
        <v>1</v>
      </c>
      <c r="FD296" s="116">
        <f t="shared" si="1064"/>
        <v>0</v>
      </c>
      <c r="FE296" s="116">
        <f t="shared" si="1064"/>
        <v>0</v>
      </c>
      <c r="FF296" s="116">
        <f t="shared" si="1064"/>
        <v>1</v>
      </c>
      <c r="FG296" s="116">
        <f t="shared" si="1064"/>
        <v>0</v>
      </c>
      <c r="FH296" s="116">
        <f t="shared" si="1064"/>
        <v>0</v>
      </c>
      <c r="FI296" s="116">
        <f t="shared" si="1064"/>
        <v>1</v>
      </c>
      <c r="FJ296" s="116">
        <f t="shared" si="1064"/>
        <v>0</v>
      </c>
      <c r="FK296" s="116">
        <f t="shared" si="1064"/>
        <v>0</v>
      </c>
      <c r="FL296" s="116">
        <f t="shared" si="1064"/>
        <v>2</v>
      </c>
      <c r="FM296" s="116">
        <f t="shared" si="1064"/>
        <v>0</v>
      </c>
      <c r="FN296" s="116">
        <f t="shared" si="1064"/>
        <v>2</v>
      </c>
      <c r="FO296" s="116">
        <f t="shared" si="1064"/>
        <v>2</v>
      </c>
      <c r="FP296" s="116">
        <f t="shared" si="1064"/>
        <v>0</v>
      </c>
      <c r="FQ296" s="116">
        <f t="shared" si="1064"/>
        <v>2</v>
      </c>
      <c r="FR296" s="116">
        <f t="shared" si="1064"/>
        <v>2</v>
      </c>
      <c r="FS296" s="116">
        <f t="shared" si="1064"/>
        <v>0</v>
      </c>
      <c r="FT296" s="116">
        <f t="shared" si="1064"/>
        <v>2</v>
      </c>
      <c r="FU296" s="116">
        <f t="shared" si="1064"/>
        <v>2</v>
      </c>
      <c r="FV296" s="116">
        <f t="shared" ref="FV296:GL296" si="1065">FV293</f>
        <v>0</v>
      </c>
      <c r="FW296" s="116">
        <f t="shared" si="1065"/>
        <v>2</v>
      </c>
      <c r="FX296" s="116">
        <f t="shared" si="1065"/>
        <v>2</v>
      </c>
      <c r="FY296" s="116">
        <f t="shared" si="1065"/>
        <v>0</v>
      </c>
      <c r="FZ296" s="116">
        <f t="shared" si="1065"/>
        <v>2</v>
      </c>
      <c r="GA296" s="116">
        <f t="shared" si="1065"/>
        <v>2</v>
      </c>
      <c r="GB296" s="116">
        <f t="shared" si="1065"/>
        <v>0</v>
      </c>
      <c r="GC296" s="116">
        <f t="shared" si="1065"/>
        <v>2</v>
      </c>
      <c r="GD296" s="116">
        <f t="shared" si="1065"/>
        <v>2</v>
      </c>
      <c r="GE296" s="116">
        <f t="shared" si="1065"/>
        <v>0</v>
      </c>
      <c r="GF296" s="116">
        <f t="shared" si="1065"/>
        <v>2</v>
      </c>
      <c r="GG296" s="116">
        <f t="shared" si="1065"/>
        <v>2</v>
      </c>
      <c r="GH296" s="116">
        <f t="shared" si="1065"/>
        <v>0</v>
      </c>
      <c r="GI296" s="116">
        <f t="shared" si="1065"/>
        <v>2</v>
      </c>
      <c r="GJ296" s="116">
        <f t="shared" si="1065"/>
        <v>2</v>
      </c>
      <c r="GK296" s="116">
        <f t="shared" si="1065"/>
        <v>0</v>
      </c>
      <c r="GL296" s="116">
        <f t="shared" si="1065"/>
        <v>2</v>
      </c>
    </row>
    <row r="297" spans="14:194" ht="15" customHeight="1">
      <c r="N297" s="94">
        <f>IF(N114=-1,"x",IF(OR(N212=1,N$196=1,$CX114=1),N114,0))</f>
        <v>0</v>
      </c>
      <c r="O297" s="39">
        <f>IF(O114=-1,"x",IF(OR(O212=1,O$196=1,$CY114=1),O114,0))</f>
        <v>0</v>
      </c>
      <c r="P297" s="41">
        <f>IF(P114=-1,"x",IF(OR(P212=1,P$196=1,$CZ114=1),P114,0))</f>
        <v>0</v>
      </c>
      <c r="Q297" s="40" t="str">
        <f>IF(Q114=-1,"x",IF(OR(Q212=1,Q$196=1,$CX114=1),Q114,0))</f>
        <v>x</v>
      </c>
      <c r="R297" s="39" t="str">
        <f>IF(R114=-1,"x",IF(OR(R212=1,R$196=1,$CY114=1),R114,0))</f>
        <v>x</v>
      </c>
      <c r="S297" s="41" t="str">
        <f>IF(S114=-1,"x",IF(OR(S212=1,S$196=1,$CZ114=1),S114,0))</f>
        <v>x</v>
      </c>
      <c r="T297" s="40" t="str">
        <f>IF(T114=-1,"x",IF(OR(T212=1,T$196=1,$CX114=1),T114,0))</f>
        <v>x</v>
      </c>
      <c r="U297" s="39" t="str">
        <f>IF(U114=-1,"x",IF(OR(U212=1,U$196=1,$CY114=1),U114,0))</f>
        <v>x</v>
      </c>
      <c r="V297" s="42" t="str">
        <f>IF(V114=-1,"x",IF(OR(V212=1,V$196=1,$CZ114=1),V114,0))</f>
        <v>x</v>
      </c>
      <c r="W297" s="43" t="str">
        <f>IF(W114=-1,"x",IF(OR(W212=1,W$196=1,$CX114=1),W114,0))</f>
        <v>x</v>
      </c>
      <c r="X297" s="39" t="str">
        <f>IF(X114=-1,"x",IF(OR(X212=1,X$196=1,$CY114=1),X114,0))</f>
        <v>x</v>
      </c>
      <c r="Y297" s="41" t="str">
        <f>IF(Y114=-1,"x",IF(OR(Y212=1,Y$196=1,$CZ114=1),Y114,0))</f>
        <v>x</v>
      </c>
      <c r="Z297" s="40" t="str">
        <f>IF(Z114=-1,"x",IF(OR(Z212=1,Z$196=1,$CX114=1),Z114,0))</f>
        <v>x</v>
      </c>
      <c r="AA297" s="39" t="str">
        <f>IF(AA114=-1,"x",IF(OR(AA212=1,AA$196=1,$CY114=1),AA114,0))</f>
        <v>x</v>
      </c>
      <c r="AB297" s="41" t="str">
        <f>IF(AB114=-1,"x",IF(OR(AB212=1,AB$196=1,$CZ114=1),AB114,0))</f>
        <v>x</v>
      </c>
      <c r="AC297" s="40" t="str">
        <f>IF(AC114=-1,"x",IF(OR(AC212=1,AC$196=1,$CX114=1),AC114,0))</f>
        <v>x</v>
      </c>
      <c r="AD297" s="39" t="str">
        <f>IF(AD114=-1,"x",IF(OR(AD212=1,AD$196=1,$CY114=1),AD114,0))</f>
        <v>x</v>
      </c>
      <c r="AE297" s="42" t="str">
        <f>IF(AE114=-1,"x",IF(OR(AE212=1,AE$196=1,$CZ114=1),AE114,0))</f>
        <v>x</v>
      </c>
      <c r="AF297" s="43" t="str">
        <f>IF(AF114=-1,"x",IF(OR(AF212=1,AF$196=1,$CX114=1),AF114,0))</f>
        <v>x</v>
      </c>
      <c r="AG297" s="39" t="str">
        <f>IF(AG114=-1,"x",IF(OR(AG212=1,AG$196=1,$CY114=1),AG114,0))</f>
        <v>x</v>
      </c>
      <c r="AH297" s="41" t="str">
        <f>IF(AH114=-1,"x",IF(OR(AH212=1,AH$196=1,$CZ114=1),AH114,0))</f>
        <v>x</v>
      </c>
      <c r="AI297" s="40" t="str">
        <f>IF(AI114=-1,"x",IF(OR(AI212=1,AI$196=1,$CX114=1),AI114,0))</f>
        <v>x</v>
      </c>
      <c r="AJ297" s="39" t="str">
        <f>IF(AJ114=-1,"x",IF(OR(AJ212=1,AJ$196=1,$CY114=1),AJ114,0))</f>
        <v>x</v>
      </c>
      <c r="AK297" s="41" t="str">
        <f>IF(AK114=-1,"x",IF(OR(AK212=1,AK$196=1,$CZ114=1),AK114,0))</f>
        <v>x</v>
      </c>
      <c r="AL297" s="40" t="str">
        <f>IF(AL114=-1,"x",IF(OR(AL212=1,AL$196=1,$CX114=1),AL114,0))</f>
        <v>x</v>
      </c>
      <c r="AM297" s="39" t="str">
        <f>IF(AM114=-1,"x",IF(OR(AM212=1,AM$196=1,$CY114=1),AM114,0))</f>
        <v>x</v>
      </c>
      <c r="AN297" s="95" t="str">
        <f>IF(AN114=-1,"x",IF(OR(AN212=1,AN$196=1,$CZ114=1),AN114,0))</f>
        <v>x</v>
      </c>
      <c r="AO297" s="94" t="str">
        <f>IF(AO114=-1,"x",IF(OR(AO212=1,AO$196=1,$CX114=1),AO114,0))</f>
        <v>x</v>
      </c>
      <c r="AP297" s="39" t="str">
        <f>IF(AP114=-1,"x",IF(OR(AP212=1,AP$196=1,$CY114=1),AP114,0))</f>
        <v>x</v>
      </c>
      <c r="AQ297" s="41" t="str">
        <f>IF(AQ114=-1,"x",IF(OR(AQ212=1,AQ$196=1,$CZ114=1),AQ114,0))</f>
        <v>x</v>
      </c>
      <c r="AR297" s="40" t="str">
        <f>IF(AR114=-1,"x",IF(OR(AR212=1,AR$196=1,$CX114=1),AR114,0))</f>
        <v>x</v>
      </c>
      <c r="AS297" s="39" t="str">
        <f>IF(AS114=-1,"x",IF(OR(AS212=1,AS$196=1,$CY114=1),AS114,0))</f>
        <v>x</v>
      </c>
      <c r="AT297" s="41" t="str">
        <f>IF(AT114=-1,"x",IF(OR(AT212=1,AT$196=1,$CZ114=1),AT114,0))</f>
        <v>x</v>
      </c>
      <c r="AU297" s="40">
        <f>IF(AU114=-1,"x",IF(OR(AU212=1,AU$196=1,$CX114=1),AU114,0))</f>
        <v>0</v>
      </c>
      <c r="AV297" s="39">
        <f>IF(AV114=-1,"x",IF(OR(AV212=1,AV$196=1,$CY114=1),AV114,0))</f>
        <v>0</v>
      </c>
      <c r="AW297" s="42">
        <f>IF(AW114=-1,"x",IF(OR(AW212=1,AW$196=1,$CZ114=1),AW114,0))</f>
        <v>0</v>
      </c>
      <c r="AX297" s="43" t="str">
        <f>IF(AX114=-1,"x",IF(OR(AX212=1,AX$196=1,$CX114=1),AX114,0))</f>
        <v>x</v>
      </c>
      <c r="AY297" s="39" t="str">
        <f>IF(AY114=-1,"x",IF(OR(AY212=1,AY$196=1,$CY114=1),AY114,0))</f>
        <v>x</v>
      </c>
      <c r="AZ297" s="41" t="str">
        <f>IF(AZ114=-1,"x",IF(OR(AZ212=1,AZ$196=1,$CZ114=1),AZ114,0))</f>
        <v>x</v>
      </c>
      <c r="BA297" s="40" t="str">
        <f>IF(BA114=-1,"x",IF(OR(BA212=1,BA$196=1,$CX114=1),BA114,0))</f>
        <v>x</v>
      </c>
      <c r="BB297" s="39" t="str">
        <f>IF(BB114=-1,"x",IF(OR(BB212=1,BB$196=1,$CY114=1),BB114,0))</f>
        <v>x</v>
      </c>
      <c r="BC297" s="41" t="str">
        <f>IF(BC114=-1,"x",IF(OR(BC212=1,BC$196=1,$CZ114=1),BC114,0))</f>
        <v>x</v>
      </c>
      <c r="BD297" s="40" t="str">
        <f>IF(BD114=-1,"x",IF(OR(BD212=1,BD$196=1,$CX114=1),BD114,0))</f>
        <v>x</v>
      </c>
      <c r="BE297" s="39" t="str">
        <f>IF(BE114=-1,"x",IF(OR(BE212=1,BE$196=1,$CY114=1),BE114,0))</f>
        <v>x</v>
      </c>
      <c r="BF297" s="42" t="str">
        <f>IF(BF114=-1,"x",IF(OR(BF212=1,BF$196=1,$CZ114=1),BF114,0))</f>
        <v>x</v>
      </c>
      <c r="BG297" s="43" t="str">
        <f>IF(BG114=-1,"x",IF(OR(BG212=1,BG$196=1,$CX114=1),BG114,0))</f>
        <v>x</v>
      </c>
      <c r="BH297" s="39" t="str">
        <f>IF(BH114=-1,"x",IF(OR(BH212=1,BH$196=1,$CY114=1),BH114,0))</f>
        <v>x</v>
      </c>
      <c r="BI297" s="41" t="str">
        <f>IF(BI114=-1,"x",IF(OR(BI212=1,BI$196=1,$CZ114=1),BI114,0))</f>
        <v>x</v>
      </c>
      <c r="BJ297" s="40" t="str">
        <f>IF(BJ114=-1,"x",IF(OR(BJ212=1,BJ$196=1,$CX114=1),BJ114,0))</f>
        <v>x</v>
      </c>
      <c r="BK297" s="39" t="str">
        <f>IF(BK114=-1,"x",IF(OR(BK212=1,BK$196=1,$CY114=1),BK114,0))</f>
        <v>x</v>
      </c>
      <c r="BL297" s="41" t="str">
        <f>IF(BL114=-1,"x",IF(OR(BL212=1,BL$196=1,$CZ114=1),BL114,0))</f>
        <v>x</v>
      </c>
      <c r="BM297" s="40" t="str">
        <f>IF(BM114=-1,"x",IF(OR(BM212=1,BM$196=1,$CX114=1),BM114,0))</f>
        <v>x</v>
      </c>
      <c r="BN297" s="39" t="str">
        <f>IF(BN114=-1,"x",IF(OR(BN212=1,BN$196=1,$CY114=1),BN114,0))</f>
        <v>x</v>
      </c>
      <c r="BO297" s="95" t="str">
        <f>IF(BO114=-1,"x",IF(OR(BO212=1,BO$196=1,$CZ114=1),BO114,0))</f>
        <v>x</v>
      </c>
      <c r="BP297" s="94" t="str">
        <f>IF(BP114=-1,"x",IF(OR(BP212=1,BP$196=1,$CX114=1),BP114,0))</f>
        <v>x</v>
      </c>
      <c r="BQ297" s="39" t="str">
        <f>IF(BQ114=-1,"x",IF(OR(BQ212=1,BQ$196=1,$CY114=1),BQ114,0))</f>
        <v>x</v>
      </c>
      <c r="BR297" s="41" t="str">
        <f>IF(BR114=-1,"x",IF(OR(BR212=1,BR$196=1,$CZ114=1),BR114,0))</f>
        <v>x</v>
      </c>
      <c r="BS297" s="40" t="str">
        <f>IF(BS114=-1,"x",IF(OR(BS212=1,BS$196=1,$CX114=1),BS114,0))</f>
        <v>x</v>
      </c>
      <c r="BT297" s="39" t="str">
        <f>IF(BT114=-1,"x",IF(OR(BT212=1,BT$196=1,$CY114=1),BT114,0))</f>
        <v>x</v>
      </c>
      <c r="BU297" s="41" t="str">
        <f>IF(BU114=-1,"x",IF(OR(BU212=1,BU$196=1,$CZ114=1),BU114,0))</f>
        <v>x</v>
      </c>
      <c r="BV297" s="40" t="str">
        <f>IF(BV114=-1,"x",IF(OR(BV212=1,BV$196=1,$CX114=1),BV114,0))</f>
        <v>x</v>
      </c>
      <c r="BW297" s="39" t="str">
        <f>IF(BW114=-1,"x",IF(OR(BW212=1,BW$196=1,$CY114=1),BW114,0))</f>
        <v>x</v>
      </c>
      <c r="BX297" s="42" t="str">
        <f>IF(BX114=-1,"x",IF(OR(BX212=1,BX$196=1,$CZ114=1),BX114,0))</f>
        <v>x</v>
      </c>
      <c r="BY297" s="43" t="str">
        <f>IF(BY114=-1,"x",IF(OR(BY212=1,BY$196=1,$CX114=1),BY114,0))</f>
        <v>x</v>
      </c>
      <c r="BZ297" s="39" t="str">
        <f>IF(BZ114=-1,"x",IF(OR(BZ212=1,BZ$196=1,$CY114=1),BZ114,0))</f>
        <v>x</v>
      </c>
      <c r="CA297" s="41" t="str">
        <f>IF(CA114=-1,"x",IF(OR(CA212=1,CA$196=1,$CZ114=1),CA114,0))</f>
        <v>x</v>
      </c>
      <c r="CB297" s="40" t="str">
        <f>IF(CB114=-1,"x",IF(OR(CB212=1,CB$196=1,$CX114=1),CB114,0))</f>
        <v>x</v>
      </c>
      <c r="CC297" s="39" t="str">
        <f>IF(CC114=-1,"x",IF(OR(CC212=1,CC$196=1,$CY114=1),CC114,0))</f>
        <v>x</v>
      </c>
      <c r="CD297" s="41" t="str">
        <f>IF(CD114=-1,"x",IF(OR(CD212=1,CD$196=1,$CZ114=1),CD114,0))</f>
        <v>x</v>
      </c>
      <c r="CE297" s="40" t="str">
        <f>IF(CE114=-1,"x",IF(OR(CE212=1,CE$196=1,$CX114=1),CE114,0))</f>
        <v>x</v>
      </c>
      <c r="CF297" s="39" t="str">
        <f>IF(CF114=-1,"x",IF(OR(CF212=1,CF$196=1,$CY114=1),CF114,0))</f>
        <v>x</v>
      </c>
      <c r="CG297" s="42" t="str">
        <f>IF(CG114=-1,"x",IF(OR(CG212=1,CG$196=1,$CZ114=1),CG114,0))</f>
        <v>x</v>
      </c>
      <c r="CH297" s="43" t="str">
        <f>IF(CH114=-1,"x",IF(OR(CH212=1,CH$196=1,$CX114=1),CH114,0))</f>
        <v>x</v>
      </c>
      <c r="CI297" s="39" t="str">
        <f>IF(CI114=-1,"x",IF(OR(CI212=1,CI$196=1,$CY114=1),CI114,0))</f>
        <v>x</v>
      </c>
      <c r="CJ297" s="41" t="str">
        <f>IF(CJ114=-1,"x",IF(OR(CJ212=1,CJ$196=1,$CZ114=1),CJ114,0))</f>
        <v>x</v>
      </c>
      <c r="CK297" s="40">
        <f>IF(CK114=-1,"x",IF(OR(CK212=1,CK$196=1,$CX114=1),CK114,0))</f>
        <v>0</v>
      </c>
      <c r="CL297" s="39">
        <f>IF(CL114=-1,"x",IF(OR(CL212=1,CL$196=1,$CY114=1),CL114,0))</f>
        <v>0</v>
      </c>
      <c r="CM297" s="41">
        <f>IF(CM114=-1,"x",IF(OR(CM212=1,CM$196=1,$CZ114=1),CM114,0))</f>
        <v>0</v>
      </c>
      <c r="CN297" s="40">
        <f>IF(CN114=-1,"x",IF(OR(CN212=1,CN$196=1,$CX114=1),CN114,0))</f>
        <v>0</v>
      </c>
      <c r="CO297" s="39">
        <f>IF(CO114=-1,"x",IF(OR(CO212=1,CO$196=1,$CY114=1),CO114,0))</f>
        <v>0</v>
      </c>
      <c r="CP297" s="95">
        <f>IF(CP114=-1,"x",IF(OR(CP212=1,CP$196=1,$CZ114=1),CP114,0))</f>
        <v>0</v>
      </c>
      <c r="DJ297" s="116">
        <f t="shared" ref="DJ297:FU297" si="1066">DJ294</f>
        <v>0</v>
      </c>
      <c r="DK297" s="116">
        <f t="shared" si="1066"/>
        <v>2</v>
      </c>
      <c r="DL297" s="116">
        <f t="shared" si="1066"/>
        <v>0</v>
      </c>
      <c r="DM297" s="116">
        <f t="shared" si="1066"/>
        <v>0</v>
      </c>
      <c r="DN297" s="116">
        <f t="shared" si="1066"/>
        <v>2</v>
      </c>
      <c r="DO297" s="116">
        <f t="shared" si="1066"/>
        <v>0</v>
      </c>
      <c r="DP297" s="116">
        <f t="shared" si="1066"/>
        <v>0</v>
      </c>
      <c r="DQ297" s="116">
        <f t="shared" si="1066"/>
        <v>2</v>
      </c>
      <c r="DR297" s="116">
        <f t="shared" si="1066"/>
        <v>0</v>
      </c>
      <c r="DS297" s="116">
        <f t="shared" si="1066"/>
        <v>0</v>
      </c>
      <c r="DT297" s="116">
        <f t="shared" si="1066"/>
        <v>2</v>
      </c>
      <c r="DU297" s="116">
        <f t="shared" si="1066"/>
        <v>0</v>
      </c>
      <c r="DV297" s="116">
        <f t="shared" si="1066"/>
        <v>0</v>
      </c>
      <c r="DW297" s="116">
        <f t="shared" si="1066"/>
        <v>2</v>
      </c>
      <c r="DX297" s="116">
        <f t="shared" si="1066"/>
        <v>0</v>
      </c>
      <c r="DY297" s="116">
        <f t="shared" si="1066"/>
        <v>0</v>
      </c>
      <c r="DZ297" s="116">
        <f t="shared" si="1066"/>
        <v>2</v>
      </c>
      <c r="EA297" s="116">
        <f t="shared" si="1066"/>
        <v>0</v>
      </c>
      <c r="EB297" s="116">
        <f t="shared" si="1066"/>
        <v>0</v>
      </c>
      <c r="EC297" s="116">
        <f t="shared" si="1066"/>
        <v>2</v>
      </c>
      <c r="ED297" s="116">
        <f t="shared" si="1066"/>
        <v>0</v>
      </c>
      <c r="EE297" s="116">
        <f t="shared" si="1066"/>
        <v>0</v>
      </c>
      <c r="EF297" s="116">
        <f t="shared" si="1066"/>
        <v>2</v>
      </c>
      <c r="EG297" s="116">
        <f t="shared" si="1066"/>
        <v>0</v>
      </c>
      <c r="EH297" s="116">
        <f t="shared" si="1066"/>
        <v>0</v>
      </c>
      <c r="EI297" s="116">
        <f t="shared" si="1066"/>
        <v>2</v>
      </c>
      <c r="EJ297" s="116">
        <f t="shared" si="1066"/>
        <v>0</v>
      </c>
      <c r="EK297" s="116">
        <f t="shared" si="1066"/>
        <v>1</v>
      </c>
      <c r="EL297" s="116">
        <f t="shared" si="1066"/>
        <v>2</v>
      </c>
      <c r="EM297" s="116">
        <f t="shared" si="1066"/>
        <v>0</v>
      </c>
      <c r="EN297" s="116">
        <f t="shared" si="1066"/>
        <v>1</v>
      </c>
      <c r="EO297" s="116">
        <f t="shared" si="1066"/>
        <v>2</v>
      </c>
      <c r="EP297" s="116">
        <f t="shared" si="1066"/>
        <v>0</v>
      </c>
      <c r="EQ297" s="116">
        <f t="shared" si="1066"/>
        <v>1</v>
      </c>
      <c r="ER297" s="116">
        <f t="shared" si="1066"/>
        <v>2</v>
      </c>
      <c r="ES297" s="116">
        <f t="shared" si="1066"/>
        <v>0</v>
      </c>
      <c r="ET297" s="116">
        <f t="shared" si="1066"/>
        <v>1</v>
      </c>
      <c r="EU297" s="116">
        <f t="shared" si="1066"/>
        <v>2</v>
      </c>
      <c r="EV297" s="116">
        <f t="shared" si="1066"/>
        <v>0</v>
      </c>
      <c r="EW297" s="116">
        <f t="shared" si="1066"/>
        <v>1</v>
      </c>
      <c r="EX297" s="116">
        <f t="shared" si="1066"/>
        <v>2</v>
      </c>
      <c r="EY297" s="116">
        <f t="shared" si="1066"/>
        <v>0</v>
      </c>
      <c r="EZ297" s="116">
        <f t="shared" si="1066"/>
        <v>1</v>
      </c>
      <c r="FA297" s="116">
        <f t="shared" si="1066"/>
        <v>2</v>
      </c>
      <c r="FB297" s="116">
        <f t="shared" si="1066"/>
        <v>0</v>
      </c>
      <c r="FC297" s="116">
        <f t="shared" si="1066"/>
        <v>1</v>
      </c>
      <c r="FD297" s="116">
        <f t="shared" si="1066"/>
        <v>2</v>
      </c>
      <c r="FE297" s="116">
        <f t="shared" si="1066"/>
        <v>0</v>
      </c>
      <c r="FF297" s="116">
        <f t="shared" si="1066"/>
        <v>1</v>
      </c>
      <c r="FG297" s="116">
        <f t="shared" si="1066"/>
        <v>2</v>
      </c>
      <c r="FH297" s="116">
        <f t="shared" si="1066"/>
        <v>0</v>
      </c>
      <c r="FI297" s="116">
        <f t="shared" si="1066"/>
        <v>1</v>
      </c>
      <c r="FJ297" s="116">
        <f t="shared" si="1066"/>
        <v>2</v>
      </c>
      <c r="FK297" s="116">
        <f t="shared" si="1066"/>
        <v>0</v>
      </c>
      <c r="FL297" s="116">
        <f t="shared" si="1066"/>
        <v>1</v>
      </c>
      <c r="FM297" s="116">
        <f t="shared" si="1066"/>
        <v>7</v>
      </c>
      <c r="FN297" s="116">
        <f t="shared" si="1066"/>
        <v>0</v>
      </c>
      <c r="FO297" s="116">
        <f t="shared" si="1066"/>
        <v>1</v>
      </c>
      <c r="FP297" s="116">
        <f t="shared" si="1066"/>
        <v>7</v>
      </c>
      <c r="FQ297" s="116">
        <f t="shared" si="1066"/>
        <v>0</v>
      </c>
      <c r="FR297" s="116">
        <f t="shared" si="1066"/>
        <v>1</v>
      </c>
      <c r="FS297" s="116">
        <f t="shared" si="1066"/>
        <v>7</v>
      </c>
      <c r="FT297" s="116">
        <f t="shared" si="1066"/>
        <v>0</v>
      </c>
      <c r="FU297" s="116">
        <f t="shared" si="1066"/>
        <v>1</v>
      </c>
      <c r="FV297" s="116">
        <f t="shared" ref="FV297:GL297" si="1067">FV294</f>
        <v>7</v>
      </c>
      <c r="FW297" s="116">
        <f t="shared" si="1067"/>
        <v>0</v>
      </c>
      <c r="FX297" s="116">
        <f t="shared" si="1067"/>
        <v>1</v>
      </c>
      <c r="FY297" s="116">
        <f t="shared" si="1067"/>
        <v>7</v>
      </c>
      <c r="FZ297" s="116">
        <f t="shared" si="1067"/>
        <v>0</v>
      </c>
      <c r="GA297" s="116">
        <f t="shared" si="1067"/>
        <v>1</v>
      </c>
      <c r="GB297" s="116">
        <f t="shared" si="1067"/>
        <v>7</v>
      </c>
      <c r="GC297" s="116">
        <f t="shared" si="1067"/>
        <v>0</v>
      </c>
      <c r="GD297" s="116">
        <f t="shared" si="1067"/>
        <v>1</v>
      </c>
      <c r="GE297" s="116">
        <f t="shared" si="1067"/>
        <v>7</v>
      </c>
      <c r="GF297" s="116">
        <f t="shared" si="1067"/>
        <v>0</v>
      </c>
      <c r="GG297" s="116">
        <f t="shared" si="1067"/>
        <v>1</v>
      </c>
      <c r="GH297" s="116">
        <f t="shared" si="1067"/>
        <v>7</v>
      </c>
      <c r="GI297" s="116">
        <f t="shared" si="1067"/>
        <v>0</v>
      </c>
      <c r="GJ297" s="116">
        <f t="shared" si="1067"/>
        <v>1</v>
      </c>
      <c r="GK297" s="116">
        <f t="shared" si="1067"/>
        <v>7</v>
      </c>
      <c r="GL297" s="116">
        <f t="shared" si="1067"/>
        <v>0</v>
      </c>
    </row>
    <row r="298" spans="14:194" ht="15" customHeight="1" thickBot="1">
      <c r="N298" s="106">
        <f>IF(N115=-1,"x",IF(OR(N213=1,N$197=1,$CX115=1),N115,0))</f>
        <v>0</v>
      </c>
      <c r="O298" s="55">
        <f>IF(O115=-1,"x",IF(OR(O213=1,O$197=1,$CY115=1),O115,0))</f>
        <v>0</v>
      </c>
      <c r="P298" s="56">
        <f>IF(P115=-1,"x",IF(OR(P213=1,P$197=1,$CZ115=1),P115,0))</f>
        <v>0</v>
      </c>
      <c r="Q298" s="57" t="str">
        <f>IF(Q115=-1,"x",IF(OR(Q213=1,Q$197=1,$CX115=1),Q115,0))</f>
        <v>x</v>
      </c>
      <c r="R298" s="55" t="str">
        <f>IF(R115=-1,"x",IF(OR(R213=1,R$197=1,$CY115=1),R115,0))</f>
        <v>x</v>
      </c>
      <c r="S298" s="56" t="str">
        <f>IF(S115=-1,"x",IF(OR(S213=1,S$197=1,$CZ115=1),S115,0))</f>
        <v>x</v>
      </c>
      <c r="T298" s="57" t="str">
        <f>IF(T115=-1,"x",IF(OR(T213=1,T$197=1,$CX115=1),T115,0))</f>
        <v>x</v>
      </c>
      <c r="U298" s="55" t="str">
        <f>IF(U115=-1,"x",IF(OR(U213=1,U$197=1,$CY115=1),U115,0))</f>
        <v>x</v>
      </c>
      <c r="V298" s="58" t="str">
        <f>IF(V115=-1,"x",IF(OR(V213=1,V$197=1,$CZ115=1),V115,0))</f>
        <v>x</v>
      </c>
      <c r="W298" s="54" t="str">
        <f>IF(W115=-1,"x",IF(OR(W213=1,W$197=1,$CX115=1),W115,0))</f>
        <v>x</v>
      </c>
      <c r="X298" s="55" t="str">
        <f>IF(X115=-1,"x",IF(OR(X213=1,X$197=1,$CY115=1),X115,0))</f>
        <v>x</v>
      </c>
      <c r="Y298" s="56" t="str">
        <f>IF(Y115=-1,"x",IF(OR(Y213=1,Y$197=1,$CZ115=1),Y115,0))</f>
        <v>x</v>
      </c>
      <c r="Z298" s="57" t="str">
        <f>IF(Z115=-1,"x",IF(OR(Z213=1,Z$197=1,$CX115=1),Z115,0))</f>
        <v>x</v>
      </c>
      <c r="AA298" s="55" t="str">
        <f>IF(AA115=-1,"x",IF(OR(AA213=1,AA$197=1,$CY115=1),AA115,0))</f>
        <v>x</v>
      </c>
      <c r="AB298" s="56" t="str">
        <f>IF(AB115=-1,"x",IF(OR(AB213=1,AB$197=1,$CZ115=1),AB115,0))</f>
        <v>x</v>
      </c>
      <c r="AC298" s="57" t="str">
        <f>IF(AC115=-1,"x",IF(OR(AC213=1,AC$197=1,$CX115=1),AC115,0))</f>
        <v>x</v>
      </c>
      <c r="AD298" s="55" t="str">
        <f>IF(AD115=-1,"x",IF(OR(AD213=1,AD$197=1,$CY115=1),AD115,0))</f>
        <v>x</v>
      </c>
      <c r="AE298" s="58" t="str">
        <f>IF(AE115=-1,"x",IF(OR(AE213=1,AE$197=1,$CZ115=1),AE115,0))</f>
        <v>x</v>
      </c>
      <c r="AF298" s="54" t="str">
        <f>IF(AF115=-1,"x",IF(OR(AF213=1,AF$197=1,$CX115=1),AF115,0))</f>
        <v>x</v>
      </c>
      <c r="AG298" s="55" t="str">
        <f>IF(AG115=-1,"x",IF(OR(AG213=1,AG$197=1,$CY115=1),AG115,0))</f>
        <v>x</v>
      </c>
      <c r="AH298" s="56" t="str">
        <f>IF(AH115=-1,"x",IF(OR(AH213=1,AH$197=1,$CZ115=1),AH115,0))</f>
        <v>x</v>
      </c>
      <c r="AI298" s="57" t="str">
        <f>IF(AI115=-1,"x",IF(OR(AI213=1,AI$197=1,$CX115=1),AI115,0))</f>
        <v>x</v>
      </c>
      <c r="AJ298" s="55" t="str">
        <f>IF(AJ115=-1,"x",IF(OR(AJ213=1,AJ$197=1,$CY115=1),AJ115,0))</f>
        <v>x</v>
      </c>
      <c r="AK298" s="56" t="str">
        <f>IF(AK115=-1,"x",IF(OR(AK213=1,AK$197=1,$CZ115=1),AK115,0))</f>
        <v>x</v>
      </c>
      <c r="AL298" s="57" t="str">
        <f>IF(AL115=-1,"x",IF(OR(AL213=1,AL$197=1,$CX115=1),AL115,0))</f>
        <v>x</v>
      </c>
      <c r="AM298" s="55" t="str">
        <f>IF(AM115=-1,"x",IF(OR(AM213=1,AM$197=1,$CY115=1),AM115,0))</f>
        <v>x</v>
      </c>
      <c r="AN298" s="107" t="str">
        <f>IF(AN115=-1,"x",IF(OR(AN213=1,AN$197=1,$CZ115=1),AN115,0))</f>
        <v>x</v>
      </c>
      <c r="AO298" s="106" t="str">
        <f>IF(AO115=-1,"x",IF(OR(AO213=1,AO$197=1,$CX115=1),AO115,0))</f>
        <v>x</v>
      </c>
      <c r="AP298" s="55" t="str">
        <f>IF(AP115=-1,"x",IF(OR(AP213=1,AP$197=1,$CY115=1),AP115,0))</f>
        <v>x</v>
      </c>
      <c r="AQ298" s="56" t="str">
        <f>IF(AQ115=-1,"x",IF(OR(AQ213=1,AQ$197=1,$CZ115=1),AQ115,0))</f>
        <v>x</v>
      </c>
      <c r="AR298" s="57" t="str">
        <f>IF(AR115=-1,"x",IF(OR(AR213=1,AR$197=1,$CX115=1),AR115,0))</f>
        <v>x</v>
      </c>
      <c r="AS298" s="55" t="str">
        <f>IF(AS115=-1,"x",IF(OR(AS213=1,AS$197=1,$CY115=1),AS115,0))</f>
        <v>x</v>
      </c>
      <c r="AT298" s="56" t="str">
        <f>IF(AT115=-1,"x",IF(OR(AT213=1,AT$197=1,$CZ115=1),AT115,0))</f>
        <v>x</v>
      </c>
      <c r="AU298" s="57">
        <f>IF(AU115=-1,"x",IF(OR(AU213=1,AU$197=1,$CX115=1),AU115,0))</f>
        <v>0</v>
      </c>
      <c r="AV298" s="55">
        <f>IF(AV115=-1,"x",IF(OR(AV213=1,AV$197=1,$CY115=1),AV115,0))</f>
        <v>0</v>
      </c>
      <c r="AW298" s="58">
        <f>IF(AW115=-1,"x",IF(OR(AW213=1,AW$197=1,$CZ115=1),AW115,0))</f>
        <v>0</v>
      </c>
      <c r="AX298" s="54" t="str">
        <f>IF(AX115=-1,"x",IF(OR(AX213=1,AX$197=1,$CX115=1),AX115,0))</f>
        <v>x</v>
      </c>
      <c r="AY298" s="55" t="str">
        <f>IF(AY115=-1,"x",IF(OR(AY213=1,AY$197=1,$CY115=1),AY115,0))</f>
        <v>x</v>
      </c>
      <c r="AZ298" s="56" t="str">
        <f>IF(AZ115=-1,"x",IF(OR(AZ213=1,AZ$197=1,$CZ115=1),AZ115,0))</f>
        <v>x</v>
      </c>
      <c r="BA298" s="57" t="str">
        <f>IF(BA115=-1,"x",IF(OR(BA213=1,BA$197=1,$CX115=1),BA115,0))</f>
        <v>x</v>
      </c>
      <c r="BB298" s="55" t="str">
        <f>IF(BB115=-1,"x",IF(OR(BB213=1,BB$197=1,$CY115=1),BB115,0))</f>
        <v>x</v>
      </c>
      <c r="BC298" s="56" t="str">
        <f>IF(BC115=-1,"x",IF(OR(BC213=1,BC$197=1,$CZ115=1),BC115,0))</f>
        <v>x</v>
      </c>
      <c r="BD298" s="57" t="str">
        <f>IF(BD115=-1,"x",IF(OR(BD213=1,BD$197=1,$CX115=1),BD115,0))</f>
        <v>x</v>
      </c>
      <c r="BE298" s="55" t="str">
        <f>IF(BE115=-1,"x",IF(OR(BE213=1,BE$197=1,$CY115=1),BE115,0))</f>
        <v>x</v>
      </c>
      <c r="BF298" s="58" t="str">
        <f>IF(BF115=-1,"x",IF(OR(BF213=1,BF$197=1,$CZ115=1),BF115,0))</f>
        <v>x</v>
      </c>
      <c r="BG298" s="54" t="str">
        <f>IF(BG115=-1,"x",IF(OR(BG213=1,BG$197=1,$CX115=1),BG115,0))</f>
        <v>x</v>
      </c>
      <c r="BH298" s="55" t="str">
        <f>IF(BH115=-1,"x",IF(OR(BH213=1,BH$197=1,$CY115=1),BH115,0))</f>
        <v>x</v>
      </c>
      <c r="BI298" s="56" t="str">
        <f>IF(BI115=-1,"x",IF(OR(BI213=1,BI$197=1,$CZ115=1),BI115,0))</f>
        <v>x</v>
      </c>
      <c r="BJ298" s="57" t="str">
        <f>IF(BJ115=-1,"x",IF(OR(BJ213=1,BJ$197=1,$CX115=1),BJ115,0))</f>
        <v>x</v>
      </c>
      <c r="BK298" s="55" t="str">
        <f>IF(BK115=-1,"x",IF(OR(BK213=1,BK$197=1,$CY115=1),BK115,0))</f>
        <v>x</v>
      </c>
      <c r="BL298" s="56" t="str">
        <f>IF(BL115=-1,"x",IF(OR(BL213=1,BL$197=1,$CZ115=1),BL115,0))</f>
        <v>x</v>
      </c>
      <c r="BM298" s="57" t="str">
        <f>IF(BM115=-1,"x",IF(OR(BM213=1,BM$197=1,$CX115=1),BM115,0))</f>
        <v>x</v>
      </c>
      <c r="BN298" s="55" t="str">
        <f>IF(BN115=-1,"x",IF(OR(BN213=1,BN$197=1,$CY115=1),BN115,0))</f>
        <v>x</v>
      </c>
      <c r="BO298" s="107" t="str">
        <f>IF(BO115=-1,"x",IF(OR(BO213=1,BO$197=1,$CZ115=1),BO115,0))</f>
        <v>x</v>
      </c>
      <c r="BP298" s="106" t="str">
        <f>IF(BP115=-1,"x",IF(OR(BP213=1,BP$197=1,$CX115=1),BP115,0))</f>
        <v>x</v>
      </c>
      <c r="BQ298" s="55" t="str">
        <f>IF(BQ115=-1,"x",IF(OR(BQ213=1,BQ$197=1,$CY115=1),BQ115,0))</f>
        <v>x</v>
      </c>
      <c r="BR298" s="56" t="str">
        <f>IF(BR115=-1,"x",IF(OR(BR213=1,BR$197=1,$CZ115=1),BR115,0))</f>
        <v>x</v>
      </c>
      <c r="BS298" s="57" t="str">
        <f>IF(BS115=-1,"x",IF(OR(BS213=1,BS$197=1,$CX115=1),BS115,0))</f>
        <v>x</v>
      </c>
      <c r="BT298" s="55" t="str">
        <f>IF(BT115=-1,"x",IF(OR(BT213=1,BT$197=1,$CY115=1),BT115,0))</f>
        <v>x</v>
      </c>
      <c r="BU298" s="56" t="str">
        <f>IF(BU115=-1,"x",IF(OR(BU213=1,BU$197=1,$CZ115=1),BU115,0))</f>
        <v>x</v>
      </c>
      <c r="BV298" s="57" t="str">
        <f>IF(BV115=-1,"x",IF(OR(BV213=1,BV$197=1,$CX115=1),BV115,0))</f>
        <v>x</v>
      </c>
      <c r="BW298" s="55" t="str">
        <f>IF(BW115=-1,"x",IF(OR(BW213=1,BW$197=1,$CY115=1),BW115,0))</f>
        <v>x</v>
      </c>
      <c r="BX298" s="58" t="str">
        <f>IF(BX115=-1,"x",IF(OR(BX213=1,BX$197=1,$CZ115=1),BX115,0))</f>
        <v>x</v>
      </c>
      <c r="BY298" s="54" t="str">
        <f>IF(BY115=-1,"x",IF(OR(BY213=1,BY$197=1,$CX115=1),BY115,0))</f>
        <v>x</v>
      </c>
      <c r="BZ298" s="55" t="str">
        <f>IF(BZ115=-1,"x",IF(OR(BZ213=1,BZ$197=1,$CY115=1),BZ115,0))</f>
        <v>x</v>
      </c>
      <c r="CA298" s="56" t="str">
        <f>IF(CA115=-1,"x",IF(OR(CA213=1,CA$197=1,$CZ115=1),CA115,0))</f>
        <v>x</v>
      </c>
      <c r="CB298" s="57" t="str">
        <f>IF(CB115=-1,"x",IF(OR(CB213=1,CB$197=1,$CX115=1),CB115,0))</f>
        <v>x</v>
      </c>
      <c r="CC298" s="55" t="str">
        <f>IF(CC115=-1,"x",IF(OR(CC213=1,CC$197=1,$CY115=1),CC115,0))</f>
        <v>x</v>
      </c>
      <c r="CD298" s="56" t="str">
        <f>IF(CD115=-1,"x",IF(OR(CD213=1,CD$197=1,$CZ115=1),CD115,0))</f>
        <v>x</v>
      </c>
      <c r="CE298" s="57" t="str">
        <f>IF(CE115=-1,"x",IF(OR(CE213=1,CE$197=1,$CX115=1),CE115,0))</f>
        <v>x</v>
      </c>
      <c r="CF298" s="55" t="str">
        <f>IF(CF115=-1,"x",IF(OR(CF213=1,CF$197=1,$CY115=1),CF115,0))</f>
        <v>x</v>
      </c>
      <c r="CG298" s="58" t="str">
        <f>IF(CG115=-1,"x",IF(OR(CG213=1,CG$197=1,$CZ115=1),CG115,0))</f>
        <v>x</v>
      </c>
      <c r="CH298" s="54" t="str">
        <f>IF(CH115=-1,"x",IF(OR(CH213=1,CH$197=1,$CX115=1),CH115,0))</f>
        <v>x</v>
      </c>
      <c r="CI298" s="55" t="str">
        <f>IF(CI115=-1,"x",IF(OR(CI213=1,CI$197=1,$CY115=1),CI115,0))</f>
        <v>x</v>
      </c>
      <c r="CJ298" s="56" t="str">
        <f>IF(CJ115=-1,"x",IF(OR(CJ213=1,CJ$197=1,$CZ115=1),CJ115,0))</f>
        <v>x</v>
      </c>
      <c r="CK298" s="57">
        <f>IF(CK115=-1,"x",IF(OR(CK213=1,CK$197=1,$CX115=1),CK115,0))</f>
        <v>0</v>
      </c>
      <c r="CL298" s="55">
        <f>IF(CL115=-1,"x",IF(OR(CL213=1,CL$197=1,$CY115=1),CL115,0))</f>
        <v>0</v>
      </c>
      <c r="CM298" s="56">
        <f>IF(CM115=-1,"x",IF(OR(CM213=1,CM$197=1,$CZ115=1),CM115,0))</f>
        <v>0</v>
      </c>
      <c r="CN298" s="57">
        <f>IF(CN115=-1,"x",IF(OR(CN213=1,CN$197=1,$CX115=1),CN115,0))</f>
        <v>0</v>
      </c>
      <c r="CO298" s="55">
        <f>IF(CO115=-1,"x",IF(OR(CO213=1,CO$197=1,$CY115=1),CO115,0))</f>
        <v>0</v>
      </c>
      <c r="CP298" s="107">
        <f>IF(CP115=-1,"x",IF(OR(CP213=1,CP$197=1,$CZ115=1),CP115,0))</f>
        <v>0</v>
      </c>
      <c r="DJ298" s="116">
        <f t="shared" ref="DJ298:FU298" si="1068">DJ295</f>
        <v>6</v>
      </c>
      <c r="DK298" s="116">
        <f t="shared" si="1068"/>
        <v>0</v>
      </c>
      <c r="DL298" s="116">
        <f t="shared" si="1068"/>
        <v>2</v>
      </c>
      <c r="DM298" s="116">
        <f t="shared" si="1068"/>
        <v>6</v>
      </c>
      <c r="DN298" s="116">
        <f t="shared" si="1068"/>
        <v>0</v>
      </c>
      <c r="DO298" s="116">
        <f t="shared" si="1068"/>
        <v>2</v>
      </c>
      <c r="DP298" s="116">
        <f t="shared" si="1068"/>
        <v>6</v>
      </c>
      <c r="DQ298" s="116">
        <f t="shared" si="1068"/>
        <v>0</v>
      </c>
      <c r="DR298" s="116">
        <f t="shared" si="1068"/>
        <v>2</v>
      </c>
      <c r="DS298" s="116">
        <f t="shared" si="1068"/>
        <v>6</v>
      </c>
      <c r="DT298" s="116">
        <f t="shared" si="1068"/>
        <v>0</v>
      </c>
      <c r="DU298" s="116">
        <f t="shared" si="1068"/>
        <v>2</v>
      </c>
      <c r="DV298" s="116">
        <f t="shared" si="1068"/>
        <v>6</v>
      </c>
      <c r="DW298" s="116">
        <f t="shared" si="1068"/>
        <v>0</v>
      </c>
      <c r="DX298" s="116">
        <f t="shared" si="1068"/>
        <v>2</v>
      </c>
      <c r="DY298" s="116">
        <f t="shared" si="1068"/>
        <v>6</v>
      </c>
      <c r="DZ298" s="116">
        <f t="shared" si="1068"/>
        <v>0</v>
      </c>
      <c r="EA298" s="116">
        <f t="shared" si="1068"/>
        <v>2</v>
      </c>
      <c r="EB298" s="116">
        <f t="shared" si="1068"/>
        <v>6</v>
      </c>
      <c r="EC298" s="116">
        <f t="shared" si="1068"/>
        <v>0</v>
      </c>
      <c r="ED298" s="116">
        <f t="shared" si="1068"/>
        <v>2</v>
      </c>
      <c r="EE298" s="116">
        <f t="shared" si="1068"/>
        <v>6</v>
      </c>
      <c r="EF298" s="116">
        <f t="shared" si="1068"/>
        <v>0</v>
      </c>
      <c r="EG298" s="116">
        <f t="shared" si="1068"/>
        <v>2</v>
      </c>
      <c r="EH298" s="116">
        <f t="shared" si="1068"/>
        <v>6</v>
      </c>
      <c r="EI298" s="116">
        <f t="shared" si="1068"/>
        <v>0</v>
      </c>
      <c r="EJ298" s="116">
        <f t="shared" si="1068"/>
        <v>2</v>
      </c>
      <c r="EK298" s="116">
        <f t="shared" si="1068"/>
        <v>2</v>
      </c>
      <c r="EL298" s="116">
        <f t="shared" si="1068"/>
        <v>0</v>
      </c>
      <c r="EM298" s="116">
        <f t="shared" si="1068"/>
        <v>2</v>
      </c>
      <c r="EN298" s="116">
        <f t="shared" si="1068"/>
        <v>2</v>
      </c>
      <c r="EO298" s="116">
        <f t="shared" si="1068"/>
        <v>0</v>
      </c>
      <c r="EP298" s="116">
        <f t="shared" si="1068"/>
        <v>2</v>
      </c>
      <c r="EQ298" s="116">
        <f t="shared" si="1068"/>
        <v>2</v>
      </c>
      <c r="ER298" s="116">
        <f t="shared" si="1068"/>
        <v>0</v>
      </c>
      <c r="ES298" s="116">
        <f t="shared" si="1068"/>
        <v>2</v>
      </c>
      <c r="ET298" s="116">
        <f t="shared" si="1068"/>
        <v>2</v>
      </c>
      <c r="EU298" s="116">
        <f t="shared" si="1068"/>
        <v>0</v>
      </c>
      <c r="EV298" s="116">
        <f t="shared" si="1068"/>
        <v>2</v>
      </c>
      <c r="EW298" s="116">
        <f t="shared" si="1068"/>
        <v>2</v>
      </c>
      <c r="EX298" s="116">
        <f t="shared" si="1068"/>
        <v>0</v>
      </c>
      <c r="EY298" s="116">
        <f t="shared" si="1068"/>
        <v>2</v>
      </c>
      <c r="EZ298" s="116">
        <f t="shared" si="1068"/>
        <v>2</v>
      </c>
      <c r="FA298" s="116">
        <f t="shared" si="1068"/>
        <v>0</v>
      </c>
      <c r="FB298" s="116">
        <f t="shared" si="1068"/>
        <v>2</v>
      </c>
      <c r="FC298" s="116">
        <f t="shared" si="1068"/>
        <v>2</v>
      </c>
      <c r="FD298" s="116">
        <f t="shared" si="1068"/>
        <v>0</v>
      </c>
      <c r="FE298" s="116">
        <f t="shared" si="1068"/>
        <v>2</v>
      </c>
      <c r="FF298" s="116">
        <f t="shared" si="1068"/>
        <v>2</v>
      </c>
      <c r="FG298" s="116">
        <f t="shared" si="1068"/>
        <v>0</v>
      </c>
      <c r="FH298" s="116">
        <f t="shared" si="1068"/>
        <v>2</v>
      </c>
      <c r="FI298" s="116">
        <f t="shared" si="1068"/>
        <v>2</v>
      </c>
      <c r="FJ298" s="116">
        <f t="shared" si="1068"/>
        <v>0</v>
      </c>
      <c r="FK298" s="116">
        <f t="shared" si="1068"/>
        <v>2</v>
      </c>
      <c r="FL298" s="116">
        <f t="shared" si="1068"/>
        <v>5</v>
      </c>
      <c r="FM298" s="116">
        <f t="shared" si="1068"/>
        <v>3</v>
      </c>
      <c r="FN298" s="116">
        <f t="shared" si="1068"/>
        <v>7</v>
      </c>
      <c r="FO298" s="116">
        <f t="shared" si="1068"/>
        <v>5</v>
      </c>
      <c r="FP298" s="116">
        <f t="shared" si="1068"/>
        <v>3</v>
      </c>
      <c r="FQ298" s="116">
        <f t="shared" si="1068"/>
        <v>7</v>
      </c>
      <c r="FR298" s="116">
        <f t="shared" si="1068"/>
        <v>5</v>
      </c>
      <c r="FS298" s="116">
        <f t="shared" si="1068"/>
        <v>3</v>
      </c>
      <c r="FT298" s="116">
        <f t="shared" si="1068"/>
        <v>7</v>
      </c>
      <c r="FU298" s="116">
        <f t="shared" si="1068"/>
        <v>5</v>
      </c>
      <c r="FV298" s="116">
        <f t="shared" ref="FV298:GL298" si="1069">FV295</f>
        <v>3</v>
      </c>
      <c r="FW298" s="116">
        <f t="shared" si="1069"/>
        <v>7</v>
      </c>
      <c r="FX298" s="116">
        <f t="shared" si="1069"/>
        <v>5</v>
      </c>
      <c r="FY298" s="116">
        <f t="shared" si="1069"/>
        <v>3</v>
      </c>
      <c r="FZ298" s="116">
        <f t="shared" si="1069"/>
        <v>7</v>
      </c>
      <c r="GA298" s="116">
        <f t="shared" si="1069"/>
        <v>5</v>
      </c>
      <c r="GB298" s="116">
        <f t="shared" si="1069"/>
        <v>3</v>
      </c>
      <c r="GC298" s="116">
        <f t="shared" si="1069"/>
        <v>7</v>
      </c>
      <c r="GD298" s="116">
        <f t="shared" si="1069"/>
        <v>5</v>
      </c>
      <c r="GE298" s="116">
        <f t="shared" si="1069"/>
        <v>3</v>
      </c>
      <c r="GF298" s="116">
        <f t="shared" si="1069"/>
        <v>7</v>
      </c>
      <c r="GG298" s="116">
        <f t="shared" si="1069"/>
        <v>5</v>
      </c>
      <c r="GH298" s="116">
        <f t="shared" si="1069"/>
        <v>3</v>
      </c>
      <c r="GI298" s="116">
        <f t="shared" si="1069"/>
        <v>7</v>
      </c>
      <c r="GJ298" s="116">
        <f t="shared" si="1069"/>
        <v>5</v>
      </c>
      <c r="GK298" s="116">
        <f t="shared" si="1069"/>
        <v>3</v>
      </c>
      <c r="GL298" s="116">
        <f t="shared" si="1069"/>
        <v>7</v>
      </c>
    </row>
    <row r="299" spans="14:194" ht="15" customHeight="1">
      <c r="N299" s="108">
        <f>IF(N116=-1,"x",IF(OR(N214=1,N$195=1,$CX116=1),N116,0))</f>
        <v>0</v>
      </c>
      <c r="O299" s="37">
        <f>IF(O116=-1,"x",IF(OR(O214=1,O$195=1,$CY116=1),O116,0))</f>
        <v>0</v>
      </c>
      <c r="P299" s="35">
        <f>IF(P116=-1,"x",IF(OR(P214=1,P$195=1,$CZ116=1),P116,0))</f>
        <v>0</v>
      </c>
      <c r="Q299" s="36">
        <f>IF(Q116=-1,"x",IF(OR(Q214=1,Q$195=1,$CX116=1),Q116,0))</f>
        <v>0</v>
      </c>
      <c r="R299" s="37">
        <f>IF(R116=-1,"x",IF(OR(R214=1,R$195=1,$CY116=1),R116,0))</f>
        <v>0</v>
      </c>
      <c r="S299" s="35">
        <f>IF(S116=-1,"x",IF(OR(S214=1,S$195=1,$CZ116=1),S116,0))</f>
        <v>0</v>
      </c>
      <c r="T299" s="36" t="str">
        <f>IF(T116=-1,"x",IF(OR(T214=1,T$195=1,$CX116=1),T116,0))</f>
        <v>x</v>
      </c>
      <c r="U299" s="37" t="str">
        <f>IF(U116=-1,"x",IF(OR(U214=1,U$195=1,$CY116=1),U116,0))</f>
        <v>x</v>
      </c>
      <c r="V299" s="38" t="str">
        <f>IF(V116=-1,"x",IF(OR(V214=1,V$195=1,$CZ116=1),V116,0))</f>
        <v>x</v>
      </c>
      <c r="W299" s="34" t="str">
        <f>IF(W116=-1,"x",IF(OR(W214=1,W$195=1,$CX116=1),W116,0))</f>
        <v>x</v>
      </c>
      <c r="X299" s="37" t="str">
        <f>IF(X116=-1,"x",IF(OR(X214=1,X$195=1,$CY116=1),X116,0))</f>
        <v>x</v>
      </c>
      <c r="Y299" s="35" t="str">
        <f>IF(Y116=-1,"x",IF(OR(Y214=1,Y$195=1,$CZ116=1),Y116,0))</f>
        <v>x</v>
      </c>
      <c r="Z299" s="36" t="str">
        <f>IF(Z116=-1,"x",IF(OR(Z214=1,Z$195=1,$CX116=1),Z116,0))</f>
        <v>x</v>
      </c>
      <c r="AA299" s="37" t="str">
        <f>IF(AA116=-1,"x",IF(OR(AA214=1,AA$195=1,$CY116=1),AA116,0))</f>
        <v>x</v>
      </c>
      <c r="AB299" s="35" t="str">
        <f>IF(AB116=-1,"x",IF(OR(AB214=1,AB$195=1,$CZ116=1),AB116,0))</f>
        <v>x</v>
      </c>
      <c r="AC299" s="36" t="str">
        <f>IF(AC116=-1,"x",IF(OR(AC214=1,AC$195=1,$CX116=1),AC116,0))</f>
        <v>x</v>
      </c>
      <c r="AD299" s="37" t="str">
        <f>IF(AD116=-1,"x",IF(OR(AD214=1,AD$195=1,$CY116=1),AD116,0))</f>
        <v>x</v>
      </c>
      <c r="AE299" s="38" t="str">
        <f>IF(AE116=-1,"x",IF(OR(AE214=1,AE$195=1,$CZ116=1),AE116,0))</f>
        <v>x</v>
      </c>
      <c r="AF299" s="34" t="str">
        <f>IF(AF116=-1,"x",IF(OR(AF214=1,AF$195=1,$CX116=1),AF116,0))</f>
        <v>x</v>
      </c>
      <c r="AG299" s="37" t="str">
        <f>IF(AG116=-1,"x",IF(OR(AG214=1,AG$195=1,$CY116=1),AG116,0))</f>
        <v>x</v>
      </c>
      <c r="AH299" s="35" t="str">
        <f>IF(AH116=-1,"x",IF(OR(AH214=1,AH$195=1,$CZ116=1),AH116,0))</f>
        <v>x</v>
      </c>
      <c r="AI299" s="36" t="str">
        <f>IF(AI116=-1,"x",IF(OR(AI214=1,AI$195=1,$CX116=1),AI116,0))</f>
        <v>x</v>
      </c>
      <c r="AJ299" s="37" t="str">
        <f>IF(AJ116=-1,"x",IF(OR(AJ214=1,AJ$195=1,$CY116=1),AJ116,0))</f>
        <v>x</v>
      </c>
      <c r="AK299" s="35" t="str">
        <f>IF(AK116=-1,"x",IF(OR(AK214=1,AK$195=1,$CZ116=1),AK116,0))</f>
        <v>x</v>
      </c>
      <c r="AL299" s="36" t="str">
        <f>IF(AL116=-1,"x",IF(OR(AL214=1,AL$195=1,$CX116=1),AL116,0))</f>
        <v>x</v>
      </c>
      <c r="AM299" s="37" t="str">
        <f>IF(AM116=-1,"x",IF(OR(AM214=1,AM$195=1,$CY116=1),AM116,0))</f>
        <v>x</v>
      </c>
      <c r="AN299" s="109" t="str">
        <f>IF(AN116=-1,"x",IF(OR(AN214=1,AN$195=1,$CZ116=1),AN116,0))</f>
        <v>x</v>
      </c>
      <c r="AO299" s="108" t="str">
        <f>IF(AO116=-1,"x",IF(OR(AO214=1,AO$195=1,$CX116=1),AO116,0))</f>
        <v>x</v>
      </c>
      <c r="AP299" s="37" t="str">
        <f>IF(AP116=-1,"x",IF(OR(AP214=1,AP$195=1,$CY116=1),AP116,0))</f>
        <v>x</v>
      </c>
      <c r="AQ299" s="35" t="str">
        <f>IF(AQ116=-1,"x",IF(OR(AQ214=1,AQ$195=1,$CZ116=1),AQ116,0))</f>
        <v>x</v>
      </c>
      <c r="AR299" s="36" t="str">
        <f>IF(AR116=-1,"x",IF(OR(AR214=1,AR$195=1,$CX116=1),AR116,0))</f>
        <v>x</v>
      </c>
      <c r="AS299" s="37" t="str">
        <f>IF(AS116=-1,"x",IF(OR(AS214=1,AS$195=1,$CY116=1),AS116,0))</f>
        <v>x</v>
      </c>
      <c r="AT299" s="35" t="str">
        <f>IF(AT116=-1,"x",IF(OR(AT214=1,AT$195=1,$CZ116=1),AT116,0))</f>
        <v>x</v>
      </c>
      <c r="AU299" s="36" t="str">
        <f>IF(AU116=-1,"x",IF(OR(AU214=1,AU$195=1,$CX116=1),AU116,0))</f>
        <v>x</v>
      </c>
      <c r="AV299" s="37" t="str">
        <f>IF(AV116=-1,"x",IF(OR(AV214=1,AV$195=1,$CY116=1),AV116,0))</f>
        <v>x</v>
      </c>
      <c r="AW299" s="38" t="str">
        <f>IF(AW116=-1,"x",IF(OR(AW214=1,AW$195=1,$CZ116=1),AW116,0))</f>
        <v>x</v>
      </c>
      <c r="AX299" s="34">
        <f>IF(AX116=-1,"x",IF(OR(AX214=1,AX$195=1,$CX116=1),AX116,0))</f>
        <v>0</v>
      </c>
      <c r="AY299" s="37">
        <f>IF(AY116=-1,"x",IF(OR(AY214=1,AY$195=1,$CY116=1),AY116,0))</f>
        <v>0</v>
      </c>
      <c r="AZ299" s="35">
        <f>IF(AZ116=-1,"x",IF(OR(AZ214=1,AZ$195=1,$CZ116=1),AZ116,0))</f>
        <v>0</v>
      </c>
      <c r="BA299" s="36" t="str">
        <f>IF(BA116=-1,"x",IF(OR(BA214=1,BA$195=1,$CX116=1),BA116,0))</f>
        <v>x</v>
      </c>
      <c r="BB299" s="37" t="str">
        <f>IF(BB116=-1,"x",IF(OR(BB214=1,BB$195=1,$CY116=1),BB116,0))</f>
        <v>x</v>
      </c>
      <c r="BC299" s="35" t="str">
        <f>IF(BC116=-1,"x",IF(OR(BC214=1,BC$195=1,$CZ116=1),BC116,0))</f>
        <v>x</v>
      </c>
      <c r="BD299" s="36" t="str">
        <f>IF(BD116=-1,"x",IF(OR(BD214=1,BD$195=1,$CX116=1),BD116,0))</f>
        <v>x</v>
      </c>
      <c r="BE299" s="37" t="str">
        <f>IF(BE116=-1,"x",IF(OR(BE214=1,BE$195=1,$CY116=1),BE116,0))</f>
        <v>x</v>
      </c>
      <c r="BF299" s="38" t="str">
        <f>IF(BF116=-1,"x",IF(OR(BF214=1,BF$195=1,$CZ116=1),BF116,0))</f>
        <v>x</v>
      </c>
      <c r="BG299" s="34" t="str">
        <f>IF(BG116=-1,"x",IF(OR(BG214=1,BG$195=1,$CX116=1),BG116,0))</f>
        <v>x</v>
      </c>
      <c r="BH299" s="37" t="str">
        <f>IF(BH116=-1,"x",IF(OR(BH214=1,BH$195=1,$CY116=1),BH116,0))</f>
        <v>x</v>
      </c>
      <c r="BI299" s="35" t="str">
        <f>IF(BI116=-1,"x",IF(OR(BI214=1,BI$195=1,$CZ116=1),BI116,0))</f>
        <v>x</v>
      </c>
      <c r="BJ299" s="36" t="str">
        <f>IF(BJ116=-1,"x",IF(OR(BJ214=1,BJ$195=1,$CX116=1),BJ116,0))</f>
        <v>x</v>
      </c>
      <c r="BK299" s="37" t="str">
        <f>IF(BK116=-1,"x",IF(OR(BK214=1,BK$195=1,$CY116=1),BK116,0))</f>
        <v>x</v>
      </c>
      <c r="BL299" s="35" t="str">
        <f>IF(BL116=-1,"x",IF(OR(BL214=1,BL$195=1,$CZ116=1),BL116,0))</f>
        <v>x</v>
      </c>
      <c r="BM299" s="36" t="str">
        <f>IF(BM116=-1,"x",IF(OR(BM214=1,BM$195=1,$CX116=1),BM116,0))</f>
        <v>x</v>
      </c>
      <c r="BN299" s="37" t="str">
        <f>IF(BN116=-1,"x",IF(OR(BN214=1,BN$195=1,$CY116=1),BN116,0))</f>
        <v>x</v>
      </c>
      <c r="BO299" s="109" t="str">
        <f>IF(BO116=-1,"x",IF(OR(BO214=1,BO$195=1,$CZ116=1),BO116,0))</f>
        <v>x</v>
      </c>
      <c r="BP299" s="108" t="str">
        <f>IF(BP116=-1,"x",IF(OR(BP214=1,BP$195=1,$CX116=1),BP116,0))</f>
        <v>x</v>
      </c>
      <c r="BQ299" s="37" t="str">
        <f>IF(BQ116=-1,"x",IF(OR(BQ214=1,BQ$195=1,$CY116=1),BQ116,0))</f>
        <v>x</v>
      </c>
      <c r="BR299" s="35" t="str">
        <f>IF(BR116=-1,"x",IF(OR(BR214=1,BR$195=1,$CZ116=1),BR116,0))</f>
        <v>x</v>
      </c>
      <c r="BS299" s="36" t="str">
        <f>IF(BS116=-1,"x",IF(OR(BS214=1,BS$195=1,$CX116=1),BS116,0))</f>
        <v>x</v>
      </c>
      <c r="BT299" s="37" t="str">
        <f>IF(BT116=-1,"x",IF(OR(BT214=1,BT$195=1,$CY116=1),BT116,0))</f>
        <v>x</v>
      </c>
      <c r="BU299" s="35" t="str">
        <f>IF(BU116=-1,"x",IF(OR(BU214=1,BU$195=1,$CZ116=1),BU116,0))</f>
        <v>x</v>
      </c>
      <c r="BV299" s="36" t="str">
        <f>IF(BV116=-1,"x",IF(OR(BV214=1,BV$195=1,$CX116=1),BV116,0))</f>
        <v>x</v>
      </c>
      <c r="BW299" s="37" t="str">
        <f>IF(BW116=-1,"x",IF(OR(BW214=1,BW$195=1,$CY116=1),BW116,0))</f>
        <v>x</v>
      </c>
      <c r="BX299" s="38" t="str">
        <f>IF(BX116=-1,"x",IF(OR(BX214=1,BX$195=1,$CZ116=1),BX116,0))</f>
        <v>x</v>
      </c>
      <c r="BY299" s="34" t="str">
        <f>IF(BY116=-1,"x",IF(OR(BY214=1,BY$195=1,$CX116=1),BY116,0))</f>
        <v>x</v>
      </c>
      <c r="BZ299" s="37" t="str">
        <f>IF(BZ116=-1,"x",IF(OR(BZ214=1,BZ$195=1,$CY116=1),BZ116,0))</f>
        <v>x</v>
      </c>
      <c r="CA299" s="35" t="str">
        <f>IF(CA116=-1,"x",IF(OR(CA214=1,CA$195=1,$CZ116=1),CA116,0))</f>
        <v>x</v>
      </c>
      <c r="CB299" s="36" t="str">
        <f>IF(CB116=-1,"x",IF(OR(CB214=1,CB$195=1,$CX116=1),CB116,0))</f>
        <v>x</v>
      </c>
      <c r="CC299" s="37" t="str">
        <f>IF(CC116=-1,"x",IF(OR(CC214=1,CC$195=1,$CY116=1),CC116,0))</f>
        <v>x</v>
      </c>
      <c r="CD299" s="35" t="str">
        <f>IF(CD116=-1,"x",IF(OR(CD214=1,CD$195=1,$CZ116=1),CD116,0))</f>
        <v>x</v>
      </c>
      <c r="CE299" s="36" t="str">
        <f>IF(CE116=-1,"x",IF(OR(CE214=1,CE$195=1,$CX116=1),CE116,0))</f>
        <v>x</v>
      </c>
      <c r="CF299" s="37" t="str">
        <f>IF(CF116=-1,"x",IF(OR(CF214=1,CF$195=1,$CY116=1),CF116,0))</f>
        <v>x</v>
      </c>
      <c r="CG299" s="38" t="str">
        <f>IF(CG116=-1,"x",IF(OR(CG214=1,CG$195=1,$CZ116=1),CG116,0))</f>
        <v>x</v>
      </c>
      <c r="CH299" s="34" t="str">
        <f>IF(CH116=-1,"x",IF(OR(CH214=1,CH$195=1,$CX116=1),CH116,0))</f>
        <v>x</v>
      </c>
      <c r="CI299" s="37" t="str">
        <f>IF(CI116=-1,"x",IF(OR(CI214=1,CI$195=1,$CY116=1),CI116,0))</f>
        <v>x</v>
      </c>
      <c r="CJ299" s="35" t="str">
        <f>IF(CJ116=-1,"x",IF(OR(CJ214=1,CJ$195=1,$CZ116=1),CJ116,0))</f>
        <v>x</v>
      </c>
      <c r="CK299" s="36">
        <f>IF(CK116=-1,"x",IF(OR(CK214=1,CK$195=1,$CX116=1),CK116,0))</f>
        <v>0</v>
      </c>
      <c r="CL299" s="37">
        <f>IF(CL116=-1,"x",IF(OR(CL214=1,CL$195=1,$CY116=1),CL116,0))</f>
        <v>0</v>
      </c>
      <c r="CM299" s="35">
        <f>IF(CM116=-1,"x",IF(OR(CM214=1,CM$195=1,$CZ116=1),CM116,0))</f>
        <v>0</v>
      </c>
      <c r="CN299" s="36">
        <f>IF(CN116=-1,"x",IF(OR(CN214=1,CN$195=1,$CX116=1),CN116,0))</f>
        <v>0</v>
      </c>
      <c r="CO299" s="37">
        <f>IF(CO116=-1,"x",IF(OR(CO214=1,CO$195=1,$CY116=1),CO116,0))</f>
        <v>0</v>
      </c>
      <c r="CP299" s="109">
        <f>IF(CP116=-1,"x",IF(OR(CP214=1,CP$195=1,$CZ116=1),CP116,0))</f>
        <v>0</v>
      </c>
      <c r="DJ299" s="116">
        <f t="shared" ref="DJ299:FU299" si="1070">DJ296</f>
        <v>6</v>
      </c>
      <c r="DK299" s="116">
        <f t="shared" si="1070"/>
        <v>1</v>
      </c>
      <c r="DL299" s="116">
        <f t="shared" si="1070"/>
        <v>4</v>
      </c>
      <c r="DM299" s="116">
        <f t="shared" si="1070"/>
        <v>6</v>
      </c>
      <c r="DN299" s="116">
        <f t="shared" si="1070"/>
        <v>1</v>
      </c>
      <c r="DO299" s="116">
        <f t="shared" si="1070"/>
        <v>4</v>
      </c>
      <c r="DP299" s="116">
        <f t="shared" si="1070"/>
        <v>6</v>
      </c>
      <c r="DQ299" s="116">
        <f t="shared" si="1070"/>
        <v>1</v>
      </c>
      <c r="DR299" s="116">
        <f t="shared" si="1070"/>
        <v>4</v>
      </c>
      <c r="DS299" s="116">
        <f t="shared" si="1070"/>
        <v>6</v>
      </c>
      <c r="DT299" s="116">
        <f t="shared" si="1070"/>
        <v>1</v>
      </c>
      <c r="DU299" s="116">
        <f t="shared" si="1070"/>
        <v>4</v>
      </c>
      <c r="DV299" s="116">
        <f t="shared" si="1070"/>
        <v>6</v>
      </c>
      <c r="DW299" s="116">
        <f t="shared" si="1070"/>
        <v>1</v>
      </c>
      <c r="DX299" s="116">
        <f t="shared" si="1070"/>
        <v>4</v>
      </c>
      <c r="DY299" s="116">
        <f t="shared" si="1070"/>
        <v>6</v>
      </c>
      <c r="DZ299" s="116">
        <f t="shared" si="1070"/>
        <v>1</v>
      </c>
      <c r="EA299" s="116">
        <f t="shared" si="1070"/>
        <v>4</v>
      </c>
      <c r="EB299" s="116">
        <f t="shared" si="1070"/>
        <v>6</v>
      </c>
      <c r="EC299" s="116">
        <f t="shared" si="1070"/>
        <v>1</v>
      </c>
      <c r="ED299" s="116">
        <f t="shared" si="1070"/>
        <v>4</v>
      </c>
      <c r="EE299" s="116">
        <f t="shared" si="1070"/>
        <v>6</v>
      </c>
      <c r="EF299" s="116">
        <f t="shared" si="1070"/>
        <v>1</v>
      </c>
      <c r="EG299" s="116">
        <f t="shared" si="1070"/>
        <v>4</v>
      </c>
      <c r="EH299" s="116">
        <f t="shared" si="1070"/>
        <v>6</v>
      </c>
      <c r="EI299" s="116">
        <f t="shared" si="1070"/>
        <v>1</v>
      </c>
      <c r="EJ299" s="116">
        <f t="shared" si="1070"/>
        <v>4</v>
      </c>
      <c r="EK299" s="116">
        <f t="shared" si="1070"/>
        <v>1</v>
      </c>
      <c r="EL299" s="116">
        <f t="shared" si="1070"/>
        <v>0</v>
      </c>
      <c r="EM299" s="116">
        <f t="shared" si="1070"/>
        <v>0</v>
      </c>
      <c r="EN299" s="116">
        <f t="shared" si="1070"/>
        <v>1</v>
      </c>
      <c r="EO299" s="116">
        <f t="shared" si="1070"/>
        <v>0</v>
      </c>
      <c r="EP299" s="116">
        <f t="shared" si="1070"/>
        <v>0</v>
      </c>
      <c r="EQ299" s="116">
        <f t="shared" si="1070"/>
        <v>1</v>
      </c>
      <c r="ER299" s="116">
        <f t="shared" si="1070"/>
        <v>0</v>
      </c>
      <c r="ES299" s="116">
        <f t="shared" si="1070"/>
        <v>0</v>
      </c>
      <c r="ET299" s="116">
        <f t="shared" si="1070"/>
        <v>1</v>
      </c>
      <c r="EU299" s="116">
        <f t="shared" si="1070"/>
        <v>0</v>
      </c>
      <c r="EV299" s="116">
        <f t="shared" si="1070"/>
        <v>0</v>
      </c>
      <c r="EW299" s="116">
        <f t="shared" si="1070"/>
        <v>1</v>
      </c>
      <c r="EX299" s="116">
        <f t="shared" si="1070"/>
        <v>0</v>
      </c>
      <c r="EY299" s="116">
        <f t="shared" si="1070"/>
        <v>0</v>
      </c>
      <c r="EZ299" s="116">
        <f t="shared" si="1070"/>
        <v>1</v>
      </c>
      <c r="FA299" s="116">
        <f t="shared" si="1070"/>
        <v>0</v>
      </c>
      <c r="FB299" s="116">
        <f t="shared" si="1070"/>
        <v>0</v>
      </c>
      <c r="FC299" s="116">
        <f t="shared" si="1070"/>
        <v>1</v>
      </c>
      <c r="FD299" s="116">
        <f t="shared" si="1070"/>
        <v>0</v>
      </c>
      <c r="FE299" s="116">
        <f t="shared" si="1070"/>
        <v>0</v>
      </c>
      <c r="FF299" s="116">
        <f t="shared" si="1070"/>
        <v>1</v>
      </c>
      <c r="FG299" s="116">
        <f t="shared" si="1070"/>
        <v>0</v>
      </c>
      <c r="FH299" s="116">
        <f t="shared" si="1070"/>
        <v>0</v>
      </c>
      <c r="FI299" s="116">
        <f t="shared" si="1070"/>
        <v>1</v>
      </c>
      <c r="FJ299" s="116">
        <f t="shared" si="1070"/>
        <v>0</v>
      </c>
      <c r="FK299" s="116">
        <f t="shared" si="1070"/>
        <v>0</v>
      </c>
      <c r="FL299" s="116">
        <f t="shared" si="1070"/>
        <v>2</v>
      </c>
      <c r="FM299" s="116">
        <f t="shared" si="1070"/>
        <v>0</v>
      </c>
      <c r="FN299" s="116">
        <f t="shared" si="1070"/>
        <v>2</v>
      </c>
      <c r="FO299" s="116">
        <f t="shared" si="1070"/>
        <v>2</v>
      </c>
      <c r="FP299" s="116">
        <f t="shared" si="1070"/>
        <v>0</v>
      </c>
      <c r="FQ299" s="116">
        <f t="shared" si="1070"/>
        <v>2</v>
      </c>
      <c r="FR299" s="116">
        <f t="shared" si="1070"/>
        <v>2</v>
      </c>
      <c r="FS299" s="116">
        <f t="shared" si="1070"/>
        <v>0</v>
      </c>
      <c r="FT299" s="116">
        <f t="shared" si="1070"/>
        <v>2</v>
      </c>
      <c r="FU299" s="116">
        <f t="shared" si="1070"/>
        <v>2</v>
      </c>
      <c r="FV299" s="116">
        <f t="shared" ref="FV299:GL299" si="1071">FV296</f>
        <v>0</v>
      </c>
      <c r="FW299" s="116">
        <f t="shared" si="1071"/>
        <v>2</v>
      </c>
      <c r="FX299" s="116">
        <f t="shared" si="1071"/>
        <v>2</v>
      </c>
      <c r="FY299" s="116">
        <f t="shared" si="1071"/>
        <v>0</v>
      </c>
      <c r="FZ299" s="116">
        <f t="shared" si="1071"/>
        <v>2</v>
      </c>
      <c r="GA299" s="116">
        <f t="shared" si="1071"/>
        <v>2</v>
      </c>
      <c r="GB299" s="116">
        <f t="shared" si="1071"/>
        <v>0</v>
      </c>
      <c r="GC299" s="116">
        <f t="shared" si="1071"/>
        <v>2</v>
      </c>
      <c r="GD299" s="116">
        <f t="shared" si="1071"/>
        <v>2</v>
      </c>
      <c r="GE299" s="116">
        <f t="shared" si="1071"/>
        <v>0</v>
      </c>
      <c r="GF299" s="116">
        <f t="shared" si="1071"/>
        <v>2</v>
      </c>
      <c r="GG299" s="116">
        <f t="shared" si="1071"/>
        <v>2</v>
      </c>
      <c r="GH299" s="116">
        <f t="shared" si="1071"/>
        <v>0</v>
      </c>
      <c r="GI299" s="116">
        <f t="shared" si="1071"/>
        <v>2</v>
      </c>
      <c r="GJ299" s="116">
        <f t="shared" si="1071"/>
        <v>2</v>
      </c>
      <c r="GK299" s="116">
        <f t="shared" si="1071"/>
        <v>0</v>
      </c>
      <c r="GL299" s="116">
        <f t="shared" si="1071"/>
        <v>2</v>
      </c>
    </row>
    <row r="300" spans="14:194" ht="15" customHeight="1">
      <c r="N300" s="94">
        <f>IF(N117=-1,"x",IF(OR(N215=1,N$196=1,$CX117=1),N117,0))</f>
        <v>0</v>
      </c>
      <c r="O300" s="39">
        <f>IF(O117=-1,"x",IF(OR(O215=1,O$196=1,$CY117=1),O117,0))</f>
        <v>0</v>
      </c>
      <c r="P300" s="41">
        <f>IF(P117=-1,"x",IF(OR(P215=1,P$196=1,$CZ117=1),P117,0))</f>
        <v>0</v>
      </c>
      <c r="Q300" s="40">
        <f>IF(Q117=-1,"x",IF(OR(Q215=1,Q$196=1,$CX117=1),Q117,0))</f>
        <v>0</v>
      </c>
      <c r="R300" s="39">
        <f>IF(R117=-1,"x",IF(OR(R215=1,R$196=1,$CY117=1),R117,0))</f>
        <v>0</v>
      </c>
      <c r="S300" s="41">
        <f>IF(S117=-1,"x",IF(OR(S215=1,S$196=1,$CZ117=1),S117,0))</f>
        <v>0</v>
      </c>
      <c r="T300" s="40" t="str">
        <f>IF(T117=-1,"x",IF(OR(T215=1,T$196=1,$CX117=1),T117,0))</f>
        <v>x</v>
      </c>
      <c r="U300" s="39" t="str">
        <f>IF(U117=-1,"x",IF(OR(U215=1,U$196=1,$CY117=1),U117,0))</f>
        <v>x</v>
      </c>
      <c r="V300" s="42" t="str">
        <f>IF(V117=-1,"x",IF(OR(V215=1,V$196=1,$CZ117=1),V117,0))</f>
        <v>x</v>
      </c>
      <c r="W300" s="43" t="str">
        <f>IF(W117=-1,"x",IF(OR(W215=1,W$196=1,$CX117=1),W117,0))</f>
        <v>x</v>
      </c>
      <c r="X300" s="39" t="str">
        <f>IF(X117=-1,"x",IF(OR(X215=1,X$196=1,$CY117=1),X117,0))</f>
        <v>x</v>
      </c>
      <c r="Y300" s="41" t="str">
        <f>IF(Y117=-1,"x",IF(OR(Y215=1,Y$196=1,$CZ117=1),Y117,0))</f>
        <v>x</v>
      </c>
      <c r="Z300" s="40" t="str">
        <f>IF(Z117=-1,"x",IF(OR(Z215=1,Z$196=1,$CX117=1),Z117,0))</f>
        <v>x</v>
      </c>
      <c r="AA300" s="39" t="str">
        <f>IF(AA117=-1,"x",IF(OR(AA215=1,AA$196=1,$CY117=1),AA117,0))</f>
        <v>x</v>
      </c>
      <c r="AB300" s="41" t="str">
        <f>IF(AB117=-1,"x",IF(OR(AB215=1,AB$196=1,$CZ117=1),AB117,0))</f>
        <v>x</v>
      </c>
      <c r="AC300" s="40" t="str">
        <f>IF(AC117=-1,"x",IF(OR(AC215=1,AC$196=1,$CX117=1),AC117,0))</f>
        <v>x</v>
      </c>
      <c r="AD300" s="39" t="str">
        <f>IF(AD117=-1,"x",IF(OR(AD215=1,AD$196=1,$CY117=1),AD117,0))</f>
        <v>x</v>
      </c>
      <c r="AE300" s="42" t="str">
        <f>IF(AE117=-1,"x",IF(OR(AE215=1,AE$196=1,$CZ117=1),AE117,0))</f>
        <v>x</v>
      </c>
      <c r="AF300" s="43" t="str">
        <f>IF(AF117=-1,"x",IF(OR(AF215=1,AF$196=1,$CX117=1),AF117,0))</f>
        <v>x</v>
      </c>
      <c r="AG300" s="39" t="str">
        <f>IF(AG117=-1,"x",IF(OR(AG215=1,AG$196=1,$CY117=1),AG117,0))</f>
        <v>x</v>
      </c>
      <c r="AH300" s="41" t="str">
        <f>IF(AH117=-1,"x",IF(OR(AH215=1,AH$196=1,$CZ117=1),AH117,0))</f>
        <v>x</v>
      </c>
      <c r="AI300" s="40" t="str">
        <f>IF(AI117=-1,"x",IF(OR(AI215=1,AI$196=1,$CX117=1),AI117,0))</f>
        <v>x</v>
      </c>
      <c r="AJ300" s="39" t="str">
        <f>IF(AJ117=-1,"x",IF(OR(AJ215=1,AJ$196=1,$CY117=1),AJ117,0))</f>
        <v>x</v>
      </c>
      <c r="AK300" s="41" t="str">
        <f>IF(AK117=-1,"x",IF(OR(AK215=1,AK$196=1,$CZ117=1),AK117,0))</f>
        <v>x</v>
      </c>
      <c r="AL300" s="40" t="str">
        <f>IF(AL117=-1,"x",IF(OR(AL215=1,AL$196=1,$CX117=1),AL117,0))</f>
        <v>x</v>
      </c>
      <c r="AM300" s="39" t="str">
        <f>IF(AM117=-1,"x",IF(OR(AM215=1,AM$196=1,$CY117=1),AM117,0))</f>
        <v>x</v>
      </c>
      <c r="AN300" s="95" t="str">
        <f>IF(AN117=-1,"x",IF(OR(AN215=1,AN$196=1,$CZ117=1),AN117,0))</f>
        <v>x</v>
      </c>
      <c r="AO300" s="94" t="str">
        <f>IF(AO117=-1,"x",IF(OR(AO215=1,AO$196=1,$CX117=1),AO117,0))</f>
        <v>x</v>
      </c>
      <c r="AP300" s="39" t="str">
        <f>IF(AP117=-1,"x",IF(OR(AP215=1,AP$196=1,$CY117=1),AP117,0))</f>
        <v>x</v>
      </c>
      <c r="AQ300" s="41" t="str">
        <f>IF(AQ117=-1,"x",IF(OR(AQ215=1,AQ$196=1,$CZ117=1),AQ117,0))</f>
        <v>x</v>
      </c>
      <c r="AR300" s="40" t="str">
        <f>IF(AR117=-1,"x",IF(OR(AR215=1,AR$196=1,$CX117=1),AR117,0))</f>
        <v>x</v>
      </c>
      <c r="AS300" s="39" t="str">
        <f>IF(AS117=-1,"x",IF(OR(AS215=1,AS$196=1,$CY117=1),AS117,0))</f>
        <v>x</v>
      </c>
      <c r="AT300" s="41" t="str">
        <f>IF(AT117=-1,"x",IF(OR(AT215=1,AT$196=1,$CZ117=1),AT117,0))</f>
        <v>x</v>
      </c>
      <c r="AU300" s="40" t="str">
        <f>IF(AU117=-1,"x",IF(OR(AU215=1,AU$196=1,$CX117=1),AU117,0))</f>
        <v>x</v>
      </c>
      <c r="AV300" s="39" t="str">
        <f>IF(AV117=-1,"x",IF(OR(AV215=1,AV$196=1,$CY117=1),AV117,0))</f>
        <v>x</v>
      </c>
      <c r="AW300" s="42" t="str">
        <f>IF(AW117=-1,"x",IF(OR(AW215=1,AW$196=1,$CZ117=1),AW117,0))</f>
        <v>x</v>
      </c>
      <c r="AX300" s="43">
        <f>IF(AX117=-1,"x",IF(OR(AX215=1,AX$196=1,$CX117=1),AX117,0))</f>
        <v>0</v>
      </c>
      <c r="AY300" s="39">
        <f>IF(AY117=-1,"x",IF(OR(AY215=1,AY$196=1,$CY117=1),AY117,0))</f>
        <v>0</v>
      </c>
      <c r="AZ300" s="41">
        <f>IF(AZ117=-1,"x",IF(OR(AZ215=1,AZ$196=1,$CZ117=1),AZ117,0))</f>
        <v>0</v>
      </c>
      <c r="BA300" s="40" t="str">
        <f>IF(BA117=-1,"x",IF(OR(BA215=1,BA$196=1,$CX117=1),BA117,0))</f>
        <v>x</v>
      </c>
      <c r="BB300" s="39" t="str">
        <f>IF(BB117=-1,"x",IF(OR(BB215=1,BB$196=1,$CY117=1),BB117,0))</f>
        <v>x</v>
      </c>
      <c r="BC300" s="41" t="str">
        <f>IF(BC117=-1,"x",IF(OR(BC215=1,BC$196=1,$CZ117=1),BC117,0))</f>
        <v>x</v>
      </c>
      <c r="BD300" s="40" t="str">
        <f>IF(BD117=-1,"x",IF(OR(BD215=1,BD$196=1,$CX117=1),BD117,0))</f>
        <v>x</v>
      </c>
      <c r="BE300" s="39" t="str">
        <f>IF(BE117=-1,"x",IF(OR(BE215=1,BE$196=1,$CY117=1),BE117,0))</f>
        <v>x</v>
      </c>
      <c r="BF300" s="42" t="str">
        <f>IF(BF117=-1,"x",IF(OR(BF215=1,BF$196=1,$CZ117=1),BF117,0))</f>
        <v>x</v>
      </c>
      <c r="BG300" s="43" t="str">
        <f>IF(BG117=-1,"x",IF(OR(BG215=1,BG$196=1,$CX117=1),BG117,0))</f>
        <v>x</v>
      </c>
      <c r="BH300" s="39" t="str">
        <f>IF(BH117=-1,"x",IF(OR(BH215=1,BH$196=1,$CY117=1),BH117,0))</f>
        <v>x</v>
      </c>
      <c r="BI300" s="41" t="str">
        <f>IF(BI117=-1,"x",IF(OR(BI215=1,BI$196=1,$CZ117=1),BI117,0))</f>
        <v>x</v>
      </c>
      <c r="BJ300" s="40" t="str">
        <f>IF(BJ117=-1,"x",IF(OR(BJ215=1,BJ$196=1,$CX117=1),BJ117,0))</f>
        <v>x</v>
      </c>
      <c r="BK300" s="39" t="str">
        <f>IF(BK117=-1,"x",IF(OR(BK215=1,BK$196=1,$CY117=1),BK117,0))</f>
        <v>x</v>
      </c>
      <c r="BL300" s="41" t="str">
        <f>IF(BL117=-1,"x",IF(OR(BL215=1,BL$196=1,$CZ117=1),BL117,0))</f>
        <v>x</v>
      </c>
      <c r="BM300" s="40" t="str">
        <f>IF(BM117=-1,"x",IF(OR(BM215=1,BM$196=1,$CX117=1),BM117,0))</f>
        <v>x</v>
      </c>
      <c r="BN300" s="39" t="str">
        <f>IF(BN117=-1,"x",IF(OR(BN215=1,BN$196=1,$CY117=1),BN117,0))</f>
        <v>x</v>
      </c>
      <c r="BO300" s="95" t="str">
        <f>IF(BO117=-1,"x",IF(OR(BO215=1,BO$196=1,$CZ117=1),BO117,0))</f>
        <v>x</v>
      </c>
      <c r="BP300" s="94" t="str">
        <f>IF(BP117=-1,"x",IF(OR(BP215=1,BP$196=1,$CX117=1),BP117,0))</f>
        <v>x</v>
      </c>
      <c r="BQ300" s="39" t="str">
        <f>IF(BQ117=-1,"x",IF(OR(BQ215=1,BQ$196=1,$CY117=1),BQ117,0))</f>
        <v>x</v>
      </c>
      <c r="BR300" s="41" t="str">
        <f>IF(BR117=-1,"x",IF(OR(BR215=1,BR$196=1,$CZ117=1),BR117,0))</f>
        <v>x</v>
      </c>
      <c r="BS300" s="40" t="str">
        <f>IF(BS117=-1,"x",IF(OR(BS215=1,BS$196=1,$CX117=1),BS117,0))</f>
        <v>x</v>
      </c>
      <c r="BT300" s="39" t="str">
        <f>IF(BT117=-1,"x",IF(OR(BT215=1,BT$196=1,$CY117=1),BT117,0))</f>
        <v>x</v>
      </c>
      <c r="BU300" s="41" t="str">
        <f>IF(BU117=-1,"x",IF(OR(BU215=1,BU$196=1,$CZ117=1),BU117,0))</f>
        <v>x</v>
      </c>
      <c r="BV300" s="40" t="str">
        <f>IF(BV117=-1,"x",IF(OR(BV215=1,BV$196=1,$CX117=1),BV117,0))</f>
        <v>x</v>
      </c>
      <c r="BW300" s="39" t="str">
        <f>IF(BW117=-1,"x",IF(OR(BW215=1,BW$196=1,$CY117=1),BW117,0))</f>
        <v>x</v>
      </c>
      <c r="BX300" s="42" t="str">
        <f>IF(BX117=-1,"x",IF(OR(BX215=1,BX$196=1,$CZ117=1),BX117,0))</f>
        <v>x</v>
      </c>
      <c r="BY300" s="43" t="str">
        <f>IF(BY117=-1,"x",IF(OR(BY215=1,BY$196=1,$CX117=1),BY117,0))</f>
        <v>x</v>
      </c>
      <c r="BZ300" s="39" t="str">
        <f>IF(BZ117=-1,"x",IF(OR(BZ215=1,BZ$196=1,$CY117=1),BZ117,0))</f>
        <v>x</v>
      </c>
      <c r="CA300" s="41" t="str">
        <f>IF(CA117=-1,"x",IF(OR(CA215=1,CA$196=1,$CZ117=1),CA117,0))</f>
        <v>x</v>
      </c>
      <c r="CB300" s="40" t="str">
        <f>IF(CB117=-1,"x",IF(OR(CB215=1,CB$196=1,$CX117=1),CB117,0))</f>
        <v>x</v>
      </c>
      <c r="CC300" s="39" t="str">
        <f>IF(CC117=-1,"x",IF(OR(CC215=1,CC$196=1,$CY117=1),CC117,0))</f>
        <v>x</v>
      </c>
      <c r="CD300" s="41" t="str">
        <f>IF(CD117=-1,"x",IF(OR(CD215=1,CD$196=1,$CZ117=1),CD117,0))</f>
        <v>x</v>
      </c>
      <c r="CE300" s="40" t="str">
        <f>IF(CE117=-1,"x",IF(OR(CE215=1,CE$196=1,$CX117=1),CE117,0))</f>
        <v>x</v>
      </c>
      <c r="CF300" s="39" t="str">
        <f>IF(CF117=-1,"x",IF(OR(CF215=1,CF$196=1,$CY117=1),CF117,0))</f>
        <v>x</v>
      </c>
      <c r="CG300" s="42" t="str">
        <f>IF(CG117=-1,"x",IF(OR(CG215=1,CG$196=1,$CZ117=1),CG117,0))</f>
        <v>x</v>
      </c>
      <c r="CH300" s="43" t="str">
        <f>IF(CH117=-1,"x",IF(OR(CH215=1,CH$196=1,$CX117=1),CH117,0))</f>
        <v>x</v>
      </c>
      <c r="CI300" s="39" t="str">
        <f>IF(CI117=-1,"x",IF(OR(CI215=1,CI$196=1,$CY117=1),CI117,0))</f>
        <v>x</v>
      </c>
      <c r="CJ300" s="41" t="str">
        <f>IF(CJ117=-1,"x",IF(OR(CJ215=1,CJ$196=1,$CZ117=1),CJ117,0))</f>
        <v>x</v>
      </c>
      <c r="CK300" s="40">
        <f>IF(CK117=-1,"x",IF(OR(CK215=1,CK$196=1,$CX117=1),CK117,0))</f>
        <v>0</v>
      </c>
      <c r="CL300" s="39">
        <f>IF(CL117=-1,"x",IF(OR(CL215=1,CL$196=1,$CY117=1),CL117,0))</f>
        <v>0</v>
      </c>
      <c r="CM300" s="41">
        <f>IF(CM117=-1,"x",IF(OR(CM215=1,CM$196=1,$CZ117=1),CM117,0))</f>
        <v>0</v>
      </c>
      <c r="CN300" s="40">
        <f>IF(CN117=-1,"x",IF(OR(CN215=1,CN$196=1,$CX117=1),CN117,0))</f>
        <v>0</v>
      </c>
      <c r="CO300" s="39">
        <f>IF(CO117=-1,"x",IF(OR(CO215=1,CO$196=1,$CY117=1),CO117,0))</f>
        <v>0</v>
      </c>
      <c r="CP300" s="95">
        <f>IF(CP117=-1,"x",IF(OR(CP215=1,CP$196=1,$CZ117=1),CP117,0))</f>
        <v>0</v>
      </c>
      <c r="DJ300" s="116">
        <f t="shared" ref="DJ300:FU300" si="1072">DJ297</f>
        <v>0</v>
      </c>
      <c r="DK300" s="116">
        <f t="shared" si="1072"/>
        <v>2</v>
      </c>
      <c r="DL300" s="116">
        <f t="shared" si="1072"/>
        <v>0</v>
      </c>
      <c r="DM300" s="116">
        <f t="shared" si="1072"/>
        <v>0</v>
      </c>
      <c r="DN300" s="116">
        <f t="shared" si="1072"/>
        <v>2</v>
      </c>
      <c r="DO300" s="116">
        <f t="shared" si="1072"/>
        <v>0</v>
      </c>
      <c r="DP300" s="116">
        <f t="shared" si="1072"/>
        <v>0</v>
      </c>
      <c r="DQ300" s="116">
        <f t="shared" si="1072"/>
        <v>2</v>
      </c>
      <c r="DR300" s="116">
        <f t="shared" si="1072"/>
        <v>0</v>
      </c>
      <c r="DS300" s="116">
        <f t="shared" si="1072"/>
        <v>0</v>
      </c>
      <c r="DT300" s="116">
        <f t="shared" si="1072"/>
        <v>2</v>
      </c>
      <c r="DU300" s="116">
        <f t="shared" si="1072"/>
        <v>0</v>
      </c>
      <c r="DV300" s="116">
        <f t="shared" si="1072"/>
        <v>0</v>
      </c>
      <c r="DW300" s="116">
        <f t="shared" si="1072"/>
        <v>2</v>
      </c>
      <c r="DX300" s="116">
        <f t="shared" si="1072"/>
        <v>0</v>
      </c>
      <c r="DY300" s="116">
        <f t="shared" si="1072"/>
        <v>0</v>
      </c>
      <c r="DZ300" s="116">
        <f t="shared" si="1072"/>
        <v>2</v>
      </c>
      <c r="EA300" s="116">
        <f t="shared" si="1072"/>
        <v>0</v>
      </c>
      <c r="EB300" s="116">
        <f t="shared" si="1072"/>
        <v>0</v>
      </c>
      <c r="EC300" s="116">
        <f t="shared" si="1072"/>
        <v>2</v>
      </c>
      <c r="ED300" s="116">
        <f t="shared" si="1072"/>
        <v>0</v>
      </c>
      <c r="EE300" s="116">
        <f t="shared" si="1072"/>
        <v>0</v>
      </c>
      <c r="EF300" s="116">
        <f t="shared" si="1072"/>
        <v>2</v>
      </c>
      <c r="EG300" s="116">
        <f t="shared" si="1072"/>
        <v>0</v>
      </c>
      <c r="EH300" s="116">
        <f t="shared" si="1072"/>
        <v>0</v>
      </c>
      <c r="EI300" s="116">
        <f t="shared" si="1072"/>
        <v>2</v>
      </c>
      <c r="EJ300" s="116">
        <f t="shared" si="1072"/>
        <v>0</v>
      </c>
      <c r="EK300" s="116">
        <f t="shared" si="1072"/>
        <v>1</v>
      </c>
      <c r="EL300" s="116">
        <f t="shared" si="1072"/>
        <v>2</v>
      </c>
      <c r="EM300" s="116">
        <f t="shared" si="1072"/>
        <v>0</v>
      </c>
      <c r="EN300" s="116">
        <f t="shared" si="1072"/>
        <v>1</v>
      </c>
      <c r="EO300" s="116">
        <f t="shared" si="1072"/>
        <v>2</v>
      </c>
      <c r="EP300" s="116">
        <f t="shared" si="1072"/>
        <v>0</v>
      </c>
      <c r="EQ300" s="116">
        <f t="shared" si="1072"/>
        <v>1</v>
      </c>
      <c r="ER300" s="116">
        <f t="shared" si="1072"/>
        <v>2</v>
      </c>
      <c r="ES300" s="116">
        <f t="shared" si="1072"/>
        <v>0</v>
      </c>
      <c r="ET300" s="116">
        <f t="shared" si="1072"/>
        <v>1</v>
      </c>
      <c r="EU300" s="116">
        <f t="shared" si="1072"/>
        <v>2</v>
      </c>
      <c r="EV300" s="116">
        <f t="shared" si="1072"/>
        <v>0</v>
      </c>
      <c r="EW300" s="116">
        <f t="shared" si="1072"/>
        <v>1</v>
      </c>
      <c r="EX300" s="116">
        <f t="shared" si="1072"/>
        <v>2</v>
      </c>
      <c r="EY300" s="116">
        <f t="shared" si="1072"/>
        <v>0</v>
      </c>
      <c r="EZ300" s="116">
        <f t="shared" si="1072"/>
        <v>1</v>
      </c>
      <c r="FA300" s="116">
        <f t="shared" si="1072"/>
        <v>2</v>
      </c>
      <c r="FB300" s="116">
        <f t="shared" si="1072"/>
        <v>0</v>
      </c>
      <c r="FC300" s="116">
        <f t="shared" si="1072"/>
        <v>1</v>
      </c>
      <c r="FD300" s="116">
        <f t="shared" si="1072"/>
        <v>2</v>
      </c>
      <c r="FE300" s="116">
        <f t="shared" si="1072"/>
        <v>0</v>
      </c>
      <c r="FF300" s="116">
        <f t="shared" si="1072"/>
        <v>1</v>
      </c>
      <c r="FG300" s="116">
        <f t="shared" si="1072"/>
        <v>2</v>
      </c>
      <c r="FH300" s="116">
        <f t="shared" si="1072"/>
        <v>0</v>
      </c>
      <c r="FI300" s="116">
        <f t="shared" si="1072"/>
        <v>1</v>
      </c>
      <c r="FJ300" s="116">
        <f t="shared" si="1072"/>
        <v>2</v>
      </c>
      <c r="FK300" s="116">
        <f t="shared" si="1072"/>
        <v>0</v>
      </c>
      <c r="FL300" s="116">
        <f t="shared" si="1072"/>
        <v>1</v>
      </c>
      <c r="FM300" s="116">
        <f t="shared" si="1072"/>
        <v>7</v>
      </c>
      <c r="FN300" s="116">
        <f t="shared" si="1072"/>
        <v>0</v>
      </c>
      <c r="FO300" s="116">
        <f t="shared" si="1072"/>
        <v>1</v>
      </c>
      <c r="FP300" s="116">
        <f t="shared" si="1072"/>
        <v>7</v>
      </c>
      <c r="FQ300" s="116">
        <f t="shared" si="1072"/>
        <v>0</v>
      </c>
      <c r="FR300" s="116">
        <f t="shared" si="1072"/>
        <v>1</v>
      </c>
      <c r="FS300" s="116">
        <f t="shared" si="1072"/>
        <v>7</v>
      </c>
      <c r="FT300" s="116">
        <f t="shared" si="1072"/>
        <v>0</v>
      </c>
      <c r="FU300" s="116">
        <f t="shared" si="1072"/>
        <v>1</v>
      </c>
      <c r="FV300" s="116">
        <f t="shared" ref="FV300:GL300" si="1073">FV297</f>
        <v>7</v>
      </c>
      <c r="FW300" s="116">
        <f t="shared" si="1073"/>
        <v>0</v>
      </c>
      <c r="FX300" s="116">
        <f t="shared" si="1073"/>
        <v>1</v>
      </c>
      <c r="FY300" s="116">
        <f t="shared" si="1073"/>
        <v>7</v>
      </c>
      <c r="FZ300" s="116">
        <f t="shared" si="1073"/>
        <v>0</v>
      </c>
      <c r="GA300" s="116">
        <f t="shared" si="1073"/>
        <v>1</v>
      </c>
      <c r="GB300" s="116">
        <f t="shared" si="1073"/>
        <v>7</v>
      </c>
      <c r="GC300" s="116">
        <f t="shared" si="1073"/>
        <v>0</v>
      </c>
      <c r="GD300" s="116">
        <f t="shared" si="1073"/>
        <v>1</v>
      </c>
      <c r="GE300" s="116">
        <f t="shared" si="1073"/>
        <v>7</v>
      </c>
      <c r="GF300" s="116">
        <f t="shared" si="1073"/>
        <v>0</v>
      </c>
      <c r="GG300" s="116">
        <f t="shared" si="1073"/>
        <v>1</v>
      </c>
      <c r="GH300" s="116">
        <f t="shared" si="1073"/>
        <v>7</v>
      </c>
      <c r="GI300" s="116">
        <f t="shared" si="1073"/>
        <v>0</v>
      </c>
      <c r="GJ300" s="116">
        <f t="shared" si="1073"/>
        <v>1</v>
      </c>
      <c r="GK300" s="116">
        <f t="shared" si="1073"/>
        <v>7</v>
      </c>
      <c r="GL300" s="116">
        <f t="shared" si="1073"/>
        <v>0</v>
      </c>
    </row>
    <row r="301" spans="14:194" ht="15" customHeight="1">
      <c r="N301" s="99">
        <f>IF(N118=-1,"x",IF(OR(N216=1,N$197=1,$CX118=1),N118,0))</f>
        <v>0</v>
      </c>
      <c r="O301" s="45">
        <f>IF(O118=-1,"x",IF(OR(O216=1,O$197=1,$CY118=1),O118,0))</f>
        <v>0</v>
      </c>
      <c r="P301" s="47">
        <f>IF(P118=-1,"x",IF(OR(P216=1,P$197=1,$CZ118=1),P118,0))</f>
        <v>0</v>
      </c>
      <c r="Q301" s="46">
        <f>IF(Q118=-1,"x",IF(OR(Q216=1,Q$197=1,$CX118=1),Q118,0))</f>
        <v>0</v>
      </c>
      <c r="R301" s="45">
        <f>IF(R118=-1,"x",IF(OR(R216=1,R$197=1,$CY118=1),R118,0))</f>
        <v>0</v>
      </c>
      <c r="S301" s="47">
        <f>IF(S118=-1,"x",IF(OR(S216=1,S$197=1,$CZ118=1),S118,0))</f>
        <v>0</v>
      </c>
      <c r="T301" s="46" t="str">
        <f>IF(T118=-1,"x",IF(OR(T216=1,T$197=1,$CX118=1),T118,0))</f>
        <v>x</v>
      </c>
      <c r="U301" s="45" t="str">
        <f>IF(U118=-1,"x",IF(OR(U216=1,U$197=1,$CY118=1),U118,0))</f>
        <v>x</v>
      </c>
      <c r="V301" s="48" t="str">
        <f>IF(V118=-1,"x",IF(OR(V216=1,V$197=1,$CZ118=1),V118,0))</f>
        <v>x</v>
      </c>
      <c r="W301" s="44" t="str">
        <f>IF(W118=-1,"x",IF(OR(W216=1,W$197=1,$CX118=1),W118,0))</f>
        <v>x</v>
      </c>
      <c r="X301" s="45" t="str">
        <f>IF(X118=-1,"x",IF(OR(X216=1,X$197=1,$CY118=1),X118,0))</f>
        <v>x</v>
      </c>
      <c r="Y301" s="47" t="str">
        <f>IF(Y118=-1,"x",IF(OR(Y216=1,Y$197=1,$CZ118=1),Y118,0))</f>
        <v>x</v>
      </c>
      <c r="Z301" s="46" t="str">
        <f>IF(Z118=-1,"x",IF(OR(Z216=1,Z$197=1,$CX118=1),Z118,0))</f>
        <v>x</v>
      </c>
      <c r="AA301" s="45" t="str">
        <f>IF(AA118=-1,"x",IF(OR(AA216=1,AA$197=1,$CY118=1),AA118,0))</f>
        <v>x</v>
      </c>
      <c r="AB301" s="47" t="str">
        <f>IF(AB118=-1,"x",IF(OR(AB216=1,AB$197=1,$CZ118=1),AB118,0))</f>
        <v>x</v>
      </c>
      <c r="AC301" s="46" t="str">
        <f>IF(AC118=-1,"x",IF(OR(AC216=1,AC$197=1,$CX118=1),AC118,0))</f>
        <v>x</v>
      </c>
      <c r="AD301" s="45" t="str">
        <f>IF(AD118=-1,"x",IF(OR(AD216=1,AD$197=1,$CY118=1),AD118,0))</f>
        <v>x</v>
      </c>
      <c r="AE301" s="48" t="str">
        <f>IF(AE118=-1,"x",IF(OR(AE216=1,AE$197=1,$CZ118=1),AE118,0))</f>
        <v>x</v>
      </c>
      <c r="AF301" s="44" t="str">
        <f>IF(AF118=-1,"x",IF(OR(AF216=1,AF$197=1,$CX118=1),AF118,0))</f>
        <v>x</v>
      </c>
      <c r="AG301" s="45" t="str">
        <f>IF(AG118=-1,"x",IF(OR(AG216=1,AG$197=1,$CY118=1),AG118,0))</f>
        <v>x</v>
      </c>
      <c r="AH301" s="47" t="str">
        <f>IF(AH118=-1,"x",IF(OR(AH216=1,AH$197=1,$CZ118=1),AH118,0))</f>
        <v>x</v>
      </c>
      <c r="AI301" s="46" t="str">
        <f>IF(AI118=-1,"x",IF(OR(AI216=1,AI$197=1,$CX118=1),AI118,0))</f>
        <v>x</v>
      </c>
      <c r="AJ301" s="45" t="str">
        <f>IF(AJ118=-1,"x",IF(OR(AJ216=1,AJ$197=1,$CY118=1),AJ118,0))</f>
        <v>x</v>
      </c>
      <c r="AK301" s="47" t="str">
        <f>IF(AK118=-1,"x",IF(OR(AK216=1,AK$197=1,$CZ118=1),AK118,0))</f>
        <v>x</v>
      </c>
      <c r="AL301" s="46" t="str">
        <f>IF(AL118=-1,"x",IF(OR(AL216=1,AL$197=1,$CX118=1),AL118,0))</f>
        <v>x</v>
      </c>
      <c r="AM301" s="45" t="str">
        <f>IF(AM118=-1,"x",IF(OR(AM216=1,AM$197=1,$CY118=1),AM118,0))</f>
        <v>x</v>
      </c>
      <c r="AN301" s="100" t="str">
        <f>IF(AN118=-1,"x",IF(OR(AN216=1,AN$197=1,$CZ118=1),AN118,0))</f>
        <v>x</v>
      </c>
      <c r="AO301" s="99" t="str">
        <f>IF(AO118=-1,"x",IF(OR(AO216=1,AO$197=1,$CX118=1),AO118,0))</f>
        <v>x</v>
      </c>
      <c r="AP301" s="45" t="str">
        <f>IF(AP118=-1,"x",IF(OR(AP216=1,AP$197=1,$CY118=1),AP118,0))</f>
        <v>x</v>
      </c>
      <c r="AQ301" s="47" t="str">
        <f>IF(AQ118=-1,"x",IF(OR(AQ216=1,AQ$197=1,$CZ118=1),AQ118,0))</f>
        <v>x</v>
      </c>
      <c r="AR301" s="46" t="str">
        <f>IF(AR118=-1,"x",IF(OR(AR216=1,AR$197=1,$CX118=1),AR118,0))</f>
        <v>x</v>
      </c>
      <c r="AS301" s="45" t="str">
        <f>IF(AS118=-1,"x",IF(OR(AS216=1,AS$197=1,$CY118=1),AS118,0))</f>
        <v>x</v>
      </c>
      <c r="AT301" s="47" t="str">
        <f>IF(AT118=-1,"x",IF(OR(AT216=1,AT$197=1,$CZ118=1),AT118,0))</f>
        <v>x</v>
      </c>
      <c r="AU301" s="46" t="str">
        <f>IF(AU118=-1,"x",IF(OR(AU216=1,AU$197=1,$CX118=1),AU118,0))</f>
        <v>x</v>
      </c>
      <c r="AV301" s="45" t="str">
        <f>IF(AV118=-1,"x",IF(OR(AV216=1,AV$197=1,$CY118=1),AV118,0))</f>
        <v>x</v>
      </c>
      <c r="AW301" s="48" t="str">
        <f>IF(AW118=-1,"x",IF(OR(AW216=1,AW$197=1,$CZ118=1),AW118,0))</f>
        <v>x</v>
      </c>
      <c r="AX301" s="44">
        <f>IF(AX118=-1,"x",IF(OR(AX216=1,AX$197=1,$CX118=1),AX118,0))</f>
        <v>0</v>
      </c>
      <c r="AY301" s="45">
        <f>IF(AY118=-1,"x",IF(OR(AY216=1,AY$197=1,$CY118=1),AY118,0))</f>
        <v>0</v>
      </c>
      <c r="AZ301" s="47">
        <f>IF(AZ118=-1,"x",IF(OR(AZ216=1,AZ$197=1,$CZ118=1),AZ118,0))</f>
        <v>0</v>
      </c>
      <c r="BA301" s="46" t="str">
        <f>IF(BA118=-1,"x",IF(OR(BA216=1,BA$197=1,$CX118=1),BA118,0))</f>
        <v>x</v>
      </c>
      <c r="BB301" s="45" t="str">
        <f>IF(BB118=-1,"x",IF(OR(BB216=1,BB$197=1,$CY118=1),BB118,0))</f>
        <v>x</v>
      </c>
      <c r="BC301" s="47" t="str">
        <f>IF(BC118=-1,"x",IF(OR(BC216=1,BC$197=1,$CZ118=1),BC118,0))</f>
        <v>x</v>
      </c>
      <c r="BD301" s="46" t="str">
        <f>IF(BD118=-1,"x",IF(OR(BD216=1,BD$197=1,$CX118=1),BD118,0))</f>
        <v>x</v>
      </c>
      <c r="BE301" s="45" t="str">
        <f>IF(BE118=-1,"x",IF(OR(BE216=1,BE$197=1,$CY118=1),BE118,0))</f>
        <v>x</v>
      </c>
      <c r="BF301" s="48" t="str">
        <f>IF(BF118=-1,"x",IF(OR(BF216=1,BF$197=1,$CZ118=1),BF118,0))</f>
        <v>x</v>
      </c>
      <c r="BG301" s="44" t="str">
        <f>IF(BG118=-1,"x",IF(OR(BG216=1,BG$197=1,$CX118=1),BG118,0))</f>
        <v>x</v>
      </c>
      <c r="BH301" s="45" t="str">
        <f>IF(BH118=-1,"x",IF(OR(BH216=1,BH$197=1,$CY118=1),BH118,0))</f>
        <v>x</v>
      </c>
      <c r="BI301" s="47" t="str">
        <f>IF(BI118=-1,"x",IF(OR(BI216=1,BI$197=1,$CZ118=1),BI118,0))</f>
        <v>x</v>
      </c>
      <c r="BJ301" s="46" t="str">
        <f>IF(BJ118=-1,"x",IF(OR(BJ216=1,BJ$197=1,$CX118=1),BJ118,0))</f>
        <v>x</v>
      </c>
      <c r="BK301" s="45" t="str">
        <f>IF(BK118=-1,"x",IF(OR(BK216=1,BK$197=1,$CY118=1),BK118,0))</f>
        <v>x</v>
      </c>
      <c r="BL301" s="47" t="str">
        <f>IF(BL118=-1,"x",IF(OR(BL216=1,BL$197=1,$CZ118=1),BL118,0))</f>
        <v>x</v>
      </c>
      <c r="BM301" s="46" t="str">
        <f>IF(BM118=-1,"x",IF(OR(BM216=1,BM$197=1,$CX118=1),BM118,0))</f>
        <v>x</v>
      </c>
      <c r="BN301" s="45" t="str">
        <f>IF(BN118=-1,"x",IF(OR(BN216=1,BN$197=1,$CY118=1),BN118,0))</f>
        <v>x</v>
      </c>
      <c r="BO301" s="100" t="str">
        <f>IF(BO118=-1,"x",IF(OR(BO216=1,BO$197=1,$CZ118=1),BO118,0))</f>
        <v>x</v>
      </c>
      <c r="BP301" s="99" t="str">
        <f>IF(BP118=-1,"x",IF(OR(BP216=1,BP$197=1,$CX118=1),BP118,0))</f>
        <v>x</v>
      </c>
      <c r="BQ301" s="45" t="str">
        <f>IF(BQ118=-1,"x",IF(OR(BQ216=1,BQ$197=1,$CY118=1),BQ118,0))</f>
        <v>x</v>
      </c>
      <c r="BR301" s="47" t="str">
        <f>IF(BR118=-1,"x",IF(OR(BR216=1,BR$197=1,$CZ118=1),BR118,0))</f>
        <v>x</v>
      </c>
      <c r="BS301" s="46" t="str">
        <f>IF(BS118=-1,"x",IF(OR(BS216=1,BS$197=1,$CX118=1),BS118,0))</f>
        <v>x</v>
      </c>
      <c r="BT301" s="45" t="str">
        <f>IF(BT118=-1,"x",IF(OR(BT216=1,BT$197=1,$CY118=1),BT118,0))</f>
        <v>x</v>
      </c>
      <c r="BU301" s="47" t="str">
        <f>IF(BU118=-1,"x",IF(OR(BU216=1,BU$197=1,$CZ118=1),BU118,0))</f>
        <v>x</v>
      </c>
      <c r="BV301" s="46" t="str">
        <f>IF(BV118=-1,"x",IF(OR(BV216=1,BV$197=1,$CX118=1),BV118,0))</f>
        <v>x</v>
      </c>
      <c r="BW301" s="45" t="str">
        <f>IF(BW118=-1,"x",IF(OR(BW216=1,BW$197=1,$CY118=1),BW118,0))</f>
        <v>x</v>
      </c>
      <c r="BX301" s="48" t="str">
        <f>IF(BX118=-1,"x",IF(OR(BX216=1,BX$197=1,$CZ118=1),BX118,0))</f>
        <v>x</v>
      </c>
      <c r="BY301" s="44" t="str">
        <f>IF(BY118=-1,"x",IF(OR(BY216=1,BY$197=1,$CX118=1),BY118,0))</f>
        <v>x</v>
      </c>
      <c r="BZ301" s="45" t="str">
        <f>IF(BZ118=-1,"x",IF(OR(BZ216=1,BZ$197=1,$CY118=1),BZ118,0))</f>
        <v>x</v>
      </c>
      <c r="CA301" s="47" t="str">
        <f>IF(CA118=-1,"x",IF(OR(CA216=1,CA$197=1,$CZ118=1),CA118,0))</f>
        <v>x</v>
      </c>
      <c r="CB301" s="46" t="str">
        <f>IF(CB118=-1,"x",IF(OR(CB216=1,CB$197=1,$CX118=1),CB118,0))</f>
        <v>x</v>
      </c>
      <c r="CC301" s="45" t="str">
        <f>IF(CC118=-1,"x",IF(OR(CC216=1,CC$197=1,$CY118=1),CC118,0))</f>
        <v>x</v>
      </c>
      <c r="CD301" s="47" t="str">
        <f>IF(CD118=-1,"x",IF(OR(CD216=1,CD$197=1,$CZ118=1),CD118,0))</f>
        <v>x</v>
      </c>
      <c r="CE301" s="46" t="str">
        <f>IF(CE118=-1,"x",IF(OR(CE216=1,CE$197=1,$CX118=1),CE118,0))</f>
        <v>x</v>
      </c>
      <c r="CF301" s="45" t="str">
        <f>IF(CF118=-1,"x",IF(OR(CF216=1,CF$197=1,$CY118=1),CF118,0))</f>
        <v>x</v>
      </c>
      <c r="CG301" s="48" t="str">
        <f>IF(CG118=-1,"x",IF(OR(CG216=1,CG$197=1,$CZ118=1),CG118,0))</f>
        <v>x</v>
      </c>
      <c r="CH301" s="44" t="str">
        <f>IF(CH118=-1,"x",IF(OR(CH216=1,CH$197=1,$CX118=1),CH118,0))</f>
        <v>x</v>
      </c>
      <c r="CI301" s="45" t="str">
        <f>IF(CI118=-1,"x",IF(OR(CI216=1,CI$197=1,$CY118=1),CI118,0))</f>
        <v>x</v>
      </c>
      <c r="CJ301" s="47" t="str">
        <f>IF(CJ118=-1,"x",IF(OR(CJ216=1,CJ$197=1,$CZ118=1),CJ118,0))</f>
        <v>x</v>
      </c>
      <c r="CK301" s="46">
        <f>IF(CK118=-1,"x",IF(OR(CK216=1,CK$197=1,$CX118=1),CK118,0))</f>
        <v>0</v>
      </c>
      <c r="CL301" s="45">
        <f>IF(CL118=-1,"x",IF(OR(CL216=1,CL$197=1,$CY118=1),CL118,0))</f>
        <v>0</v>
      </c>
      <c r="CM301" s="47">
        <f>IF(CM118=-1,"x",IF(OR(CM216=1,CM$197=1,$CZ118=1),CM118,0))</f>
        <v>0</v>
      </c>
      <c r="CN301" s="46">
        <f>IF(CN118=-1,"x",IF(OR(CN216=1,CN$197=1,$CX118=1),CN118,0))</f>
        <v>0</v>
      </c>
      <c r="CO301" s="45">
        <f>IF(CO118=-1,"x",IF(OR(CO216=1,CO$197=1,$CY118=1),CO118,0))</f>
        <v>0</v>
      </c>
      <c r="CP301" s="100">
        <f>IF(CP118=-1,"x",IF(OR(CP216=1,CP$197=1,$CZ118=1),CP118,0))</f>
        <v>0</v>
      </c>
      <c r="DJ301" s="116">
        <f t="shared" ref="DJ301:FU301" si="1074">DJ298</f>
        <v>6</v>
      </c>
      <c r="DK301" s="116">
        <f t="shared" si="1074"/>
        <v>0</v>
      </c>
      <c r="DL301" s="116">
        <f t="shared" si="1074"/>
        <v>2</v>
      </c>
      <c r="DM301" s="116">
        <f t="shared" si="1074"/>
        <v>6</v>
      </c>
      <c r="DN301" s="116">
        <f t="shared" si="1074"/>
        <v>0</v>
      </c>
      <c r="DO301" s="116">
        <f t="shared" si="1074"/>
        <v>2</v>
      </c>
      <c r="DP301" s="116">
        <f t="shared" si="1074"/>
        <v>6</v>
      </c>
      <c r="DQ301" s="116">
        <f t="shared" si="1074"/>
        <v>0</v>
      </c>
      <c r="DR301" s="116">
        <f t="shared" si="1074"/>
        <v>2</v>
      </c>
      <c r="DS301" s="116">
        <f t="shared" si="1074"/>
        <v>6</v>
      </c>
      <c r="DT301" s="116">
        <f t="shared" si="1074"/>
        <v>0</v>
      </c>
      <c r="DU301" s="116">
        <f t="shared" si="1074"/>
        <v>2</v>
      </c>
      <c r="DV301" s="116">
        <f t="shared" si="1074"/>
        <v>6</v>
      </c>
      <c r="DW301" s="116">
        <f t="shared" si="1074"/>
        <v>0</v>
      </c>
      <c r="DX301" s="116">
        <f t="shared" si="1074"/>
        <v>2</v>
      </c>
      <c r="DY301" s="116">
        <f t="shared" si="1074"/>
        <v>6</v>
      </c>
      <c r="DZ301" s="116">
        <f t="shared" si="1074"/>
        <v>0</v>
      </c>
      <c r="EA301" s="116">
        <f t="shared" si="1074"/>
        <v>2</v>
      </c>
      <c r="EB301" s="116">
        <f t="shared" si="1074"/>
        <v>6</v>
      </c>
      <c r="EC301" s="116">
        <f t="shared" si="1074"/>
        <v>0</v>
      </c>
      <c r="ED301" s="116">
        <f t="shared" si="1074"/>
        <v>2</v>
      </c>
      <c r="EE301" s="116">
        <f t="shared" si="1074"/>
        <v>6</v>
      </c>
      <c r="EF301" s="116">
        <f t="shared" si="1074"/>
        <v>0</v>
      </c>
      <c r="EG301" s="116">
        <f t="shared" si="1074"/>
        <v>2</v>
      </c>
      <c r="EH301" s="116">
        <f t="shared" si="1074"/>
        <v>6</v>
      </c>
      <c r="EI301" s="116">
        <f t="shared" si="1074"/>
        <v>0</v>
      </c>
      <c r="EJ301" s="116">
        <f t="shared" si="1074"/>
        <v>2</v>
      </c>
      <c r="EK301" s="116">
        <f t="shared" si="1074"/>
        <v>2</v>
      </c>
      <c r="EL301" s="116">
        <f t="shared" si="1074"/>
        <v>0</v>
      </c>
      <c r="EM301" s="116">
        <f t="shared" si="1074"/>
        <v>2</v>
      </c>
      <c r="EN301" s="116">
        <f t="shared" si="1074"/>
        <v>2</v>
      </c>
      <c r="EO301" s="116">
        <f t="shared" si="1074"/>
        <v>0</v>
      </c>
      <c r="EP301" s="116">
        <f t="shared" si="1074"/>
        <v>2</v>
      </c>
      <c r="EQ301" s="116">
        <f t="shared" si="1074"/>
        <v>2</v>
      </c>
      <c r="ER301" s="116">
        <f t="shared" si="1074"/>
        <v>0</v>
      </c>
      <c r="ES301" s="116">
        <f t="shared" si="1074"/>
        <v>2</v>
      </c>
      <c r="ET301" s="116">
        <f t="shared" si="1074"/>
        <v>2</v>
      </c>
      <c r="EU301" s="116">
        <f t="shared" si="1074"/>
        <v>0</v>
      </c>
      <c r="EV301" s="116">
        <f t="shared" si="1074"/>
        <v>2</v>
      </c>
      <c r="EW301" s="116">
        <f t="shared" si="1074"/>
        <v>2</v>
      </c>
      <c r="EX301" s="116">
        <f t="shared" si="1074"/>
        <v>0</v>
      </c>
      <c r="EY301" s="116">
        <f t="shared" si="1074"/>
        <v>2</v>
      </c>
      <c r="EZ301" s="116">
        <f t="shared" si="1074"/>
        <v>2</v>
      </c>
      <c r="FA301" s="116">
        <f t="shared" si="1074"/>
        <v>0</v>
      </c>
      <c r="FB301" s="116">
        <f t="shared" si="1074"/>
        <v>2</v>
      </c>
      <c r="FC301" s="116">
        <f t="shared" si="1074"/>
        <v>2</v>
      </c>
      <c r="FD301" s="116">
        <f t="shared" si="1074"/>
        <v>0</v>
      </c>
      <c r="FE301" s="116">
        <f t="shared" si="1074"/>
        <v>2</v>
      </c>
      <c r="FF301" s="116">
        <f t="shared" si="1074"/>
        <v>2</v>
      </c>
      <c r="FG301" s="116">
        <f t="shared" si="1074"/>
        <v>0</v>
      </c>
      <c r="FH301" s="116">
        <f t="shared" si="1074"/>
        <v>2</v>
      </c>
      <c r="FI301" s="116">
        <f t="shared" si="1074"/>
        <v>2</v>
      </c>
      <c r="FJ301" s="116">
        <f t="shared" si="1074"/>
        <v>0</v>
      </c>
      <c r="FK301" s="116">
        <f t="shared" si="1074"/>
        <v>2</v>
      </c>
      <c r="FL301" s="116">
        <f t="shared" si="1074"/>
        <v>5</v>
      </c>
      <c r="FM301" s="116">
        <f t="shared" si="1074"/>
        <v>3</v>
      </c>
      <c r="FN301" s="116">
        <f t="shared" si="1074"/>
        <v>7</v>
      </c>
      <c r="FO301" s="116">
        <f t="shared" si="1074"/>
        <v>5</v>
      </c>
      <c r="FP301" s="116">
        <f t="shared" si="1074"/>
        <v>3</v>
      </c>
      <c r="FQ301" s="116">
        <f t="shared" si="1074"/>
        <v>7</v>
      </c>
      <c r="FR301" s="116">
        <f t="shared" si="1074"/>
        <v>5</v>
      </c>
      <c r="FS301" s="116">
        <f t="shared" si="1074"/>
        <v>3</v>
      </c>
      <c r="FT301" s="116">
        <f t="shared" si="1074"/>
        <v>7</v>
      </c>
      <c r="FU301" s="116">
        <f t="shared" si="1074"/>
        <v>5</v>
      </c>
      <c r="FV301" s="116">
        <f t="shared" ref="FV301:GL301" si="1075">FV298</f>
        <v>3</v>
      </c>
      <c r="FW301" s="116">
        <f t="shared" si="1075"/>
        <v>7</v>
      </c>
      <c r="FX301" s="116">
        <f t="shared" si="1075"/>
        <v>5</v>
      </c>
      <c r="FY301" s="116">
        <f t="shared" si="1075"/>
        <v>3</v>
      </c>
      <c r="FZ301" s="116">
        <f t="shared" si="1075"/>
        <v>7</v>
      </c>
      <c r="GA301" s="116">
        <f t="shared" si="1075"/>
        <v>5</v>
      </c>
      <c r="GB301" s="116">
        <f t="shared" si="1075"/>
        <v>3</v>
      </c>
      <c r="GC301" s="116">
        <f t="shared" si="1075"/>
        <v>7</v>
      </c>
      <c r="GD301" s="116">
        <f t="shared" si="1075"/>
        <v>5</v>
      </c>
      <c r="GE301" s="116">
        <f t="shared" si="1075"/>
        <v>3</v>
      </c>
      <c r="GF301" s="116">
        <f t="shared" si="1075"/>
        <v>7</v>
      </c>
      <c r="GG301" s="116">
        <f t="shared" si="1075"/>
        <v>5</v>
      </c>
      <c r="GH301" s="116">
        <f t="shared" si="1075"/>
        <v>3</v>
      </c>
      <c r="GI301" s="116">
        <f t="shared" si="1075"/>
        <v>7</v>
      </c>
      <c r="GJ301" s="116">
        <f t="shared" si="1075"/>
        <v>5</v>
      </c>
      <c r="GK301" s="116">
        <f t="shared" si="1075"/>
        <v>3</v>
      </c>
      <c r="GL301" s="116">
        <f t="shared" si="1075"/>
        <v>7</v>
      </c>
    </row>
    <row r="302" spans="14:194" ht="15" customHeight="1">
      <c r="N302" s="104">
        <f>IF(N119=-1,"x",IF(OR(N217=1,N$195=1,$CX119=1),N119,0))</f>
        <v>0</v>
      </c>
      <c r="O302" s="50">
        <f>IF(O119=-1,"x",IF(OR(O217=1,O$195=1,$CY119=1),O119,0))</f>
        <v>0</v>
      </c>
      <c r="P302" s="51">
        <f>IF(P119=-1,"x",IF(OR(P217=1,P$195=1,$CZ119=1),P119,0))</f>
        <v>0</v>
      </c>
      <c r="Q302" s="52">
        <f>IF(Q119=-1,"x",IF(OR(Q217=1,Q$195=1,$CX119=1),Q119,0))</f>
        <v>0</v>
      </c>
      <c r="R302" s="50">
        <f>IF(R119=-1,"x",IF(OR(R217=1,R$195=1,$CY119=1),R119,0))</f>
        <v>0</v>
      </c>
      <c r="S302" s="51">
        <f>IF(S119=-1,"x",IF(OR(S217=1,S$195=1,$CZ119=1),S119,0))</f>
        <v>0</v>
      </c>
      <c r="T302" s="52" t="str">
        <f>IF(T119=-1,"x",IF(OR(T217=1,T$195=1,$CX119=1),T119,0))</f>
        <v>x</v>
      </c>
      <c r="U302" s="50" t="str">
        <f>IF(U119=-1,"x",IF(OR(U217=1,U$195=1,$CY119=1),U119,0))</f>
        <v>x</v>
      </c>
      <c r="V302" s="53" t="str">
        <f>IF(V119=-1,"x",IF(OR(V217=1,V$195=1,$CZ119=1),V119,0))</f>
        <v>x</v>
      </c>
      <c r="W302" s="49" t="str">
        <f>IF(W119=-1,"x",IF(OR(W217=1,W$195=1,$CX119=1),W119,0))</f>
        <v>x</v>
      </c>
      <c r="X302" s="50" t="str">
        <f>IF(X119=-1,"x",IF(OR(X217=1,X$195=1,$CY119=1),X119,0))</f>
        <v>x</v>
      </c>
      <c r="Y302" s="51" t="str">
        <f>IF(Y119=-1,"x",IF(OR(Y217=1,Y$195=1,$CZ119=1),Y119,0))</f>
        <v>x</v>
      </c>
      <c r="Z302" s="52" t="str">
        <f>IF(Z119=-1,"x",IF(OR(Z217=1,Z$195=1,$CX119=1),Z119,0))</f>
        <v>x</v>
      </c>
      <c r="AA302" s="50" t="str">
        <f>IF(AA119=-1,"x",IF(OR(AA217=1,AA$195=1,$CY119=1),AA119,0))</f>
        <v>x</v>
      </c>
      <c r="AB302" s="51" t="str">
        <f>IF(AB119=-1,"x",IF(OR(AB217=1,AB$195=1,$CZ119=1),AB119,0))</f>
        <v>x</v>
      </c>
      <c r="AC302" s="52" t="str">
        <f>IF(AC119=-1,"x",IF(OR(AC217=1,AC$195=1,$CX119=1),AC119,0))</f>
        <v>x</v>
      </c>
      <c r="AD302" s="50" t="str">
        <f>IF(AD119=-1,"x",IF(OR(AD217=1,AD$195=1,$CY119=1),AD119,0))</f>
        <v>x</v>
      </c>
      <c r="AE302" s="53" t="str">
        <f>IF(AE119=-1,"x",IF(OR(AE217=1,AE$195=1,$CZ119=1),AE119,0))</f>
        <v>x</v>
      </c>
      <c r="AF302" s="49" t="str">
        <f>IF(AF119=-1,"x",IF(OR(AF217=1,AF$195=1,$CX119=1),AF119,0))</f>
        <v>x</v>
      </c>
      <c r="AG302" s="50" t="str">
        <f>IF(AG119=-1,"x",IF(OR(AG217=1,AG$195=1,$CY119=1),AG119,0))</f>
        <v>x</v>
      </c>
      <c r="AH302" s="51" t="str">
        <f>IF(AH119=-1,"x",IF(OR(AH217=1,AH$195=1,$CZ119=1),AH119,0))</f>
        <v>x</v>
      </c>
      <c r="AI302" s="52" t="str">
        <f>IF(AI119=-1,"x",IF(OR(AI217=1,AI$195=1,$CX119=1),AI119,0))</f>
        <v>x</v>
      </c>
      <c r="AJ302" s="50" t="str">
        <f>IF(AJ119=-1,"x",IF(OR(AJ217=1,AJ$195=1,$CY119=1),AJ119,0))</f>
        <v>x</v>
      </c>
      <c r="AK302" s="51" t="str">
        <f>IF(AK119=-1,"x",IF(OR(AK217=1,AK$195=1,$CZ119=1),AK119,0))</f>
        <v>x</v>
      </c>
      <c r="AL302" s="52" t="str">
        <f>IF(AL119=-1,"x",IF(OR(AL217=1,AL$195=1,$CX119=1),AL119,0))</f>
        <v>x</v>
      </c>
      <c r="AM302" s="50" t="str">
        <f>IF(AM119=-1,"x",IF(OR(AM217=1,AM$195=1,$CY119=1),AM119,0))</f>
        <v>x</v>
      </c>
      <c r="AN302" s="105" t="str">
        <f>IF(AN119=-1,"x",IF(OR(AN217=1,AN$195=1,$CZ119=1),AN119,0))</f>
        <v>x</v>
      </c>
      <c r="AO302" s="104" t="str">
        <f>IF(AO119=-1,"x",IF(OR(AO217=1,AO$195=1,$CX119=1),AO119,0))</f>
        <v>x</v>
      </c>
      <c r="AP302" s="50" t="str">
        <f>IF(AP119=-1,"x",IF(OR(AP217=1,AP$195=1,$CY119=1),AP119,0))</f>
        <v>x</v>
      </c>
      <c r="AQ302" s="51" t="str">
        <f>IF(AQ119=-1,"x",IF(OR(AQ217=1,AQ$195=1,$CZ119=1),AQ119,0))</f>
        <v>x</v>
      </c>
      <c r="AR302" s="52" t="str">
        <f>IF(AR119=-1,"x",IF(OR(AR217=1,AR$195=1,$CX119=1),AR119,0))</f>
        <v>x</v>
      </c>
      <c r="AS302" s="50" t="str">
        <f>IF(AS119=-1,"x",IF(OR(AS217=1,AS$195=1,$CY119=1),AS119,0))</f>
        <v>x</v>
      </c>
      <c r="AT302" s="51" t="str">
        <f>IF(AT119=-1,"x",IF(OR(AT217=1,AT$195=1,$CZ119=1),AT119,0))</f>
        <v>x</v>
      </c>
      <c r="AU302" s="52" t="str">
        <f>IF(AU119=-1,"x",IF(OR(AU217=1,AU$195=1,$CX119=1),AU119,0))</f>
        <v>x</v>
      </c>
      <c r="AV302" s="50" t="str">
        <f>IF(AV119=-1,"x",IF(OR(AV217=1,AV$195=1,$CY119=1),AV119,0))</f>
        <v>x</v>
      </c>
      <c r="AW302" s="53" t="str">
        <f>IF(AW119=-1,"x",IF(OR(AW217=1,AW$195=1,$CZ119=1),AW119,0))</f>
        <v>x</v>
      </c>
      <c r="AX302" s="49" t="str">
        <f>IF(AX119=-1,"x",IF(OR(AX217=1,AX$195=1,$CX119=1),AX119,0))</f>
        <v>x</v>
      </c>
      <c r="AY302" s="50" t="str">
        <f>IF(AY119=-1,"x",IF(OR(AY217=1,AY$195=1,$CY119=1),AY119,0))</f>
        <v>x</v>
      </c>
      <c r="AZ302" s="51" t="str">
        <f>IF(AZ119=-1,"x",IF(OR(AZ217=1,AZ$195=1,$CZ119=1),AZ119,0))</f>
        <v>x</v>
      </c>
      <c r="BA302" s="52">
        <f>IF(BA119=-1,"x",IF(OR(BA217=1,BA$195=1,$CX119=1),BA119,0))</f>
        <v>0</v>
      </c>
      <c r="BB302" s="50">
        <f>IF(BB119=-1,"x",IF(OR(BB217=1,BB$195=1,$CY119=1),BB119,0))</f>
        <v>0</v>
      </c>
      <c r="BC302" s="51">
        <f>IF(BC119=-1,"x",IF(OR(BC217=1,BC$195=1,$CZ119=1),BC119,0))</f>
        <v>0</v>
      </c>
      <c r="BD302" s="52">
        <f>IF(BD119=-1,"x",IF(OR(BD217=1,BD$195=1,$CX119=1),BD119,0))</f>
        <v>0</v>
      </c>
      <c r="BE302" s="50">
        <f>IF(BE119=-1,"x",IF(OR(BE217=1,BE$195=1,$CY119=1),BE119,0))</f>
        <v>0</v>
      </c>
      <c r="BF302" s="53">
        <f>IF(BF119=-1,"x",IF(OR(BF217=1,BF$195=1,$CZ119=1),BF119,0))</f>
        <v>0</v>
      </c>
      <c r="BG302" s="49" t="str">
        <f>IF(BG119=-1,"x",IF(OR(BG217=1,BG$195=1,$CX119=1),BG119,0))</f>
        <v>x</v>
      </c>
      <c r="BH302" s="50" t="str">
        <f>IF(BH119=-1,"x",IF(OR(BH217=1,BH$195=1,$CY119=1),BH119,0))</f>
        <v>x</v>
      </c>
      <c r="BI302" s="51" t="str">
        <f>IF(BI119=-1,"x",IF(OR(BI217=1,BI$195=1,$CZ119=1),BI119,0))</f>
        <v>x</v>
      </c>
      <c r="BJ302" s="52" t="str">
        <f>IF(BJ119=-1,"x",IF(OR(BJ217=1,BJ$195=1,$CX119=1),BJ119,0))</f>
        <v>x</v>
      </c>
      <c r="BK302" s="50" t="str">
        <f>IF(BK119=-1,"x",IF(OR(BK217=1,BK$195=1,$CY119=1),BK119,0))</f>
        <v>x</v>
      </c>
      <c r="BL302" s="51" t="str">
        <f>IF(BL119=-1,"x",IF(OR(BL217=1,BL$195=1,$CZ119=1),BL119,0))</f>
        <v>x</v>
      </c>
      <c r="BM302" s="52" t="str">
        <f>IF(BM119=-1,"x",IF(OR(BM217=1,BM$195=1,$CX119=1),BM119,0))</f>
        <v>x</v>
      </c>
      <c r="BN302" s="50" t="str">
        <f>IF(BN119=-1,"x",IF(OR(BN217=1,BN$195=1,$CY119=1),BN119,0))</f>
        <v>x</v>
      </c>
      <c r="BO302" s="105" t="str">
        <f>IF(BO119=-1,"x",IF(OR(BO217=1,BO$195=1,$CZ119=1),BO119,0))</f>
        <v>x</v>
      </c>
      <c r="BP302" s="104" t="str">
        <f>IF(BP119=-1,"x",IF(OR(BP217=1,BP$195=1,$CX119=1),BP119,0))</f>
        <v>x</v>
      </c>
      <c r="BQ302" s="50" t="str">
        <f>IF(BQ119=-1,"x",IF(OR(BQ217=1,BQ$195=1,$CY119=1),BQ119,0))</f>
        <v>x</v>
      </c>
      <c r="BR302" s="51" t="str">
        <f>IF(BR119=-1,"x",IF(OR(BR217=1,BR$195=1,$CZ119=1),BR119,0))</f>
        <v>x</v>
      </c>
      <c r="BS302" s="52" t="str">
        <f>IF(BS119=-1,"x",IF(OR(BS217=1,BS$195=1,$CX119=1),BS119,0))</f>
        <v>x</v>
      </c>
      <c r="BT302" s="50" t="str">
        <f>IF(BT119=-1,"x",IF(OR(BT217=1,BT$195=1,$CY119=1),BT119,0))</f>
        <v>x</v>
      </c>
      <c r="BU302" s="51" t="str">
        <f>IF(BU119=-1,"x",IF(OR(BU217=1,BU$195=1,$CZ119=1),BU119,0))</f>
        <v>x</v>
      </c>
      <c r="BV302" s="52" t="str">
        <f>IF(BV119=-1,"x",IF(OR(BV217=1,BV$195=1,$CX119=1),BV119,0))</f>
        <v>x</v>
      </c>
      <c r="BW302" s="50" t="str">
        <f>IF(BW119=-1,"x",IF(OR(BW217=1,BW$195=1,$CY119=1),BW119,0))</f>
        <v>x</v>
      </c>
      <c r="BX302" s="53" t="str">
        <f>IF(BX119=-1,"x",IF(OR(BX217=1,BX$195=1,$CZ119=1),BX119,0))</f>
        <v>x</v>
      </c>
      <c r="BY302" s="49" t="str">
        <f>IF(BY119=-1,"x",IF(OR(BY217=1,BY$195=1,$CX119=1),BY119,0))</f>
        <v>x</v>
      </c>
      <c r="BZ302" s="50" t="str">
        <f>IF(BZ119=-1,"x",IF(OR(BZ217=1,BZ$195=1,$CY119=1),BZ119,0))</f>
        <v>x</v>
      </c>
      <c r="CA302" s="51" t="str">
        <f>IF(CA119=-1,"x",IF(OR(CA217=1,CA$195=1,$CZ119=1),CA119,0))</f>
        <v>x</v>
      </c>
      <c r="CB302" s="52" t="str">
        <f>IF(CB119=-1,"x",IF(OR(CB217=1,CB$195=1,$CX119=1),CB119,0))</f>
        <v>x</v>
      </c>
      <c r="CC302" s="50" t="str">
        <f>IF(CC119=-1,"x",IF(OR(CC217=1,CC$195=1,$CY119=1),CC119,0))</f>
        <v>x</v>
      </c>
      <c r="CD302" s="51" t="str">
        <f>IF(CD119=-1,"x",IF(OR(CD217=1,CD$195=1,$CZ119=1),CD119,0))</f>
        <v>x</v>
      </c>
      <c r="CE302" s="52" t="str">
        <f>IF(CE119=-1,"x",IF(OR(CE217=1,CE$195=1,$CX119=1),CE119,0))</f>
        <v>x</v>
      </c>
      <c r="CF302" s="50" t="str">
        <f>IF(CF119=-1,"x",IF(OR(CF217=1,CF$195=1,$CY119=1),CF119,0))</f>
        <v>x</v>
      </c>
      <c r="CG302" s="53" t="str">
        <f>IF(CG119=-1,"x",IF(OR(CG217=1,CG$195=1,$CZ119=1),CG119,0))</f>
        <v>x</v>
      </c>
      <c r="CH302" s="49" t="str">
        <f>IF(CH119=-1,"x",IF(OR(CH217=1,CH$195=1,$CX119=1),CH119,0))</f>
        <v>x</v>
      </c>
      <c r="CI302" s="50" t="str">
        <f>IF(CI119=-1,"x",IF(OR(CI217=1,CI$195=1,$CY119=1),CI119,0))</f>
        <v>x</v>
      </c>
      <c r="CJ302" s="51" t="str">
        <f>IF(CJ119=-1,"x",IF(OR(CJ217=1,CJ$195=1,$CZ119=1),CJ119,0))</f>
        <v>x</v>
      </c>
      <c r="CK302" s="52" t="str">
        <f>IF(CK119=-1,"x",IF(OR(CK217=1,CK$195=1,$CX119=1),CK119,0))</f>
        <v>x</v>
      </c>
      <c r="CL302" s="50" t="str">
        <f>IF(CL119=-1,"x",IF(OR(CL217=1,CL$195=1,$CY119=1),CL119,0))</f>
        <v>x</v>
      </c>
      <c r="CM302" s="51" t="str">
        <f>IF(CM119=-1,"x",IF(OR(CM217=1,CM$195=1,$CZ119=1),CM119,0))</f>
        <v>x</v>
      </c>
      <c r="CN302" s="52">
        <f>IF(CN119=-1,"x",IF(OR(CN217=1,CN$195=1,$CX119=1),CN119,0))</f>
        <v>0</v>
      </c>
      <c r="CO302" s="50">
        <f>IF(CO119=-1,"x",IF(OR(CO217=1,CO$195=1,$CY119=1),CO119,0))</f>
        <v>0</v>
      </c>
      <c r="CP302" s="105">
        <f>IF(CP119=-1,"x",IF(OR(CP217=1,CP$195=1,$CZ119=1),CP119,0))</f>
        <v>0</v>
      </c>
      <c r="DJ302" s="116">
        <f t="shared" ref="DJ302:FU302" si="1076">DJ299</f>
        <v>6</v>
      </c>
      <c r="DK302" s="116">
        <f t="shared" si="1076"/>
        <v>1</v>
      </c>
      <c r="DL302" s="116">
        <f t="shared" si="1076"/>
        <v>4</v>
      </c>
      <c r="DM302" s="116">
        <f t="shared" si="1076"/>
        <v>6</v>
      </c>
      <c r="DN302" s="116">
        <f t="shared" si="1076"/>
        <v>1</v>
      </c>
      <c r="DO302" s="116">
        <f t="shared" si="1076"/>
        <v>4</v>
      </c>
      <c r="DP302" s="116">
        <f t="shared" si="1076"/>
        <v>6</v>
      </c>
      <c r="DQ302" s="116">
        <f t="shared" si="1076"/>
        <v>1</v>
      </c>
      <c r="DR302" s="116">
        <f t="shared" si="1076"/>
        <v>4</v>
      </c>
      <c r="DS302" s="116">
        <f t="shared" si="1076"/>
        <v>6</v>
      </c>
      <c r="DT302" s="116">
        <f t="shared" si="1076"/>
        <v>1</v>
      </c>
      <c r="DU302" s="116">
        <f t="shared" si="1076"/>
        <v>4</v>
      </c>
      <c r="DV302" s="116">
        <f t="shared" si="1076"/>
        <v>6</v>
      </c>
      <c r="DW302" s="116">
        <f t="shared" si="1076"/>
        <v>1</v>
      </c>
      <c r="DX302" s="116">
        <f t="shared" si="1076"/>
        <v>4</v>
      </c>
      <c r="DY302" s="116">
        <f t="shared" si="1076"/>
        <v>6</v>
      </c>
      <c r="DZ302" s="116">
        <f t="shared" si="1076"/>
        <v>1</v>
      </c>
      <c r="EA302" s="116">
        <f t="shared" si="1076"/>
        <v>4</v>
      </c>
      <c r="EB302" s="116">
        <f t="shared" si="1076"/>
        <v>6</v>
      </c>
      <c r="EC302" s="116">
        <f t="shared" si="1076"/>
        <v>1</v>
      </c>
      <c r="ED302" s="116">
        <f t="shared" si="1076"/>
        <v>4</v>
      </c>
      <c r="EE302" s="116">
        <f t="shared" si="1076"/>
        <v>6</v>
      </c>
      <c r="EF302" s="116">
        <f t="shared" si="1076"/>
        <v>1</v>
      </c>
      <c r="EG302" s="116">
        <f t="shared" si="1076"/>
        <v>4</v>
      </c>
      <c r="EH302" s="116">
        <f t="shared" si="1076"/>
        <v>6</v>
      </c>
      <c r="EI302" s="116">
        <f t="shared" si="1076"/>
        <v>1</v>
      </c>
      <c r="EJ302" s="116">
        <f t="shared" si="1076"/>
        <v>4</v>
      </c>
      <c r="EK302" s="116">
        <f t="shared" si="1076"/>
        <v>1</v>
      </c>
      <c r="EL302" s="116">
        <f t="shared" si="1076"/>
        <v>0</v>
      </c>
      <c r="EM302" s="116">
        <f t="shared" si="1076"/>
        <v>0</v>
      </c>
      <c r="EN302" s="116">
        <f t="shared" si="1076"/>
        <v>1</v>
      </c>
      <c r="EO302" s="116">
        <f t="shared" si="1076"/>
        <v>0</v>
      </c>
      <c r="EP302" s="116">
        <f t="shared" si="1076"/>
        <v>0</v>
      </c>
      <c r="EQ302" s="116">
        <f t="shared" si="1076"/>
        <v>1</v>
      </c>
      <c r="ER302" s="116">
        <f t="shared" si="1076"/>
        <v>0</v>
      </c>
      <c r="ES302" s="116">
        <f t="shared" si="1076"/>
        <v>0</v>
      </c>
      <c r="ET302" s="116">
        <f t="shared" si="1076"/>
        <v>1</v>
      </c>
      <c r="EU302" s="116">
        <f t="shared" si="1076"/>
        <v>0</v>
      </c>
      <c r="EV302" s="116">
        <f t="shared" si="1076"/>
        <v>0</v>
      </c>
      <c r="EW302" s="116">
        <f t="shared" si="1076"/>
        <v>1</v>
      </c>
      <c r="EX302" s="116">
        <f t="shared" si="1076"/>
        <v>0</v>
      </c>
      <c r="EY302" s="116">
        <f t="shared" si="1076"/>
        <v>0</v>
      </c>
      <c r="EZ302" s="116">
        <f t="shared" si="1076"/>
        <v>1</v>
      </c>
      <c r="FA302" s="116">
        <f t="shared" si="1076"/>
        <v>0</v>
      </c>
      <c r="FB302" s="116">
        <f t="shared" si="1076"/>
        <v>0</v>
      </c>
      <c r="FC302" s="116">
        <f t="shared" si="1076"/>
        <v>1</v>
      </c>
      <c r="FD302" s="116">
        <f t="shared" si="1076"/>
        <v>0</v>
      </c>
      <c r="FE302" s="116">
        <f t="shared" si="1076"/>
        <v>0</v>
      </c>
      <c r="FF302" s="116">
        <f t="shared" si="1076"/>
        <v>1</v>
      </c>
      <c r="FG302" s="116">
        <f t="shared" si="1076"/>
        <v>0</v>
      </c>
      <c r="FH302" s="116">
        <f t="shared" si="1076"/>
        <v>0</v>
      </c>
      <c r="FI302" s="116">
        <f t="shared" si="1076"/>
        <v>1</v>
      </c>
      <c r="FJ302" s="116">
        <f t="shared" si="1076"/>
        <v>0</v>
      </c>
      <c r="FK302" s="116">
        <f t="shared" si="1076"/>
        <v>0</v>
      </c>
      <c r="FL302" s="116">
        <f t="shared" si="1076"/>
        <v>2</v>
      </c>
      <c r="FM302" s="116">
        <f t="shared" si="1076"/>
        <v>0</v>
      </c>
      <c r="FN302" s="116">
        <f t="shared" si="1076"/>
        <v>2</v>
      </c>
      <c r="FO302" s="116">
        <f t="shared" si="1076"/>
        <v>2</v>
      </c>
      <c r="FP302" s="116">
        <f t="shared" si="1076"/>
        <v>0</v>
      </c>
      <c r="FQ302" s="116">
        <f t="shared" si="1076"/>
        <v>2</v>
      </c>
      <c r="FR302" s="116">
        <f t="shared" si="1076"/>
        <v>2</v>
      </c>
      <c r="FS302" s="116">
        <f t="shared" si="1076"/>
        <v>0</v>
      </c>
      <c r="FT302" s="116">
        <f t="shared" si="1076"/>
        <v>2</v>
      </c>
      <c r="FU302" s="116">
        <f t="shared" si="1076"/>
        <v>2</v>
      </c>
      <c r="FV302" s="116">
        <f t="shared" ref="FV302:GL302" si="1077">FV299</f>
        <v>0</v>
      </c>
      <c r="FW302" s="116">
        <f t="shared" si="1077"/>
        <v>2</v>
      </c>
      <c r="FX302" s="116">
        <f t="shared" si="1077"/>
        <v>2</v>
      </c>
      <c r="FY302" s="116">
        <f t="shared" si="1077"/>
        <v>0</v>
      </c>
      <c r="FZ302" s="116">
        <f t="shared" si="1077"/>
        <v>2</v>
      </c>
      <c r="GA302" s="116">
        <f t="shared" si="1077"/>
        <v>2</v>
      </c>
      <c r="GB302" s="116">
        <f t="shared" si="1077"/>
        <v>0</v>
      </c>
      <c r="GC302" s="116">
        <f t="shared" si="1077"/>
        <v>2</v>
      </c>
      <c r="GD302" s="116">
        <f t="shared" si="1077"/>
        <v>2</v>
      </c>
      <c r="GE302" s="116">
        <f t="shared" si="1077"/>
        <v>0</v>
      </c>
      <c r="GF302" s="116">
        <f t="shared" si="1077"/>
        <v>2</v>
      </c>
      <c r="GG302" s="116">
        <f t="shared" si="1077"/>
        <v>2</v>
      </c>
      <c r="GH302" s="116">
        <f t="shared" si="1077"/>
        <v>0</v>
      </c>
      <c r="GI302" s="116">
        <f t="shared" si="1077"/>
        <v>2</v>
      </c>
      <c r="GJ302" s="116">
        <f t="shared" si="1077"/>
        <v>2</v>
      </c>
      <c r="GK302" s="116">
        <f t="shared" si="1077"/>
        <v>0</v>
      </c>
      <c r="GL302" s="116">
        <f t="shared" si="1077"/>
        <v>2</v>
      </c>
    </row>
    <row r="303" spans="14:194" ht="15" customHeight="1">
      <c r="N303" s="94">
        <f>IF(N120=-1,"x",IF(OR(N218=1,N$196=1,$CX120=1),N120,0))</f>
        <v>0</v>
      </c>
      <c r="O303" s="39">
        <f>IF(O120=-1,"x",IF(OR(O218=1,O$196=1,$CY120=1),O120,0))</f>
        <v>0</v>
      </c>
      <c r="P303" s="41">
        <f>IF(P120=-1,"x",IF(OR(P218=1,P$196=1,$CZ120=1),P120,0))</f>
        <v>0</v>
      </c>
      <c r="Q303" s="40">
        <f>IF(Q120=-1,"x",IF(OR(Q218=1,Q$196=1,$CX120=1),Q120,0))</f>
        <v>0</v>
      </c>
      <c r="R303" s="39">
        <f>IF(R120=-1,"x",IF(OR(R218=1,R$196=1,$CY120=1),R120,0))</f>
        <v>0</v>
      </c>
      <c r="S303" s="41">
        <f>IF(S120=-1,"x",IF(OR(S218=1,S$196=1,$CZ120=1),S120,0))</f>
        <v>0</v>
      </c>
      <c r="T303" s="40" t="str">
        <f>IF(T120=-1,"x",IF(OR(T218=1,T$196=1,$CX120=1),T120,0))</f>
        <v>x</v>
      </c>
      <c r="U303" s="39" t="str">
        <f>IF(U120=-1,"x",IF(OR(U218=1,U$196=1,$CY120=1),U120,0))</f>
        <v>x</v>
      </c>
      <c r="V303" s="42" t="str">
        <f>IF(V120=-1,"x",IF(OR(V218=1,V$196=1,$CZ120=1),V120,0))</f>
        <v>x</v>
      </c>
      <c r="W303" s="43" t="str">
        <f>IF(W120=-1,"x",IF(OR(W218=1,W$196=1,$CX120=1),W120,0))</f>
        <v>x</v>
      </c>
      <c r="X303" s="39" t="str">
        <f>IF(X120=-1,"x",IF(OR(X218=1,X$196=1,$CY120=1),X120,0))</f>
        <v>x</v>
      </c>
      <c r="Y303" s="41" t="str">
        <f>IF(Y120=-1,"x",IF(OR(Y218=1,Y$196=1,$CZ120=1),Y120,0))</f>
        <v>x</v>
      </c>
      <c r="Z303" s="40" t="str">
        <f>IF(Z120=-1,"x",IF(OR(Z218=1,Z$196=1,$CX120=1),Z120,0))</f>
        <v>x</v>
      </c>
      <c r="AA303" s="39" t="str">
        <f>IF(AA120=-1,"x",IF(OR(AA218=1,AA$196=1,$CY120=1),AA120,0))</f>
        <v>x</v>
      </c>
      <c r="AB303" s="41" t="str">
        <f>IF(AB120=-1,"x",IF(OR(AB218=1,AB$196=1,$CZ120=1),AB120,0))</f>
        <v>x</v>
      </c>
      <c r="AC303" s="40" t="str">
        <f>IF(AC120=-1,"x",IF(OR(AC218=1,AC$196=1,$CX120=1),AC120,0))</f>
        <v>x</v>
      </c>
      <c r="AD303" s="39" t="str">
        <f>IF(AD120=-1,"x",IF(OR(AD218=1,AD$196=1,$CY120=1),AD120,0))</f>
        <v>x</v>
      </c>
      <c r="AE303" s="42" t="str">
        <f>IF(AE120=-1,"x",IF(OR(AE218=1,AE$196=1,$CZ120=1),AE120,0))</f>
        <v>x</v>
      </c>
      <c r="AF303" s="43" t="str">
        <f>IF(AF120=-1,"x",IF(OR(AF218=1,AF$196=1,$CX120=1),AF120,0))</f>
        <v>x</v>
      </c>
      <c r="AG303" s="39" t="str">
        <f>IF(AG120=-1,"x",IF(OR(AG218=1,AG$196=1,$CY120=1),AG120,0))</f>
        <v>x</v>
      </c>
      <c r="AH303" s="41" t="str">
        <f>IF(AH120=-1,"x",IF(OR(AH218=1,AH$196=1,$CZ120=1),AH120,0))</f>
        <v>x</v>
      </c>
      <c r="AI303" s="40" t="str">
        <f>IF(AI120=-1,"x",IF(OR(AI218=1,AI$196=1,$CX120=1),AI120,0))</f>
        <v>x</v>
      </c>
      <c r="AJ303" s="39" t="str">
        <f>IF(AJ120=-1,"x",IF(OR(AJ218=1,AJ$196=1,$CY120=1),AJ120,0))</f>
        <v>x</v>
      </c>
      <c r="AK303" s="41" t="str">
        <f>IF(AK120=-1,"x",IF(OR(AK218=1,AK$196=1,$CZ120=1),AK120,0))</f>
        <v>x</v>
      </c>
      <c r="AL303" s="40" t="str">
        <f>IF(AL120=-1,"x",IF(OR(AL218=1,AL$196=1,$CX120=1),AL120,0))</f>
        <v>x</v>
      </c>
      <c r="AM303" s="39" t="str">
        <f>IF(AM120=-1,"x",IF(OR(AM218=1,AM$196=1,$CY120=1),AM120,0))</f>
        <v>x</v>
      </c>
      <c r="AN303" s="95" t="str">
        <f>IF(AN120=-1,"x",IF(OR(AN218=1,AN$196=1,$CZ120=1),AN120,0))</f>
        <v>x</v>
      </c>
      <c r="AO303" s="94" t="str">
        <f>IF(AO120=-1,"x",IF(OR(AO218=1,AO$196=1,$CX120=1),AO120,0))</f>
        <v>x</v>
      </c>
      <c r="AP303" s="39" t="str">
        <f>IF(AP120=-1,"x",IF(OR(AP218=1,AP$196=1,$CY120=1),AP120,0))</f>
        <v>x</v>
      </c>
      <c r="AQ303" s="41" t="str">
        <f>IF(AQ120=-1,"x",IF(OR(AQ218=1,AQ$196=1,$CZ120=1),AQ120,0))</f>
        <v>x</v>
      </c>
      <c r="AR303" s="40" t="str">
        <f>IF(AR120=-1,"x",IF(OR(AR218=1,AR$196=1,$CX120=1),AR120,0))</f>
        <v>x</v>
      </c>
      <c r="AS303" s="39" t="str">
        <f>IF(AS120=-1,"x",IF(OR(AS218=1,AS$196=1,$CY120=1),AS120,0))</f>
        <v>x</v>
      </c>
      <c r="AT303" s="41" t="str">
        <f>IF(AT120=-1,"x",IF(OR(AT218=1,AT$196=1,$CZ120=1),AT120,0))</f>
        <v>x</v>
      </c>
      <c r="AU303" s="40" t="str">
        <f>IF(AU120=-1,"x",IF(OR(AU218=1,AU$196=1,$CX120=1),AU120,0))</f>
        <v>x</v>
      </c>
      <c r="AV303" s="39" t="str">
        <f>IF(AV120=-1,"x",IF(OR(AV218=1,AV$196=1,$CY120=1),AV120,0))</f>
        <v>x</v>
      </c>
      <c r="AW303" s="42" t="str">
        <f>IF(AW120=-1,"x",IF(OR(AW218=1,AW$196=1,$CZ120=1),AW120,0))</f>
        <v>x</v>
      </c>
      <c r="AX303" s="43" t="str">
        <f>IF(AX120=-1,"x",IF(OR(AX218=1,AX$196=1,$CX120=1),AX120,0))</f>
        <v>x</v>
      </c>
      <c r="AY303" s="39" t="str">
        <f>IF(AY120=-1,"x",IF(OR(AY218=1,AY$196=1,$CY120=1),AY120,0))</f>
        <v>x</v>
      </c>
      <c r="AZ303" s="41" t="str">
        <f>IF(AZ120=-1,"x",IF(OR(AZ218=1,AZ$196=1,$CZ120=1),AZ120,0))</f>
        <v>x</v>
      </c>
      <c r="BA303" s="40">
        <f>IF(BA120=-1,"x",IF(OR(BA218=1,BA$196=1,$CX120=1),BA120,0))</f>
        <v>0</v>
      </c>
      <c r="BB303" s="39">
        <f>IF(BB120=-1,"x",IF(OR(BB218=1,BB$196=1,$CY120=1),BB120,0))</f>
        <v>0</v>
      </c>
      <c r="BC303" s="41">
        <f>IF(BC120=-1,"x",IF(OR(BC218=1,BC$196=1,$CZ120=1),BC120,0))</f>
        <v>0</v>
      </c>
      <c r="BD303" s="40">
        <f>IF(BD120=-1,"x",IF(OR(BD218=1,BD$196=1,$CX120=1),BD120,0))</f>
        <v>0</v>
      </c>
      <c r="BE303" s="39">
        <f>IF(BE120=-1,"x",IF(OR(BE218=1,BE$196=1,$CY120=1),BE120,0))</f>
        <v>0</v>
      </c>
      <c r="BF303" s="42">
        <f>IF(BF120=-1,"x",IF(OR(BF218=1,BF$196=1,$CZ120=1),BF120,0))</f>
        <v>0</v>
      </c>
      <c r="BG303" s="43" t="str">
        <f>IF(BG120=-1,"x",IF(OR(BG218=1,BG$196=1,$CX120=1),BG120,0))</f>
        <v>x</v>
      </c>
      <c r="BH303" s="39" t="str">
        <f>IF(BH120=-1,"x",IF(OR(BH218=1,BH$196=1,$CY120=1),BH120,0))</f>
        <v>x</v>
      </c>
      <c r="BI303" s="41" t="str">
        <f>IF(BI120=-1,"x",IF(OR(BI218=1,BI$196=1,$CZ120=1),BI120,0))</f>
        <v>x</v>
      </c>
      <c r="BJ303" s="40" t="str">
        <f>IF(BJ120=-1,"x",IF(OR(BJ218=1,BJ$196=1,$CX120=1),BJ120,0))</f>
        <v>x</v>
      </c>
      <c r="BK303" s="39" t="str">
        <f>IF(BK120=-1,"x",IF(OR(BK218=1,BK$196=1,$CY120=1),BK120,0))</f>
        <v>x</v>
      </c>
      <c r="BL303" s="41" t="str">
        <f>IF(BL120=-1,"x",IF(OR(BL218=1,BL$196=1,$CZ120=1),BL120,0))</f>
        <v>x</v>
      </c>
      <c r="BM303" s="40" t="str">
        <f>IF(BM120=-1,"x",IF(OR(BM218=1,BM$196=1,$CX120=1),BM120,0))</f>
        <v>x</v>
      </c>
      <c r="BN303" s="39" t="str">
        <f>IF(BN120=-1,"x",IF(OR(BN218=1,BN$196=1,$CY120=1),BN120,0))</f>
        <v>x</v>
      </c>
      <c r="BO303" s="95" t="str">
        <f>IF(BO120=-1,"x",IF(OR(BO218=1,BO$196=1,$CZ120=1),BO120,0))</f>
        <v>x</v>
      </c>
      <c r="BP303" s="94" t="str">
        <f>IF(BP120=-1,"x",IF(OR(BP218=1,BP$196=1,$CX120=1),BP120,0))</f>
        <v>x</v>
      </c>
      <c r="BQ303" s="39" t="str">
        <f>IF(BQ120=-1,"x",IF(OR(BQ218=1,BQ$196=1,$CY120=1),BQ120,0))</f>
        <v>x</v>
      </c>
      <c r="BR303" s="41" t="str">
        <f>IF(BR120=-1,"x",IF(OR(BR218=1,BR$196=1,$CZ120=1),BR120,0))</f>
        <v>x</v>
      </c>
      <c r="BS303" s="40" t="str">
        <f>IF(BS120=-1,"x",IF(OR(BS218=1,BS$196=1,$CX120=1),BS120,0))</f>
        <v>x</v>
      </c>
      <c r="BT303" s="39" t="str">
        <f>IF(BT120=-1,"x",IF(OR(BT218=1,BT$196=1,$CY120=1),BT120,0))</f>
        <v>x</v>
      </c>
      <c r="BU303" s="41" t="str">
        <f>IF(BU120=-1,"x",IF(OR(BU218=1,BU$196=1,$CZ120=1),BU120,0))</f>
        <v>x</v>
      </c>
      <c r="BV303" s="40" t="str">
        <f>IF(BV120=-1,"x",IF(OR(BV218=1,BV$196=1,$CX120=1),BV120,0))</f>
        <v>x</v>
      </c>
      <c r="BW303" s="39" t="str">
        <f>IF(BW120=-1,"x",IF(OR(BW218=1,BW$196=1,$CY120=1),BW120,0))</f>
        <v>x</v>
      </c>
      <c r="BX303" s="42" t="str">
        <f>IF(BX120=-1,"x",IF(OR(BX218=1,BX$196=1,$CZ120=1),BX120,0))</f>
        <v>x</v>
      </c>
      <c r="BY303" s="43" t="str">
        <f>IF(BY120=-1,"x",IF(OR(BY218=1,BY$196=1,$CX120=1),BY120,0))</f>
        <v>x</v>
      </c>
      <c r="BZ303" s="39" t="str">
        <f>IF(BZ120=-1,"x",IF(OR(BZ218=1,BZ$196=1,$CY120=1),BZ120,0))</f>
        <v>x</v>
      </c>
      <c r="CA303" s="41" t="str">
        <f>IF(CA120=-1,"x",IF(OR(CA218=1,CA$196=1,$CZ120=1),CA120,0))</f>
        <v>x</v>
      </c>
      <c r="CB303" s="40" t="str">
        <f>IF(CB120=-1,"x",IF(OR(CB218=1,CB$196=1,$CX120=1),CB120,0))</f>
        <v>x</v>
      </c>
      <c r="CC303" s="39" t="str">
        <f>IF(CC120=-1,"x",IF(OR(CC218=1,CC$196=1,$CY120=1),CC120,0))</f>
        <v>x</v>
      </c>
      <c r="CD303" s="41" t="str">
        <f>IF(CD120=-1,"x",IF(OR(CD218=1,CD$196=1,$CZ120=1),CD120,0))</f>
        <v>x</v>
      </c>
      <c r="CE303" s="40" t="str">
        <f>IF(CE120=-1,"x",IF(OR(CE218=1,CE$196=1,$CX120=1),CE120,0))</f>
        <v>x</v>
      </c>
      <c r="CF303" s="39" t="str">
        <f>IF(CF120=-1,"x",IF(OR(CF218=1,CF$196=1,$CY120=1),CF120,0))</f>
        <v>x</v>
      </c>
      <c r="CG303" s="42" t="str">
        <f>IF(CG120=-1,"x",IF(OR(CG218=1,CG$196=1,$CZ120=1),CG120,0))</f>
        <v>x</v>
      </c>
      <c r="CH303" s="43" t="str">
        <f>IF(CH120=-1,"x",IF(OR(CH218=1,CH$196=1,$CX120=1),CH120,0))</f>
        <v>x</v>
      </c>
      <c r="CI303" s="39" t="str">
        <f>IF(CI120=-1,"x",IF(OR(CI218=1,CI$196=1,$CY120=1),CI120,0))</f>
        <v>x</v>
      </c>
      <c r="CJ303" s="41" t="str">
        <f>IF(CJ120=-1,"x",IF(OR(CJ218=1,CJ$196=1,$CZ120=1),CJ120,0))</f>
        <v>x</v>
      </c>
      <c r="CK303" s="40" t="str">
        <f>IF(CK120=-1,"x",IF(OR(CK218=1,CK$196=1,$CX120=1),CK120,0))</f>
        <v>x</v>
      </c>
      <c r="CL303" s="39" t="str">
        <f>IF(CL120=-1,"x",IF(OR(CL218=1,CL$196=1,$CY120=1),CL120,0))</f>
        <v>x</v>
      </c>
      <c r="CM303" s="41" t="str">
        <f>IF(CM120=-1,"x",IF(OR(CM218=1,CM$196=1,$CZ120=1),CM120,0))</f>
        <v>x</v>
      </c>
      <c r="CN303" s="40">
        <f>IF(CN120=-1,"x",IF(OR(CN218=1,CN$196=1,$CX120=1),CN120,0))</f>
        <v>0</v>
      </c>
      <c r="CO303" s="39">
        <f>IF(CO120=-1,"x",IF(OR(CO218=1,CO$196=1,$CY120=1),CO120,0))</f>
        <v>0</v>
      </c>
      <c r="CP303" s="95">
        <f>IF(CP120=-1,"x",IF(OR(CP218=1,CP$196=1,$CZ120=1),CP120,0))</f>
        <v>0</v>
      </c>
      <c r="DJ303" s="116">
        <f t="shared" ref="DJ303:FU303" si="1078">DJ300</f>
        <v>0</v>
      </c>
      <c r="DK303" s="116">
        <f t="shared" si="1078"/>
        <v>2</v>
      </c>
      <c r="DL303" s="116">
        <f t="shared" si="1078"/>
        <v>0</v>
      </c>
      <c r="DM303" s="116">
        <f t="shared" si="1078"/>
        <v>0</v>
      </c>
      <c r="DN303" s="116">
        <f t="shared" si="1078"/>
        <v>2</v>
      </c>
      <c r="DO303" s="116">
        <f t="shared" si="1078"/>
        <v>0</v>
      </c>
      <c r="DP303" s="116">
        <f t="shared" si="1078"/>
        <v>0</v>
      </c>
      <c r="DQ303" s="116">
        <f t="shared" si="1078"/>
        <v>2</v>
      </c>
      <c r="DR303" s="116">
        <f t="shared" si="1078"/>
        <v>0</v>
      </c>
      <c r="DS303" s="116">
        <f t="shared" si="1078"/>
        <v>0</v>
      </c>
      <c r="DT303" s="116">
        <f t="shared" si="1078"/>
        <v>2</v>
      </c>
      <c r="DU303" s="116">
        <f t="shared" si="1078"/>
        <v>0</v>
      </c>
      <c r="DV303" s="116">
        <f t="shared" si="1078"/>
        <v>0</v>
      </c>
      <c r="DW303" s="116">
        <f t="shared" si="1078"/>
        <v>2</v>
      </c>
      <c r="DX303" s="116">
        <f t="shared" si="1078"/>
        <v>0</v>
      </c>
      <c r="DY303" s="116">
        <f t="shared" si="1078"/>
        <v>0</v>
      </c>
      <c r="DZ303" s="116">
        <f t="shared" si="1078"/>
        <v>2</v>
      </c>
      <c r="EA303" s="116">
        <f t="shared" si="1078"/>
        <v>0</v>
      </c>
      <c r="EB303" s="116">
        <f t="shared" si="1078"/>
        <v>0</v>
      </c>
      <c r="EC303" s="116">
        <f t="shared" si="1078"/>
        <v>2</v>
      </c>
      <c r="ED303" s="116">
        <f t="shared" si="1078"/>
        <v>0</v>
      </c>
      <c r="EE303" s="116">
        <f t="shared" si="1078"/>
        <v>0</v>
      </c>
      <c r="EF303" s="116">
        <f t="shared" si="1078"/>
        <v>2</v>
      </c>
      <c r="EG303" s="116">
        <f t="shared" si="1078"/>
        <v>0</v>
      </c>
      <c r="EH303" s="116">
        <f t="shared" si="1078"/>
        <v>0</v>
      </c>
      <c r="EI303" s="116">
        <f t="shared" si="1078"/>
        <v>2</v>
      </c>
      <c r="EJ303" s="116">
        <f t="shared" si="1078"/>
        <v>0</v>
      </c>
      <c r="EK303" s="116">
        <f t="shared" si="1078"/>
        <v>1</v>
      </c>
      <c r="EL303" s="116">
        <f t="shared" si="1078"/>
        <v>2</v>
      </c>
      <c r="EM303" s="116">
        <f t="shared" si="1078"/>
        <v>0</v>
      </c>
      <c r="EN303" s="116">
        <f t="shared" si="1078"/>
        <v>1</v>
      </c>
      <c r="EO303" s="116">
        <f t="shared" si="1078"/>
        <v>2</v>
      </c>
      <c r="EP303" s="116">
        <f t="shared" si="1078"/>
        <v>0</v>
      </c>
      <c r="EQ303" s="116">
        <f t="shared" si="1078"/>
        <v>1</v>
      </c>
      <c r="ER303" s="116">
        <f t="shared" si="1078"/>
        <v>2</v>
      </c>
      <c r="ES303" s="116">
        <f t="shared" si="1078"/>
        <v>0</v>
      </c>
      <c r="ET303" s="116">
        <f t="shared" si="1078"/>
        <v>1</v>
      </c>
      <c r="EU303" s="116">
        <f t="shared" si="1078"/>
        <v>2</v>
      </c>
      <c r="EV303" s="116">
        <f t="shared" si="1078"/>
        <v>0</v>
      </c>
      <c r="EW303" s="116">
        <f t="shared" si="1078"/>
        <v>1</v>
      </c>
      <c r="EX303" s="116">
        <f t="shared" si="1078"/>
        <v>2</v>
      </c>
      <c r="EY303" s="116">
        <f t="shared" si="1078"/>
        <v>0</v>
      </c>
      <c r="EZ303" s="116">
        <f t="shared" si="1078"/>
        <v>1</v>
      </c>
      <c r="FA303" s="116">
        <f t="shared" si="1078"/>
        <v>2</v>
      </c>
      <c r="FB303" s="116">
        <f t="shared" si="1078"/>
        <v>0</v>
      </c>
      <c r="FC303" s="116">
        <f t="shared" si="1078"/>
        <v>1</v>
      </c>
      <c r="FD303" s="116">
        <f t="shared" si="1078"/>
        <v>2</v>
      </c>
      <c r="FE303" s="116">
        <f t="shared" si="1078"/>
        <v>0</v>
      </c>
      <c r="FF303" s="116">
        <f t="shared" si="1078"/>
        <v>1</v>
      </c>
      <c r="FG303" s="116">
        <f t="shared" si="1078"/>
        <v>2</v>
      </c>
      <c r="FH303" s="116">
        <f t="shared" si="1078"/>
        <v>0</v>
      </c>
      <c r="FI303" s="116">
        <f t="shared" si="1078"/>
        <v>1</v>
      </c>
      <c r="FJ303" s="116">
        <f t="shared" si="1078"/>
        <v>2</v>
      </c>
      <c r="FK303" s="116">
        <f t="shared" si="1078"/>
        <v>0</v>
      </c>
      <c r="FL303" s="116">
        <f t="shared" si="1078"/>
        <v>1</v>
      </c>
      <c r="FM303" s="116">
        <f t="shared" si="1078"/>
        <v>7</v>
      </c>
      <c r="FN303" s="116">
        <f t="shared" si="1078"/>
        <v>0</v>
      </c>
      <c r="FO303" s="116">
        <f t="shared" si="1078"/>
        <v>1</v>
      </c>
      <c r="FP303" s="116">
        <f t="shared" si="1078"/>
        <v>7</v>
      </c>
      <c r="FQ303" s="116">
        <f t="shared" si="1078"/>
        <v>0</v>
      </c>
      <c r="FR303" s="116">
        <f t="shared" si="1078"/>
        <v>1</v>
      </c>
      <c r="FS303" s="116">
        <f t="shared" si="1078"/>
        <v>7</v>
      </c>
      <c r="FT303" s="116">
        <f t="shared" si="1078"/>
        <v>0</v>
      </c>
      <c r="FU303" s="116">
        <f t="shared" si="1078"/>
        <v>1</v>
      </c>
      <c r="FV303" s="116">
        <f t="shared" ref="FV303:GL303" si="1079">FV300</f>
        <v>7</v>
      </c>
      <c r="FW303" s="116">
        <f t="shared" si="1079"/>
        <v>0</v>
      </c>
      <c r="FX303" s="116">
        <f t="shared" si="1079"/>
        <v>1</v>
      </c>
      <c r="FY303" s="116">
        <f t="shared" si="1079"/>
        <v>7</v>
      </c>
      <c r="FZ303" s="116">
        <f t="shared" si="1079"/>
        <v>0</v>
      </c>
      <c r="GA303" s="116">
        <f t="shared" si="1079"/>
        <v>1</v>
      </c>
      <c r="GB303" s="116">
        <f t="shared" si="1079"/>
        <v>7</v>
      </c>
      <c r="GC303" s="116">
        <f t="shared" si="1079"/>
        <v>0</v>
      </c>
      <c r="GD303" s="116">
        <f t="shared" si="1079"/>
        <v>1</v>
      </c>
      <c r="GE303" s="116">
        <f t="shared" si="1079"/>
        <v>7</v>
      </c>
      <c r="GF303" s="116">
        <f t="shared" si="1079"/>
        <v>0</v>
      </c>
      <c r="GG303" s="116">
        <f t="shared" si="1079"/>
        <v>1</v>
      </c>
      <c r="GH303" s="116">
        <f t="shared" si="1079"/>
        <v>7</v>
      </c>
      <c r="GI303" s="116">
        <f t="shared" si="1079"/>
        <v>0</v>
      </c>
      <c r="GJ303" s="116">
        <f t="shared" si="1079"/>
        <v>1</v>
      </c>
      <c r="GK303" s="116">
        <f t="shared" si="1079"/>
        <v>7</v>
      </c>
      <c r="GL303" s="116">
        <f t="shared" si="1079"/>
        <v>0</v>
      </c>
    </row>
    <row r="304" spans="14:194" ht="15" customHeight="1">
      <c r="N304" s="99">
        <f>IF(N121=-1,"x",IF(OR(N219=1,N$197=1,$CX121=1),N121,0))</f>
        <v>0</v>
      </c>
      <c r="O304" s="45">
        <f>IF(O121=-1,"x",IF(OR(O219=1,O$197=1,$CY121=1),O121,0))</f>
        <v>0</v>
      </c>
      <c r="P304" s="47">
        <f>IF(P121=-1,"x",IF(OR(P219=1,P$197=1,$CZ121=1),P121,0))</f>
        <v>0</v>
      </c>
      <c r="Q304" s="46">
        <f>IF(Q121=-1,"x",IF(OR(Q219=1,Q$197=1,$CX121=1),Q121,0))</f>
        <v>0</v>
      </c>
      <c r="R304" s="45">
        <f>IF(R121=-1,"x",IF(OR(R219=1,R$197=1,$CY121=1),R121,0))</f>
        <v>0</v>
      </c>
      <c r="S304" s="47">
        <f>IF(S121=-1,"x",IF(OR(S219=1,S$197=1,$CZ121=1),S121,0))</f>
        <v>0</v>
      </c>
      <c r="T304" s="46" t="str">
        <f>IF(T121=-1,"x",IF(OR(T219=1,T$197=1,$CX121=1),T121,0))</f>
        <v>x</v>
      </c>
      <c r="U304" s="45" t="str">
        <f>IF(U121=-1,"x",IF(OR(U219=1,U$197=1,$CY121=1),U121,0))</f>
        <v>x</v>
      </c>
      <c r="V304" s="48" t="str">
        <f>IF(V121=-1,"x",IF(OR(V219=1,V$197=1,$CZ121=1),V121,0))</f>
        <v>x</v>
      </c>
      <c r="W304" s="44" t="str">
        <f>IF(W121=-1,"x",IF(OR(W219=1,W$197=1,$CX121=1),W121,0))</f>
        <v>x</v>
      </c>
      <c r="X304" s="45" t="str">
        <f>IF(X121=-1,"x",IF(OR(X219=1,X$197=1,$CY121=1),X121,0))</f>
        <v>x</v>
      </c>
      <c r="Y304" s="47" t="str">
        <f>IF(Y121=-1,"x",IF(OR(Y219=1,Y$197=1,$CZ121=1),Y121,0))</f>
        <v>x</v>
      </c>
      <c r="Z304" s="46" t="str">
        <f>IF(Z121=-1,"x",IF(OR(Z219=1,Z$197=1,$CX121=1),Z121,0))</f>
        <v>x</v>
      </c>
      <c r="AA304" s="45" t="str">
        <f>IF(AA121=-1,"x",IF(OR(AA219=1,AA$197=1,$CY121=1),AA121,0))</f>
        <v>x</v>
      </c>
      <c r="AB304" s="47" t="str">
        <f>IF(AB121=-1,"x",IF(OR(AB219=1,AB$197=1,$CZ121=1),AB121,0))</f>
        <v>x</v>
      </c>
      <c r="AC304" s="46" t="str">
        <f>IF(AC121=-1,"x",IF(OR(AC219=1,AC$197=1,$CX121=1),AC121,0))</f>
        <v>x</v>
      </c>
      <c r="AD304" s="45" t="str">
        <f>IF(AD121=-1,"x",IF(OR(AD219=1,AD$197=1,$CY121=1),AD121,0))</f>
        <v>x</v>
      </c>
      <c r="AE304" s="48" t="str">
        <f>IF(AE121=-1,"x",IF(OR(AE219=1,AE$197=1,$CZ121=1),AE121,0))</f>
        <v>x</v>
      </c>
      <c r="AF304" s="44" t="str">
        <f>IF(AF121=-1,"x",IF(OR(AF219=1,AF$197=1,$CX121=1),AF121,0))</f>
        <v>x</v>
      </c>
      <c r="AG304" s="45" t="str">
        <f>IF(AG121=-1,"x",IF(OR(AG219=1,AG$197=1,$CY121=1),AG121,0))</f>
        <v>x</v>
      </c>
      <c r="AH304" s="47" t="str">
        <f>IF(AH121=-1,"x",IF(OR(AH219=1,AH$197=1,$CZ121=1),AH121,0))</f>
        <v>x</v>
      </c>
      <c r="AI304" s="46" t="str">
        <f>IF(AI121=-1,"x",IF(OR(AI219=1,AI$197=1,$CX121=1),AI121,0))</f>
        <v>x</v>
      </c>
      <c r="AJ304" s="45" t="str">
        <f>IF(AJ121=-1,"x",IF(OR(AJ219=1,AJ$197=1,$CY121=1),AJ121,0))</f>
        <v>x</v>
      </c>
      <c r="AK304" s="47" t="str">
        <f>IF(AK121=-1,"x",IF(OR(AK219=1,AK$197=1,$CZ121=1),AK121,0))</f>
        <v>x</v>
      </c>
      <c r="AL304" s="46" t="str">
        <f>IF(AL121=-1,"x",IF(OR(AL219=1,AL$197=1,$CX121=1),AL121,0))</f>
        <v>x</v>
      </c>
      <c r="AM304" s="45" t="str">
        <f>IF(AM121=-1,"x",IF(OR(AM219=1,AM$197=1,$CY121=1),AM121,0))</f>
        <v>x</v>
      </c>
      <c r="AN304" s="100" t="str">
        <f>IF(AN121=-1,"x",IF(OR(AN219=1,AN$197=1,$CZ121=1),AN121,0))</f>
        <v>x</v>
      </c>
      <c r="AO304" s="99" t="str">
        <f>IF(AO121=-1,"x",IF(OR(AO219=1,AO$197=1,$CX121=1),AO121,0))</f>
        <v>x</v>
      </c>
      <c r="AP304" s="45" t="str">
        <f>IF(AP121=-1,"x",IF(OR(AP219=1,AP$197=1,$CY121=1),AP121,0))</f>
        <v>x</v>
      </c>
      <c r="AQ304" s="47" t="str">
        <f>IF(AQ121=-1,"x",IF(OR(AQ219=1,AQ$197=1,$CZ121=1),AQ121,0))</f>
        <v>x</v>
      </c>
      <c r="AR304" s="46" t="str">
        <f>IF(AR121=-1,"x",IF(OR(AR219=1,AR$197=1,$CX121=1),AR121,0))</f>
        <v>x</v>
      </c>
      <c r="AS304" s="45" t="str">
        <f>IF(AS121=-1,"x",IF(OR(AS219=1,AS$197=1,$CY121=1),AS121,0))</f>
        <v>x</v>
      </c>
      <c r="AT304" s="47" t="str">
        <f>IF(AT121=-1,"x",IF(OR(AT219=1,AT$197=1,$CZ121=1),AT121,0))</f>
        <v>x</v>
      </c>
      <c r="AU304" s="46" t="str">
        <f>IF(AU121=-1,"x",IF(OR(AU219=1,AU$197=1,$CX121=1),AU121,0))</f>
        <v>x</v>
      </c>
      <c r="AV304" s="45" t="str">
        <f>IF(AV121=-1,"x",IF(OR(AV219=1,AV$197=1,$CY121=1),AV121,0))</f>
        <v>x</v>
      </c>
      <c r="AW304" s="48" t="str">
        <f>IF(AW121=-1,"x",IF(OR(AW219=1,AW$197=1,$CZ121=1),AW121,0))</f>
        <v>x</v>
      </c>
      <c r="AX304" s="44" t="str">
        <f>IF(AX121=-1,"x",IF(OR(AX219=1,AX$197=1,$CX121=1),AX121,0))</f>
        <v>x</v>
      </c>
      <c r="AY304" s="45" t="str">
        <f>IF(AY121=-1,"x",IF(OR(AY219=1,AY$197=1,$CY121=1),AY121,0))</f>
        <v>x</v>
      </c>
      <c r="AZ304" s="47" t="str">
        <f>IF(AZ121=-1,"x",IF(OR(AZ219=1,AZ$197=1,$CZ121=1),AZ121,0))</f>
        <v>x</v>
      </c>
      <c r="BA304" s="46">
        <f>IF(BA121=-1,"x",IF(OR(BA219=1,BA$197=1,$CX121=1),BA121,0))</f>
        <v>0</v>
      </c>
      <c r="BB304" s="45">
        <f>IF(BB121=-1,"x",IF(OR(BB219=1,BB$197=1,$CY121=1),BB121,0))</f>
        <v>0</v>
      </c>
      <c r="BC304" s="47">
        <f>IF(BC121=-1,"x",IF(OR(BC219=1,BC$197=1,$CZ121=1),BC121,0))</f>
        <v>0</v>
      </c>
      <c r="BD304" s="46">
        <f>IF(BD121=-1,"x",IF(OR(BD219=1,BD$197=1,$CX121=1),BD121,0))</f>
        <v>0</v>
      </c>
      <c r="BE304" s="45">
        <f>IF(BE121=-1,"x",IF(OR(BE219=1,BE$197=1,$CY121=1),BE121,0))</f>
        <v>0</v>
      </c>
      <c r="BF304" s="48">
        <f>IF(BF121=-1,"x",IF(OR(BF219=1,BF$197=1,$CZ121=1),BF121,0))</f>
        <v>0</v>
      </c>
      <c r="BG304" s="44" t="str">
        <f>IF(BG121=-1,"x",IF(OR(BG219=1,BG$197=1,$CX121=1),BG121,0))</f>
        <v>x</v>
      </c>
      <c r="BH304" s="45" t="str">
        <f>IF(BH121=-1,"x",IF(OR(BH219=1,BH$197=1,$CY121=1),BH121,0))</f>
        <v>x</v>
      </c>
      <c r="BI304" s="47" t="str">
        <f>IF(BI121=-1,"x",IF(OR(BI219=1,BI$197=1,$CZ121=1),BI121,0))</f>
        <v>x</v>
      </c>
      <c r="BJ304" s="46" t="str">
        <f>IF(BJ121=-1,"x",IF(OR(BJ219=1,BJ$197=1,$CX121=1),BJ121,0))</f>
        <v>x</v>
      </c>
      <c r="BK304" s="45" t="str">
        <f>IF(BK121=-1,"x",IF(OR(BK219=1,BK$197=1,$CY121=1),BK121,0))</f>
        <v>x</v>
      </c>
      <c r="BL304" s="47" t="str">
        <f>IF(BL121=-1,"x",IF(OR(BL219=1,BL$197=1,$CZ121=1),BL121,0))</f>
        <v>x</v>
      </c>
      <c r="BM304" s="46" t="str">
        <f>IF(BM121=-1,"x",IF(OR(BM219=1,BM$197=1,$CX121=1),BM121,0))</f>
        <v>x</v>
      </c>
      <c r="BN304" s="45" t="str">
        <f>IF(BN121=-1,"x",IF(OR(BN219=1,BN$197=1,$CY121=1),BN121,0))</f>
        <v>x</v>
      </c>
      <c r="BO304" s="100" t="str">
        <f>IF(BO121=-1,"x",IF(OR(BO219=1,BO$197=1,$CZ121=1),BO121,0))</f>
        <v>x</v>
      </c>
      <c r="BP304" s="99" t="str">
        <f>IF(BP121=-1,"x",IF(OR(BP219=1,BP$197=1,$CX121=1),BP121,0))</f>
        <v>x</v>
      </c>
      <c r="BQ304" s="45" t="str">
        <f>IF(BQ121=-1,"x",IF(OR(BQ219=1,BQ$197=1,$CY121=1),BQ121,0))</f>
        <v>x</v>
      </c>
      <c r="BR304" s="47" t="str">
        <f>IF(BR121=-1,"x",IF(OR(BR219=1,BR$197=1,$CZ121=1),BR121,0))</f>
        <v>x</v>
      </c>
      <c r="BS304" s="46" t="str">
        <f>IF(BS121=-1,"x",IF(OR(BS219=1,BS$197=1,$CX121=1),BS121,0))</f>
        <v>x</v>
      </c>
      <c r="BT304" s="45" t="str">
        <f>IF(BT121=-1,"x",IF(OR(BT219=1,BT$197=1,$CY121=1),BT121,0))</f>
        <v>x</v>
      </c>
      <c r="BU304" s="47" t="str">
        <f>IF(BU121=-1,"x",IF(OR(BU219=1,BU$197=1,$CZ121=1),BU121,0))</f>
        <v>x</v>
      </c>
      <c r="BV304" s="46" t="str">
        <f>IF(BV121=-1,"x",IF(OR(BV219=1,BV$197=1,$CX121=1),BV121,0))</f>
        <v>x</v>
      </c>
      <c r="BW304" s="45" t="str">
        <f>IF(BW121=-1,"x",IF(OR(BW219=1,BW$197=1,$CY121=1),BW121,0))</f>
        <v>x</v>
      </c>
      <c r="BX304" s="48" t="str">
        <f>IF(BX121=-1,"x",IF(OR(BX219=1,BX$197=1,$CZ121=1),BX121,0))</f>
        <v>x</v>
      </c>
      <c r="BY304" s="44" t="str">
        <f>IF(BY121=-1,"x",IF(OR(BY219=1,BY$197=1,$CX121=1),BY121,0))</f>
        <v>x</v>
      </c>
      <c r="BZ304" s="45" t="str">
        <f>IF(BZ121=-1,"x",IF(OR(BZ219=1,BZ$197=1,$CY121=1),BZ121,0))</f>
        <v>x</v>
      </c>
      <c r="CA304" s="47" t="str">
        <f>IF(CA121=-1,"x",IF(OR(CA219=1,CA$197=1,$CZ121=1),CA121,0))</f>
        <v>x</v>
      </c>
      <c r="CB304" s="46" t="str">
        <f>IF(CB121=-1,"x",IF(OR(CB219=1,CB$197=1,$CX121=1),CB121,0))</f>
        <v>x</v>
      </c>
      <c r="CC304" s="45" t="str">
        <f>IF(CC121=-1,"x",IF(OR(CC219=1,CC$197=1,$CY121=1),CC121,0))</f>
        <v>x</v>
      </c>
      <c r="CD304" s="47" t="str">
        <f>IF(CD121=-1,"x",IF(OR(CD219=1,CD$197=1,$CZ121=1),CD121,0))</f>
        <v>x</v>
      </c>
      <c r="CE304" s="46" t="str">
        <f>IF(CE121=-1,"x",IF(OR(CE219=1,CE$197=1,$CX121=1),CE121,0))</f>
        <v>x</v>
      </c>
      <c r="CF304" s="45" t="str">
        <f>IF(CF121=-1,"x",IF(OR(CF219=1,CF$197=1,$CY121=1),CF121,0))</f>
        <v>x</v>
      </c>
      <c r="CG304" s="48" t="str">
        <f>IF(CG121=-1,"x",IF(OR(CG219=1,CG$197=1,$CZ121=1),CG121,0))</f>
        <v>x</v>
      </c>
      <c r="CH304" s="44" t="str">
        <f>IF(CH121=-1,"x",IF(OR(CH219=1,CH$197=1,$CX121=1),CH121,0))</f>
        <v>x</v>
      </c>
      <c r="CI304" s="45" t="str">
        <f>IF(CI121=-1,"x",IF(OR(CI219=1,CI$197=1,$CY121=1),CI121,0))</f>
        <v>x</v>
      </c>
      <c r="CJ304" s="47" t="str">
        <f>IF(CJ121=-1,"x",IF(OR(CJ219=1,CJ$197=1,$CZ121=1),CJ121,0))</f>
        <v>x</v>
      </c>
      <c r="CK304" s="46" t="str">
        <f>IF(CK121=-1,"x",IF(OR(CK219=1,CK$197=1,$CX121=1),CK121,0))</f>
        <v>x</v>
      </c>
      <c r="CL304" s="45" t="str">
        <f>IF(CL121=-1,"x",IF(OR(CL219=1,CL$197=1,$CY121=1),CL121,0))</f>
        <v>x</v>
      </c>
      <c r="CM304" s="47" t="str">
        <f>IF(CM121=-1,"x",IF(OR(CM219=1,CM$197=1,$CZ121=1),CM121,0))</f>
        <v>x</v>
      </c>
      <c r="CN304" s="46">
        <f>IF(CN121=-1,"x",IF(OR(CN219=1,CN$197=1,$CX121=1),CN121,0))</f>
        <v>0</v>
      </c>
      <c r="CO304" s="45">
        <f>IF(CO121=-1,"x",IF(OR(CO219=1,CO$197=1,$CY121=1),CO121,0))</f>
        <v>0</v>
      </c>
      <c r="CP304" s="100">
        <f>IF(CP121=-1,"x",IF(OR(CP219=1,CP$197=1,$CZ121=1),CP121,0))</f>
        <v>0</v>
      </c>
      <c r="DJ304" s="116">
        <f t="shared" ref="DJ304:FU304" si="1080">DJ301</f>
        <v>6</v>
      </c>
      <c r="DK304" s="116">
        <f t="shared" si="1080"/>
        <v>0</v>
      </c>
      <c r="DL304" s="116">
        <f t="shared" si="1080"/>
        <v>2</v>
      </c>
      <c r="DM304" s="116">
        <f t="shared" si="1080"/>
        <v>6</v>
      </c>
      <c r="DN304" s="116">
        <f t="shared" si="1080"/>
        <v>0</v>
      </c>
      <c r="DO304" s="116">
        <f t="shared" si="1080"/>
        <v>2</v>
      </c>
      <c r="DP304" s="116">
        <f t="shared" si="1080"/>
        <v>6</v>
      </c>
      <c r="DQ304" s="116">
        <f t="shared" si="1080"/>
        <v>0</v>
      </c>
      <c r="DR304" s="116">
        <f t="shared" si="1080"/>
        <v>2</v>
      </c>
      <c r="DS304" s="116">
        <f t="shared" si="1080"/>
        <v>6</v>
      </c>
      <c r="DT304" s="116">
        <f t="shared" si="1080"/>
        <v>0</v>
      </c>
      <c r="DU304" s="116">
        <f t="shared" si="1080"/>
        <v>2</v>
      </c>
      <c r="DV304" s="116">
        <f t="shared" si="1080"/>
        <v>6</v>
      </c>
      <c r="DW304" s="116">
        <f t="shared" si="1080"/>
        <v>0</v>
      </c>
      <c r="DX304" s="116">
        <f t="shared" si="1080"/>
        <v>2</v>
      </c>
      <c r="DY304" s="116">
        <f t="shared" si="1080"/>
        <v>6</v>
      </c>
      <c r="DZ304" s="116">
        <f t="shared" si="1080"/>
        <v>0</v>
      </c>
      <c r="EA304" s="116">
        <f t="shared" si="1080"/>
        <v>2</v>
      </c>
      <c r="EB304" s="116">
        <f t="shared" si="1080"/>
        <v>6</v>
      </c>
      <c r="EC304" s="116">
        <f t="shared" si="1080"/>
        <v>0</v>
      </c>
      <c r="ED304" s="116">
        <f t="shared" si="1080"/>
        <v>2</v>
      </c>
      <c r="EE304" s="116">
        <f t="shared" si="1080"/>
        <v>6</v>
      </c>
      <c r="EF304" s="116">
        <f t="shared" si="1080"/>
        <v>0</v>
      </c>
      <c r="EG304" s="116">
        <f t="shared" si="1080"/>
        <v>2</v>
      </c>
      <c r="EH304" s="116">
        <f t="shared" si="1080"/>
        <v>6</v>
      </c>
      <c r="EI304" s="116">
        <f t="shared" si="1080"/>
        <v>0</v>
      </c>
      <c r="EJ304" s="116">
        <f t="shared" si="1080"/>
        <v>2</v>
      </c>
      <c r="EK304" s="116">
        <f t="shared" si="1080"/>
        <v>2</v>
      </c>
      <c r="EL304" s="116">
        <f t="shared" si="1080"/>
        <v>0</v>
      </c>
      <c r="EM304" s="116">
        <f t="shared" si="1080"/>
        <v>2</v>
      </c>
      <c r="EN304" s="116">
        <f t="shared" si="1080"/>
        <v>2</v>
      </c>
      <c r="EO304" s="116">
        <f t="shared" si="1080"/>
        <v>0</v>
      </c>
      <c r="EP304" s="116">
        <f t="shared" si="1080"/>
        <v>2</v>
      </c>
      <c r="EQ304" s="116">
        <f t="shared" si="1080"/>
        <v>2</v>
      </c>
      <c r="ER304" s="116">
        <f t="shared" si="1080"/>
        <v>0</v>
      </c>
      <c r="ES304" s="116">
        <f t="shared" si="1080"/>
        <v>2</v>
      </c>
      <c r="ET304" s="116">
        <f t="shared" si="1080"/>
        <v>2</v>
      </c>
      <c r="EU304" s="116">
        <f t="shared" si="1080"/>
        <v>0</v>
      </c>
      <c r="EV304" s="116">
        <f t="shared" si="1080"/>
        <v>2</v>
      </c>
      <c r="EW304" s="116">
        <f t="shared" si="1080"/>
        <v>2</v>
      </c>
      <c r="EX304" s="116">
        <f t="shared" si="1080"/>
        <v>0</v>
      </c>
      <c r="EY304" s="116">
        <f t="shared" si="1080"/>
        <v>2</v>
      </c>
      <c r="EZ304" s="116">
        <f t="shared" si="1080"/>
        <v>2</v>
      </c>
      <c r="FA304" s="116">
        <f t="shared" si="1080"/>
        <v>0</v>
      </c>
      <c r="FB304" s="116">
        <f t="shared" si="1080"/>
        <v>2</v>
      </c>
      <c r="FC304" s="116">
        <f t="shared" si="1080"/>
        <v>2</v>
      </c>
      <c r="FD304" s="116">
        <f t="shared" si="1080"/>
        <v>0</v>
      </c>
      <c r="FE304" s="116">
        <f t="shared" si="1080"/>
        <v>2</v>
      </c>
      <c r="FF304" s="116">
        <f t="shared" si="1080"/>
        <v>2</v>
      </c>
      <c r="FG304" s="116">
        <f t="shared" si="1080"/>
        <v>0</v>
      </c>
      <c r="FH304" s="116">
        <f t="shared" si="1080"/>
        <v>2</v>
      </c>
      <c r="FI304" s="116">
        <f t="shared" si="1080"/>
        <v>2</v>
      </c>
      <c r="FJ304" s="116">
        <f t="shared" si="1080"/>
        <v>0</v>
      </c>
      <c r="FK304" s="116">
        <f t="shared" si="1080"/>
        <v>2</v>
      </c>
      <c r="FL304" s="116">
        <f t="shared" si="1080"/>
        <v>5</v>
      </c>
      <c r="FM304" s="116">
        <f t="shared" si="1080"/>
        <v>3</v>
      </c>
      <c r="FN304" s="116">
        <f t="shared" si="1080"/>
        <v>7</v>
      </c>
      <c r="FO304" s="116">
        <f t="shared" si="1080"/>
        <v>5</v>
      </c>
      <c r="FP304" s="116">
        <f t="shared" si="1080"/>
        <v>3</v>
      </c>
      <c r="FQ304" s="116">
        <f t="shared" si="1080"/>
        <v>7</v>
      </c>
      <c r="FR304" s="116">
        <f t="shared" si="1080"/>
        <v>5</v>
      </c>
      <c r="FS304" s="116">
        <f t="shared" si="1080"/>
        <v>3</v>
      </c>
      <c r="FT304" s="116">
        <f t="shared" si="1080"/>
        <v>7</v>
      </c>
      <c r="FU304" s="116">
        <f t="shared" si="1080"/>
        <v>5</v>
      </c>
      <c r="FV304" s="116">
        <f t="shared" ref="FV304:GL304" si="1081">FV301</f>
        <v>3</v>
      </c>
      <c r="FW304" s="116">
        <f t="shared" si="1081"/>
        <v>7</v>
      </c>
      <c r="FX304" s="116">
        <f t="shared" si="1081"/>
        <v>5</v>
      </c>
      <c r="FY304" s="116">
        <f t="shared" si="1081"/>
        <v>3</v>
      </c>
      <c r="FZ304" s="116">
        <f t="shared" si="1081"/>
        <v>7</v>
      </c>
      <c r="GA304" s="116">
        <f t="shared" si="1081"/>
        <v>5</v>
      </c>
      <c r="GB304" s="116">
        <f t="shared" si="1081"/>
        <v>3</v>
      </c>
      <c r="GC304" s="116">
        <f t="shared" si="1081"/>
        <v>7</v>
      </c>
      <c r="GD304" s="116">
        <f t="shared" si="1081"/>
        <v>5</v>
      </c>
      <c r="GE304" s="116">
        <f t="shared" si="1081"/>
        <v>3</v>
      </c>
      <c r="GF304" s="116">
        <f t="shared" si="1081"/>
        <v>7</v>
      </c>
      <c r="GG304" s="116">
        <f t="shared" si="1081"/>
        <v>5</v>
      </c>
      <c r="GH304" s="116">
        <f t="shared" si="1081"/>
        <v>3</v>
      </c>
      <c r="GI304" s="116">
        <f t="shared" si="1081"/>
        <v>7</v>
      </c>
      <c r="GJ304" s="116">
        <f t="shared" si="1081"/>
        <v>5</v>
      </c>
      <c r="GK304" s="116">
        <f t="shared" si="1081"/>
        <v>3</v>
      </c>
      <c r="GL304" s="116">
        <f t="shared" si="1081"/>
        <v>7</v>
      </c>
    </row>
    <row r="305" spans="14:194" ht="15" customHeight="1">
      <c r="N305" s="104" t="str">
        <f>IF(N122=-1,"x",IF(OR(N220=1,N$195=1,$CX122=1),N122,0))</f>
        <v>x</v>
      </c>
      <c r="O305" s="50" t="str">
        <f>IF(O122=-1,"x",IF(OR(O220=1,O$195=1,$CY122=1),O122,0))</f>
        <v>x</v>
      </c>
      <c r="P305" s="51" t="str">
        <f>IF(P122=-1,"x",IF(OR(P220=1,P$195=1,$CZ122=1),P122,0))</f>
        <v>x</v>
      </c>
      <c r="Q305" s="52" t="str">
        <f>IF(Q122=-1,"x",IF(OR(Q220=1,Q$195=1,$CX122=1),Q122,0))</f>
        <v>x</v>
      </c>
      <c r="R305" s="50" t="str">
        <f>IF(R122=-1,"x",IF(OR(R220=1,R$195=1,$CY122=1),R122,0))</f>
        <v>x</v>
      </c>
      <c r="S305" s="51" t="str">
        <f>IF(S122=-1,"x",IF(OR(S220=1,S$195=1,$CZ122=1),S122,0))</f>
        <v>x</v>
      </c>
      <c r="T305" s="52" t="str">
        <f>IF(T122=-1,"x",IF(OR(T220=1,T$195=1,$CX122=1),T122,0))</f>
        <v>x</v>
      </c>
      <c r="U305" s="50" t="str">
        <f>IF(U122=-1,"x",IF(OR(U220=1,U$195=1,$CY122=1),U122,0))</f>
        <v>x</v>
      </c>
      <c r="V305" s="53" t="str">
        <f>IF(V122=-1,"x",IF(OR(V220=1,V$195=1,$CZ122=1),V122,0))</f>
        <v>x</v>
      </c>
      <c r="W305" s="49" t="str">
        <f>IF(W122=-1,"x",IF(OR(W220=1,W$195=1,$CX122=1),W122,0))</f>
        <v>x</v>
      </c>
      <c r="X305" s="50" t="str">
        <f>IF(X122=-1,"x",IF(OR(X220=1,X$195=1,$CY122=1),X122,0))</f>
        <v>x</v>
      </c>
      <c r="Y305" s="51" t="str">
        <f>IF(Y122=-1,"x",IF(OR(Y220=1,Y$195=1,$CZ122=1),Y122,0))</f>
        <v>x</v>
      </c>
      <c r="Z305" s="52" t="str">
        <f>IF(Z122=-1,"x",IF(OR(Z220=1,Z$195=1,$CX122=1),Z122,0))</f>
        <v>x</v>
      </c>
      <c r="AA305" s="50" t="str">
        <f>IF(AA122=-1,"x",IF(OR(AA220=1,AA$195=1,$CY122=1),AA122,0))</f>
        <v>x</v>
      </c>
      <c r="AB305" s="51" t="str">
        <f>IF(AB122=-1,"x",IF(OR(AB220=1,AB$195=1,$CZ122=1),AB122,0))</f>
        <v>x</v>
      </c>
      <c r="AC305" s="52" t="str">
        <f>IF(AC122=-1,"x",IF(OR(AC220=1,AC$195=1,$CX122=1),AC122,0))</f>
        <v>x</v>
      </c>
      <c r="AD305" s="50" t="str">
        <f>IF(AD122=-1,"x",IF(OR(AD220=1,AD$195=1,$CY122=1),AD122,0))</f>
        <v>x</v>
      </c>
      <c r="AE305" s="53" t="str">
        <f>IF(AE122=-1,"x",IF(OR(AE220=1,AE$195=1,$CZ122=1),AE122,0))</f>
        <v>x</v>
      </c>
      <c r="AF305" s="49" t="str">
        <f>IF(AF122=-1,"x",IF(OR(AF220=1,AF$195=1,$CX122=1),AF122,0))</f>
        <v>x</v>
      </c>
      <c r="AG305" s="50" t="str">
        <f>IF(AG122=-1,"x",IF(OR(AG220=1,AG$195=1,$CY122=1),AG122,0))</f>
        <v>x</v>
      </c>
      <c r="AH305" s="51" t="str">
        <f>IF(AH122=-1,"x",IF(OR(AH220=1,AH$195=1,$CZ122=1),AH122,0))</f>
        <v>x</v>
      </c>
      <c r="AI305" s="52" t="str">
        <f>IF(AI122=-1,"x",IF(OR(AI220=1,AI$195=1,$CX122=1),AI122,0))</f>
        <v>x</v>
      </c>
      <c r="AJ305" s="50" t="str">
        <f>IF(AJ122=-1,"x",IF(OR(AJ220=1,AJ$195=1,$CY122=1),AJ122,0))</f>
        <v>x</v>
      </c>
      <c r="AK305" s="51" t="str">
        <f>IF(AK122=-1,"x",IF(OR(AK220=1,AK$195=1,$CZ122=1),AK122,0))</f>
        <v>x</v>
      </c>
      <c r="AL305" s="52" t="str">
        <f>IF(AL122=-1,"x",IF(OR(AL220=1,AL$195=1,$CX122=1),AL122,0))</f>
        <v>x</v>
      </c>
      <c r="AM305" s="50" t="str">
        <f>IF(AM122=-1,"x",IF(OR(AM220=1,AM$195=1,$CY122=1),AM122,0))</f>
        <v>x</v>
      </c>
      <c r="AN305" s="105" t="str">
        <f>IF(AN122=-1,"x",IF(OR(AN220=1,AN$195=1,$CZ122=1),AN122,0))</f>
        <v>x</v>
      </c>
      <c r="AO305" s="104" t="str">
        <f>IF(AO122=-1,"x",IF(OR(AO220=1,AO$195=1,$CX122=1),AO122,0))</f>
        <v>x</v>
      </c>
      <c r="AP305" s="50" t="str">
        <f>IF(AP122=-1,"x",IF(OR(AP220=1,AP$195=1,$CY122=1),AP122,0))</f>
        <v>x</v>
      </c>
      <c r="AQ305" s="51" t="str">
        <f>IF(AQ122=-1,"x",IF(OR(AQ220=1,AQ$195=1,$CZ122=1),AQ122,0))</f>
        <v>x</v>
      </c>
      <c r="AR305" s="52" t="str">
        <f>IF(AR122=-1,"x",IF(OR(AR220=1,AR$195=1,$CX122=1),AR122,0))</f>
        <v>x</v>
      </c>
      <c r="AS305" s="50" t="str">
        <f>IF(AS122=-1,"x",IF(OR(AS220=1,AS$195=1,$CY122=1),AS122,0))</f>
        <v>x</v>
      </c>
      <c r="AT305" s="51" t="str">
        <f>IF(AT122=-1,"x",IF(OR(AT220=1,AT$195=1,$CZ122=1),AT122,0))</f>
        <v>x</v>
      </c>
      <c r="AU305" s="52" t="str">
        <f>IF(AU122=-1,"x",IF(OR(AU220=1,AU$195=1,$CX122=1),AU122,0))</f>
        <v>x</v>
      </c>
      <c r="AV305" s="50" t="str">
        <f>IF(AV122=-1,"x",IF(OR(AV220=1,AV$195=1,$CY122=1),AV122,0))</f>
        <v>x</v>
      </c>
      <c r="AW305" s="53" t="str">
        <f>IF(AW122=-1,"x",IF(OR(AW220=1,AW$195=1,$CZ122=1),AW122,0))</f>
        <v>x</v>
      </c>
      <c r="AX305" s="49" t="str">
        <f>IF(AX122=-1,"x",IF(OR(AX220=1,AX$195=1,$CX122=1),AX122,0))</f>
        <v>x</v>
      </c>
      <c r="AY305" s="50" t="str">
        <f>IF(AY122=-1,"x",IF(OR(AY220=1,AY$195=1,$CY122=1),AY122,0))</f>
        <v>x</v>
      </c>
      <c r="AZ305" s="51" t="str">
        <f>IF(AZ122=-1,"x",IF(OR(AZ220=1,AZ$195=1,$CZ122=1),AZ122,0))</f>
        <v>x</v>
      </c>
      <c r="BA305" s="52" t="str">
        <f>IF(BA122=-1,"x",IF(OR(BA220=1,BA$195=1,$CX122=1),BA122,0))</f>
        <v>x</v>
      </c>
      <c r="BB305" s="50" t="str">
        <f>IF(BB122=-1,"x",IF(OR(BB220=1,BB$195=1,$CY122=1),BB122,0))</f>
        <v>x</v>
      </c>
      <c r="BC305" s="51" t="str">
        <f>IF(BC122=-1,"x",IF(OR(BC220=1,BC$195=1,$CZ122=1),BC122,0))</f>
        <v>x</v>
      </c>
      <c r="BD305" s="52" t="str">
        <f>IF(BD122=-1,"x",IF(OR(BD220=1,BD$195=1,$CX122=1),BD122,0))</f>
        <v>x</v>
      </c>
      <c r="BE305" s="50" t="str">
        <f>IF(BE122=-1,"x",IF(OR(BE220=1,BE$195=1,$CY122=1),BE122,0))</f>
        <v>x</v>
      </c>
      <c r="BF305" s="53" t="str">
        <f>IF(BF122=-1,"x",IF(OR(BF220=1,BF$195=1,$CZ122=1),BF122,0))</f>
        <v>x</v>
      </c>
      <c r="BG305" s="49" t="str">
        <f>IF(BG122=-1,"x",IF(OR(BG220=1,BG$195=1,$CX122=1),BG122,0))</f>
        <v>x</v>
      </c>
      <c r="BH305" s="50" t="str">
        <f>IF(BH122=-1,"x",IF(OR(BH220=1,BH$195=1,$CY122=1),BH122,0))</f>
        <v>x</v>
      </c>
      <c r="BI305" s="51" t="str">
        <f>IF(BI122=-1,"x",IF(OR(BI220=1,BI$195=1,$CZ122=1),BI122,0))</f>
        <v>x</v>
      </c>
      <c r="BJ305" s="52" t="str">
        <f>IF(BJ122=-1,"x",IF(OR(BJ220=1,BJ$195=1,$CX122=1),BJ122,0))</f>
        <v>x</v>
      </c>
      <c r="BK305" s="50" t="str">
        <f>IF(BK122=-1,"x",IF(OR(BK220=1,BK$195=1,$CY122=1),BK122,0))</f>
        <v>x</v>
      </c>
      <c r="BL305" s="51" t="str">
        <f>IF(BL122=-1,"x",IF(OR(BL220=1,BL$195=1,$CZ122=1),BL122,0))</f>
        <v>x</v>
      </c>
      <c r="BM305" s="52" t="str">
        <f>IF(BM122=-1,"x",IF(OR(BM220=1,BM$195=1,$CX122=1),BM122,0))</f>
        <v>x</v>
      </c>
      <c r="BN305" s="50" t="str">
        <f>IF(BN122=-1,"x",IF(OR(BN220=1,BN$195=1,$CY122=1),BN122,0))</f>
        <v>x</v>
      </c>
      <c r="BO305" s="105" t="str">
        <f>IF(BO122=-1,"x",IF(OR(BO220=1,BO$195=1,$CZ122=1),BO122,0))</f>
        <v>x</v>
      </c>
      <c r="BP305" s="104" t="str">
        <f>IF(BP122=-1,"x",IF(OR(BP220=1,BP$195=1,$CX122=1),BP122,0))</f>
        <v>x</v>
      </c>
      <c r="BQ305" s="50" t="str">
        <f>IF(BQ122=-1,"x",IF(OR(BQ220=1,BQ$195=1,$CY122=1),BQ122,0))</f>
        <v>x</v>
      </c>
      <c r="BR305" s="51" t="str">
        <f>IF(BR122=-1,"x",IF(OR(BR220=1,BR$195=1,$CZ122=1),BR122,0))</f>
        <v>x</v>
      </c>
      <c r="BS305" s="52" t="str">
        <f>IF(BS122=-1,"x",IF(OR(BS220=1,BS$195=1,$CX122=1),BS122,0))</f>
        <v>x</v>
      </c>
      <c r="BT305" s="50" t="str">
        <f>IF(BT122=-1,"x",IF(OR(BT220=1,BT$195=1,$CY122=1),BT122,0))</f>
        <v>x</v>
      </c>
      <c r="BU305" s="51" t="str">
        <f>IF(BU122=-1,"x",IF(OR(BU220=1,BU$195=1,$CZ122=1),BU122,0))</f>
        <v>x</v>
      </c>
      <c r="BV305" s="52" t="str">
        <f>IF(BV122=-1,"x",IF(OR(BV220=1,BV$195=1,$CX122=1),BV122,0))</f>
        <v>x</v>
      </c>
      <c r="BW305" s="50" t="str">
        <f>IF(BW122=-1,"x",IF(OR(BW220=1,BW$195=1,$CY122=1),BW122,0))</f>
        <v>x</v>
      </c>
      <c r="BX305" s="53" t="str">
        <f>IF(BX122=-1,"x",IF(OR(BX220=1,BX$195=1,$CZ122=1),BX122,0))</f>
        <v>x</v>
      </c>
      <c r="BY305" s="49" t="str">
        <f>IF(BY122=-1,"x",IF(OR(BY220=1,BY$195=1,$CX122=1),BY122,0))</f>
        <v>x</v>
      </c>
      <c r="BZ305" s="50" t="str">
        <f>IF(BZ122=-1,"x",IF(OR(BZ220=1,BZ$195=1,$CY122=1),BZ122,0))</f>
        <v>x</v>
      </c>
      <c r="CA305" s="51" t="str">
        <f>IF(CA122=-1,"x",IF(OR(CA220=1,CA$195=1,$CZ122=1),CA122,0))</f>
        <v>x</v>
      </c>
      <c r="CB305" s="52" t="str">
        <f>IF(CB122=-1,"x",IF(OR(CB220=1,CB$195=1,$CX122=1),CB122,0))</f>
        <v>x</v>
      </c>
      <c r="CC305" s="50" t="str">
        <f>IF(CC122=-1,"x",IF(OR(CC220=1,CC$195=1,$CY122=1),CC122,0))</f>
        <v>x</v>
      </c>
      <c r="CD305" s="51" t="str">
        <f>IF(CD122=-1,"x",IF(OR(CD220=1,CD$195=1,$CZ122=1),CD122,0))</f>
        <v>x</v>
      </c>
      <c r="CE305" s="52" t="str">
        <f>IF(CE122=-1,"x",IF(OR(CE220=1,CE$195=1,$CX122=1),CE122,0))</f>
        <v>x</v>
      </c>
      <c r="CF305" s="50" t="str">
        <f>IF(CF122=-1,"x",IF(OR(CF220=1,CF$195=1,$CY122=1),CF122,0))</f>
        <v>x</v>
      </c>
      <c r="CG305" s="53" t="str">
        <f>IF(CG122=-1,"x",IF(OR(CG220=1,CG$195=1,$CZ122=1),CG122,0))</f>
        <v>x</v>
      </c>
      <c r="CH305" s="49" t="str">
        <f>IF(CH122=-1,"x",IF(OR(CH220=1,CH$195=1,$CX122=1),CH122,0))</f>
        <v>x</v>
      </c>
      <c r="CI305" s="50" t="str">
        <f>IF(CI122=-1,"x",IF(OR(CI220=1,CI$195=1,$CY122=1),CI122,0))</f>
        <v>x</v>
      </c>
      <c r="CJ305" s="51" t="str">
        <f>IF(CJ122=-1,"x",IF(OR(CJ220=1,CJ$195=1,$CZ122=1),CJ122,0))</f>
        <v>x</v>
      </c>
      <c r="CK305" s="52" t="str">
        <f>IF(CK122=-1,"x",IF(OR(CK220=1,CK$195=1,$CX122=1),CK122,0))</f>
        <v>x</v>
      </c>
      <c r="CL305" s="50" t="str">
        <f>IF(CL122=-1,"x",IF(OR(CL220=1,CL$195=1,$CY122=1),CL122,0))</f>
        <v>x</v>
      </c>
      <c r="CM305" s="51" t="str">
        <f>IF(CM122=-1,"x",IF(OR(CM220=1,CM$195=1,$CZ122=1),CM122,0))</f>
        <v>x</v>
      </c>
      <c r="CN305" s="52">
        <f>IF(CN122=-1,"x",IF(OR(CN220=1,CN$195=1,$CX122=1),CN122,0))</f>
        <v>0</v>
      </c>
      <c r="CO305" s="50">
        <f>IF(CO122=-1,"x",IF(OR(CO220=1,CO$195=1,$CY122=1),CO122,0))</f>
        <v>0</v>
      </c>
      <c r="CP305" s="105">
        <f>IF(CP122=-1,"x",IF(OR(CP220=1,CP$195=1,$CZ122=1),CP122,0))</f>
        <v>0</v>
      </c>
      <c r="DJ305" s="116">
        <f t="shared" ref="DJ305:FU305" si="1082">DJ302</f>
        <v>6</v>
      </c>
      <c r="DK305" s="116">
        <f t="shared" si="1082"/>
        <v>1</v>
      </c>
      <c r="DL305" s="116">
        <f t="shared" si="1082"/>
        <v>4</v>
      </c>
      <c r="DM305" s="116">
        <f t="shared" si="1082"/>
        <v>6</v>
      </c>
      <c r="DN305" s="116">
        <f t="shared" si="1082"/>
        <v>1</v>
      </c>
      <c r="DO305" s="116">
        <f t="shared" si="1082"/>
        <v>4</v>
      </c>
      <c r="DP305" s="116">
        <f t="shared" si="1082"/>
        <v>6</v>
      </c>
      <c r="DQ305" s="116">
        <f t="shared" si="1082"/>
        <v>1</v>
      </c>
      <c r="DR305" s="116">
        <f t="shared" si="1082"/>
        <v>4</v>
      </c>
      <c r="DS305" s="116">
        <f t="shared" si="1082"/>
        <v>6</v>
      </c>
      <c r="DT305" s="116">
        <f t="shared" si="1082"/>
        <v>1</v>
      </c>
      <c r="DU305" s="116">
        <f t="shared" si="1082"/>
        <v>4</v>
      </c>
      <c r="DV305" s="116">
        <f t="shared" si="1082"/>
        <v>6</v>
      </c>
      <c r="DW305" s="116">
        <f t="shared" si="1082"/>
        <v>1</v>
      </c>
      <c r="DX305" s="116">
        <f t="shared" si="1082"/>
        <v>4</v>
      </c>
      <c r="DY305" s="116">
        <f t="shared" si="1082"/>
        <v>6</v>
      </c>
      <c r="DZ305" s="116">
        <f t="shared" si="1082"/>
        <v>1</v>
      </c>
      <c r="EA305" s="116">
        <f t="shared" si="1082"/>
        <v>4</v>
      </c>
      <c r="EB305" s="116">
        <f t="shared" si="1082"/>
        <v>6</v>
      </c>
      <c r="EC305" s="116">
        <f t="shared" si="1082"/>
        <v>1</v>
      </c>
      <c r="ED305" s="116">
        <f t="shared" si="1082"/>
        <v>4</v>
      </c>
      <c r="EE305" s="116">
        <f t="shared" si="1082"/>
        <v>6</v>
      </c>
      <c r="EF305" s="116">
        <f t="shared" si="1082"/>
        <v>1</v>
      </c>
      <c r="EG305" s="116">
        <f t="shared" si="1082"/>
        <v>4</v>
      </c>
      <c r="EH305" s="116">
        <f t="shared" si="1082"/>
        <v>6</v>
      </c>
      <c r="EI305" s="116">
        <f t="shared" si="1082"/>
        <v>1</v>
      </c>
      <c r="EJ305" s="116">
        <f t="shared" si="1082"/>
        <v>4</v>
      </c>
      <c r="EK305" s="116">
        <f t="shared" si="1082"/>
        <v>1</v>
      </c>
      <c r="EL305" s="116">
        <f t="shared" si="1082"/>
        <v>0</v>
      </c>
      <c r="EM305" s="116">
        <f t="shared" si="1082"/>
        <v>0</v>
      </c>
      <c r="EN305" s="116">
        <f t="shared" si="1082"/>
        <v>1</v>
      </c>
      <c r="EO305" s="116">
        <f t="shared" si="1082"/>
        <v>0</v>
      </c>
      <c r="EP305" s="116">
        <f t="shared" si="1082"/>
        <v>0</v>
      </c>
      <c r="EQ305" s="116">
        <f t="shared" si="1082"/>
        <v>1</v>
      </c>
      <c r="ER305" s="116">
        <f t="shared" si="1082"/>
        <v>0</v>
      </c>
      <c r="ES305" s="116">
        <f t="shared" si="1082"/>
        <v>0</v>
      </c>
      <c r="ET305" s="116">
        <f t="shared" si="1082"/>
        <v>1</v>
      </c>
      <c r="EU305" s="116">
        <f t="shared" si="1082"/>
        <v>0</v>
      </c>
      <c r="EV305" s="116">
        <f t="shared" si="1082"/>
        <v>0</v>
      </c>
      <c r="EW305" s="116">
        <f t="shared" si="1082"/>
        <v>1</v>
      </c>
      <c r="EX305" s="116">
        <f t="shared" si="1082"/>
        <v>0</v>
      </c>
      <c r="EY305" s="116">
        <f t="shared" si="1082"/>
        <v>0</v>
      </c>
      <c r="EZ305" s="116">
        <f t="shared" si="1082"/>
        <v>1</v>
      </c>
      <c r="FA305" s="116">
        <f t="shared" si="1082"/>
        <v>0</v>
      </c>
      <c r="FB305" s="116">
        <f t="shared" si="1082"/>
        <v>0</v>
      </c>
      <c r="FC305" s="116">
        <f t="shared" si="1082"/>
        <v>1</v>
      </c>
      <c r="FD305" s="116">
        <f t="shared" si="1082"/>
        <v>0</v>
      </c>
      <c r="FE305" s="116">
        <f t="shared" si="1082"/>
        <v>0</v>
      </c>
      <c r="FF305" s="116">
        <f t="shared" si="1082"/>
        <v>1</v>
      </c>
      <c r="FG305" s="116">
        <f t="shared" si="1082"/>
        <v>0</v>
      </c>
      <c r="FH305" s="116">
        <f t="shared" si="1082"/>
        <v>0</v>
      </c>
      <c r="FI305" s="116">
        <f t="shared" si="1082"/>
        <v>1</v>
      </c>
      <c r="FJ305" s="116">
        <f t="shared" si="1082"/>
        <v>0</v>
      </c>
      <c r="FK305" s="116">
        <f t="shared" si="1082"/>
        <v>0</v>
      </c>
      <c r="FL305" s="116">
        <f t="shared" si="1082"/>
        <v>2</v>
      </c>
      <c r="FM305" s="116">
        <f t="shared" si="1082"/>
        <v>0</v>
      </c>
      <c r="FN305" s="116">
        <f t="shared" si="1082"/>
        <v>2</v>
      </c>
      <c r="FO305" s="116">
        <f t="shared" si="1082"/>
        <v>2</v>
      </c>
      <c r="FP305" s="116">
        <f t="shared" si="1082"/>
        <v>0</v>
      </c>
      <c r="FQ305" s="116">
        <f t="shared" si="1082"/>
        <v>2</v>
      </c>
      <c r="FR305" s="116">
        <f t="shared" si="1082"/>
        <v>2</v>
      </c>
      <c r="FS305" s="116">
        <f t="shared" si="1082"/>
        <v>0</v>
      </c>
      <c r="FT305" s="116">
        <f t="shared" si="1082"/>
        <v>2</v>
      </c>
      <c r="FU305" s="116">
        <f t="shared" si="1082"/>
        <v>2</v>
      </c>
      <c r="FV305" s="116">
        <f t="shared" ref="FV305:GL305" si="1083">FV302</f>
        <v>0</v>
      </c>
      <c r="FW305" s="116">
        <f t="shared" si="1083"/>
        <v>2</v>
      </c>
      <c r="FX305" s="116">
        <f t="shared" si="1083"/>
        <v>2</v>
      </c>
      <c r="FY305" s="116">
        <f t="shared" si="1083"/>
        <v>0</v>
      </c>
      <c r="FZ305" s="116">
        <f t="shared" si="1083"/>
        <v>2</v>
      </c>
      <c r="GA305" s="116">
        <f t="shared" si="1083"/>
        <v>2</v>
      </c>
      <c r="GB305" s="116">
        <f t="shared" si="1083"/>
        <v>0</v>
      </c>
      <c r="GC305" s="116">
        <f t="shared" si="1083"/>
        <v>2</v>
      </c>
      <c r="GD305" s="116">
        <f t="shared" si="1083"/>
        <v>2</v>
      </c>
      <c r="GE305" s="116">
        <f t="shared" si="1083"/>
        <v>0</v>
      </c>
      <c r="GF305" s="116">
        <f t="shared" si="1083"/>
        <v>2</v>
      </c>
      <c r="GG305" s="116">
        <f t="shared" si="1083"/>
        <v>2</v>
      </c>
      <c r="GH305" s="116">
        <f t="shared" si="1083"/>
        <v>0</v>
      </c>
      <c r="GI305" s="116">
        <f t="shared" si="1083"/>
        <v>2</v>
      </c>
      <c r="GJ305" s="116">
        <f t="shared" si="1083"/>
        <v>2</v>
      </c>
      <c r="GK305" s="116">
        <f t="shared" si="1083"/>
        <v>0</v>
      </c>
      <c r="GL305" s="116">
        <f t="shared" si="1083"/>
        <v>2</v>
      </c>
    </row>
    <row r="306" spans="14:194" ht="15" customHeight="1">
      <c r="N306" s="94" t="str">
        <f>IF(N123=-1,"x",IF(OR(N221=1,N$196=1,$CX123=1),N123,0))</f>
        <v>x</v>
      </c>
      <c r="O306" s="39" t="str">
        <f>IF(O123=-1,"x",IF(OR(O221=1,O$196=1,$CY123=1),O123,0))</f>
        <v>x</v>
      </c>
      <c r="P306" s="41" t="str">
        <f>IF(P123=-1,"x",IF(OR(P221=1,P$196=1,$CZ123=1),P123,0))</f>
        <v>x</v>
      </c>
      <c r="Q306" s="40" t="str">
        <f>IF(Q123=-1,"x",IF(OR(Q221=1,Q$196=1,$CX123=1),Q123,0))</f>
        <v>x</v>
      </c>
      <c r="R306" s="39" t="str">
        <f>IF(R123=-1,"x",IF(OR(R221=1,R$196=1,$CY123=1),R123,0))</f>
        <v>x</v>
      </c>
      <c r="S306" s="41" t="str">
        <f>IF(S123=-1,"x",IF(OR(S221=1,S$196=1,$CZ123=1),S123,0))</f>
        <v>x</v>
      </c>
      <c r="T306" s="40" t="str">
        <f>IF(T123=-1,"x",IF(OR(T221=1,T$196=1,$CX123=1),T123,0))</f>
        <v>x</v>
      </c>
      <c r="U306" s="39" t="str">
        <f>IF(U123=-1,"x",IF(OR(U221=1,U$196=1,$CY123=1),U123,0))</f>
        <v>x</v>
      </c>
      <c r="V306" s="42" t="str">
        <f>IF(V123=-1,"x",IF(OR(V221=1,V$196=1,$CZ123=1),V123,0))</f>
        <v>x</v>
      </c>
      <c r="W306" s="43" t="str">
        <f>IF(W123=-1,"x",IF(OR(W221=1,W$196=1,$CX123=1),W123,0))</f>
        <v>x</v>
      </c>
      <c r="X306" s="39" t="str">
        <f>IF(X123=-1,"x",IF(OR(X221=1,X$196=1,$CY123=1),X123,0))</f>
        <v>x</v>
      </c>
      <c r="Y306" s="41" t="str">
        <f>IF(Y123=-1,"x",IF(OR(Y221=1,Y$196=1,$CZ123=1),Y123,0))</f>
        <v>x</v>
      </c>
      <c r="Z306" s="40" t="str">
        <f>IF(Z123=-1,"x",IF(OR(Z221=1,Z$196=1,$CX123=1),Z123,0))</f>
        <v>x</v>
      </c>
      <c r="AA306" s="39" t="str">
        <f>IF(AA123=-1,"x",IF(OR(AA221=1,AA$196=1,$CY123=1),AA123,0))</f>
        <v>x</v>
      </c>
      <c r="AB306" s="41" t="str">
        <f>IF(AB123=-1,"x",IF(OR(AB221=1,AB$196=1,$CZ123=1),AB123,0))</f>
        <v>x</v>
      </c>
      <c r="AC306" s="40" t="str">
        <f>IF(AC123=-1,"x",IF(OR(AC221=1,AC$196=1,$CX123=1),AC123,0))</f>
        <v>x</v>
      </c>
      <c r="AD306" s="39" t="str">
        <f>IF(AD123=-1,"x",IF(OR(AD221=1,AD$196=1,$CY123=1),AD123,0))</f>
        <v>x</v>
      </c>
      <c r="AE306" s="42" t="str">
        <f>IF(AE123=-1,"x",IF(OR(AE221=1,AE$196=1,$CZ123=1),AE123,0))</f>
        <v>x</v>
      </c>
      <c r="AF306" s="43" t="str">
        <f>IF(AF123=-1,"x",IF(OR(AF221=1,AF$196=1,$CX123=1),AF123,0))</f>
        <v>x</v>
      </c>
      <c r="AG306" s="39" t="str">
        <f>IF(AG123=-1,"x",IF(OR(AG221=1,AG$196=1,$CY123=1),AG123,0))</f>
        <v>x</v>
      </c>
      <c r="AH306" s="41" t="str">
        <f>IF(AH123=-1,"x",IF(OR(AH221=1,AH$196=1,$CZ123=1),AH123,0))</f>
        <v>x</v>
      </c>
      <c r="AI306" s="40" t="str">
        <f>IF(AI123=-1,"x",IF(OR(AI221=1,AI$196=1,$CX123=1),AI123,0))</f>
        <v>x</v>
      </c>
      <c r="AJ306" s="39" t="str">
        <f>IF(AJ123=-1,"x",IF(OR(AJ221=1,AJ$196=1,$CY123=1),AJ123,0))</f>
        <v>x</v>
      </c>
      <c r="AK306" s="41" t="str">
        <f>IF(AK123=-1,"x",IF(OR(AK221=1,AK$196=1,$CZ123=1),AK123,0))</f>
        <v>x</v>
      </c>
      <c r="AL306" s="40" t="str">
        <f>IF(AL123=-1,"x",IF(OR(AL221=1,AL$196=1,$CX123=1),AL123,0))</f>
        <v>x</v>
      </c>
      <c r="AM306" s="39" t="str">
        <f>IF(AM123=-1,"x",IF(OR(AM221=1,AM$196=1,$CY123=1),AM123,0))</f>
        <v>x</v>
      </c>
      <c r="AN306" s="95" t="str">
        <f>IF(AN123=-1,"x",IF(OR(AN221=1,AN$196=1,$CZ123=1),AN123,0))</f>
        <v>x</v>
      </c>
      <c r="AO306" s="94" t="str">
        <f>IF(AO123=-1,"x",IF(OR(AO221=1,AO$196=1,$CX123=1),AO123,0))</f>
        <v>x</v>
      </c>
      <c r="AP306" s="39" t="str">
        <f>IF(AP123=-1,"x",IF(OR(AP221=1,AP$196=1,$CY123=1),AP123,0))</f>
        <v>x</v>
      </c>
      <c r="AQ306" s="41" t="str">
        <f>IF(AQ123=-1,"x",IF(OR(AQ221=1,AQ$196=1,$CZ123=1),AQ123,0))</f>
        <v>x</v>
      </c>
      <c r="AR306" s="40" t="str">
        <f>IF(AR123=-1,"x",IF(OR(AR221=1,AR$196=1,$CX123=1),AR123,0))</f>
        <v>x</v>
      </c>
      <c r="AS306" s="39" t="str">
        <f>IF(AS123=-1,"x",IF(OR(AS221=1,AS$196=1,$CY123=1),AS123,0))</f>
        <v>x</v>
      </c>
      <c r="AT306" s="41" t="str">
        <f>IF(AT123=-1,"x",IF(OR(AT221=1,AT$196=1,$CZ123=1),AT123,0))</f>
        <v>x</v>
      </c>
      <c r="AU306" s="40" t="str">
        <f>IF(AU123=-1,"x",IF(OR(AU221=1,AU$196=1,$CX123=1),AU123,0))</f>
        <v>x</v>
      </c>
      <c r="AV306" s="39" t="str">
        <f>IF(AV123=-1,"x",IF(OR(AV221=1,AV$196=1,$CY123=1),AV123,0))</f>
        <v>x</v>
      </c>
      <c r="AW306" s="42" t="str">
        <f>IF(AW123=-1,"x",IF(OR(AW221=1,AW$196=1,$CZ123=1),AW123,0))</f>
        <v>x</v>
      </c>
      <c r="AX306" s="43" t="str">
        <f>IF(AX123=-1,"x",IF(OR(AX221=1,AX$196=1,$CX123=1),AX123,0))</f>
        <v>x</v>
      </c>
      <c r="AY306" s="39" t="str">
        <f>IF(AY123=-1,"x",IF(OR(AY221=1,AY$196=1,$CY123=1),AY123,0))</f>
        <v>x</v>
      </c>
      <c r="AZ306" s="41" t="str">
        <f>IF(AZ123=-1,"x",IF(OR(AZ221=1,AZ$196=1,$CZ123=1),AZ123,0))</f>
        <v>x</v>
      </c>
      <c r="BA306" s="40" t="str">
        <f>IF(BA123=-1,"x",IF(OR(BA221=1,BA$196=1,$CX123=1),BA123,0))</f>
        <v>x</v>
      </c>
      <c r="BB306" s="39" t="str">
        <f>IF(BB123=-1,"x",IF(OR(BB221=1,BB$196=1,$CY123=1),BB123,0))</f>
        <v>x</v>
      </c>
      <c r="BC306" s="41" t="str">
        <f>IF(BC123=-1,"x",IF(OR(BC221=1,BC$196=1,$CZ123=1),BC123,0))</f>
        <v>x</v>
      </c>
      <c r="BD306" s="40" t="str">
        <f>IF(BD123=-1,"x",IF(OR(BD221=1,BD$196=1,$CX123=1),BD123,0))</f>
        <v>x</v>
      </c>
      <c r="BE306" s="39" t="str">
        <f>IF(BE123=-1,"x",IF(OR(BE221=1,BE$196=1,$CY123=1),BE123,0))</f>
        <v>x</v>
      </c>
      <c r="BF306" s="42" t="str">
        <f>IF(BF123=-1,"x",IF(OR(BF221=1,BF$196=1,$CZ123=1),BF123,0))</f>
        <v>x</v>
      </c>
      <c r="BG306" s="43" t="str">
        <f>IF(BG123=-1,"x",IF(OR(BG221=1,BG$196=1,$CX123=1),BG123,0))</f>
        <v>x</v>
      </c>
      <c r="BH306" s="39" t="str">
        <f>IF(BH123=-1,"x",IF(OR(BH221=1,BH$196=1,$CY123=1),BH123,0))</f>
        <v>x</v>
      </c>
      <c r="BI306" s="41" t="str">
        <f>IF(BI123=-1,"x",IF(OR(BI221=1,BI$196=1,$CZ123=1),BI123,0))</f>
        <v>x</v>
      </c>
      <c r="BJ306" s="40" t="str">
        <f>IF(BJ123=-1,"x",IF(OR(BJ221=1,BJ$196=1,$CX123=1),BJ123,0))</f>
        <v>x</v>
      </c>
      <c r="BK306" s="39" t="str">
        <f>IF(BK123=-1,"x",IF(OR(BK221=1,BK$196=1,$CY123=1),BK123,0))</f>
        <v>x</v>
      </c>
      <c r="BL306" s="41" t="str">
        <f>IF(BL123=-1,"x",IF(OR(BL221=1,BL$196=1,$CZ123=1),BL123,0))</f>
        <v>x</v>
      </c>
      <c r="BM306" s="40" t="str">
        <f>IF(BM123=-1,"x",IF(OR(BM221=1,BM$196=1,$CX123=1),BM123,0))</f>
        <v>x</v>
      </c>
      <c r="BN306" s="39" t="str">
        <f>IF(BN123=-1,"x",IF(OR(BN221=1,BN$196=1,$CY123=1),BN123,0))</f>
        <v>x</v>
      </c>
      <c r="BO306" s="95" t="str">
        <f>IF(BO123=-1,"x",IF(OR(BO221=1,BO$196=1,$CZ123=1),BO123,0))</f>
        <v>x</v>
      </c>
      <c r="BP306" s="94" t="str">
        <f>IF(BP123=-1,"x",IF(OR(BP221=1,BP$196=1,$CX123=1),BP123,0))</f>
        <v>x</v>
      </c>
      <c r="BQ306" s="39" t="str">
        <f>IF(BQ123=-1,"x",IF(OR(BQ221=1,BQ$196=1,$CY123=1),BQ123,0))</f>
        <v>x</v>
      </c>
      <c r="BR306" s="41" t="str">
        <f>IF(BR123=-1,"x",IF(OR(BR221=1,BR$196=1,$CZ123=1),BR123,0))</f>
        <v>x</v>
      </c>
      <c r="BS306" s="40" t="str">
        <f>IF(BS123=-1,"x",IF(OR(BS221=1,BS$196=1,$CX123=1),BS123,0))</f>
        <v>x</v>
      </c>
      <c r="BT306" s="39" t="str">
        <f>IF(BT123=-1,"x",IF(OR(BT221=1,BT$196=1,$CY123=1),BT123,0))</f>
        <v>x</v>
      </c>
      <c r="BU306" s="41" t="str">
        <f>IF(BU123=-1,"x",IF(OR(BU221=1,BU$196=1,$CZ123=1),BU123,0))</f>
        <v>x</v>
      </c>
      <c r="BV306" s="40" t="str">
        <f>IF(BV123=-1,"x",IF(OR(BV221=1,BV$196=1,$CX123=1),BV123,0))</f>
        <v>x</v>
      </c>
      <c r="BW306" s="39" t="str">
        <f>IF(BW123=-1,"x",IF(OR(BW221=1,BW$196=1,$CY123=1),BW123,0))</f>
        <v>x</v>
      </c>
      <c r="BX306" s="42" t="str">
        <f>IF(BX123=-1,"x",IF(OR(BX221=1,BX$196=1,$CZ123=1),BX123,0))</f>
        <v>x</v>
      </c>
      <c r="BY306" s="43" t="str">
        <f>IF(BY123=-1,"x",IF(OR(BY221=1,BY$196=1,$CX123=1),BY123,0))</f>
        <v>x</v>
      </c>
      <c r="BZ306" s="39" t="str">
        <f>IF(BZ123=-1,"x",IF(OR(BZ221=1,BZ$196=1,$CY123=1),BZ123,0))</f>
        <v>x</v>
      </c>
      <c r="CA306" s="41" t="str">
        <f>IF(CA123=-1,"x",IF(OR(CA221=1,CA$196=1,$CZ123=1),CA123,0))</f>
        <v>x</v>
      </c>
      <c r="CB306" s="40" t="str">
        <f>IF(CB123=-1,"x",IF(OR(CB221=1,CB$196=1,$CX123=1),CB123,0))</f>
        <v>x</v>
      </c>
      <c r="CC306" s="39" t="str">
        <f>IF(CC123=-1,"x",IF(OR(CC221=1,CC$196=1,$CY123=1),CC123,0))</f>
        <v>x</v>
      </c>
      <c r="CD306" s="41" t="str">
        <f>IF(CD123=-1,"x",IF(OR(CD221=1,CD$196=1,$CZ123=1),CD123,0))</f>
        <v>x</v>
      </c>
      <c r="CE306" s="40" t="str">
        <f>IF(CE123=-1,"x",IF(OR(CE221=1,CE$196=1,$CX123=1),CE123,0))</f>
        <v>x</v>
      </c>
      <c r="CF306" s="39" t="str">
        <f>IF(CF123=-1,"x",IF(OR(CF221=1,CF$196=1,$CY123=1),CF123,0))</f>
        <v>x</v>
      </c>
      <c r="CG306" s="42" t="str">
        <f>IF(CG123=-1,"x",IF(OR(CG221=1,CG$196=1,$CZ123=1),CG123,0))</f>
        <v>x</v>
      </c>
      <c r="CH306" s="43" t="str">
        <f>IF(CH123=-1,"x",IF(OR(CH221=1,CH$196=1,$CX123=1),CH123,0))</f>
        <v>x</v>
      </c>
      <c r="CI306" s="39" t="str">
        <f>IF(CI123=-1,"x",IF(OR(CI221=1,CI$196=1,$CY123=1),CI123,0))</f>
        <v>x</v>
      </c>
      <c r="CJ306" s="41" t="str">
        <f>IF(CJ123=-1,"x",IF(OR(CJ221=1,CJ$196=1,$CZ123=1),CJ123,0))</f>
        <v>x</v>
      </c>
      <c r="CK306" s="40" t="str">
        <f>IF(CK123=-1,"x",IF(OR(CK221=1,CK$196=1,$CX123=1),CK123,0))</f>
        <v>x</v>
      </c>
      <c r="CL306" s="39" t="str">
        <f>IF(CL123=-1,"x",IF(OR(CL221=1,CL$196=1,$CY123=1),CL123,0))</f>
        <v>x</v>
      </c>
      <c r="CM306" s="41" t="str">
        <f>IF(CM123=-1,"x",IF(OR(CM221=1,CM$196=1,$CZ123=1),CM123,0))</f>
        <v>x</v>
      </c>
      <c r="CN306" s="40">
        <f>IF(CN123=-1,"x",IF(OR(CN221=1,CN$196=1,$CX123=1),CN123,0))</f>
        <v>0</v>
      </c>
      <c r="CO306" s="39">
        <f>IF(CO123=-1,"x",IF(OR(CO221=1,CO$196=1,$CY123=1),CO123,0))</f>
        <v>0</v>
      </c>
      <c r="CP306" s="95">
        <f>IF(CP123=-1,"x",IF(OR(CP221=1,CP$196=1,$CZ123=1),CP123,0))</f>
        <v>0</v>
      </c>
      <c r="DJ306" s="116">
        <f t="shared" ref="DJ306:FU306" si="1084">DJ303</f>
        <v>0</v>
      </c>
      <c r="DK306" s="116">
        <f t="shared" si="1084"/>
        <v>2</v>
      </c>
      <c r="DL306" s="116">
        <f t="shared" si="1084"/>
        <v>0</v>
      </c>
      <c r="DM306" s="116">
        <f t="shared" si="1084"/>
        <v>0</v>
      </c>
      <c r="DN306" s="116">
        <f t="shared" si="1084"/>
        <v>2</v>
      </c>
      <c r="DO306" s="116">
        <f t="shared" si="1084"/>
        <v>0</v>
      </c>
      <c r="DP306" s="116">
        <f t="shared" si="1084"/>
        <v>0</v>
      </c>
      <c r="DQ306" s="116">
        <f t="shared" si="1084"/>
        <v>2</v>
      </c>
      <c r="DR306" s="116">
        <f t="shared" si="1084"/>
        <v>0</v>
      </c>
      <c r="DS306" s="116">
        <f t="shared" si="1084"/>
        <v>0</v>
      </c>
      <c r="DT306" s="116">
        <f t="shared" si="1084"/>
        <v>2</v>
      </c>
      <c r="DU306" s="116">
        <f t="shared" si="1084"/>
        <v>0</v>
      </c>
      <c r="DV306" s="116">
        <f t="shared" si="1084"/>
        <v>0</v>
      </c>
      <c r="DW306" s="116">
        <f t="shared" si="1084"/>
        <v>2</v>
      </c>
      <c r="DX306" s="116">
        <f t="shared" si="1084"/>
        <v>0</v>
      </c>
      <c r="DY306" s="116">
        <f t="shared" si="1084"/>
        <v>0</v>
      </c>
      <c r="DZ306" s="116">
        <f t="shared" si="1084"/>
        <v>2</v>
      </c>
      <c r="EA306" s="116">
        <f t="shared" si="1084"/>
        <v>0</v>
      </c>
      <c r="EB306" s="116">
        <f t="shared" si="1084"/>
        <v>0</v>
      </c>
      <c r="EC306" s="116">
        <f t="shared" si="1084"/>
        <v>2</v>
      </c>
      <c r="ED306" s="116">
        <f t="shared" si="1084"/>
        <v>0</v>
      </c>
      <c r="EE306" s="116">
        <f t="shared" si="1084"/>
        <v>0</v>
      </c>
      <c r="EF306" s="116">
        <f t="shared" si="1084"/>
        <v>2</v>
      </c>
      <c r="EG306" s="116">
        <f t="shared" si="1084"/>
        <v>0</v>
      </c>
      <c r="EH306" s="116">
        <f t="shared" si="1084"/>
        <v>0</v>
      </c>
      <c r="EI306" s="116">
        <f t="shared" si="1084"/>
        <v>2</v>
      </c>
      <c r="EJ306" s="116">
        <f t="shared" si="1084"/>
        <v>0</v>
      </c>
      <c r="EK306" s="116">
        <f t="shared" si="1084"/>
        <v>1</v>
      </c>
      <c r="EL306" s="116">
        <f t="shared" si="1084"/>
        <v>2</v>
      </c>
      <c r="EM306" s="116">
        <f t="shared" si="1084"/>
        <v>0</v>
      </c>
      <c r="EN306" s="116">
        <f t="shared" si="1084"/>
        <v>1</v>
      </c>
      <c r="EO306" s="116">
        <f t="shared" si="1084"/>
        <v>2</v>
      </c>
      <c r="EP306" s="116">
        <f t="shared" si="1084"/>
        <v>0</v>
      </c>
      <c r="EQ306" s="116">
        <f t="shared" si="1084"/>
        <v>1</v>
      </c>
      <c r="ER306" s="116">
        <f t="shared" si="1084"/>
        <v>2</v>
      </c>
      <c r="ES306" s="116">
        <f t="shared" si="1084"/>
        <v>0</v>
      </c>
      <c r="ET306" s="116">
        <f t="shared" si="1084"/>
        <v>1</v>
      </c>
      <c r="EU306" s="116">
        <f t="shared" si="1084"/>
        <v>2</v>
      </c>
      <c r="EV306" s="116">
        <f t="shared" si="1084"/>
        <v>0</v>
      </c>
      <c r="EW306" s="116">
        <f t="shared" si="1084"/>
        <v>1</v>
      </c>
      <c r="EX306" s="116">
        <f t="shared" si="1084"/>
        <v>2</v>
      </c>
      <c r="EY306" s="116">
        <f t="shared" si="1084"/>
        <v>0</v>
      </c>
      <c r="EZ306" s="116">
        <f t="shared" si="1084"/>
        <v>1</v>
      </c>
      <c r="FA306" s="116">
        <f t="shared" si="1084"/>
        <v>2</v>
      </c>
      <c r="FB306" s="116">
        <f t="shared" si="1084"/>
        <v>0</v>
      </c>
      <c r="FC306" s="116">
        <f t="shared" si="1084"/>
        <v>1</v>
      </c>
      <c r="FD306" s="116">
        <f t="shared" si="1084"/>
        <v>2</v>
      </c>
      <c r="FE306" s="116">
        <f t="shared" si="1084"/>
        <v>0</v>
      </c>
      <c r="FF306" s="116">
        <f t="shared" si="1084"/>
        <v>1</v>
      </c>
      <c r="FG306" s="116">
        <f t="shared" si="1084"/>
        <v>2</v>
      </c>
      <c r="FH306" s="116">
        <f t="shared" si="1084"/>
        <v>0</v>
      </c>
      <c r="FI306" s="116">
        <f t="shared" si="1084"/>
        <v>1</v>
      </c>
      <c r="FJ306" s="116">
        <f t="shared" si="1084"/>
        <v>2</v>
      </c>
      <c r="FK306" s="116">
        <f t="shared" si="1084"/>
        <v>0</v>
      </c>
      <c r="FL306" s="116">
        <f t="shared" si="1084"/>
        <v>1</v>
      </c>
      <c r="FM306" s="116">
        <f t="shared" si="1084"/>
        <v>7</v>
      </c>
      <c r="FN306" s="116">
        <f t="shared" si="1084"/>
        <v>0</v>
      </c>
      <c r="FO306" s="116">
        <f t="shared" si="1084"/>
        <v>1</v>
      </c>
      <c r="FP306" s="116">
        <f t="shared" si="1084"/>
        <v>7</v>
      </c>
      <c r="FQ306" s="116">
        <f t="shared" si="1084"/>
        <v>0</v>
      </c>
      <c r="FR306" s="116">
        <f t="shared" si="1084"/>
        <v>1</v>
      </c>
      <c r="FS306" s="116">
        <f t="shared" si="1084"/>
        <v>7</v>
      </c>
      <c r="FT306" s="116">
        <f t="shared" si="1084"/>
        <v>0</v>
      </c>
      <c r="FU306" s="116">
        <f t="shared" si="1084"/>
        <v>1</v>
      </c>
      <c r="FV306" s="116">
        <f t="shared" ref="FV306:GL306" si="1085">FV303</f>
        <v>7</v>
      </c>
      <c r="FW306" s="116">
        <f t="shared" si="1085"/>
        <v>0</v>
      </c>
      <c r="FX306" s="116">
        <f t="shared" si="1085"/>
        <v>1</v>
      </c>
      <c r="FY306" s="116">
        <f t="shared" si="1085"/>
        <v>7</v>
      </c>
      <c r="FZ306" s="116">
        <f t="shared" si="1085"/>
        <v>0</v>
      </c>
      <c r="GA306" s="116">
        <f t="shared" si="1085"/>
        <v>1</v>
      </c>
      <c r="GB306" s="116">
        <f t="shared" si="1085"/>
        <v>7</v>
      </c>
      <c r="GC306" s="116">
        <f t="shared" si="1085"/>
        <v>0</v>
      </c>
      <c r="GD306" s="116">
        <f t="shared" si="1085"/>
        <v>1</v>
      </c>
      <c r="GE306" s="116">
        <f t="shared" si="1085"/>
        <v>7</v>
      </c>
      <c r="GF306" s="116">
        <f t="shared" si="1085"/>
        <v>0</v>
      </c>
      <c r="GG306" s="116">
        <f t="shared" si="1085"/>
        <v>1</v>
      </c>
      <c r="GH306" s="116">
        <f t="shared" si="1085"/>
        <v>7</v>
      </c>
      <c r="GI306" s="116">
        <f t="shared" si="1085"/>
        <v>0</v>
      </c>
      <c r="GJ306" s="116">
        <f t="shared" si="1085"/>
        <v>1</v>
      </c>
      <c r="GK306" s="116">
        <f t="shared" si="1085"/>
        <v>7</v>
      </c>
      <c r="GL306" s="116">
        <f t="shared" si="1085"/>
        <v>0</v>
      </c>
    </row>
    <row r="307" spans="14:194" ht="15" customHeight="1" thickBot="1">
      <c r="N307" s="106" t="str">
        <f>IF(N124=-1,"x",IF(OR(N222=1,N$197=1,$CX124=1),N124,0))</f>
        <v>x</v>
      </c>
      <c r="O307" s="55" t="str">
        <f>IF(O124=-1,"x",IF(OR(O222=1,O$197=1,$CY124=1),O124,0))</f>
        <v>x</v>
      </c>
      <c r="P307" s="56" t="str">
        <f>IF(P124=-1,"x",IF(OR(P222=1,P$197=1,$CZ124=1),P124,0))</f>
        <v>x</v>
      </c>
      <c r="Q307" s="57" t="str">
        <f>IF(Q124=-1,"x",IF(OR(Q222=1,Q$197=1,$CX124=1),Q124,0))</f>
        <v>x</v>
      </c>
      <c r="R307" s="55" t="str">
        <f>IF(R124=-1,"x",IF(OR(R222=1,R$197=1,$CY124=1),R124,0))</f>
        <v>x</v>
      </c>
      <c r="S307" s="56" t="str">
        <f>IF(S124=-1,"x",IF(OR(S222=1,S$197=1,$CZ124=1),S124,0))</f>
        <v>x</v>
      </c>
      <c r="T307" s="57" t="str">
        <f>IF(T124=-1,"x",IF(OR(T222=1,T$197=1,$CX124=1),T124,0))</f>
        <v>x</v>
      </c>
      <c r="U307" s="55" t="str">
        <f>IF(U124=-1,"x",IF(OR(U222=1,U$197=1,$CY124=1),U124,0))</f>
        <v>x</v>
      </c>
      <c r="V307" s="58" t="str">
        <f>IF(V124=-1,"x",IF(OR(V222=1,V$197=1,$CZ124=1),V124,0))</f>
        <v>x</v>
      </c>
      <c r="W307" s="54" t="str">
        <f>IF(W124=-1,"x",IF(OR(W222=1,W$197=1,$CX124=1),W124,0))</f>
        <v>x</v>
      </c>
      <c r="X307" s="55" t="str">
        <f>IF(X124=-1,"x",IF(OR(X222=1,X$197=1,$CY124=1),X124,0))</f>
        <v>x</v>
      </c>
      <c r="Y307" s="56" t="str">
        <f>IF(Y124=-1,"x",IF(OR(Y222=1,Y$197=1,$CZ124=1),Y124,0))</f>
        <v>x</v>
      </c>
      <c r="Z307" s="57" t="str">
        <f>IF(Z124=-1,"x",IF(OR(Z222=1,Z$197=1,$CX124=1),Z124,0))</f>
        <v>x</v>
      </c>
      <c r="AA307" s="55" t="str">
        <f>IF(AA124=-1,"x",IF(OR(AA222=1,AA$197=1,$CY124=1),AA124,0))</f>
        <v>x</v>
      </c>
      <c r="AB307" s="56" t="str">
        <f>IF(AB124=-1,"x",IF(OR(AB222=1,AB$197=1,$CZ124=1),AB124,0))</f>
        <v>x</v>
      </c>
      <c r="AC307" s="57" t="str">
        <f>IF(AC124=-1,"x",IF(OR(AC222=1,AC$197=1,$CX124=1),AC124,0))</f>
        <v>x</v>
      </c>
      <c r="AD307" s="55" t="str">
        <f>IF(AD124=-1,"x",IF(OR(AD222=1,AD$197=1,$CY124=1),AD124,0))</f>
        <v>x</v>
      </c>
      <c r="AE307" s="58" t="str">
        <f>IF(AE124=-1,"x",IF(OR(AE222=1,AE$197=1,$CZ124=1),AE124,0))</f>
        <v>x</v>
      </c>
      <c r="AF307" s="54" t="str">
        <f>IF(AF124=-1,"x",IF(OR(AF222=1,AF$197=1,$CX124=1),AF124,0))</f>
        <v>x</v>
      </c>
      <c r="AG307" s="55" t="str">
        <f>IF(AG124=-1,"x",IF(OR(AG222=1,AG$197=1,$CY124=1),AG124,0))</f>
        <v>x</v>
      </c>
      <c r="AH307" s="56" t="str">
        <f>IF(AH124=-1,"x",IF(OR(AH222=1,AH$197=1,$CZ124=1),AH124,0))</f>
        <v>x</v>
      </c>
      <c r="AI307" s="57" t="str">
        <f>IF(AI124=-1,"x",IF(OR(AI222=1,AI$197=1,$CX124=1),AI124,0))</f>
        <v>x</v>
      </c>
      <c r="AJ307" s="55" t="str">
        <f>IF(AJ124=-1,"x",IF(OR(AJ222=1,AJ$197=1,$CY124=1),AJ124,0))</f>
        <v>x</v>
      </c>
      <c r="AK307" s="56" t="str">
        <f>IF(AK124=-1,"x",IF(OR(AK222=1,AK$197=1,$CZ124=1),AK124,0))</f>
        <v>x</v>
      </c>
      <c r="AL307" s="57" t="str">
        <f>IF(AL124=-1,"x",IF(OR(AL222=1,AL$197=1,$CX124=1),AL124,0))</f>
        <v>x</v>
      </c>
      <c r="AM307" s="55" t="str">
        <f>IF(AM124=-1,"x",IF(OR(AM222=1,AM$197=1,$CY124=1),AM124,0))</f>
        <v>x</v>
      </c>
      <c r="AN307" s="107" t="str">
        <f>IF(AN124=-1,"x",IF(OR(AN222=1,AN$197=1,$CZ124=1),AN124,0))</f>
        <v>x</v>
      </c>
      <c r="AO307" s="106" t="str">
        <f>IF(AO124=-1,"x",IF(OR(AO222=1,AO$197=1,$CX124=1),AO124,0))</f>
        <v>x</v>
      </c>
      <c r="AP307" s="55" t="str">
        <f>IF(AP124=-1,"x",IF(OR(AP222=1,AP$197=1,$CY124=1),AP124,0))</f>
        <v>x</v>
      </c>
      <c r="AQ307" s="56" t="str">
        <f>IF(AQ124=-1,"x",IF(OR(AQ222=1,AQ$197=1,$CZ124=1),AQ124,0))</f>
        <v>x</v>
      </c>
      <c r="AR307" s="57" t="str">
        <f>IF(AR124=-1,"x",IF(OR(AR222=1,AR$197=1,$CX124=1),AR124,0))</f>
        <v>x</v>
      </c>
      <c r="AS307" s="55" t="str">
        <f>IF(AS124=-1,"x",IF(OR(AS222=1,AS$197=1,$CY124=1),AS124,0))</f>
        <v>x</v>
      </c>
      <c r="AT307" s="56" t="str">
        <f>IF(AT124=-1,"x",IF(OR(AT222=1,AT$197=1,$CZ124=1),AT124,0))</f>
        <v>x</v>
      </c>
      <c r="AU307" s="57" t="str">
        <f>IF(AU124=-1,"x",IF(OR(AU222=1,AU$197=1,$CX124=1),AU124,0))</f>
        <v>x</v>
      </c>
      <c r="AV307" s="55" t="str">
        <f>IF(AV124=-1,"x",IF(OR(AV222=1,AV$197=1,$CY124=1),AV124,0))</f>
        <v>x</v>
      </c>
      <c r="AW307" s="58" t="str">
        <f>IF(AW124=-1,"x",IF(OR(AW222=1,AW$197=1,$CZ124=1),AW124,0))</f>
        <v>x</v>
      </c>
      <c r="AX307" s="54" t="str">
        <f>IF(AX124=-1,"x",IF(OR(AX222=1,AX$197=1,$CX124=1),AX124,0))</f>
        <v>x</v>
      </c>
      <c r="AY307" s="55" t="str">
        <f>IF(AY124=-1,"x",IF(OR(AY222=1,AY$197=1,$CY124=1),AY124,0))</f>
        <v>x</v>
      </c>
      <c r="AZ307" s="56" t="str">
        <f>IF(AZ124=-1,"x",IF(OR(AZ222=1,AZ$197=1,$CZ124=1),AZ124,0))</f>
        <v>x</v>
      </c>
      <c r="BA307" s="57" t="str">
        <f>IF(BA124=-1,"x",IF(OR(BA222=1,BA$197=1,$CX124=1),BA124,0))</f>
        <v>x</v>
      </c>
      <c r="BB307" s="55" t="str">
        <f>IF(BB124=-1,"x",IF(OR(BB222=1,BB$197=1,$CY124=1),BB124,0))</f>
        <v>x</v>
      </c>
      <c r="BC307" s="56" t="str">
        <f>IF(BC124=-1,"x",IF(OR(BC222=1,BC$197=1,$CZ124=1),BC124,0))</f>
        <v>x</v>
      </c>
      <c r="BD307" s="57" t="str">
        <f>IF(BD124=-1,"x",IF(OR(BD222=1,BD$197=1,$CX124=1),BD124,0))</f>
        <v>x</v>
      </c>
      <c r="BE307" s="55" t="str">
        <f>IF(BE124=-1,"x",IF(OR(BE222=1,BE$197=1,$CY124=1),BE124,0))</f>
        <v>x</v>
      </c>
      <c r="BF307" s="58" t="str">
        <f>IF(BF124=-1,"x",IF(OR(BF222=1,BF$197=1,$CZ124=1),BF124,0))</f>
        <v>x</v>
      </c>
      <c r="BG307" s="54" t="str">
        <f>IF(BG124=-1,"x",IF(OR(BG222=1,BG$197=1,$CX124=1),BG124,0))</f>
        <v>x</v>
      </c>
      <c r="BH307" s="55" t="str">
        <f>IF(BH124=-1,"x",IF(OR(BH222=1,BH$197=1,$CY124=1),BH124,0))</f>
        <v>x</v>
      </c>
      <c r="BI307" s="56" t="str">
        <f>IF(BI124=-1,"x",IF(OR(BI222=1,BI$197=1,$CZ124=1),BI124,0))</f>
        <v>x</v>
      </c>
      <c r="BJ307" s="57" t="str">
        <f>IF(BJ124=-1,"x",IF(OR(BJ222=1,BJ$197=1,$CX124=1),BJ124,0))</f>
        <v>x</v>
      </c>
      <c r="BK307" s="55" t="str">
        <f>IF(BK124=-1,"x",IF(OR(BK222=1,BK$197=1,$CY124=1),BK124,0))</f>
        <v>x</v>
      </c>
      <c r="BL307" s="56" t="str">
        <f>IF(BL124=-1,"x",IF(OR(BL222=1,BL$197=1,$CZ124=1),BL124,0))</f>
        <v>x</v>
      </c>
      <c r="BM307" s="57" t="str">
        <f>IF(BM124=-1,"x",IF(OR(BM222=1,BM$197=1,$CX124=1),BM124,0))</f>
        <v>x</v>
      </c>
      <c r="BN307" s="55" t="str">
        <f>IF(BN124=-1,"x",IF(OR(BN222=1,BN$197=1,$CY124=1),BN124,0))</f>
        <v>x</v>
      </c>
      <c r="BO307" s="107" t="str">
        <f>IF(BO124=-1,"x",IF(OR(BO222=1,BO$197=1,$CZ124=1),BO124,0))</f>
        <v>x</v>
      </c>
      <c r="BP307" s="106" t="str">
        <f>IF(BP124=-1,"x",IF(OR(BP222=1,BP$197=1,$CX124=1),BP124,0))</f>
        <v>x</v>
      </c>
      <c r="BQ307" s="55" t="str">
        <f>IF(BQ124=-1,"x",IF(OR(BQ222=1,BQ$197=1,$CY124=1),BQ124,0))</f>
        <v>x</v>
      </c>
      <c r="BR307" s="56" t="str">
        <f>IF(BR124=-1,"x",IF(OR(BR222=1,BR$197=1,$CZ124=1),BR124,0))</f>
        <v>x</v>
      </c>
      <c r="BS307" s="57" t="str">
        <f>IF(BS124=-1,"x",IF(OR(BS222=1,BS$197=1,$CX124=1),BS124,0))</f>
        <v>x</v>
      </c>
      <c r="BT307" s="55" t="str">
        <f>IF(BT124=-1,"x",IF(OR(BT222=1,BT$197=1,$CY124=1),BT124,0))</f>
        <v>x</v>
      </c>
      <c r="BU307" s="56" t="str">
        <f>IF(BU124=-1,"x",IF(OR(BU222=1,BU$197=1,$CZ124=1),BU124,0))</f>
        <v>x</v>
      </c>
      <c r="BV307" s="57" t="str">
        <f>IF(BV124=-1,"x",IF(OR(BV222=1,BV$197=1,$CX124=1),BV124,0))</f>
        <v>x</v>
      </c>
      <c r="BW307" s="55" t="str">
        <f>IF(BW124=-1,"x",IF(OR(BW222=1,BW$197=1,$CY124=1),BW124,0))</f>
        <v>x</v>
      </c>
      <c r="BX307" s="58" t="str">
        <f>IF(BX124=-1,"x",IF(OR(BX222=1,BX$197=1,$CZ124=1),BX124,0))</f>
        <v>x</v>
      </c>
      <c r="BY307" s="54" t="str">
        <f>IF(BY124=-1,"x",IF(OR(BY222=1,BY$197=1,$CX124=1),BY124,0))</f>
        <v>x</v>
      </c>
      <c r="BZ307" s="55" t="str">
        <f>IF(BZ124=-1,"x",IF(OR(BZ222=1,BZ$197=1,$CY124=1),BZ124,0))</f>
        <v>x</v>
      </c>
      <c r="CA307" s="56" t="str">
        <f>IF(CA124=-1,"x",IF(OR(CA222=1,CA$197=1,$CZ124=1),CA124,0))</f>
        <v>x</v>
      </c>
      <c r="CB307" s="57" t="str">
        <f>IF(CB124=-1,"x",IF(OR(CB222=1,CB$197=1,$CX124=1),CB124,0))</f>
        <v>x</v>
      </c>
      <c r="CC307" s="55" t="str">
        <f>IF(CC124=-1,"x",IF(OR(CC222=1,CC$197=1,$CY124=1),CC124,0))</f>
        <v>x</v>
      </c>
      <c r="CD307" s="56" t="str">
        <f>IF(CD124=-1,"x",IF(OR(CD222=1,CD$197=1,$CZ124=1),CD124,0))</f>
        <v>x</v>
      </c>
      <c r="CE307" s="57" t="str">
        <f>IF(CE124=-1,"x",IF(OR(CE222=1,CE$197=1,$CX124=1),CE124,0))</f>
        <v>x</v>
      </c>
      <c r="CF307" s="55" t="str">
        <f>IF(CF124=-1,"x",IF(OR(CF222=1,CF$197=1,$CY124=1),CF124,0))</f>
        <v>x</v>
      </c>
      <c r="CG307" s="58" t="str">
        <f>IF(CG124=-1,"x",IF(OR(CG222=1,CG$197=1,$CZ124=1),CG124,0))</f>
        <v>x</v>
      </c>
      <c r="CH307" s="54" t="str">
        <f>IF(CH124=-1,"x",IF(OR(CH222=1,CH$197=1,$CX124=1),CH124,0))</f>
        <v>x</v>
      </c>
      <c r="CI307" s="55" t="str">
        <f>IF(CI124=-1,"x",IF(OR(CI222=1,CI$197=1,$CY124=1),CI124,0))</f>
        <v>x</v>
      </c>
      <c r="CJ307" s="56" t="str">
        <f>IF(CJ124=-1,"x",IF(OR(CJ222=1,CJ$197=1,$CZ124=1),CJ124,0))</f>
        <v>x</v>
      </c>
      <c r="CK307" s="57" t="str">
        <f>IF(CK124=-1,"x",IF(OR(CK222=1,CK$197=1,$CX124=1),CK124,0))</f>
        <v>x</v>
      </c>
      <c r="CL307" s="55" t="str">
        <f>IF(CL124=-1,"x",IF(OR(CL222=1,CL$197=1,$CY124=1),CL124,0))</f>
        <v>x</v>
      </c>
      <c r="CM307" s="56" t="str">
        <f>IF(CM124=-1,"x",IF(OR(CM222=1,CM$197=1,$CZ124=1),CM124,0))</f>
        <v>x</v>
      </c>
      <c r="CN307" s="57">
        <f>IF(CN124=-1,"x",IF(OR(CN222=1,CN$197=1,$CX124=1),CN124,0))</f>
        <v>0</v>
      </c>
      <c r="CO307" s="55">
        <f>IF(CO124=-1,"x",IF(OR(CO222=1,CO$197=1,$CY124=1),CO124,0))</f>
        <v>0</v>
      </c>
      <c r="CP307" s="107">
        <f>IF(CP124=-1,"x",IF(OR(CP222=1,CP$197=1,$CZ124=1),CP124,0))</f>
        <v>0</v>
      </c>
      <c r="DJ307" s="116">
        <f t="shared" ref="DJ307:FU307" si="1086">DJ304</f>
        <v>6</v>
      </c>
      <c r="DK307" s="116">
        <f t="shared" si="1086"/>
        <v>0</v>
      </c>
      <c r="DL307" s="116">
        <f t="shared" si="1086"/>
        <v>2</v>
      </c>
      <c r="DM307" s="116">
        <f t="shared" si="1086"/>
        <v>6</v>
      </c>
      <c r="DN307" s="116">
        <f t="shared" si="1086"/>
        <v>0</v>
      </c>
      <c r="DO307" s="116">
        <f t="shared" si="1086"/>
        <v>2</v>
      </c>
      <c r="DP307" s="116">
        <f t="shared" si="1086"/>
        <v>6</v>
      </c>
      <c r="DQ307" s="116">
        <f t="shared" si="1086"/>
        <v>0</v>
      </c>
      <c r="DR307" s="116">
        <f t="shared" si="1086"/>
        <v>2</v>
      </c>
      <c r="DS307" s="116">
        <f t="shared" si="1086"/>
        <v>6</v>
      </c>
      <c r="DT307" s="116">
        <f t="shared" si="1086"/>
        <v>0</v>
      </c>
      <c r="DU307" s="116">
        <f t="shared" si="1086"/>
        <v>2</v>
      </c>
      <c r="DV307" s="116">
        <f t="shared" si="1086"/>
        <v>6</v>
      </c>
      <c r="DW307" s="116">
        <f t="shared" si="1086"/>
        <v>0</v>
      </c>
      <c r="DX307" s="116">
        <f t="shared" si="1086"/>
        <v>2</v>
      </c>
      <c r="DY307" s="116">
        <f t="shared" si="1086"/>
        <v>6</v>
      </c>
      <c r="DZ307" s="116">
        <f t="shared" si="1086"/>
        <v>0</v>
      </c>
      <c r="EA307" s="116">
        <f t="shared" si="1086"/>
        <v>2</v>
      </c>
      <c r="EB307" s="116">
        <f t="shared" si="1086"/>
        <v>6</v>
      </c>
      <c r="EC307" s="116">
        <f t="shared" si="1086"/>
        <v>0</v>
      </c>
      <c r="ED307" s="116">
        <f t="shared" si="1086"/>
        <v>2</v>
      </c>
      <c r="EE307" s="116">
        <f t="shared" si="1086"/>
        <v>6</v>
      </c>
      <c r="EF307" s="116">
        <f t="shared" si="1086"/>
        <v>0</v>
      </c>
      <c r="EG307" s="116">
        <f t="shared" si="1086"/>
        <v>2</v>
      </c>
      <c r="EH307" s="116">
        <f t="shared" si="1086"/>
        <v>6</v>
      </c>
      <c r="EI307" s="116">
        <f t="shared" si="1086"/>
        <v>0</v>
      </c>
      <c r="EJ307" s="116">
        <f t="shared" si="1086"/>
        <v>2</v>
      </c>
      <c r="EK307" s="116">
        <f t="shared" si="1086"/>
        <v>2</v>
      </c>
      <c r="EL307" s="116">
        <f t="shared" si="1086"/>
        <v>0</v>
      </c>
      <c r="EM307" s="116">
        <f t="shared" si="1086"/>
        <v>2</v>
      </c>
      <c r="EN307" s="116">
        <f t="shared" si="1086"/>
        <v>2</v>
      </c>
      <c r="EO307" s="116">
        <f t="shared" si="1086"/>
        <v>0</v>
      </c>
      <c r="EP307" s="116">
        <f t="shared" si="1086"/>
        <v>2</v>
      </c>
      <c r="EQ307" s="116">
        <f t="shared" si="1086"/>
        <v>2</v>
      </c>
      <c r="ER307" s="116">
        <f t="shared" si="1086"/>
        <v>0</v>
      </c>
      <c r="ES307" s="116">
        <f t="shared" si="1086"/>
        <v>2</v>
      </c>
      <c r="ET307" s="116">
        <f t="shared" si="1086"/>
        <v>2</v>
      </c>
      <c r="EU307" s="116">
        <f t="shared" si="1086"/>
        <v>0</v>
      </c>
      <c r="EV307" s="116">
        <f t="shared" si="1086"/>
        <v>2</v>
      </c>
      <c r="EW307" s="116">
        <f t="shared" si="1086"/>
        <v>2</v>
      </c>
      <c r="EX307" s="116">
        <f t="shared" si="1086"/>
        <v>0</v>
      </c>
      <c r="EY307" s="116">
        <f t="shared" si="1086"/>
        <v>2</v>
      </c>
      <c r="EZ307" s="116">
        <f t="shared" si="1086"/>
        <v>2</v>
      </c>
      <c r="FA307" s="116">
        <f t="shared" si="1086"/>
        <v>0</v>
      </c>
      <c r="FB307" s="116">
        <f t="shared" si="1086"/>
        <v>2</v>
      </c>
      <c r="FC307" s="116">
        <f t="shared" si="1086"/>
        <v>2</v>
      </c>
      <c r="FD307" s="116">
        <f t="shared" si="1086"/>
        <v>0</v>
      </c>
      <c r="FE307" s="116">
        <f t="shared" si="1086"/>
        <v>2</v>
      </c>
      <c r="FF307" s="116">
        <f t="shared" si="1086"/>
        <v>2</v>
      </c>
      <c r="FG307" s="116">
        <f t="shared" si="1086"/>
        <v>0</v>
      </c>
      <c r="FH307" s="116">
        <f t="shared" si="1086"/>
        <v>2</v>
      </c>
      <c r="FI307" s="116">
        <f t="shared" si="1086"/>
        <v>2</v>
      </c>
      <c r="FJ307" s="116">
        <f t="shared" si="1086"/>
        <v>0</v>
      </c>
      <c r="FK307" s="116">
        <f t="shared" si="1086"/>
        <v>2</v>
      </c>
      <c r="FL307" s="116">
        <f t="shared" si="1086"/>
        <v>5</v>
      </c>
      <c r="FM307" s="116">
        <f t="shared" si="1086"/>
        <v>3</v>
      </c>
      <c r="FN307" s="116">
        <f t="shared" si="1086"/>
        <v>7</v>
      </c>
      <c r="FO307" s="116">
        <f t="shared" si="1086"/>
        <v>5</v>
      </c>
      <c r="FP307" s="116">
        <f t="shared" si="1086"/>
        <v>3</v>
      </c>
      <c r="FQ307" s="116">
        <f t="shared" si="1086"/>
        <v>7</v>
      </c>
      <c r="FR307" s="116">
        <f t="shared" si="1086"/>
        <v>5</v>
      </c>
      <c r="FS307" s="116">
        <f t="shared" si="1086"/>
        <v>3</v>
      </c>
      <c r="FT307" s="116">
        <f t="shared" si="1086"/>
        <v>7</v>
      </c>
      <c r="FU307" s="116">
        <f t="shared" si="1086"/>
        <v>5</v>
      </c>
      <c r="FV307" s="116">
        <f t="shared" ref="FV307:GL307" si="1087">FV304</f>
        <v>3</v>
      </c>
      <c r="FW307" s="116">
        <f t="shared" si="1087"/>
        <v>7</v>
      </c>
      <c r="FX307" s="116">
        <f t="shared" si="1087"/>
        <v>5</v>
      </c>
      <c r="FY307" s="116">
        <f t="shared" si="1087"/>
        <v>3</v>
      </c>
      <c r="FZ307" s="116">
        <f t="shared" si="1087"/>
        <v>7</v>
      </c>
      <c r="GA307" s="116">
        <f t="shared" si="1087"/>
        <v>5</v>
      </c>
      <c r="GB307" s="116">
        <f t="shared" si="1087"/>
        <v>3</v>
      </c>
      <c r="GC307" s="116">
        <f t="shared" si="1087"/>
        <v>7</v>
      </c>
      <c r="GD307" s="116">
        <f t="shared" si="1087"/>
        <v>5</v>
      </c>
      <c r="GE307" s="116">
        <f t="shared" si="1087"/>
        <v>3</v>
      </c>
      <c r="GF307" s="116">
        <f t="shared" si="1087"/>
        <v>7</v>
      </c>
      <c r="GG307" s="116">
        <f t="shared" si="1087"/>
        <v>5</v>
      </c>
      <c r="GH307" s="116">
        <f t="shared" si="1087"/>
        <v>3</v>
      </c>
      <c r="GI307" s="116">
        <f t="shared" si="1087"/>
        <v>7</v>
      </c>
      <c r="GJ307" s="116">
        <f t="shared" si="1087"/>
        <v>5</v>
      </c>
      <c r="GK307" s="116">
        <f t="shared" si="1087"/>
        <v>3</v>
      </c>
      <c r="GL307" s="116">
        <f t="shared" si="1087"/>
        <v>7</v>
      </c>
    </row>
    <row r="308" spans="14:194" ht="15" customHeight="1">
      <c r="N308" s="108" t="str">
        <f>IF(N125=-1,"x",IF(OR(N223=1,N$195=1,$CX125=1),N125,0))</f>
        <v>x</v>
      </c>
      <c r="O308" s="37" t="str">
        <f>IF(O125=-1,"x",IF(OR(O223=1,O$195=1,$CY125=1),O125,0))</f>
        <v>x</v>
      </c>
      <c r="P308" s="35" t="str">
        <f>IF(P125=-1,"x",IF(OR(P223=1,P$195=1,$CZ125=1),P125,0))</f>
        <v>x</v>
      </c>
      <c r="Q308" s="36" t="str">
        <f>IF(Q125=-1,"x",IF(OR(Q223=1,Q$195=1,$CX125=1),Q125,0))</f>
        <v>x</v>
      </c>
      <c r="R308" s="37" t="str">
        <f>IF(R125=-1,"x",IF(OR(R223=1,R$195=1,$CY125=1),R125,0))</f>
        <v>x</v>
      </c>
      <c r="S308" s="35" t="str">
        <f>IF(S125=-1,"x",IF(OR(S223=1,S$195=1,$CZ125=1),S125,0))</f>
        <v>x</v>
      </c>
      <c r="T308" s="36" t="str">
        <f>IF(T125=-1,"x",IF(OR(T223=1,T$195=1,$CX125=1),T125,0))</f>
        <v>x</v>
      </c>
      <c r="U308" s="37" t="str">
        <f>IF(U125=-1,"x",IF(OR(U223=1,U$195=1,$CY125=1),U125,0))</f>
        <v>x</v>
      </c>
      <c r="V308" s="38" t="str">
        <f>IF(V125=-1,"x",IF(OR(V223=1,V$195=1,$CZ125=1),V125,0))</f>
        <v>x</v>
      </c>
      <c r="W308" s="34" t="str">
        <f>IF(W125=-1,"x",IF(OR(W223=1,W$195=1,$CX125=1),W125,0))</f>
        <v>x</v>
      </c>
      <c r="X308" s="37" t="str">
        <f>IF(X125=-1,"x",IF(OR(X223=1,X$195=1,$CY125=1),X125,0))</f>
        <v>x</v>
      </c>
      <c r="Y308" s="35" t="str">
        <f>IF(Y125=-1,"x",IF(OR(Y223=1,Y$195=1,$CZ125=1),Y125,0))</f>
        <v>x</v>
      </c>
      <c r="Z308" s="36" t="str">
        <f>IF(Z125=-1,"x",IF(OR(Z223=1,Z$195=1,$CX125=1),Z125,0))</f>
        <v>x</v>
      </c>
      <c r="AA308" s="37" t="str">
        <f>IF(AA125=-1,"x",IF(OR(AA223=1,AA$195=1,$CY125=1),AA125,0))</f>
        <v>x</v>
      </c>
      <c r="AB308" s="35" t="str">
        <f>IF(AB125=-1,"x",IF(OR(AB223=1,AB$195=1,$CZ125=1),AB125,0))</f>
        <v>x</v>
      </c>
      <c r="AC308" s="36" t="str">
        <f>IF(AC125=-1,"x",IF(OR(AC223=1,AC$195=1,$CX125=1),AC125,0))</f>
        <v>x</v>
      </c>
      <c r="AD308" s="37" t="str">
        <f>IF(AD125=-1,"x",IF(OR(AD223=1,AD$195=1,$CY125=1),AD125,0))</f>
        <v>x</v>
      </c>
      <c r="AE308" s="38" t="str">
        <f>IF(AE125=-1,"x",IF(OR(AE223=1,AE$195=1,$CZ125=1),AE125,0))</f>
        <v>x</v>
      </c>
      <c r="AF308" s="34" t="str">
        <f>IF(AF125=-1,"x",IF(OR(AF223=1,AF$195=1,$CX125=1),AF125,0))</f>
        <v>x</v>
      </c>
      <c r="AG308" s="37" t="str">
        <f>IF(AG125=-1,"x",IF(OR(AG223=1,AG$195=1,$CY125=1),AG125,0))</f>
        <v>x</v>
      </c>
      <c r="AH308" s="35" t="str">
        <f>IF(AH125=-1,"x",IF(OR(AH223=1,AH$195=1,$CZ125=1),AH125,0))</f>
        <v>x</v>
      </c>
      <c r="AI308" s="36" t="str">
        <f>IF(AI125=-1,"x",IF(OR(AI223=1,AI$195=1,$CX125=1),AI125,0))</f>
        <v>x</v>
      </c>
      <c r="AJ308" s="37" t="str">
        <f>IF(AJ125=-1,"x",IF(OR(AJ223=1,AJ$195=1,$CY125=1),AJ125,0))</f>
        <v>x</v>
      </c>
      <c r="AK308" s="35" t="str">
        <f>IF(AK125=-1,"x",IF(OR(AK223=1,AK$195=1,$CZ125=1),AK125,0))</f>
        <v>x</v>
      </c>
      <c r="AL308" s="36" t="str">
        <f>IF(AL125=-1,"x",IF(OR(AL223=1,AL$195=1,$CX125=1),AL125,0))</f>
        <v>x</v>
      </c>
      <c r="AM308" s="37" t="str">
        <f>IF(AM125=-1,"x",IF(OR(AM223=1,AM$195=1,$CY125=1),AM125,0))</f>
        <v>x</v>
      </c>
      <c r="AN308" s="109" t="str">
        <f>IF(AN125=-1,"x",IF(OR(AN223=1,AN$195=1,$CZ125=1),AN125,0))</f>
        <v>x</v>
      </c>
      <c r="AO308" s="108" t="str">
        <f>IF(AO125=-1,"x",IF(OR(AO223=1,AO$195=1,$CX125=1),AO125,0))</f>
        <v>x</v>
      </c>
      <c r="AP308" s="37" t="str">
        <f>IF(AP125=-1,"x",IF(OR(AP223=1,AP$195=1,$CY125=1),AP125,0))</f>
        <v>x</v>
      </c>
      <c r="AQ308" s="35" t="str">
        <f>IF(AQ125=-1,"x",IF(OR(AQ223=1,AQ$195=1,$CZ125=1),AQ125,0))</f>
        <v>x</v>
      </c>
      <c r="AR308" s="36" t="str">
        <f>IF(AR125=-1,"x",IF(OR(AR223=1,AR$195=1,$CX125=1),AR125,0))</f>
        <v>x</v>
      </c>
      <c r="AS308" s="37" t="str">
        <f>IF(AS125=-1,"x",IF(OR(AS223=1,AS$195=1,$CY125=1),AS125,0))</f>
        <v>x</v>
      </c>
      <c r="AT308" s="35" t="str">
        <f>IF(AT125=-1,"x",IF(OR(AT223=1,AT$195=1,$CZ125=1),AT125,0))</f>
        <v>x</v>
      </c>
      <c r="AU308" s="36" t="str">
        <f>IF(AU125=-1,"x",IF(OR(AU223=1,AU$195=1,$CX125=1),AU125,0))</f>
        <v>x</v>
      </c>
      <c r="AV308" s="37" t="str">
        <f>IF(AV125=-1,"x",IF(OR(AV223=1,AV$195=1,$CY125=1),AV125,0))</f>
        <v>x</v>
      </c>
      <c r="AW308" s="38" t="str">
        <f>IF(AW125=-1,"x",IF(OR(AW223=1,AW$195=1,$CZ125=1),AW125,0))</f>
        <v>x</v>
      </c>
      <c r="AX308" s="34" t="str">
        <f>IF(AX125=-1,"x",IF(OR(AX223=1,AX$195=1,$CX125=1),AX125,0))</f>
        <v>x</v>
      </c>
      <c r="AY308" s="37" t="str">
        <f>IF(AY125=-1,"x",IF(OR(AY223=1,AY$195=1,$CY125=1),AY125,0))</f>
        <v>x</v>
      </c>
      <c r="AZ308" s="35" t="str">
        <f>IF(AZ125=-1,"x",IF(OR(AZ223=1,AZ$195=1,$CZ125=1),AZ125,0))</f>
        <v>x</v>
      </c>
      <c r="BA308" s="36" t="str">
        <f>IF(BA125=-1,"x",IF(OR(BA223=1,BA$195=1,$CX125=1),BA125,0))</f>
        <v>x</v>
      </c>
      <c r="BB308" s="37" t="str">
        <f>IF(BB125=-1,"x",IF(OR(BB223=1,BB$195=1,$CY125=1),BB125,0))</f>
        <v>x</v>
      </c>
      <c r="BC308" s="35" t="str">
        <f>IF(BC125=-1,"x",IF(OR(BC223=1,BC$195=1,$CZ125=1),BC125,0))</f>
        <v>x</v>
      </c>
      <c r="BD308" s="36" t="str">
        <f>IF(BD125=-1,"x",IF(OR(BD223=1,BD$195=1,$CX125=1),BD125,0))</f>
        <v>x</v>
      </c>
      <c r="BE308" s="37" t="str">
        <f>IF(BE125=-1,"x",IF(OR(BE223=1,BE$195=1,$CY125=1),BE125,0))</f>
        <v>x</v>
      </c>
      <c r="BF308" s="38" t="str">
        <f>IF(BF125=-1,"x",IF(OR(BF223=1,BF$195=1,$CZ125=1),BF125,0))</f>
        <v>x</v>
      </c>
      <c r="BG308" s="34" t="str">
        <f>IF(BG125=-1,"x",IF(OR(BG223=1,BG$195=1,$CX125=1),BG125,0))</f>
        <v>x</v>
      </c>
      <c r="BH308" s="37" t="str">
        <f>IF(BH125=-1,"x",IF(OR(BH223=1,BH$195=1,$CY125=1),BH125,0))</f>
        <v>x</v>
      </c>
      <c r="BI308" s="35" t="str">
        <f>IF(BI125=-1,"x",IF(OR(BI223=1,BI$195=1,$CZ125=1),BI125,0))</f>
        <v>x</v>
      </c>
      <c r="BJ308" s="36" t="str">
        <f>IF(BJ125=-1,"x",IF(OR(BJ223=1,BJ$195=1,$CX125=1),BJ125,0))</f>
        <v>x</v>
      </c>
      <c r="BK308" s="37" t="str">
        <f>IF(BK125=-1,"x",IF(OR(BK223=1,BK$195=1,$CY125=1),BK125,0))</f>
        <v>x</v>
      </c>
      <c r="BL308" s="35" t="str">
        <f>IF(BL125=-1,"x",IF(OR(BL223=1,BL$195=1,$CZ125=1),BL125,0))</f>
        <v>x</v>
      </c>
      <c r="BM308" s="36" t="str">
        <f>IF(BM125=-1,"x",IF(OR(BM223=1,BM$195=1,$CX125=1),BM125,0))</f>
        <v>x</v>
      </c>
      <c r="BN308" s="37" t="str">
        <f>IF(BN125=-1,"x",IF(OR(BN223=1,BN$195=1,$CY125=1),BN125,0))</f>
        <v>x</v>
      </c>
      <c r="BO308" s="109" t="str">
        <f>IF(BO125=-1,"x",IF(OR(BO223=1,BO$195=1,$CZ125=1),BO125,0))</f>
        <v>x</v>
      </c>
      <c r="BP308" s="108" t="str">
        <f>IF(BP125=-1,"x",IF(OR(BP223=1,BP$195=1,$CX125=1),BP125,0))</f>
        <v>x</v>
      </c>
      <c r="BQ308" s="37" t="str">
        <f>IF(BQ125=-1,"x",IF(OR(BQ223=1,BQ$195=1,$CY125=1),BQ125,0))</f>
        <v>x</v>
      </c>
      <c r="BR308" s="35" t="str">
        <f>IF(BR125=-1,"x",IF(OR(BR223=1,BR$195=1,$CZ125=1),BR125,0))</f>
        <v>x</v>
      </c>
      <c r="BS308" s="36" t="str">
        <f>IF(BS125=-1,"x",IF(OR(BS223=1,BS$195=1,$CX125=1),BS125,0))</f>
        <v>x</v>
      </c>
      <c r="BT308" s="37" t="str">
        <f>IF(BT125=-1,"x",IF(OR(BT223=1,BT$195=1,$CY125=1),BT125,0))</f>
        <v>x</v>
      </c>
      <c r="BU308" s="35" t="str">
        <f>IF(BU125=-1,"x",IF(OR(BU223=1,BU$195=1,$CZ125=1),BU125,0))</f>
        <v>x</v>
      </c>
      <c r="BV308" s="36" t="str">
        <f>IF(BV125=-1,"x",IF(OR(BV223=1,BV$195=1,$CX125=1),BV125,0))</f>
        <v>x</v>
      </c>
      <c r="BW308" s="37" t="str">
        <f>IF(BW125=-1,"x",IF(OR(BW223=1,BW$195=1,$CY125=1),BW125,0))</f>
        <v>x</v>
      </c>
      <c r="BX308" s="38" t="str">
        <f>IF(BX125=-1,"x",IF(OR(BX223=1,BX$195=1,$CZ125=1),BX125,0))</f>
        <v>x</v>
      </c>
      <c r="BY308" s="34" t="str">
        <f>IF(BY125=-1,"x",IF(OR(BY223=1,BY$195=1,$CX125=1),BY125,0))</f>
        <v>x</v>
      </c>
      <c r="BZ308" s="37" t="str">
        <f>IF(BZ125=-1,"x",IF(OR(BZ223=1,BZ$195=1,$CY125=1),BZ125,0))</f>
        <v>x</v>
      </c>
      <c r="CA308" s="35" t="str">
        <f>IF(CA125=-1,"x",IF(OR(CA223=1,CA$195=1,$CZ125=1),CA125,0))</f>
        <v>x</v>
      </c>
      <c r="CB308" s="36" t="str">
        <f>IF(CB125=-1,"x",IF(OR(CB223=1,CB$195=1,$CX125=1),CB125,0))</f>
        <v>x</v>
      </c>
      <c r="CC308" s="37" t="str">
        <f>IF(CC125=-1,"x",IF(OR(CC223=1,CC$195=1,$CY125=1),CC125,0))</f>
        <v>x</v>
      </c>
      <c r="CD308" s="35" t="str">
        <f>IF(CD125=-1,"x",IF(OR(CD223=1,CD$195=1,$CZ125=1),CD125,0))</f>
        <v>x</v>
      </c>
      <c r="CE308" s="36" t="str">
        <f>IF(CE125=-1,"x",IF(OR(CE223=1,CE$195=1,$CX125=1),CE125,0))</f>
        <v>x</v>
      </c>
      <c r="CF308" s="37" t="str">
        <f>IF(CF125=-1,"x",IF(OR(CF223=1,CF$195=1,$CY125=1),CF125,0))</f>
        <v>x</v>
      </c>
      <c r="CG308" s="38" t="str">
        <f>IF(CG125=-1,"x",IF(OR(CG223=1,CG$195=1,$CZ125=1),CG125,0))</f>
        <v>x</v>
      </c>
      <c r="CH308" s="34" t="str">
        <f>IF(CH125=-1,"x",IF(OR(CH223=1,CH$195=1,$CX125=1),CH125,0))</f>
        <v>x</v>
      </c>
      <c r="CI308" s="37" t="str">
        <f>IF(CI125=-1,"x",IF(OR(CI223=1,CI$195=1,$CY125=1),CI125,0))</f>
        <v>x</v>
      </c>
      <c r="CJ308" s="35" t="str">
        <f>IF(CJ125=-1,"x",IF(OR(CJ223=1,CJ$195=1,$CZ125=1),CJ125,0))</f>
        <v>x</v>
      </c>
      <c r="CK308" s="36" t="str">
        <f>IF(CK125=-1,"x",IF(OR(CK223=1,CK$195=1,$CX125=1),CK125,0))</f>
        <v>x</v>
      </c>
      <c r="CL308" s="37" t="str">
        <f>IF(CL125=-1,"x",IF(OR(CL223=1,CL$195=1,$CY125=1),CL125,0))</f>
        <v>x</v>
      </c>
      <c r="CM308" s="35" t="str">
        <f>IF(CM125=-1,"x",IF(OR(CM223=1,CM$195=1,$CZ125=1),CM125,0))</f>
        <v>x</v>
      </c>
      <c r="CN308" s="36">
        <f>IF(CN125=-1,"x",IF(OR(CN223=1,CN$195=1,$CX125=1),CN125,0))</f>
        <v>0</v>
      </c>
      <c r="CO308" s="37">
        <f>IF(CO125=-1,"x",IF(OR(CO223=1,CO$195=1,$CY125=1),CO125,0))</f>
        <v>0</v>
      </c>
      <c r="CP308" s="109">
        <f>IF(CP125=-1,"x",IF(OR(CP223=1,CP$195=1,$CZ125=1),CP125,0))</f>
        <v>0</v>
      </c>
      <c r="DJ308" s="116">
        <f t="shared" ref="DJ308:FU308" si="1088">DJ305</f>
        <v>6</v>
      </c>
      <c r="DK308" s="116">
        <f t="shared" si="1088"/>
        <v>1</v>
      </c>
      <c r="DL308" s="116">
        <f t="shared" si="1088"/>
        <v>4</v>
      </c>
      <c r="DM308" s="116">
        <f t="shared" si="1088"/>
        <v>6</v>
      </c>
      <c r="DN308" s="116">
        <f t="shared" si="1088"/>
        <v>1</v>
      </c>
      <c r="DO308" s="116">
        <f t="shared" si="1088"/>
        <v>4</v>
      </c>
      <c r="DP308" s="116">
        <f t="shared" si="1088"/>
        <v>6</v>
      </c>
      <c r="DQ308" s="116">
        <f t="shared" si="1088"/>
        <v>1</v>
      </c>
      <c r="DR308" s="116">
        <f t="shared" si="1088"/>
        <v>4</v>
      </c>
      <c r="DS308" s="116">
        <f t="shared" si="1088"/>
        <v>6</v>
      </c>
      <c r="DT308" s="116">
        <f t="shared" si="1088"/>
        <v>1</v>
      </c>
      <c r="DU308" s="116">
        <f t="shared" si="1088"/>
        <v>4</v>
      </c>
      <c r="DV308" s="116">
        <f t="shared" si="1088"/>
        <v>6</v>
      </c>
      <c r="DW308" s="116">
        <f t="shared" si="1088"/>
        <v>1</v>
      </c>
      <c r="DX308" s="116">
        <f t="shared" si="1088"/>
        <v>4</v>
      </c>
      <c r="DY308" s="116">
        <f t="shared" si="1088"/>
        <v>6</v>
      </c>
      <c r="DZ308" s="116">
        <f t="shared" si="1088"/>
        <v>1</v>
      </c>
      <c r="EA308" s="116">
        <f t="shared" si="1088"/>
        <v>4</v>
      </c>
      <c r="EB308" s="116">
        <f t="shared" si="1088"/>
        <v>6</v>
      </c>
      <c r="EC308" s="116">
        <f t="shared" si="1088"/>
        <v>1</v>
      </c>
      <c r="ED308" s="116">
        <f t="shared" si="1088"/>
        <v>4</v>
      </c>
      <c r="EE308" s="116">
        <f t="shared" si="1088"/>
        <v>6</v>
      </c>
      <c r="EF308" s="116">
        <f t="shared" si="1088"/>
        <v>1</v>
      </c>
      <c r="EG308" s="116">
        <f t="shared" si="1088"/>
        <v>4</v>
      </c>
      <c r="EH308" s="116">
        <f t="shared" si="1088"/>
        <v>6</v>
      </c>
      <c r="EI308" s="116">
        <f t="shared" si="1088"/>
        <v>1</v>
      </c>
      <c r="EJ308" s="116">
        <f t="shared" si="1088"/>
        <v>4</v>
      </c>
      <c r="EK308" s="116">
        <f t="shared" si="1088"/>
        <v>1</v>
      </c>
      <c r="EL308" s="116">
        <f t="shared" si="1088"/>
        <v>0</v>
      </c>
      <c r="EM308" s="116">
        <f t="shared" si="1088"/>
        <v>0</v>
      </c>
      <c r="EN308" s="116">
        <f t="shared" si="1088"/>
        <v>1</v>
      </c>
      <c r="EO308" s="116">
        <f t="shared" si="1088"/>
        <v>0</v>
      </c>
      <c r="EP308" s="116">
        <f t="shared" si="1088"/>
        <v>0</v>
      </c>
      <c r="EQ308" s="116">
        <f t="shared" si="1088"/>
        <v>1</v>
      </c>
      <c r="ER308" s="116">
        <f t="shared" si="1088"/>
        <v>0</v>
      </c>
      <c r="ES308" s="116">
        <f t="shared" si="1088"/>
        <v>0</v>
      </c>
      <c r="ET308" s="116">
        <f t="shared" si="1088"/>
        <v>1</v>
      </c>
      <c r="EU308" s="116">
        <f t="shared" si="1088"/>
        <v>0</v>
      </c>
      <c r="EV308" s="116">
        <f t="shared" si="1088"/>
        <v>0</v>
      </c>
      <c r="EW308" s="116">
        <f t="shared" si="1088"/>
        <v>1</v>
      </c>
      <c r="EX308" s="116">
        <f t="shared" si="1088"/>
        <v>0</v>
      </c>
      <c r="EY308" s="116">
        <f t="shared" si="1088"/>
        <v>0</v>
      </c>
      <c r="EZ308" s="116">
        <f t="shared" si="1088"/>
        <v>1</v>
      </c>
      <c r="FA308" s="116">
        <f t="shared" si="1088"/>
        <v>0</v>
      </c>
      <c r="FB308" s="116">
        <f t="shared" si="1088"/>
        <v>0</v>
      </c>
      <c r="FC308" s="116">
        <f t="shared" si="1088"/>
        <v>1</v>
      </c>
      <c r="FD308" s="116">
        <f t="shared" si="1088"/>
        <v>0</v>
      </c>
      <c r="FE308" s="116">
        <f t="shared" si="1088"/>
        <v>0</v>
      </c>
      <c r="FF308" s="116">
        <f t="shared" si="1088"/>
        <v>1</v>
      </c>
      <c r="FG308" s="116">
        <f t="shared" si="1088"/>
        <v>0</v>
      </c>
      <c r="FH308" s="116">
        <f t="shared" si="1088"/>
        <v>0</v>
      </c>
      <c r="FI308" s="116">
        <f t="shared" si="1088"/>
        <v>1</v>
      </c>
      <c r="FJ308" s="116">
        <f t="shared" si="1088"/>
        <v>0</v>
      </c>
      <c r="FK308" s="116">
        <f t="shared" si="1088"/>
        <v>0</v>
      </c>
      <c r="FL308" s="116">
        <f t="shared" si="1088"/>
        <v>2</v>
      </c>
      <c r="FM308" s="116">
        <f t="shared" si="1088"/>
        <v>0</v>
      </c>
      <c r="FN308" s="116">
        <f t="shared" si="1088"/>
        <v>2</v>
      </c>
      <c r="FO308" s="116">
        <f t="shared" si="1088"/>
        <v>2</v>
      </c>
      <c r="FP308" s="116">
        <f t="shared" si="1088"/>
        <v>0</v>
      </c>
      <c r="FQ308" s="116">
        <f t="shared" si="1088"/>
        <v>2</v>
      </c>
      <c r="FR308" s="116">
        <f t="shared" si="1088"/>
        <v>2</v>
      </c>
      <c r="FS308" s="116">
        <f t="shared" si="1088"/>
        <v>0</v>
      </c>
      <c r="FT308" s="116">
        <f t="shared" si="1088"/>
        <v>2</v>
      </c>
      <c r="FU308" s="116">
        <f t="shared" si="1088"/>
        <v>2</v>
      </c>
      <c r="FV308" s="116">
        <f t="shared" ref="FV308:GL308" si="1089">FV305</f>
        <v>0</v>
      </c>
      <c r="FW308" s="116">
        <f t="shared" si="1089"/>
        <v>2</v>
      </c>
      <c r="FX308" s="116">
        <f t="shared" si="1089"/>
        <v>2</v>
      </c>
      <c r="FY308" s="116">
        <f t="shared" si="1089"/>
        <v>0</v>
      </c>
      <c r="FZ308" s="116">
        <f t="shared" si="1089"/>
        <v>2</v>
      </c>
      <c r="GA308" s="116">
        <f t="shared" si="1089"/>
        <v>2</v>
      </c>
      <c r="GB308" s="116">
        <f t="shared" si="1089"/>
        <v>0</v>
      </c>
      <c r="GC308" s="116">
        <f t="shared" si="1089"/>
        <v>2</v>
      </c>
      <c r="GD308" s="116">
        <f t="shared" si="1089"/>
        <v>2</v>
      </c>
      <c r="GE308" s="116">
        <f t="shared" si="1089"/>
        <v>0</v>
      </c>
      <c r="GF308" s="116">
        <f t="shared" si="1089"/>
        <v>2</v>
      </c>
      <c r="GG308" s="116">
        <f t="shared" si="1089"/>
        <v>2</v>
      </c>
      <c r="GH308" s="116">
        <f t="shared" si="1089"/>
        <v>0</v>
      </c>
      <c r="GI308" s="116">
        <f t="shared" si="1089"/>
        <v>2</v>
      </c>
      <c r="GJ308" s="116">
        <f t="shared" si="1089"/>
        <v>2</v>
      </c>
      <c r="GK308" s="116">
        <f t="shared" si="1089"/>
        <v>0</v>
      </c>
      <c r="GL308" s="116">
        <f t="shared" si="1089"/>
        <v>2</v>
      </c>
    </row>
    <row r="309" spans="14:194" ht="15" customHeight="1">
      <c r="N309" s="94" t="str">
        <f>IF(N126=-1,"x",IF(OR(N224=1,N$196=1,$CX126=1),N126,0))</f>
        <v>x</v>
      </c>
      <c r="O309" s="39" t="str">
        <f>IF(O126=-1,"x",IF(OR(O224=1,O$196=1,$CY126=1),O126,0))</f>
        <v>x</v>
      </c>
      <c r="P309" s="41" t="str">
        <f>IF(P126=-1,"x",IF(OR(P224=1,P$196=1,$CZ126=1),P126,0))</f>
        <v>x</v>
      </c>
      <c r="Q309" s="40" t="str">
        <f>IF(Q126=-1,"x",IF(OR(Q224=1,Q$196=1,$CX126=1),Q126,0))</f>
        <v>x</v>
      </c>
      <c r="R309" s="39" t="str">
        <f>IF(R126=-1,"x",IF(OR(R224=1,R$196=1,$CY126=1),R126,0))</f>
        <v>x</v>
      </c>
      <c r="S309" s="41" t="str">
        <f>IF(S126=-1,"x",IF(OR(S224=1,S$196=1,$CZ126=1),S126,0))</f>
        <v>x</v>
      </c>
      <c r="T309" s="40" t="str">
        <f>IF(T126=-1,"x",IF(OR(T224=1,T$196=1,$CX126=1),T126,0))</f>
        <v>x</v>
      </c>
      <c r="U309" s="39" t="str">
        <f>IF(U126=-1,"x",IF(OR(U224=1,U$196=1,$CY126=1),U126,0))</f>
        <v>x</v>
      </c>
      <c r="V309" s="42" t="str">
        <f>IF(V126=-1,"x",IF(OR(V224=1,V$196=1,$CZ126=1),V126,0))</f>
        <v>x</v>
      </c>
      <c r="W309" s="43" t="str">
        <f>IF(W126=-1,"x",IF(OR(W224=1,W$196=1,$CX126=1),W126,0))</f>
        <v>x</v>
      </c>
      <c r="X309" s="39" t="str">
        <f>IF(X126=-1,"x",IF(OR(X224=1,X$196=1,$CY126=1),X126,0))</f>
        <v>x</v>
      </c>
      <c r="Y309" s="41" t="str">
        <f>IF(Y126=-1,"x",IF(OR(Y224=1,Y$196=1,$CZ126=1),Y126,0))</f>
        <v>x</v>
      </c>
      <c r="Z309" s="40" t="str">
        <f>IF(Z126=-1,"x",IF(OR(Z224=1,Z$196=1,$CX126=1),Z126,0))</f>
        <v>x</v>
      </c>
      <c r="AA309" s="39" t="str">
        <f>IF(AA126=-1,"x",IF(OR(AA224=1,AA$196=1,$CY126=1),AA126,0))</f>
        <v>x</v>
      </c>
      <c r="AB309" s="41" t="str">
        <f>IF(AB126=-1,"x",IF(OR(AB224=1,AB$196=1,$CZ126=1),AB126,0))</f>
        <v>x</v>
      </c>
      <c r="AC309" s="40" t="str">
        <f>IF(AC126=-1,"x",IF(OR(AC224=1,AC$196=1,$CX126=1),AC126,0))</f>
        <v>x</v>
      </c>
      <c r="AD309" s="39" t="str">
        <f>IF(AD126=-1,"x",IF(OR(AD224=1,AD$196=1,$CY126=1),AD126,0))</f>
        <v>x</v>
      </c>
      <c r="AE309" s="42" t="str">
        <f>IF(AE126=-1,"x",IF(OR(AE224=1,AE$196=1,$CZ126=1),AE126,0))</f>
        <v>x</v>
      </c>
      <c r="AF309" s="43" t="str">
        <f>IF(AF126=-1,"x",IF(OR(AF224=1,AF$196=1,$CX126=1),AF126,0))</f>
        <v>x</v>
      </c>
      <c r="AG309" s="39" t="str">
        <f>IF(AG126=-1,"x",IF(OR(AG224=1,AG$196=1,$CY126=1),AG126,0))</f>
        <v>x</v>
      </c>
      <c r="AH309" s="41" t="str">
        <f>IF(AH126=-1,"x",IF(OR(AH224=1,AH$196=1,$CZ126=1),AH126,0))</f>
        <v>x</v>
      </c>
      <c r="AI309" s="40" t="str">
        <f>IF(AI126=-1,"x",IF(OR(AI224=1,AI$196=1,$CX126=1),AI126,0))</f>
        <v>x</v>
      </c>
      <c r="AJ309" s="39" t="str">
        <f>IF(AJ126=-1,"x",IF(OR(AJ224=1,AJ$196=1,$CY126=1),AJ126,0))</f>
        <v>x</v>
      </c>
      <c r="AK309" s="41" t="str">
        <f>IF(AK126=-1,"x",IF(OR(AK224=1,AK$196=1,$CZ126=1),AK126,0))</f>
        <v>x</v>
      </c>
      <c r="AL309" s="40" t="str">
        <f>IF(AL126=-1,"x",IF(OR(AL224=1,AL$196=1,$CX126=1),AL126,0))</f>
        <v>x</v>
      </c>
      <c r="AM309" s="39" t="str">
        <f>IF(AM126=-1,"x",IF(OR(AM224=1,AM$196=1,$CY126=1),AM126,0))</f>
        <v>x</v>
      </c>
      <c r="AN309" s="95" t="str">
        <f>IF(AN126=-1,"x",IF(OR(AN224=1,AN$196=1,$CZ126=1),AN126,0))</f>
        <v>x</v>
      </c>
      <c r="AO309" s="94" t="str">
        <f>IF(AO126=-1,"x",IF(OR(AO224=1,AO$196=1,$CX126=1),AO126,0))</f>
        <v>x</v>
      </c>
      <c r="AP309" s="39" t="str">
        <f>IF(AP126=-1,"x",IF(OR(AP224=1,AP$196=1,$CY126=1),AP126,0))</f>
        <v>x</v>
      </c>
      <c r="AQ309" s="41" t="str">
        <f>IF(AQ126=-1,"x",IF(OR(AQ224=1,AQ$196=1,$CZ126=1),AQ126,0))</f>
        <v>x</v>
      </c>
      <c r="AR309" s="40" t="str">
        <f>IF(AR126=-1,"x",IF(OR(AR224=1,AR$196=1,$CX126=1),AR126,0))</f>
        <v>x</v>
      </c>
      <c r="AS309" s="39" t="str">
        <f>IF(AS126=-1,"x",IF(OR(AS224=1,AS$196=1,$CY126=1),AS126,0))</f>
        <v>x</v>
      </c>
      <c r="AT309" s="41" t="str">
        <f>IF(AT126=-1,"x",IF(OR(AT224=1,AT$196=1,$CZ126=1),AT126,0))</f>
        <v>x</v>
      </c>
      <c r="AU309" s="40" t="str">
        <f>IF(AU126=-1,"x",IF(OR(AU224=1,AU$196=1,$CX126=1),AU126,0))</f>
        <v>x</v>
      </c>
      <c r="AV309" s="39" t="str">
        <f>IF(AV126=-1,"x",IF(OR(AV224=1,AV$196=1,$CY126=1),AV126,0))</f>
        <v>x</v>
      </c>
      <c r="AW309" s="42" t="str">
        <f>IF(AW126=-1,"x",IF(OR(AW224=1,AW$196=1,$CZ126=1),AW126,0))</f>
        <v>x</v>
      </c>
      <c r="AX309" s="43" t="str">
        <f>IF(AX126=-1,"x",IF(OR(AX224=1,AX$196=1,$CX126=1),AX126,0))</f>
        <v>x</v>
      </c>
      <c r="AY309" s="39" t="str">
        <f>IF(AY126=-1,"x",IF(OR(AY224=1,AY$196=1,$CY126=1),AY126,0))</f>
        <v>x</v>
      </c>
      <c r="AZ309" s="41" t="str">
        <f>IF(AZ126=-1,"x",IF(OR(AZ224=1,AZ$196=1,$CZ126=1),AZ126,0))</f>
        <v>x</v>
      </c>
      <c r="BA309" s="40" t="str">
        <f>IF(BA126=-1,"x",IF(OR(BA224=1,BA$196=1,$CX126=1),BA126,0))</f>
        <v>x</v>
      </c>
      <c r="BB309" s="39" t="str">
        <f>IF(BB126=-1,"x",IF(OR(BB224=1,BB$196=1,$CY126=1),BB126,0))</f>
        <v>x</v>
      </c>
      <c r="BC309" s="41" t="str">
        <f>IF(BC126=-1,"x",IF(OR(BC224=1,BC$196=1,$CZ126=1),BC126,0))</f>
        <v>x</v>
      </c>
      <c r="BD309" s="40" t="str">
        <f>IF(BD126=-1,"x",IF(OR(BD224=1,BD$196=1,$CX126=1),BD126,0))</f>
        <v>x</v>
      </c>
      <c r="BE309" s="39" t="str">
        <f>IF(BE126=-1,"x",IF(OR(BE224=1,BE$196=1,$CY126=1),BE126,0))</f>
        <v>x</v>
      </c>
      <c r="BF309" s="42" t="str">
        <f>IF(BF126=-1,"x",IF(OR(BF224=1,BF$196=1,$CZ126=1),BF126,0))</f>
        <v>x</v>
      </c>
      <c r="BG309" s="43" t="str">
        <f>IF(BG126=-1,"x",IF(OR(BG224=1,BG$196=1,$CX126=1),BG126,0))</f>
        <v>x</v>
      </c>
      <c r="BH309" s="39" t="str">
        <f>IF(BH126=-1,"x",IF(OR(BH224=1,BH$196=1,$CY126=1),BH126,0))</f>
        <v>x</v>
      </c>
      <c r="BI309" s="41" t="str">
        <f>IF(BI126=-1,"x",IF(OR(BI224=1,BI$196=1,$CZ126=1),BI126,0))</f>
        <v>x</v>
      </c>
      <c r="BJ309" s="40" t="str">
        <f>IF(BJ126=-1,"x",IF(OR(BJ224=1,BJ$196=1,$CX126=1),BJ126,0))</f>
        <v>x</v>
      </c>
      <c r="BK309" s="39" t="str">
        <f>IF(BK126=-1,"x",IF(OR(BK224=1,BK$196=1,$CY126=1),BK126,0))</f>
        <v>x</v>
      </c>
      <c r="BL309" s="41" t="str">
        <f>IF(BL126=-1,"x",IF(OR(BL224=1,BL$196=1,$CZ126=1),BL126,0))</f>
        <v>x</v>
      </c>
      <c r="BM309" s="40" t="str">
        <f>IF(BM126=-1,"x",IF(OR(BM224=1,BM$196=1,$CX126=1),BM126,0))</f>
        <v>x</v>
      </c>
      <c r="BN309" s="39" t="str">
        <f>IF(BN126=-1,"x",IF(OR(BN224=1,BN$196=1,$CY126=1),BN126,0))</f>
        <v>x</v>
      </c>
      <c r="BO309" s="95" t="str">
        <f>IF(BO126=-1,"x",IF(OR(BO224=1,BO$196=1,$CZ126=1),BO126,0))</f>
        <v>x</v>
      </c>
      <c r="BP309" s="94" t="str">
        <f>IF(BP126=-1,"x",IF(OR(BP224=1,BP$196=1,$CX126=1),BP126,0))</f>
        <v>x</v>
      </c>
      <c r="BQ309" s="39" t="str">
        <f>IF(BQ126=-1,"x",IF(OR(BQ224=1,BQ$196=1,$CY126=1),BQ126,0))</f>
        <v>x</v>
      </c>
      <c r="BR309" s="41" t="str">
        <f>IF(BR126=-1,"x",IF(OR(BR224=1,BR$196=1,$CZ126=1),BR126,0))</f>
        <v>x</v>
      </c>
      <c r="BS309" s="40" t="str">
        <f>IF(BS126=-1,"x",IF(OR(BS224=1,BS$196=1,$CX126=1),BS126,0))</f>
        <v>x</v>
      </c>
      <c r="BT309" s="39" t="str">
        <f>IF(BT126=-1,"x",IF(OR(BT224=1,BT$196=1,$CY126=1),BT126,0))</f>
        <v>x</v>
      </c>
      <c r="BU309" s="41" t="str">
        <f>IF(BU126=-1,"x",IF(OR(BU224=1,BU$196=1,$CZ126=1),BU126,0))</f>
        <v>x</v>
      </c>
      <c r="BV309" s="40" t="str">
        <f>IF(BV126=-1,"x",IF(OR(BV224=1,BV$196=1,$CX126=1),BV126,0))</f>
        <v>x</v>
      </c>
      <c r="BW309" s="39" t="str">
        <f>IF(BW126=-1,"x",IF(OR(BW224=1,BW$196=1,$CY126=1),BW126,0))</f>
        <v>x</v>
      </c>
      <c r="BX309" s="42" t="str">
        <f>IF(BX126=-1,"x",IF(OR(BX224=1,BX$196=1,$CZ126=1),BX126,0))</f>
        <v>x</v>
      </c>
      <c r="BY309" s="43" t="str">
        <f>IF(BY126=-1,"x",IF(OR(BY224=1,BY$196=1,$CX126=1),BY126,0))</f>
        <v>x</v>
      </c>
      <c r="BZ309" s="39" t="str">
        <f>IF(BZ126=-1,"x",IF(OR(BZ224=1,BZ$196=1,$CY126=1),BZ126,0))</f>
        <v>x</v>
      </c>
      <c r="CA309" s="41" t="str">
        <f>IF(CA126=-1,"x",IF(OR(CA224=1,CA$196=1,$CZ126=1),CA126,0))</f>
        <v>x</v>
      </c>
      <c r="CB309" s="40" t="str">
        <f>IF(CB126=-1,"x",IF(OR(CB224=1,CB$196=1,$CX126=1),CB126,0))</f>
        <v>x</v>
      </c>
      <c r="CC309" s="39" t="str">
        <f>IF(CC126=-1,"x",IF(OR(CC224=1,CC$196=1,$CY126=1),CC126,0))</f>
        <v>x</v>
      </c>
      <c r="CD309" s="41" t="str">
        <f>IF(CD126=-1,"x",IF(OR(CD224=1,CD$196=1,$CZ126=1),CD126,0))</f>
        <v>x</v>
      </c>
      <c r="CE309" s="40" t="str">
        <f>IF(CE126=-1,"x",IF(OR(CE224=1,CE$196=1,$CX126=1),CE126,0))</f>
        <v>x</v>
      </c>
      <c r="CF309" s="39" t="str">
        <f>IF(CF126=-1,"x",IF(OR(CF224=1,CF$196=1,$CY126=1),CF126,0))</f>
        <v>x</v>
      </c>
      <c r="CG309" s="42" t="str">
        <f>IF(CG126=-1,"x",IF(OR(CG224=1,CG$196=1,$CZ126=1),CG126,0))</f>
        <v>x</v>
      </c>
      <c r="CH309" s="43" t="str">
        <f>IF(CH126=-1,"x",IF(OR(CH224=1,CH$196=1,$CX126=1),CH126,0))</f>
        <v>x</v>
      </c>
      <c r="CI309" s="39" t="str">
        <f>IF(CI126=-1,"x",IF(OR(CI224=1,CI$196=1,$CY126=1),CI126,0))</f>
        <v>x</v>
      </c>
      <c r="CJ309" s="41" t="str">
        <f>IF(CJ126=-1,"x",IF(OR(CJ224=1,CJ$196=1,$CZ126=1),CJ126,0))</f>
        <v>x</v>
      </c>
      <c r="CK309" s="40" t="str">
        <f>IF(CK126=-1,"x",IF(OR(CK224=1,CK$196=1,$CX126=1),CK126,0))</f>
        <v>x</v>
      </c>
      <c r="CL309" s="39" t="str">
        <f>IF(CL126=-1,"x",IF(OR(CL224=1,CL$196=1,$CY126=1),CL126,0))</f>
        <v>x</v>
      </c>
      <c r="CM309" s="41" t="str">
        <f>IF(CM126=-1,"x",IF(OR(CM224=1,CM$196=1,$CZ126=1),CM126,0))</f>
        <v>x</v>
      </c>
      <c r="CN309" s="40">
        <f>IF(CN126=-1,"x",IF(OR(CN224=1,CN$196=1,$CX126=1),CN126,0))</f>
        <v>0</v>
      </c>
      <c r="CO309" s="39">
        <f>IF(CO126=-1,"x",IF(OR(CO224=1,CO$196=1,$CY126=1),CO126,0))</f>
        <v>0</v>
      </c>
      <c r="CP309" s="95">
        <f>IF(CP126=-1,"x",IF(OR(CP224=1,CP$196=1,$CZ126=1),CP126,0))</f>
        <v>0</v>
      </c>
      <c r="DJ309" s="116">
        <f t="shared" ref="DJ309:FU309" si="1090">DJ306</f>
        <v>0</v>
      </c>
      <c r="DK309" s="116">
        <f t="shared" si="1090"/>
        <v>2</v>
      </c>
      <c r="DL309" s="116">
        <f t="shared" si="1090"/>
        <v>0</v>
      </c>
      <c r="DM309" s="116">
        <f t="shared" si="1090"/>
        <v>0</v>
      </c>
      <c r="DN309" s="116">
        <f t="shared" si="1090"/>
        <v>2</v>
      </c>
      <c r="DO309" s="116">
        <f t="shared" si="1090"/>
        <v>0</v>
      </c>
      <c r="DP309" s="116">
        <f t="shared" si="1090"/>
        <v>0</v>
      </c>
      <c r="DQ309" s="116">
        <f t="shared" si="1090"/>
        <v>2</v>
      </c>
      <c r="DR309" s="116">
        <f t="shared" si="1090"/>
        <v>0</v>
      </c>
      <c r="DS309" s="116">
        <f t="shared" si="1090"/>
        <v>0</v>
      </c>
      <c r="DT309" s="116">
        <f t="shared" si="1090"/>
        <v>2</v>
      </c>
      <c r="DU309" s="116">
        <f t="shared" si="1090"/>
        <v>0</v>
      </c>
      <c r="DV309" s="116">
        <f t="shared" si="1090"/>
        <v>0</v>
      </c>
      <c r="DW309" s="116">
        <f t="shared" si="1090"/>
        <v>2</v>
      </c>
      <c r="DX309" s="116">
        <f t="shared" si="1090"/>
        <v>0</v>
      </c>
      <c r="DY309" s="116">
        <f t="shared" si="1090"/>
        <v>0</v>
      </c>
      <c r="DZ309" s="116">
        <f t="shared" si="1090"/>
        <v>2</v>
      </c>
      <c r="EA309" s="116">
        <f t="shared" si="1090"/>
        <v>0</v>
      </c>
      <c r="EB309" s="116">
        <f t="shared" si="1090"/>
        <v>0</v>
      </c>
      <c r="EC309" s="116">
        <f t="shared" si="1090"/>
        <v>2</v>
      </c>
      <c r="ED309" s="116">
        <f t="shared" si="1090"/>
        <v>0</v>
      </c>
      <c r="EE309" s="116">
        <f t="shared" si="1090"/>
        <v>0</v>
      </c>
      <c r="EF309" s="116">
        <f t="shared" si="1090"/>
        <v>2</v>
      </c>
      <c r="EG309" s="116">
        <f t="shared" si="1090"/>
        <v>0</v>
      </c>
      <c r="EH309" s="116">
        <f t="shared" si="1090"/>
        <v>0</v>
      </c>
      <c r="EI309" s="116">
        <f t="shared" si="1090"/>
        <v>2</v>
      </c>
      <c r="EJ309" s="116">
        <f t="shared" si="1090"/>
        <v>0</v>
      </c>
      <c r="EK309" s="116">
        <f t="shared" si="1090"/>
        <v>1</v>
      </c>
      <c r="EL309" s="116">
        <f t="shared" si="1090"/>
        <v>2</v>
      </c>
      <c r="EM309" s="116">
        <f t="shared" si="1090"/>
        <v>0</v>
      </c>
      <c r="EN309" s="116">
        <f t="shared" si="1090"/>
        <v>1</v>
      </c>
      <c r="EO309" s="116">
        <f t="shared" si="1090"/>
        <v>2</v>
      </c>
      <c r="EP309" s="116">
        <f t="shared" si="1090"/>
        <v>0</v>
      </c>
      <c r="EQ309" s="116">
        <f t="shared" si="1090"/>
        <v>1</v>
      </c>
      <c r="ER309" s="116">
        <f t="shared" si="1090"/>
        <v>2</v>
      </c>
      <c r="ES309" s="116">
        <f t="shared" si="1090"/>
        <v>0</v>
      </c>
      <c r="ET309" s="116">
        <f t="shared" si="1090"/>
        <v>1</v>
      </c>
      <c r="EU309" s="116">
        <f t="shared" si="1090"/>
        <v>2</v>
      </c>
      <c r="EV309" s="116">
        <f t="shared" si="1090"/>
        <v>0</v>
      </c>
      <c r="EW309" s="116">
        <f t="shared" si="1090"/>
        <v>1</v>
      </c>
      <c r="EX309" s="116">
        <f t="shared" si="1090"/>
        <v>2</v>
      </c>
      <c r="EY309" s="116">
        <f t="shared" si="1090"/>
        <v>0</v>
      </c>
      <c r="EZ309" s="116">
        <f t="shared" si="1090"/>
        <v>1</v>
      </c>
      <c r="FA309" s="116">
        <f t="shared" si="1090"/>
        <v>2</v>
      </c>
      <c r="FB309" s="116">
        <f t="shared" si="1090"/>
        <v>0</v>
      </c>
      <c r="FC309" s="116">
        <f t="shared" si="1090"/>
        <v>1</v>
      </c>
      <c r="FD309" s="116">
        <f t="shared" si="1090"/>
        <v>2</v>
      </c>
      <c r="FE309" s="116">
        <f t="shared" si="1090"/>
        <v>0</v>
      </c>
      <c r="FF309" s="116">
        <f t="shared" si="1090"/>
        <v>1</v>
      </c>
      <c r="FG309" s="116">
        <f t="shared" si="1090"/>
        <v>2</v>
      </c>
      <c r="FH309" s="116">
        <f t="shared" si="1090"/>
        <v>0</v>
      </c>
      <c r="FI309" s="116">
        <f t="shared" si="1090"/>
        <v>1</v>
      </c>
      <c r="FJ309" s="116">
        <f t="shared" si="1090"/>
        <v>2</v>
      </c>
      <c r="FK309" s="116">
        <f t="shared" si="1090"/>
        <v>0</v>
      </c>
      <c r="FL309" s="116">
        <f t="shared" si="1090"/>
        <v>1</v>
      </c>
      <c r="FM309" s="116">
        <f t="shared" si="1090"/>
        <v>7</v>
      </c>
      <c r="FN309" s="116">
        <f t="shared" si="1090"/>
        <v>0</v>
      </c>
      <c r="FO309" s="116">
        <f t="shared" si="1090"/>
        <v>1</v>
      </c>
      <c r="FP309" s="116">
        <f t="shared" si="1090"/>
        <v>7</v>
      </c>
      <c r="FQ309" s="116">
        <f t="shared" si="1090"/>
        <v>0</v>
      </c>
      <c r="FR309" s="116">
        <f t="shared" si="1090"/>
        <v>1</v>
      </c>
      <c r="FS309" s="116">
        <f t="shared" si="1090"/>
        <v>7</v>
      </c>
      <c r="FT309" s="116">
        <f t="shared" si="1090"/>
        <v>0</v>
      </c>
      <c r="FU309" s="116">
        <f t="shared" si="1090"/>
        <v>1</v>
      </c>
      <c r="FV309" s="116">
        <f t="shared" ref="FV309:GL309" si="1091">FV306</f>
        <v>7</v>
      </c>
      <c r="FW309" s="116">
        <f t="shared" si="1091"/>
        <v>0</v>
      </c>
      <c r="FX309" s="116">
        <f t="shared" si="1091"/>
        <v>1</v>
      </c>
      <c r="FY309" s="116">
        <f t="shared" si="1091"/>
        <v>7</v>
      </c>
      <c r="FZ309" s="116">
        <f t="shared" si="1091"/>
        <v>0</v>
      </c>
      <c r="GA309" s="116">
        <f t="shared" si="1091"/>
        <v>1</v>
      </c>
      <c r="GB309" s="116">
        <f t="shared" si="1091"/>
        <v>7</v>
      </c>
      <c r="GC309" s="116">
        <f t="shared" si="1091"/>
        <v>0</v>
      </c>
      <c r="GD309" s="116">
        <f t="shared" si="1091"/>
        <v>1</v>
      </c>
      <c r="GE309" s="116">
        <f t="shared" si="1091"/>
        <v>7</v>
      </c>
      <c r="GF309" s="116">
        <f t="shared" si="1091"/>
        <v>0</v>
      </c>
      <c r="GG309" s="116">
        <f t="shared" si="1091"/>
        <v>1</v>
      </c>
      <c r="GH309" s="116">
        <f t="shared" si="1091"/>
        <v>7</v>
      </c>
      <c r="GI309" s="116">
        <f t="shared" si="1091"/>
        <v>0</v>
      </c>
      <c r="GJ309" s="116">
        <f t="shared" si="1091"/>
        <v>1</v>
      </c>
      <c r="GK309" s="116">
        <f t="shared" si="1091"/>
        <v>7</v>
      </c>
      <c r="GL309" s="116">
        <f t="shared" si="1091"/>
        <v>0</v>
      </c>
    </row>
    <row r="310" spans="14:194" ht="15" customHeight="1">
      <c r="N310" s="99" t="str">
        <f>IF(N127=-1,"x",IF(OR(N225=1,N$197=1,$CX127=1),N127,0))</f>
        <v>x</v>
      </c>
      <c r="O310" s="45" t="str">
        <f>IF(O127=-1,"x",IF(OR(O225=1,O$197=1,$CY127=1),O127,0))</f>
        <v>x</v>
      </c>
      <c r="P310" s="47" t="str">
        <f>IF(P127=-1,"x",IF(OR(P225=1,P$197=1,$CZ127=1),P127,0))</f>
        <v>x</v>
      </c>
      <c r="Q310" s="46" t="str">
        <f>IF(Q127=-1,"x",IF(OR(Q225=1,Q$197=1,$CX127=1),Q127,0))</f>
        <v>x</v>
      </c>
      <c r="R310" s="45" t="str">
        <f>IF(R127=-1,"x",IF(OR(R225=1,R$197=1,$CY127=1),R127,0))</f>
        <v>x</v>
      </c>
      <c r="S310" s="47" t="str">
        <f>IF(S127=-1,"x",IF(OR(S225=1,S$197=1,$CZ127=1),S127,0))</f>
        <v>x</v>
      </c>
      <c r="T310" s="46" t="str">
        <f>IF(T127=-1,"x",IF(OR(T225=1,T$197=1,$CX127=1),T127,0))</f>
        <v>x</v>
      </c>
      <c r="U310" s="45" t="str">
        <f>IF(U127=-1,"x",IF(OR(U225=1,U$197=1,$CY127=1),U127,0))</f>
        <v>x</v>
      </c>
      <c r="V310" s="48" t="str">
        <f>IF(V127=-1,"x",IF(OR(V225=1,V$197=1,$CZ127=1),V127,0))</f>
        <v>x</v>
      </c>
      <c r="W310" s="44" t="str">
        <f>IF(W127=-1,"x",IF(OR(W225=1,W$197=1,$CX127=1),W127,0))</f>
        <v>x</v>
      </c>
      <c r="X310" s="45" t="str">
        <f>IF(X127=-1,"x",IF(OR(X225=1,X$197=1,$CY127=1),X127,0))</f>
        <v>x</v>
      </c>
      <c r="Y310" s="47" t="str">
        <f>IF(Y127=-1,"x",IF(OR(Y225=1,Y$197=1,$CZ127=1),Y127,0))</f>
        <v>x</v>
      </c>
      <c r="Z310" s="46" t="str">
        <f>IF(Z127=-1,"x",IF(OR(Z225=1,Z$197=1,$CX127=1),Z127,0))</f>
        <v>x</v>
      </c>
      <c r="AA310" s="45" t="str">
        <f>IF(AA127=-1,"x",IF(OR(AA225=1,AA$197=1,$CY127=1),AA127,0))</f>
        <v>x</v>
      </c>
      <c r="AB310" s="47" t="str">
        <f>IF(AB127=-1,"x",IF(OR(AB225=1,AB$197=1,$CZ127=1),AB127,0))</f>
        <v>x</v>
      </c>
      <c r="AC310" s="46" t="str">
        <f>IF(AC127=-1,"x",IF(OR(AC225=1,AC$197=1,$CX127=1),AC127,0))</f>
        <v>x</v>
      </c>
      <c r="AD310" s="45" t="str">
        <f>IF(AD127=-1,"x",IF(OR(AD225=1,AD$197=1,$CY127=1),AD127,0))</f>
        <v>x</v>
      </c>
      <c r="AE310" s="48" t="str">
        <f>IF(AE127=-1,"x",IF(OR(AE225=1,AE$197=1,$CZ127=1),AE127,0))</f>
        <v>x</v>
      </c>
      <c r="AF310" s="44" t="str">
        <f>IF(AF127=-1,"x",IF(OR(AF225=1,AF$197=1,$CX127=1),AF127,0))</f>
        <v>x</v>
      </c>
      <c r="AG310" s="45" t="str">
        <f>IF(AG127=-1,"x",IF(OR(AG225=1,AG$197=1,$CY127=1),AG127,0))</f>
        <v>x</v>
      </c>
      <c r="AH310" s="47" t="str">
        <f>IF(AH127=-1,"x",IF(OR(AH225=1,AH$197=1,$CZ127=1),AH127,0))</f>
        <v>x</v>
      </c>
      <c r="AI310" s="46" t="str">
        <f>IF(AI127=-1,"x",IF(OR(AI225=1,AI$197=1,$CX127=1),AI127,0))</f>
        <v>x</v>
      </c>
      <c r="AJ310" s="45" t="str">
        <f>IF(AJ127=-1,"x",IF(OR(AJ225=1,AJ$197=1,$CY127=1),AJ127,0))</f>
        <v>x</v>
      </c>
      <c r="AK310" s="47" t="str">
        <f>IF(AK127=-1,"x",IF(OR(AK225=1,AK$197=1,$CZ127=1),AK127,0))</f>
        <v>x</v>
      </c>
      <c r="AL310" s="46" t="str">
        <f>IF(AL127=-1,"x",IF(OR(AL225=1,AL$197=1,$CX127=1),AL127,0))</f>
        <v>x</v>
      </c>
      <c r="AM310" s="45" t="str">
        <f>IF(AM127=-1,"x",IF(OR(AM225=1,AM$197=1,$CY127=1),AM127,0))</f>
        <v>x</v>
      </c>
      <c r="AN310" s="100" t="str">
        <f>IF(AN127=-1,"x",IF(OR(AN225=1,AN$197=1,$CZ127=1),AN127,0))</f>
        <v>x</v>
      </c>
      <c r="AO310" s="99" t="str">
        <f>IF(AO127=-1,"x",IF(OR(AO225=1,AO$197=1,$CX127=1),AO127,0))</f>
        <v>x</v>
      </c>
      <c r="AP310" s="45" t="str">
        <f>IF(AP127=-1,"x",IF(OR(AP225=1,AP$197=1,$CY127=1),AP127,0))</f>
        <v>x</v>
      </c>
      <c r="AQ310" s="47" t="str">
        <f>IF(AQ127=-1,"x",IF(OR(AQ225=1,AQ$197=1,$CZ127=1),AQ127,0))</f>
        <v>x</v>
      </c>
      <c r="AR310" s="46" t="str">
        <f>IF(AR127=-1,"x",IF(OR(AR225=1,AR$197=1,$CX127=1),AR127,0))</f>
        <v>x</v>
      </c>
      <c r="AS310" s="45" t="str">
        <f>IF(AS127=-1,"x",IF(OR(AS225=1,AS$197=1,$CY127=1),AS127,0))</f>
        <v>x</v>
      </c>
      <c r="AT310" s="47" t="str">
        <f>IF(AT127=-1,"x",IF(OR(AT225=1,AT$197=1,$CZ127=1),AT127,0))</f>
        <v>x</v>
      </c>
      <c r="AU310" s="46" t="str">
        <f>IF(AU127=-1,"x",IF(OR(AU225=1,AU$197=1,$CX127=1),AU127,0))</f>
        <v>x</v>
      </c>
      <c r="AV310" s="45" t="str">
        <f>IF(AV127=-1,"x",IF(OR(AV225=1,AV$197=1,$CY127=1),AV127,0))</f>
        <v>x</v>
      </c>
      <c r="AW310" s="48" t="str">
        <f>IF(AW127=-1,"x",IF(OR(AW225=1,AW$197=1,$CZ127=1),AW127,0))</f>
        <v>x</v>
      </c>
      <c r="AX310" s="44" t="str">
        <f>IF(AX127=-1,"x",IF(OR(AX225=1,AX$197=1,$CX127=1),AX127,0))</f>
        <v>x</v>
      </c>
      <c r="AY310" s="45" t="str">
        <f>IF(AY127=-1,"x",IF(OR(AY225=1,AY$197=1,$CY127=1),AY127,0))</f>
        <v>x</v>
      </c>
      <c r="AZ310" s="47" t="str">
        <f>IF(AZ127=-1,"x",IF(OR(AZ225=1,AZ$197=1,$CZ127=1),AZ127,0))</f>
        <v>x</v>
      </c>
      <c r="BA310" s="46" t="str">
        <f>IF(BA127=-1,"x",IF(OR(BA225=1,BA$197=1,$CX127=1),BA127,0))</f>
        <v>x</v>
      </c>
      <c r="BB310" s="45" t="str">
        <f>IF(BB127=-1,"x",IF(OR(BB225=1,BB$197=1,$CY127=1),BB127,0))</f>
        <v>x</v>
      </c>
      <c r="BC310" s="47" t="str">
        <f>IF(BC127=-1,"x",IF(OR(BC225=1,BC$197=1,$CZ127=1),BC127,0))</f>
        <v>x</v>
      </c>
      <c r="BD310" s="46" t="str">
        <f>IF(BD127=-1,"x",IF(OR(BD225=1,BD$197=1,$CX127=1),BD127,0))</f>
        <v>x</v>
      </c>
      <c r="BE310" s="45" t="str">
        <f>IF(BE127=-1,"x",IF(OR(BE225=1,BE$197=1,$CY127=1),BE127,0))</f>
        <v>x</v>
      </c>
      <c r="BF310" s="48" t="str">
        <f>IF(BF127=-1,"x",IF(OR(BF225=1,BF$197=1,$CZ127=1),BF127,0))</f>
        <v>x</v>
      </c>
      <c r="BG310" s="44" t="str">
        <f>IF(BG127=-1,"x",IF(OR(BG225=1,BG$197=1,$CX127=1),BG127,0))</f>
        <v>x</v>
      </c>
      <c r="BH310" s="45" t="str">
        <f>IF(BH127=-1,"x",IF(OR(BH225=1,BH$197=1,$CY127=1),BH127,0))</f>
        <v>x</v>
      </c>
      <c r="BI310" s="47" t="str">
        <f>IF(BI127=-1,"x",IF(OR(BI225=1,BI$197=1,$CZ127=1),BI127,0))</f>
        <v>x</v>
      </c>
      <c r="BJ310" s="46" t="str">
        <f>IF(BJ127=-1,"x",IF(OR(BJ225=1,BJ$197=1,$CX127=1),BJ127,0))</f>
        <v>x</v>
      </c>
      <c r="BK310" s="45" t="str">
        <f>IF(BK127=-1,"x",IF(OR(BK225=1,BK$197=1,$CY127=1),BK127,0))</f>
        <v>x</v>
      </c>
      <c r="BL310" s="47" t="str">
        <f>IF(BL127=-1,"x",IF(OR(BL225=1,BL$197=1,$CZ127=1),BL127,0))</f>
        <v>x</v>
      </c>
      <c r="BM310" s="46" t="str">
        <f>IF(BM127=-1,"x",IF(OR(BM225=1,BM$197=1,$CX127=1),BM127,0))</f>
        <v>x</v>
      </c>
      <c r="BN310" s="45" t="str">
        <f>IF(BN127=-1,"x",IF(OR(BN225=1,BN$197=1,$CY127=1),BN127,0))</f>
        <v>x</v>
      </c>
      <c r="BO310" s="100" t="str">
        <f>IF(BO127=-1,"x",IF(OR(BO225=1,BO$197=1,$CZ127=1),BO127,0))</f>
        <v>x</v>
      </c>
      <c r="BP310" s="99" t="str">
        <f>IF(BP127=-1,"x",IF(OR(BP225=1,BP$197=1,$CX127=1),BP127,0))</f>
        <v>x</v>
      </c>
      <c r="BQ310" s="45" t="str">
        <f>IF(BQ127=-1,"x",IF(OR(BQ225=1,BQ$197=1,$CY127=1),BQ127,0))</f>
        <v>x</v>
      </c>
      <c r="BR310" s="47" t="str">
        <f>IF(BR127=-1,"x",IF(OR(BR225=1,BR$197=1,$CZ127=1),BR127,0))</f>
        <v>x</v>
      </c>
      <c r="BS310" s="46" t="str">
        <f>IF(BS127=-1,"x",IF(OR(BS225=1,BS$197=1,$CX127=1),BS127,0))</f>
        <v>x</v>
      </c>
      <c r="BT310" s="45" t="str">
        <f>IF(BT127=-1,"x",IF(OR(BT225=1,BT$197=1,$CY127=1),BT127,0))</f>
        <v>x</v>
      </c>
      <c r="BU310" s="47" t="str">
        <f>IF(BU127=-1,"x",IF(OR(BU225=1,BU$197=1,$CZ127=1),BU127,0))</f>
        <v>x</v>
      </c>
      <c r="BV310" s="46" t="str">
        <f>IF(BV127=-1,"x",IF(OR(BV225=1,BV$197=1,$CX127=1),BV127,0))</f>
        <v>x</v>
      </c>
      <c r="BW310" s="45" t="str">
        <f>IF(BW127=-1,"x",IF(OR(BW225=1,BW$197=1,$CY127=1),BW127,0))</f>
        <v>x</v>
      </c>
      <c r="BX310" s="48" t="str">
        <f>IF(BX127=-1,"x",IF(OR(BX225=1,BX$197=1,$CZ127=1),BX127,0))</f>
        <v>x</v>
      </c>
      <c r="BY310" s="44" t="str">
        <f>IF(BY127=-1,"x",IF(OR(BY225=1,BY$197=1,$CX127=1),BY127,0))</f>
        <v>x</v>
      </c>
      <c r="BZ310" s="45" t="str">
        <f>IF(BZ127=-1,"x",IF(OR(BZ225=1,BZ$197=1,$CY127=1),BZ127,0))</f>
        <v>x</v>
      </c>
      <c r="CA310" s="47" t="str">
        <f>IF(CA127=-1,"x",IF(OR(CA225=1,CA$197=1,$CZ127=1),CA127,0))</f>
        <v>x</v>
      </c>
      <c r="CB310" s="46" t="str">
        <f>IF(CB127=-1,"x",IF(OR(CB225=1,CB$197=1,$CX127=1),CB127,0))</f>
        <v>x</v>
      </c>
      <c r="CC310" s="45" t="str">
        <f>IF(CC127=-1,"x",IF(OR(CC225=1,CC$197=1,$CY127=1),CC127,0))</f>
        <v>x</v>
      </c>
      <c r="CD310" s="47" t="str">
        <f>IF(CD127=-1,"x",IF(OR(CD225=1,CD$197=1,$CZ127=1),CD127,0))</f>
        <v>x</v>
      </c>
      <c r="CE310" s="46" t="str">
        <f>IF(CE127=-1,"x",IF(OR(CE225=1,CE$197=1,$CX127=1),CE127,0))</f>
        <v>x</v>
      </c>
      <c r="CF310" s="45" t="str">
        <f>IF(CF127=-1,"x",IF(OR(CF225=1,CF$197=1,$CY127=1),CF127,0))</f>
        <v>x</v>
      </c>
      <c r="CG310" s="48" t="str">
        <f>IF(CG127=-1,"x",IF(OR(CG225=1,CG$197=1,$CZ127=1),CG127,0))</f>
        <v>x</v>
      </c>
      <c r="CH310" s="44" t="str">
        <f>IF(CH127=-1,"x",IF(OR(CH225=1,CH$197=1,$CX127=1),CH127,0))</f>
        <v>x</v>
      </c>
      <c r="CI310" s="45" t="str">
        <f>IF(CI127=-1,"x",IF(OR(CI225=1,CI$197=1,$CY127=1),CI127,0))</f>
        <v>x</v>
      </c>
      <c r="CJ310" s="47" t="str">
        <f>IF(CJ127=-1,"x",IF(OR(CJ225=1,CJ$197=1,$CZ127=1),CJ127,0))</f>
        <v>x</v>
      </c>
      <c r="CK310" s="46" t="str">
        <f>IF(CK127=-1,"x",IF(OR(CK225=1,CK$197=1,$CX127=1),CK127,0))</f>
        <v>x</v>
      </c>
      <c r="CL310" s="45" t="str">
        <f>IF(CL127=-1,"x",IF(OR(CL225=1,CL$197=1,$CY127=1),CL127,0))</f>
        <v>x</v>
      </c>
      <c r="CM310" s="47" t="str">
        <f>IF(CM127=-1,"x",IF(OR(CM225=1,CM$197=1,$CZ127=1),CM127,0))</f>
        <v>x</v>
      </c>
      <c r="CN310" s="46">
        <f>IF(CN127=-1,"x",IF(OR(CN225=1,CN$197=1,$CX127=1),CN127,0))</f>
        <v>0</v>
      </c>
      <c r="CO310" s="45">
        <f>IF(CO127=-1,"x",IF(OR(CO225=1,CO$197=1,$CY127=1),CO127,0))</f>
        <v>0</v>
      </c>
      <c r="CP310" s="100">
        <f>IF(CP127=-1,"x",IF(OR(CP225=1,CP$197=1,$CZ127=1),CP127,0))</f>
        <v>0</v>
      </c>
      <c r="DJ310" s="116">
        <f t="shared" ref="DJ310:FU310" si="1092">DJ307</f>
        <v>6</v>
      </c>
      <c r="DK310" s="116">
        <f t="shared" si="1092"/>
        <v>0</v>
      </c>
      <c r="DL310" s="116">
        <f t="shared" si="1092"/>
        <v>2</v>
      </c>
      <c r="DM310" s="116">
        <f t="shared" si="1092"/>
        <v>6</v>
      </c>
      <c r="DN310" s="116">
        <f t="shared" si="1092"/>
        <v>0</v>
      </c>
      <c r="DO310" s="116">
        <f t="shared" si="1092"/>
        <v>2</v>
      </c>
      <c r="DP310" s="116">
        <f t="shared" si="1092"/>
        <v>6</v>
      </c>
      <c r="DQ310" s="116">
        <f t="shared" si="1092"/>
        <v>0</v>
      </c>
      <c r="DR310" s="116">
        <f t="shared" si="1092"/>
        <v>2</v>
      </c>
      <c r="DS310" s="116">
        <f t="shared" si="1092"/>
        <v>6</v>
      </c>
      <c r="DT310" s="116">
        <f t="shared" si="1092"/>
        <v>0</v>
      </c>
      <c r="DU310" s="116">
        <f t="shared" si="1092"/>
        <v>2</v>
      </c>
      <c r="DV310" s="116">
        <f t="shared" si="1092"/>
        <v>6</v>
      </c>
      <c r="DW310" s="116">
        <f t="shared" si="1092"/>
        <v>0</v>
      </c>
      <c r="DX310" s="116">
        <f t="shared" si="1092"/>
        <v>2</v>
      </c>
      <c r="DY310" s="116">
        <f t="shared" si="1092"/>
        <v>6</v>
      </c>
      <c r="DZ310" s="116">
        <f t="shared" si="1092"/>
        <v>0</v>
      </c>
      <c r="EA310" s="116">
        <f t="shared" si="1092"/>
        <v>2</v>
      </c>
      <c r="EB310" s="116">
        <f t="shared" si="1092"/>
        <v>6</v>
      </c>
      <c r="EC310" s="116">
        <f t="shared" si="1092"/>
        <v>0</v>
      </c>
      <c r="ED310" s="116">
        <f t="shared" si="1092"/>
        <v>2</v>
      </c>
      <c r="EE310" s="116">
        <f t="shared" si="1092"/>
        <v>6</v>
      </c>
      <c r="EF310" s="116">
        <f t="shared" si="1092"/>
        <v>0</v>
      </c>
      <c r="EG310" s="116">
        <f t="shared" si="1092"/>
        <v>2</v>
      </c>
      <c r="EH310" s="116">
        <f t="shared" si="1092"/>
        <v>6</v>
      </c>
      <c r="EI310" s="116">
        <f t="shared" si="1092"/>
        <v>0</v>
      </c>
      <c r="EJ310" s="116">
        <f t="shared" si="1092"/>
        <v>2</v>
      </c>
      <c r="EK310" s="116">
        <f t="shared" si="1092"/>
        <v>2</v>
      </c>
      <c r="EL310" s="116">
        <f t="shared" si="1092"/>
        <v>0</v>
      </c>
      <c r="EM310" s="116">
        <f t="shared" si="1092"/>
        <v>2</v>
      </c>
      <c r="EN310" s="116">
        <f t="shared" si="1092"/>
        <v>2</v>
      </c>
      <c r="EO310" s="116">
        <f t="shared" si="1092"/>
        <v>0</v>
      </c>
      <c r="EP310" s="116">
        <f t="shared" si="1092"/>
        <v>2</v>
      </c>
      <c r="EQ310" s="116">
        <f t="shared" si="1092"/>
        <v>2</v>
      </c>
      <c r="ER310" s="116">
        <f t="shared" si="1092"/>
        <v>0</v>
      </c>
      <c r="ES310" s="116">
        <f t="shared" si="1092"/>
        <v>2</v>
      </c>
      <c r="ET310" s="116">
        <f t="shared" si="1092"/>
        <v>2</v>
      </c>
      <c r="EU310" s="116">
        <f t="shared" si="1092"/>
        <v>0</v>
      </c>
      <c r="EV310" s="116">
        <f t="shared" si="1092"/>
        <v>2</v>
      </c>
      <c r="EW310" s="116">
        <f t="shared" si="1092"/>
        <v>2</v>
      </c>
      <c r="EX310" s="116">
        <f t="shared" si="1092"/>
        <v>0</v>
      </c>
      <c r="EY310" s="116">
        <f t="shared" si="1092"/>
        <v>2</v>
      </c>
      <c r="EZ310" s="116">
        <f t="shared" si="1092"/>
        <v>2</v>
      </c>
      <c r="FA310" s="116">
        <f t="shared" si="1092"/>
        <v>0</v>
      </c>
      <c r="FB310" s="116">
        <f t="shared" si="1092"/>
        <v>2</v>
      </c>
      <c r="FC310" s="116">
        <f t="shared" si="1092"/>
        <v>2</v>
      </c>
      <c r="FD310" s="116">
        <f t="shared" si="1092"/>
        <v>0</v>
      </c>
      <c r="FE310" s="116">
        <f t="shared" si="1092"/>
        <v>2</v>
      </c>
      <c r="FF310" s="116">
        <f t="shared" si="1092"/>
        <v>2</v>
      </c>
      <c r="FG310" s="116">
        <f t="shared" si="1092"/>
        <v>0</v>
      </c>
      <c r="FH310" s="116">
        <f t="shared" si="1092"/>
        <v>2</v>
      </c>
      <c r="FI310" s="116">
        <f t="shared" si="1092"/>
        <v>2</v>
      </c>
      <c r="FJ310" s="116">
        <f t="shared" si="1092"/>
        <v>0</v>
      </c>
      <c r="FK310" s="116">
        <f t="shared" si="1092"/>
        <v>2</v>
      </c>
      <c r="FL310" s="116">
        <f t="shared" si="1092"/>
        <v>5</v>
      </c>
      <c r="FM310" s="116">
        <f t="shared" si="1092"/>
        <v>3</v>
      </c>
      <c r="FN310" s="116">
        <f t="shared" si="1092"/>
        <v>7</v>
      </c>
      <c r="FO310" s="116">
        <f t="shared" si="1092"/>
        <v>5</v>
      </c>
      <c r="FP310" s="116">
        <f t="shared" si="1092"/>
        <v>3</v>
      </c>
      <c r="FQ310" s="116">
        <f t="shared" si="1092"/>
        <v>7</v>
      </c>
      <c r="FR310" s="116">
        <f t="shared" si="1092"/>
        <v>5</v>
      </c>
      <c r="FS310" s="116">
        <f t="shared" si="1092"/>
        <v>3</v>
      </c>
      <c r="FT310" s="116">
        <f t="shared" si="1092"/>
        <v>7</v>
      </c>
      <c r="FU310" s="116">
        <f t="shared" si="1092"/>
        <v>5</v>
      </c>
      <c r="FV310" s="116">
        <f t="shared" ref="FV310:GL310" si="1093">FV307</f>
        <v>3</v>
      </c>
      <c r="FW310" s="116">
        <f t="shared" si="1093"/>
        <v>7</v>
      </c>
      <c r="FX310" s="116">
        <f t="shared" si="1093"/>
        <v>5</v>
      </c>
      <c r="FY310" s="116">
        <f t="shared" si="1093"/>
        <v>3</v>
      </c>
      <c r="FZ310" s="116">
        <f t="shared" si="1093"/>
        <v>7</v>
      </c>
      <c r="GA310" s="116">
        <f t="shared" si="1093"/>
        <v>5</v>
      </c>
      <c r="GB310" s="116">
        <f t="shared" si="1093"/>
        <v>3</v>
      </c>
      <c r="GC310" s="116">
        <f t="shared" si="1093"/>
        <v>7</v>
      </c>
      <c r="GD310" s="116">
        <f t="shared" si="1093"/>
        <v>5</v>
      </c>
      <c r="GE310" s="116">
        <f t="shared" si="1093"/>
        <v>3</v>
      </c>
      <c r="GF310" s="116">
        <f t="shared" si="1093"/>
        <v>7</v>
      </c>
      <c r="GG310" s="116">
        <f t="shared" si="1093"/>
        <v>5</v>
      </c>
      <c r="GH310" s="116">
        <f t="shared" si="1093"/>
        <v>3</v>
      </c>
      <c r="GI310" s="116">
        <f t="shared" si="1093"/>
        <v>7</v>
      </c>
      <c r="GJ310" s="116">
        <f t="shared" si="1093"/>
        <v>5</v>
      </c>
      <c r="GK310" s="116">
        <f t="shared" si="1093"/>
        <v>3</v>
      </c>
      <c r="GL310" s="116">
        <f t="shared" si="1093"/>
        <v>7</v>
      </c>
    </row>
    <row r="311" spans="14:194" ht="15" customHeight="1">
      <c r="N311" s="104" t="str">
        <f>IF(N128=-1,"x",IF(OR(N226=1,N$195=1,$CX128=1),N128,0))</f>
        <v>x</v>
      </c>
      <c r="O311" s="50" t="str">
        <f>IF(O128=-1,"x",IF(OR(O226=1,O$195=1,$CY128=1),O128,0))</f>
        <v>x</v>
      </c>
      <c r="P311" s="51" t="str">
        <f>IF(P128=-1,"x",IF(OR(P226=1,P$195=1,$CZ128=1),P128,0))</f>
        <v>x</v>
      </c>
      <c r="Q311" s="52" t="str">
        <f>IF(Q128=-1,"x",IF(OR(Q226=1,Q$195=1,$CX128=1),Q128,0))</f>
        <v>x</v>
      </c>
      <c r="R311" s="50" t="str">
        <f>IF(R128=-1,"x",IF(OR(R226=1,R$195=1,$CY128=1),R128,0))</f>
        <v>x</v>
      </c>
      <c r="S311" s="51" t="str">
        <f>IF(S128=-1,"x",IF(OR(S226=1,S$195=1,$CZ128=1),S128,0))</f>
        <v>x</v>
      </c>
      <c r="T311" s="52" t="str">
        <f>IF(T128=-1,"x",IF(OR(T226=1,T$195=1,$CX128=1),T128,0))</f>
        <v>x</v>
      </c>
      <c r="U311" s="50" t="str">
        <f>IF(U128=-1,"x",IF(OR(U226=1,U$195=1,$CY128=1),U128,0))</f>
        <v>x</v>
      </c>
      <c r="V311" s="53" t="str">
        <f>IF(V128=-1,"x",IF(OR(V226=1,V$195=1,$CZ128=1),V128,0))</f>
        <v>x</v>
      </c>
      <c r="W311" s="49" t="str">
        <f>IF(W128=-1,"x",IF(OR(W226=1,W$195=1,$CX128=1),W128,0))</f>
        <v>x</v>
      </c>
      <c r="X311" s="50" t="str">
        <f>IF(X128=-1,"x",IF(OR(X226=1,X$195=1,$CY128=1),X128,0))</f>
        <v>x</v>
      </c>
      <c r="Y311" s="51" t="str">
        <f>IF(Y128=-1,"x",IF(OR(Y226=1,Y$195=1,$CZ128=1),Y128,0))</f>
        <v>x</v>
      </c>
      <c r="Z311" s="52" t="str">
        <f>IF(Z128=-1,"x",IF(OR(Z226=1,Z$195=1,$CX128=1),Z128,0))</f>
        <v>x</v>
      </c>
      <c r="AA311" s="50" t="str">
        <f>IF(AA128=-1,"x",IF(OR(AA226=1,AA$195=1,$CY128=1),AA128,0))</f>
        <v>x</v>
      </c>
      <c r="AB311" s="51" t="str">
        <f>IF(AB128=-1,"x",IF(OR(AB226=1,AB$195=1,$CZ128=1),AB128,0))</f>
        <v>x</v>
      </c>
      <c r="AC311" s="52" t="str">
        <f>IF(AC128=-1,"x",IF(OR(AC226=1,AC$195=1,$CX128=1),AC128,0))</f>
        <v>x</v>
      </c>
      <c r="AD311" s="50" t="str">
        <f>IF(AD128=-1,"x",IF(OR(AD226=1,AD$195=1,$CY128=1),AD128,0))</f>
        <v>x</v>
      </c>
      <c r="AE311" s="53" t="str">
        <f>IF(AE128=-1,"x",IF(OR(AE226=1,AE$195=1,$CZ128=1),AE128,0))</f>
        <v>x</v>
      </c>
      <c r="AF311" s="49" t="str">
        <f>IF(AF128=-1,"x",IF(OR(AF226=1,AF$195=1,$CX128=1),AF128,0))</f>
        <v>x</v>
      </c>
      <c r="AG311" s="50" t="str">
        <f>IF(AG128=-1,"x",IF(OR(AG226=1,AG$195=1,$CY128=1),AG128,0))</f>
        <v>x</v>
      </c>
      <c r="AH311" s="51" t="str">
        <f>IF(AH128=-1,"x",IF(OR(AH226=1,AH$195=1,$CZ128=1),AH128,0))</f>
        <v>x</v>
      </c>
      <c r="AI311" s="52" t="str">
        <f>IF(AI128=-1,"x",IF(OR(AI226=1,AI$195=1,$CX128=1),AI128,0))</f>
        <v>x</v>
      </c>
      <c r="AJ311" s="50" t="str">
        <f>IF(AJ128=-1,"x",IF(OR(AJ226=1,AJ$195=1,$CY128=1),AJ128,0))</f>
        <v>x</v>
      </c>
      <c r="AK311" s="51" t="str">
        <f>IF(AK128=-1,"x",IF(OR(AK226=1,AK$195=1,$CZ128=1),AK128,0))</f>
        <v>x</v>
      </c>
      <c r="AL311" s="52" t="str">
        <f>IF(AL128=-1,"x",IF(OR(AL226=1,AL$195=1,$CX128=1),AL128,0))</f>
        <v>x</v>
      </c>
      <c r="AM311" s="50" t="str">
        <f>IF(AM128=-1,"x",IF(OR(AM226=1,AM$195=1,$CY128=1),AM128,0))</f>
        <v>x</v>
      </c>
      <c r="AN311" s="105" t="str">
        <f>IF(AN128=-1,"x",IF(OR(AN226=1,AN$195=1,$CZ128=1),AN128,0))</f>
        <v>x</v>
      </c>
      <c r="AO311" s="104" t="str">
        <f>IF(AO128=-1,"x",IF(OR(AO226=1,AO$195=1,$CX128=1),AO128,0))</f>
        <v>x</v>
      </c>
      <c r="AP311" s="50" t="str">
        <f>IF(AP128=-1,"x",IF(OR(AP226=1,AP$195=1,$CY128=1),AP128,0))</f>
        <v>x</v>
      </c>
      <c r="AQ311" s="51" t="str">
        <f>IF(AQ128=-1,"x",IF(OR(AQ226=1,AQ$195=1,$CZ128=1),AQ128,0))</f>
        <v>x</v>
      </c>
      <c r="AR311" s="52" t="str">
        <f>IF(AR128=-1,"x",IF(OR(AR226=1,AR$195=1,$CX128=1),AR128,0))</f>
        <v>x</v>
      </c>
      <c r="AS311" s="50" t="str">
        <f>IF(AS128=-1,"x",IF(OR(AS226=1,AS$195=1,$CY128=1),AS128,0))</f>
        <v>x</v>
      </c>
      <c r="AT311" s="51" t="str">
        <f>IF(AT128=-1,"x",IF(OR(AT226=1,AT$195=1,$CZ128=1),AT128,0))</f>
        <v>x</v>
      </c>
      <c r="AU311" s="52" t="str">
        <f>IF(AU128=-1,"x",IF(OR(AU226=1,AU$195=1,$CX128=1),AU128,0))</f>
        <v>x</v>
      </c>
      <c r="AV311" s="50" t="str">
        <f>IF(AV128=-1,"x",IF(OR(AV226=1,AV$195=1,$CY128=1),AV128,0))</f>
        <v>x</v>
      </c>
      <c r="AW311" s="53" t="str">
        <f>IF(AW128=-1,"x",IF(OR(AW226=1,AW$195=1,$CZ128=1),AW128,0))</f>
        <v>x</v>
      </c>
      <c r="AX311" s="49" t="str">
        <f>IF(AX128=-1,"x",IF(OR(AX226=1,AX$195=1,$CX128=1),AX128,0))</f>
        <v>x</v>
      </c>
      <c r="AY311" s="50" t="str">
        <f>IF(AY128=-1,"x",IF(OR(AY226=1,AY$195=1,$CY128=1),AY128,0))</f>
        <v>x</v>
      </c>
      <c r="AZ311" s="51" t="str">
        <f>IF(AZ128=-1,"x",IF(OR(AZ226=1,AZ$195=1,$CZ128=1),AZ128,0))</f>
        <v>x</v>
      </c>
      <c r="BA311" s="52" t="str">
        <f>IF(BA128=-1,"x",IF(OR(BA226=1,BA$195=1,$CX128=1),BA128,0))</f>
        <v>x</v>
      </c>
      <c r="BB311" s="50" t="str">
        <f>IF(BB128=-1,"x",IF(OR(BB226=1,BB$195=1,$CY128=1),BB128,0))</f>
        <v>x</v>
      </c>
      <c r="BC311" s="51" t="str">
        <f>IF(BC128=-1,"x",IF(OR(BC226=1,BC$195=1,$CZ128=1),BC128,0))</f>
        <v>x</v>
      </c>
      <c r="BD311" s="52" t="str">
        <f>IF(BD128=-1,"x",IF(OR(BD226=1,BD$195=1,$CX128=1),BD128,0))</f>
        <v>x</v>
      </c>
      <c r="BE311" s="50" t="str">
        <f>IF(BE128=-1,"x",IF(OR(BE226=1,BE$195=1,$CY128=1),BE128,0))</f>
        <v>x</v>
      </c>
      <c r="BF311" s="53" t="str">
        <f>IF(BF128=-1,"x",IF(OR(BF226=1,BF$195=1,$CZ128=1),BF128,0))</f>
        <v>x</v>
      </c>
      <c r="BG311" s="49" t="str">
        <f>IF(BG128=-1,"x",IF(OR(BG226=1,BG$195=1,$CX128=1),BG128,0))</f>
        <v>x</v>
      </c>
      <c r="BH311" s="50" t="str">
        <f>IF(BH128=-1,"x",IF(OR(BH226=1,BH$195=1,$CY128=1),BH128,0))</f>
        <v>x</v>
      </c>
      <c r="BI311" s="51" t="str">
        <f>IF(BI128=-1,"x",IF(OR(BI226=1,BI$195=1,$CZ128=1),BI128,0))</f>
        <v>x</v>
      </c>
      <c r="BJ311" s="52" t="str">
        <f>IF(BJ128=-1,"x",IF(OR(BJ226=1,BJ$195=1,$CX128=1),BJ128,0))</f>
        <v>x</v>
      </c>
      <c r="BK311" s="50" t="str">
        <f>IF(BK128=-1,"x",IF(OR(BK226=1,BK$195=1,$CY128=1),BK128,0))</f>
        <v>x</v>
      </c>
      <c r="BL311" s="51" t="str">
        <f>IF(BL128=-1,"x",IF(OR(BL226=1,BL$195=1,$CZ128=1),BL128,0))</f>
        <v>x</v>
      </c>
      <c r="BM311" s="52" t="str">
        <f>IF(BM128=-1,"x",IF(OR(BM226=1,BM$195=1,$CX128=1),BM128,0))</f>
        <v>x</v>
      </c>
      <c r="BN311" s="50" t="str">
        <f>IF(BN128=-1,"x",IF(OR(BN226=1,BN$195=1,$CY128=1),BN128,0))</f>
        <v>x</v>
      </c>
      <c r="BO311" s="105" t="str">
        <f>IF(BO128=-1,"x",IF(OR(BO226=1,BO$195=1,$CZ128=1),BO128,0))</f>
        <v>x</v>
      </c>
      <c r="BP311" s="104" t="str">
        <f>IF(BP128=-1,"x",IF(OR(BP226=1,BP$195=1,$CX128=1),BP128,0))</f>
        <v>x</v>
      </c>
      <c r="BQ311" s="50" t="str">
        <f>IF(BQ128=-1,"x",IF(OR(BQ226=1,BQ$195=1,$CY128=1),BQ128,0))</f>
        <v>x</v>
      </c>
      <c r="BR311" s="51" t="str">
        <f>IF(BR128=-1,"x",IF(OR(BR226=1,BR$195=1,$CZ128=1),BR128,0))</f>
        <v>x</v>
      </c>
      <c r="BS311" s="52" t="str">
        <f>IF(BS128=-1,"x",IF(OR(BS226=1,BS$195=1,$CX128=1),BS128,0))</f>
        <v>x</v>
      </c>
      <c r="BT311" s="50" t="str">
        <f>IF(BT128=-1,"x",IF(OR(BT226=1,BT$195=1,$CY128=1),BT128,0))</f>
        <v>x</v>
      </c>
      <c r="BU311" s="51" t="str">
        <f>IF(BU128=-1,"x",IF(OR(BU226=1,BU$195=1,$CZ128=1),BU128,0))</f>
        <v>x</v>
      </c>
      <c r="BV311" s="52" t="str">
        <f>IF(BV128=-1,"x",IF(OR(BV226=1,BV$195=1,$CX128=1),BV128,0))</f>
        <v>x</v>
      </c>
      <c r="BW311" s="50" t="str">
        <f>IF(BW128=-1,"x",IF(OR(BW226=1,BW$195=1,$CY128=1),BW128,0))</f>
        <v>x</v>
      </c>
      <c r="BX311" s="53" t="str">
        <f>IF(BX128=-1,"x",IF(OR(BX226=1,BX$195=1,$CZ128=1),BX128,0))</f>
        <v>x</v>
      </c>
      <c r="BY311" s="49" t="str">
        <f>IF(BY128=-1,"x",IF(OR(BY226=1,BY$195=1,$CX128=1),BY128,0))</f>
        <v>x</v>
      </c>
      <c r="BZ311" s="50" t="str">
        <f>IF(BZ128=-1,"x",IF(OR(BZ226=1,BZ$195=1,$CY128=1),BZ128,0))</f>
        <v>x</v>
      </c>
      <c r="CA311" s="51" t="str">
        <f>IF(CA128=-1,"x",IF(OR(CA226=1,CA$195=1,$CZ128=1),CA128,0))</f>
        <v>x</v>
      </c>
      <c r="CB311" s="52" t="str">
        <f>IF(CB128=-1,"x",IF(OR(CB226=1,CB$195=1,$CX128=1),CB128,0))</f>
        <v>x</v>
      </c>
      <c r="CC311" s="50" t="str">
        <f>IF(CC128=-1,"x",IF(OR(CC226=1,CC$195=1,$CY128=1),CC128,0))</f>
        <v>x</v>
      </c>
      <c r="CD311" s="51" t="str">
        <f>IF(CD128=-1,"x",IF(OR(CD226=1,CD$195=1,$CZ128=1),CD128,0))</f>
        <v>x</v>
      </c>
      <c r="CE311" s="52" t="str">
        <f>IF(CE128=-1,"x",IF(OR(CE226=1,CE$195=1,$CX128=1),CE128,0))</f>
        <v>x</v>
      </c>
      <c r="CF311" s="50" t="str">
        <f>IF(CF128=-1,"x",IF(OR(CF226=1,CF$195=1,$CY128=1),CF128,0))</f>
        <v>x</v>
      </c>
      <c r="CG311" s="53" t="str">
        <f>IF(CG128=-1,"x",IF(OR(CG226=1,CG$195=1,$CZ128=1),CG128,0))</f>
        <v>x</v>
      </c>
      <c r="CH311" s="49" t="str">
        <f>IF(CH128=-1,"x",IF(OR(CH226=1,CH$195=1,$CX128=1),CH128,0))</f>
        <v>x</v>
      </c>
      <c r="CI311" s="50" t="str">
        <f>IF(CI128=-1,"x",IF(OR(CI226=1,CI$195=1,$CY128=1),CI128,0))</f>
        <v>x</v>
      </c>
      <c r="CJ311" s="51" t="str">
        <f>IF(CJ128=-1,"x",IF(OR(CJ226=1,CJ$195=1,$CZ128=1),CJ128,0))</f>
        <v>x</v>
      </c>
      <c r="CK311" s="52" t="str">
        <f>IF(CK128=-1,"x",IF(OR(CK226=1,CK$195=1,$CX128=1),CK128,0))</f>
        <v>x</v>
      </c>
      <c r="CL311" s="50" t="str">
        <f>IF(CL128=-1,"x",IF(OR(CL226=1,CL$195=1,$CY128=1),CL128,0))</f>
        <v>x</v>
      </c>
      <c r="CM311" s="51" t="str">
        <f>IF(CM128=-1,"x",IF(OR(CM226=1,CM$195=1,$CZ128=1),CM128,0))</f>
        <v>x</v>
      </c>
      <c r="CN311" s="52" t="str">
        <f>IF(CN128=-1,"x",IF(OR(CN226=1,CN$195=1,$CX128=1),CN128,0))</f>
        <v>x</v>
      </c>
      <c r="CO311" s="50" t="str">
        <f>IF(CO128=-1,"x",IF(OR(CO226=1,CO$195=1,$CY128=1),CO128,0))</f>
        <v>x</v>
      </c>
      <c r="CP311" s="105" t="str">
        <f>IF(CP128=-1,"x",IF(OR(CP226=1,CP$195=1,$CZ128=1),CP128,0))</f>
        <v>x</v>
      </c>
      <c r="DJ311" s="116">
        <f t="shared" ref="DJ311:FU311" si="1094">DJ308</f>
        <v>6</v>
      </c>
      <c r="DK311" s="116">
        <f t="shared" si="1094"/>
        <v>1</v>
      </c>
      <c r="DL311" s="116">
        <f t="shared" si="1094"/>
        <v>4</v>
      </c>
      <c r="DM311" s="116">
        <f t="shared" si="1094"/>
        <v>6</v>
      </c>
      <c r="DN311" s="116">
        <f t="shared" si="1094"/>
        <v>1</v>
      </c>
      <c r="DO311" s="116">
        <f t="shared" si="1094"/>
        <v>4</v>
      </c>
      <c r="DP311" s="116">
        <f t="shared" si="1094"/>
        <v>6</v>
      </c>
      <c r="DQ311" s="116">
        <f t="shared" si="1094"/>
        <v>1</v>
      </c>
      <c r="DR311" s="116">
        <f t="shared" si="1094"/>
        <v>4</v>
      </c>
      <c r="DS311" s="116">
        <f t="shared" si="1094"/>
        <v>6</v>
      </c>
      <c r="DT311" s="116">
        <f t="shared" si="1094"/>
        <v>1</v>
      </c>
      <c r="DU311" s="116">
        <f t="shared" si="1094"/>
        <v>4</v>
      </c>
      <c r="DV311" s="116">
        <f t="shared" si="1094"/>
        <v>6</v>
      </c>
      <c r="DW311" s="116">
        <f t="shared" si="1094"/>
        <v>1</v>
      </c>
      <c r="DX311" s="116">
        <f t="shared" si="1094"/>
        <v>4</v>
      </c>
      <c r="DY311" s="116">
        <f t="shared" si="1094"/>
        <v>6</v>
      </c>
      <c r="DZ311" s="116">
        <f t="shared" si="1094"/>
        <v>1</v>
      </c>
      <c r="EA311" s="116">
        <f t="shared" si="1094"/>
        <v>4</v>
      </c>
      <c r="EB311" s="116">
        <f t="shared" si="1094"/>
        <v>6</v>
      </c>
      <c r="EC311" s="116">
        <f t="shared" si="1094"/>
        <v>1</v>
      </c>
      <c r="ED311" s="116">
        <f t="shared" si="1094"/>
        <v>4</v>
      </c>
      <c r="EE311" s="116">
        <f t="shared" si="1094"/>
        <v>6</v>
      </c>
      <c r="EF311" s="116">
        <f t="shared" si="1094"/>
        <v>1</v>
      </c>
      <c r="EG311" s="116">
        <f t="shared" si="1094"/>
        <v>4</v>
      </c>
      <c r="EH311" s="116">
        <f t="shared" si="1094"/>
        <v>6</v>
      </c>
      <c r="EI311" s="116">
        <f t="shared" si="1094"/>
        <v>1</v>
      </c>
      <c r="EJ311" s="116">
        <f t="shared" si="1094"/>
        <v>4</v>
      </c>
      <c r="EK311" s="116">
        <f t="shared" si="1094"/>
        <v>1</v>
      </c>
      <c r="EL311" s="116">
        <f t="shared" si="1094"/>
        <v>0</v>
      </c>
      <c r="EM311" s="116">
        <f t="shared" si="1094"/>
        <v>0</v>
      </c>
      <c r="EN311" s="116">
        <f t="shared" si="1094"/>
        <v>1</v>
      </c>
      <c r="EO311" s="116">
        <f t="shared" si="1094"/>
        <v>0</v>
      </c>
      <c r="EP311" s="116">
        <f t="shared" si="1094"/>
        <v>0</v>
      </c>
      <c r="EQ311" s="116">
        <f t="shared" si="1094"/>
        <v>1</v>
      </c>
      <c r="ER311" s="116">
        <f t="shared" si="1094"/>
        <v>0</v>
      </c>
      <c r="ES311" s="116">
        <f t="shared" si="1094"/>
        <v>0</v>
      </c>
      <c r="ET311" s="116">
        <f t="shared" si="1094"/>
        <v>1</v>
      </c>
      <c r="EU311" s="116">
        <f t="shared" si="1094"/>
        <v>0</v>
      </c>
      <c r="EV311" s="116">
        <f t="shared" si="1094"/>
        <v>0</v>
      </c>
      <c r="EW311" s="116">
        <f t="shared" si="1094"/>
        <v>1</v>
      </c>
      <c r="EX311" s="116">
        <f t="shared" si="1094"/>
        <v>0</v>
      </c>
      <c r="EY311" s="116">
        <f t="shared" si="1094"/>
        <v>0</v>
      </c>
      <c r="EZ311" s="116">
        <f t="shared" si="1094"/>
        <v>1</v>
      </c>
      <c r="FA311" s="116">
        <f t="shared" si="1094"/>
        <v>0</v>
      </c>
      <c r="FB311" s="116">
        <f t="shared" si="1094"/>
        <v>0</v>
      </c>
      <c r="FC311" s="116">
        <f t="shared" si="1094"/>
        <v>1</v>
      </c>
      <c r="FD311" s="116">
        <f t="shared" si="1094"/>
        <v>0</v>
      </c>
      <c r="FE311" s="116">
        <f t="shared" si="1094"/>
        <v>0</v>
      </c>
      <c r="FF311" s="116">
        <f t="shared" si="1094"/>
        <v>1</v>
      </c>
      <c r="FG311" s="116">
        <f t="shared" si="1094"/>
        <v>0</v>
      </c>
      <c r="FH311" s="116">
        <f t="shared" si="1094"/>
        <v>0</v>
      </c>
      <c r="FI311" s="116">
        <f t="shared" si="1094"/>
        <v>1</v>
      </c>
      <c r="FJ311" s="116">
        <f t="shared" si="1094"/>
        <v>0</v>
      </c>
      <c r="FK311" s="116">
        <f t="shared" si="1094"/>
        <v>0</v>
      </c>
      <c r="FL311" s="116">
        <f t="shared" si="1094"/>
        <v>2</v>
      </c>
      <c r="FM311" s="116">
        <f t="shared" si="1094"/>
        <v>0</v>
      </c>
      <c r="FN311" s="116">
        <f t="shared" si="1094"/>
        <v>2</v>
      </c>
      <c r="FO311" s="116">
        <f t="shared" si="1094"/>
        <v>2</v>
      </c>
      <c r="FP311" s="116">
        <f t="shared" si="1094"/>
        <v>0</v>
      </c>
      <c r="FQ311" s="116">
        <f t="shared" si="1094"/>
        <v>2</v>
      </c>
      <c r="FR311" s="116">
        <f t="shared" si="1094"/>
        <v>2</v>
      </c>
      <c r="FS311" s="116">
        <f t="shared" si="1094"/>
        <v>0</v>
      </c>
      <c r="FT311" s="116">
        <f t="shared" si="1094"/>
        <v>2</v>
      </c>
      <c r="FU311" s="116">
        <f t="shared" si="1094"/>
        <v>2</v>
      </c>
      <c r="FV311" s="116">
        <f t="shared" ref="FV311:GL311" si="1095">FV308</f>
        <v>0</v>
      </c>
      <c r="FW311" s="116">
        <f t="shared" si="1095"/>
        <v>2</v>
      </c>
      <c r="FX311" s="116">
        <f t="shared" si="1095"/>
        <v>2</v>
      </c>
      <c r="FY311" s="116">
        <f t="shared" si="1095"/>
        <v>0</v>
      </c>
      <c r="FZ311" s="116">
        <f t="shared" si="1095"/>
        <v>2</v>
      </c>
      <c r="GA311" s="116">
        <f t="shared" si="1095"/>
        <v>2</v>
      </c>
      <c r="GB311" s="116">
        <f t="shared" si="1095"/>
        <v>0</v>
      </c>
      <c r="GC311" s="116">
        <f t="shared" si="1095"/>
        <v>2</v>
      </c>
      <c r="GD311" s="116">
        <f t="shared" si="1095"/>
        <v>2</v>
      </c>
      <c r="GE311" s="116">
        <f t="shared" si="1095"/>
        <v>0</v>
      </c>
      <c r="GF311" s="116">
        <f t="shared" si="1095"/>
        <v>2</v>
      </c>
      <c r="GG311" s="116">
        <f t="shared" si="1095"/>
        <v>2</v>
      </c>
      <c r="GH311" s="116">
        <f t="shared" si="1095"/>
        <v>0</v>
      </c>
      <c r="GI311" s="116">
        <f t="shared" si="1095"/>
        <v>2</v>
      </c>
      <c r="GJ311" s="116">
        <f t="shared" si="1095"/>
        <v>2</v>
      </c>
      <c r="GK311" s="116">
        <f t="shared" si="1095"/>
        <v>0</v>
      </c>
      <c r="GL311" s="116">
        <f t="shared" si="1095"/>
        <v>2</v>
      </c>
    </row>
    <row r="312" spans="14:194" ht="15" customHeight="1">
      <c r="N312" s="94" t="str">
        <f>IF(N129=-1,"x",IF(OR(N227=1,N$196=1,$CX129=1),N129,0))</f>
        <v>x</v>
      </c>
      <c r="O312" s="39" t="str">
        <f>IF(O129=-1,"x",IF(OR(O227=1,O$196=1,$CY129=1),O129,0))</f>
        <v>x</v>
      </c>
      <c r="P312" s="41" t="str">
        <f>IF(P129=-1,"x",IF(OR(P227=1,P$196=1,$CZ129=1),P129,0))</f>
        <v>x</v>
      </c>
      <c r="Q312" s="40" t="str">
        <f>IF(Q129=-1,"x",IF(OR(Q227=1,Q$196=1,$CX129=1),Q129,0))</f>
        <v>x</v>
      </c>
      <c r="R312" s="39" t="str">
        <f>IF(R129=-1,"x",IF(OR(R227=1,R$196=1,$CY129=1),R129,0))</f>
        <v>x</v>
      </c>
      <c r="S312" s="41" t="str">
        <f>IF(S129=-1,"x",IF(OR(S227=1,S$196=1,$CZ129=1),S129,0))</f>
        <v>x</v>
      </c>
      <c r="T312" s="40" t="str">
        <f>IF(T129=-1,"x",IF(OR(T227=1,T$196=1,$CX129=1),T129,0))</f>
        <v>x</v>
      </c>
      <c r="U312" s="39" t="str">
        <f>IF(U129=-1,"x",IF(OR(U227=1,U$196=1,$CY129=1),U129,0))</f>
        <v>x</v>
      </c>
      <c r="V312" s="42" t="str">
        <f>IF(V129=-1,"x",IF(OR(V227=1,V$196=1,$CZ129=1),V129,0))</f>
        <v>x</v>
      </c>
      <c r="W312" s="43" t="str">
        <f>IF(W129=-1,"x",IF(OR(W227=1,W$196=1,$CX129=1),W129,0))</f>
        <v>x</v>
      </c>
      <c r="X312" s="39" t="str">
        <f>IF(X129=-1,"x",IF(OR(X227=1,X$196=1,$CY129=1),X129,0))</f>
        <v>x</v>
      </c>
      <c r="Y312" s="41" t="str">
        <f>IF(Y129=-1,"x",IF(OR(Y227=1,Y$196=1,$CZ129=1),Y129,0))</f>
        <v>x</v>
      </c>
      <c r="Z312" s="40" t="str">
        <f>IF(Z129=-1,"x",IF(OR(Z227=1,Z$196=1,$CX129=1),Z129,0))</f>
        <v>x</v>
      </c>
      <c r="AA312" s="39" t="str">
        <f>IF(AA129=-1,"x",IF(OR(AA227=1,AA$196=1,$CY129=1),AA129,0))</f>
        <v>x</v>
      </c>
      <c r="AB312" s="41" t="str">
        <f>IF(AB129=-1,"x",IF(OR(AB227=1,AB$196=1,$CZ129=1),AB129,0))</f>
        <v>x</v>
      </c>
      <c r="AC312" s="40" t="str">
        <f>IF(AC129=-1,"x",IF(OR(AC227=1,AC$196=1,$CX129=1),AC129,0))</f>
        <v>x</v>
      </c>
      <c r="AD312" s="39" t="str">
        <f>IF(AD129=-1,"x",IF(OR(AD227=1,AD$196=1,$CY129=1),AD129,0))</f>
        <v>x</v>
      </c>
      <c r="AE312" s="42" t="str">
        <f>IF(AE129=-1,"x",IF(OR(AE227=1,AE$196=1,$CZ129=1),AE129,0))</f>
        <v>x</v>
      </c>
      <c r="AF312" s="43" t="str">
        <f>IF(AF129=-1,"x",IF(OR(AF227=1,AF$196=1,$CX129=1),AF129,0))</f>
        <v>x</v>
      </c>
      <c r="AG312" s="39" t="str">
        <f>IF(AG129=-1,"x",IF(OR(AG227=1,AG$196=1,$CY129=1),AG129,0))</f>
        <v>x</v>
      </c>
      <c r="AH312" s="41" t="str">
        <f>IF(AH129=-1,"x",IF(OR(AH227=1,AH$196=1,$CZ129=1),AH129,0))</f>
        <v>x</v>
      </c>
      <c r="AI312" s="40" t="str">
        <f>IF(AI129=-1,"x",IF(OR(AI227=1,AI$196=1,$CX129=1),AI129,0))</f>
        <v>x</v>
      </c>
      <c r="AJ312" s="39" t="str">
        <f>IF(AJ129=-1,"x",IF(OR(AJ227=1,AJ$196=1,$CY129=1),AJ129,0))</f>
        <v>x</v>
      </c>
      <c r="AK312" s="41" t="str">
        <f>IF(AK129=-1,"x",IF(OR(AK227=1,AK$196=1,$CZ129=1),AK129,0))</f>
        <v>x</v>
      </c>
      <c r="AL312" s="40" t="str">
        <f>IF(AL129=-1,"x",IF(OR(AL227=1,AL$196=1,$CX129=1),AL129,0))</f>
        <v>x</v>
      </c>
      <c r="AM312" s="39" t="str">
        <f>IF(AM129=-1,"x",IF(OR(AM227=1,AM$196=1,$CY129=1),AM129,0))</f>
        <v>x</v>
      </c>
      <c r="AN312" s="95" t="str">
        <f>IF(AN129=-1,"x",IF(OR(AN227=1,AN$196=1,$CZ129=1),AN129,0))</f>
        <v>x</v>
      </c>
      <c r="AO312" s="94" t="str">
        <f>IF(AO129=-1,"x",IF(OR(AO227=1,AO$196=1,$CX129=1),AO129,0))</f>
        <v>x</v>
      </c>
      <c r="AP312" s="39" t="str">
        <f>IF(AP129=-1,"x",IF(OR(AP227=1,AP$196=1,$CY129=1),AP129,0))</f>
        <v>x</v>
      </c>
      <c r="AQ312" s="41" t="str">
        <f>IF(AQ129=-1,"x",IF(OR(AQ227=1,AQ$196=1,$CZ129=1),AQ129,0))</f>
        <v>x</v>
      </c>
      <c r="AR312" s="40" t="str">
        <f>IF(AR129=-1,"x",IF(OR(AR227=1,AR$196=1,$CX129=1),AR129,0))</f>
        <v>x</v>
      </c>
      <c r="AS312" s="39" t="str">
        <f>IF(AS129=-1,"x",IF(OR(AS227=1,AS$196=1,$CY129=1),AS129,0))</f>
        <v>x</v>
      </c>
      <c r="AT312" s="41" t="str">
        <f>IF(AT129=-1,"x",IF(OR(AT227=1,AT$196=1,$CZ129=1),AT129,0))</f>
        <v>x</v>
      </c>
      <c r="AU312" s="40" t="str">
        <f>IF(AU129=-1,"x",IF(OR(AU227=1,AU$196=1,$CX129=1),AU129,0))</f>
        <v>x</v>
      </c>
      <c r="AV312" s="39" t="str">
        <f>IF(AV129=-1,"x",IF(OR(AV227=1,AV$196=1,$CY129=1),AV129,0))</f>
        <v>x</v>
      </c>
      <c r="AW312" s="42" t="str">
        <f>IF(AW129=-1,"x",IF(OR(AW227=1,AW$196=1,$CZ129=1),AW129,0))</f>
        <v>x</v>
      </c>
      <c r="AX312" s="43" t="str">
        <f>IF(AX129=-1,"x",IF(OR(AX227=1,AX$196=1,$CX129=1),AX129,0))</f>
        <v>x</v>
      </c>
      <c r="AY312" s="39" t="str">
        <f>IF(AY129=-1,"x",IF(OR(AY227=1,AY$196=1,$CY129=1),AY129,0))</f>
        <v>x</v>
      </c>
      <c r="AZ312" s="41" t="str">
        <f>IF(AZ129=-1,"x",IF(OR(AZ227=1,AZ$196=1,$CZ129=1),AZ129,0))</f>
        <v>x</v>
      </c>
      <c r="BA312" s="40" t="str">
        <f>IF(BA129=-1,"x",IF(OR(BA227=1,BA$196=1,$CX129=1),BA129,0))</f>
        <v>x</v>
      </c>
      <c r="BB312" s="39" t="str">
        <f>IF(BB129=-1,"x",IF(OR(BB227=1,BB$196=1,$CY129=1),BB129,0))</f>
        <v>x</v>
      </c>
      <c r="BC312" s="41" t="str">
        <f>IF(BC129=-1,"x",IF(OR(BC227=1,BC$196=1,$CZ129=1),BC129,0))</f>
        <v>x</v>
      </c>
      <c r="BD312" s="40" t="str">
        <f>IF(BD129=-1,"x",IF(OR(BD227=1,BD$196=1,$CX129=1),BD129,0))</f>
        <v>x</v>
      </c>
      <c r="BE312" s="39" t="str">
        <f>IF(BE129=-1,"x",IF(OR(BE227=1,BE$196=1,$CY129=1),BE129,0))</f>
        <v>x</v>
      </c>
      <c r="BF312" s="42" t="str">
        <f>IF(BF129=-1,"x",IF(OR(BF227=1,BF$196=1,$CZ129=1),BF129,0))</f>
        <v>x</v>
      </c>
      <c r="BG312" s="43" t="str">
        <f>IF(BG129=-1,"x",IF(OR(BG227=1,BG$196=1,$CX129=1),BG129,0))</f>
        <v>x</v>
      </c>
      <c r="BH312" s="39" t="str">
        <f>IF(BH129=-1,"x",IF(OR(BH227=1,BH$196=1,$CY129=1),BH129,0))</f>
        <v>x</v>
      </c>
      <c r="BI312" s="41" t="str">
        <f>IF(BI129=-1,"x",IF(OR(BI227=1,BI$196=1,$CZ129=1),BI129,0))</f>
        <v>x</v>
      </c>
      <c r="BJ312" s="40" t="str">
        <f>IF(BJ129=-1,"x",IF(OR(BJ227=1,BJ$196=1,$CX129=1),BJ129,0))</f>
        <v>x</v>
      </c>
      <c r="BK312" s="39" t="str">
        <f>IF(BK129=-1,"x",IF(OR(BK227=1,BK$196=1,$CY129=1),BK129,0))</f>
        <v>x</v>
      </c>
      <c r="BL312" s="41" t="str">
        <f>IF(BL129=-1,"x",IF(OR(BL227=1,BL$196=1,$CZ129=1),BL129,0))</f>
        <v>x</v>
      </c>
      <c r="BM312" s="40" t="str">
        <f>IF(BM129=-1,"x",IF(OR(BM227=1,BM$196=1,$CX129=1),BM129,0))</f>
        <v>x</v>
      </c>
      <c r="BN312" s="39" t="str">
        <f>IF(BN129=-1,"x",IF(OR(BN227=1,BN$196=1,$CY129=1),BN129,0))</f>
        <v>x</v>
      </c>
      <c r="BO312" s="95" t="str">
        <f>IF(BO129=-1,"x",IF(OR(BO227=1,BO$196=1,$CZ129=1),BO129,0))</f>
        <v>x</v>
      </c>
      <c r="BP312" s="94" t="str">
        <f>IF(BP129=-1,"x",IF(OR(BP227=1,BP$196=1,$CX129=1),BP129,0))</f>
        <v>x</v>
      </c>
      <c r="BQ312" s="39" t="str">
        <f>IF(BQ129=-1,"x",IF(OR(BQ227=1,BQ$196=1,$CY129=1),BQ129,0))</f>
        <v>x</v>
      </c>
      <c r="BR312" s="41" t="str">
        <f>IF(BR129=-1,"x",IF(OR(BR227=1,BR$196=1,$CZ129=1),BR129,0))</f>
        <v>x</v>
      </c>
      <c r="BS312" s="40" t="str">
        <f>IF(BS129=-1,"x",IF(OR(BS227=1,BS$196=1,$CX129=1),BS129,0))</f>
        <v>x</v>
      </c>
      <c r="BT312" s="39" t="str">
        <f>IF(BT129=-1,"x",IF(OR(BT227=1,BT$196=1,$CY129=1),BT129,0))</f>
        <v>x</v>
      </c>
      <c r="BU312" s="41" t="str">
        <f>IF(BU129=-1,"x",IF(OR(BU227=1,BU$196=1,$CZ129=1),BU129,0))</f>
        <v>x</v>
      </c>
      <c r="BV312" s="40" t="str">
        <f>IF(BV129=-1,"x",IF(OR(BV227=1,BV$196=1,$CX129=1),BV129,0))</f>
        <v>x</v>
      </c>
      <c r="BW312" s="39" t="str">
        <f>IF(BW129=-1,"x",IF(OR(BW227=1,BW$196=1,$CY129=1),BW129,0))</f>
        <v>x</v>
      </c>
      <c r="BX312" s="42" t="str">
        <f>IF(BX129=-1,"x",IF(OR(BX227=1,BX$196=1,$CZ129=1),BX129,0))</f>
        <v>x</v>
      </c>
      <c r="BY312" s="43" t="str">
        <f>IF(BY129=-1,"x",IF(OR(BY227=1,BY$196=1,$CX129=1),BY129,0))</f>
        <v>x</v>
      </c>
      <c r="BZ312" s="39" t="str">
        <f>IF(BZ129=-1,"x",IF(OR(BZ227=1,BZ$196=1,$CY129=1),BZ129,0))</f>
        <v>x</v>
      </c>
      <c r="CA312" s="41" t="str">
        <f>IF(CA129=-1,"x",IF(OR(CA227=1,CA$196=1,$CZ129=1),CA129,0))</f>
        <v>x</v>
      </c>
      <c r="CB312" s="40" t="str">
        <f>IF(CB129=-1,"x",IF(OR(CB227=1,CB$196=1,$CX129=1),CB129,0))</f>
        <v>x</v>
      </c>
      <c r="CC312" s="39" t="str">
        <f>IF(CC129=-1,"x",IF(OR(CC227=1,CC$196=1,$CY129=1),CC129,0))</f>
        <v>x</v>
      </c>
      <c r="CD312" s="41" t="str">
        <f>IF(CD129=-1,"x",IF(OR(CD227=1,CD$196=1,$CZ129=1),CD129,0))</f>
        <v>x</v>
      </c>
      <c r="CE312" s="40" t="str">
        <f>IF(CE129=-1,"x",IF(OR(CE227=1,CE$196=1,$CX129=1),CE129,0))</f>
        <v>x</v>
      </c>
      <c r="CF312" s="39" t="str">
        <f>IF(CF129=-1,"x",IF(OR(CF227=1,CF$196=1,$CY129=1),CF129,0))</f>
        <v>x</v>
      </c>
      <c r="CG312" s="42" t="str">
        <f>IF(CG129=-1,"x",IF(OR(CG227=1,CG$196=1,$CZ129=1),CG129,0))</f>
        <v>x</v>
      </c>
      <c r="CH312" s="43" t="str">
        <f>IF(CH129=-1,"x",IF(OR(CH227=1,CH$196=1,$CX129=1),CH129,0))</f>
        <v>x</v>
      </c>
      <c r="CI312" s="39" t="str">
        <f>IF(CI129=-1,"x",IF(OR(CI227=1,CI$196=1,$CY129=1),CI129,0))</f>
        <v>x</v>
      </c>
      <c r="CJ312" s="41" t="str">
        <f>IF(CJ129=-1,"x",IF(OR(CJ227=1,CJ$196=1,$CZ129=1),CJ129,0))</f>
        <v>x</v>
      </c>
      <c r="CK312" s="40" t="str">
        <f>IF(CK129=-1,"x",IF(OR(CK227=1,CK$196=1,$CX129=1),CK129,0))</f>
        <v>x</v>
      </c>
      <c r="CL312" s="39" t="str">
        <f>IF(CL129=-1,"x",IF(OR(CL227=1,CL$196=1,$CY129=1),CL129,0))</f>
        <v>x</v>
      </c>
      <c r="CM312" s="41" t="str">
        <f>IF(CM129=-1,"x",IF(OR(CM227=1,CM$196=1,$CZ129=1),CM129,0))</f>
        <v>x</v>
      </c>
      <c r="CN312" s="40" t="str">
        <f>IF(CN129=-1,"x",IF(OR(CN227=1,CN$196=1,$CX129=1),CN129,0))</f>
        <v>x</v>
      </c>
      <c r="CO312" s="39" t="str">
        <f>IF(CO129=-1,"x",IF(OR(CO227=1,CO$196=1,$CY129=1),CO129,0))</f>
        <v>x</v>
      </c>
      <c r="CP312" s="95" t="str">
        <f>IF(CP129=-1,"x",IF(OR(CP227=1,CP$196=1,$CZ129=1),CP129,0))</f>
        <v>x</v>
      </c>
      <c r="DJ312" s="116">
        <f t="shared" ref="DJ312:FU312" si="1096">DJ309</f>
        <v>0</v>
      </c>
      <c r="DK312" s="116">
        <f t="shared" si="1096"/>
        <v>2</v>
      </c>
      <c r="DL312" s="116">
        <f t="shared" si="1096"/>
        <v>0</v>
      </c>
      <c r="DM312" s="116">
        <f t="shared" si="1096"/>
        <v>0</v>
      </c>
      <c r="DN312" s="116">
        <f t="shared" si="1096"/>
        <v>2</v>
      </c>
      <c r="DO312" s="116">
        <f t="shared" si="1096"/>
        <v>0</v>
      </c>
      <c r="DP312" s="116">
        <f t="shared" si="1096"/>
        <v>0</v>
      </c>
      <c r="DQ312" s="116">
        <f t="shared" si="1096"/>
        <v>2</v>
      </c>
      <c r="DR312" s="116">
        <f t="shared" si="1096"/>
        <v>0</v>
      </c>
      <c r="DS312" s="116">
        <f t="shared" si="1096"/>
        <v>0</v>
      </c>
      <c r="DT312" s="116">
        <f t="shared" si="1096"/>
        <v>2</v>
      </c>
      <c r="DU312" s="116">
        <f t="shared" si="1096"/>
        <v>0</v>
      </c>
      <c r="DV312" s="116">
        <f t="shared" si="1096"/>
        <v>0</v>
      </c>
      <c r="DW312" s="116">
        <f t="shared" si="1096"/>
        <v>2</v>
      </c>
      <c r="DX312" s="116">
        <f t="shared" si="1096"/>
        <v>0</v>
      </c>
      <c r="DY312" s="116">
        <f t="shared" si="1096"/>
        <v>0</v>
      </c>
      <c r="DZ312" s="116">
        <f t="shared" si="1096"/>
        <v>2</v>
      </c>
      <c r="EA312" s="116">
        <f t="shared" si="1096"/>
        <v>0</v>
      </c>
      <c r="EB312" s="116">
        <f t="shared" si="1096"/>
        <v>0</v>
      </c>
      <c r="EC312" s="116">
        <f t="shared" si="1096"/>
        <v>2</v>
      </c>
      <c r="ED312" s="116">
        <f t="shared" si="1096"/>
        <v>0</v>
      </c>
      <c r="EE312" s="116">
        <f t="shared" si="1096"/>
        <v>0</v>
      </c>
      <c r="EF312" s="116">
        <f t="shared" si="1096"/>
        <v>2</v>
      </c>
      <c r="EG312" s="116">
        <f t="shared" si="1096"/>
        <v>0</v>
      </c>
      <c r="EH312" s="116">
        <f t="shared" si="1096"/>
        <v>0</v>
      </c>
      <c r="EI312" s="116">
        <f t="shared" si="1096"/>
        <v>2</v>
      </c>
      <c r="EJ312" s="116">
        <f t="shared" si="1096"/>
        <v>0</v>
      </c>
      <c r="EK312" s="116">
        <f t="shared" si="1096"/>
        <v>1</v>
      </c>
      <c r="EL312" s="116">
        <f t="shared" si="1096"/>
        <v>2</v>
      </c>
      <c r="EM312" s="116">
        <f t="shared" si="1096"/>
        <v>0</v>
      </c>
      <c r="EN312" s="116">
        <f t="shared" si="1096"/>
        <v>1</v>
      </c>
      <c r="EO312" s="116">
        <f t="shared" si="1096"/>
        <v>2</v>
      </c>
      <c r="EP312" s="116">
        <f t="shared" si="1096"/>
        <v>0</v>
      </c>
      <c r="EQ312" s="116">
        <f t="shared" si="1096"/>
        <v>1</v>
      </c>
      <c r="ER312" s="116">
        <f t="shared" si="1096"/>
        <v>2</v>
      </c>
      <c r="ES312" s="116">
        <f t="shared" si="1096"/>
        <v>0</v>
      </c>
      <c r="ET312" s="116">
        <f t="shared" si="1096"/>
        <v>1</v>
      </c>
      <c r="EU312" s="116">
        <f t="shared" si="1096"/>
        <v>2</v>
      </c>
      <c r="EV312" s="116">
        <f t="shared" si="1096"/>
        <v>0</v>
      </c>
      <c r="EW312" s="116">
        <f t="shared" si="1096"/>
        <v>1</v>
      </c>
      <c r="EX312" s="116">
        <f t="shared" si="1096"/>
        <v>2</v>
      </c>
      <c r="EY312" s="116">
        <f t="shared" si="1096"/>
        <v>0</v>
      </c>
      <c r="EZ312" s="116">
        <f t="shared" si="1096"/>
        <v>1</v>
      </c>
      <c r="FA312" s="116">
        <f t="shared" si="1096"/>
        <v>2</v>
      </c>
      <c r="FB312" s="116">
        <f t="shared" si="1096"/>
        <v>0</v>
      </c>
      <c r="FC312" s="116">
        <f t="shared" si="1096"/>
        <v>1</v>
      </c>
      <c r="FD312" s="116">
        <f t="shared" si="1096"/>
        <v>2</v>
      </c>
      <c r="FE312" s="116">
        <f t="shared" si="1096"/>
        <v>0</v>
      </c>
      <c r="FF312" s="116">
        <f t="shared" si="1096"/>
        <v>1</v>
      </c>
      <c r="FG312" s="116">
        <f t="shared" si="1096"/>
        <v>2</v>
      </c>
      <c r="FH312" s="116">
        <f t="shared" si="1096"/>
        <v>0</v>
      </c>
      <c r="FI312" s="116">
        <f t="shared" si="1096"/>
        <v>1</v>
      </c>
      <c r="FJ312" s="116">
        <f t="shared" si="1096"/>
        <v>2</v>
      </c>
      <c r="FK312" s="116">
        <f t="shared" si="1096"/>
        <v>0</v>
      </c>
      <c r="FL312" s="116">
        <f t="shared" si="1096"/>
        <v>1</v>
      </c>
      <c r="FM312" s="116">
        <f t="shared" si="1096"/>
        <v>7</v>
      </c>
      <c r="FN312" s="116">
        <f t="shared" si="1096"/>
        <v>0</v>
      </c>
      <c r="FO312" s="116">
        <f t="shared" si="1096"/>
        <v>1</v>
      </c>
      <c r="FP312" s="116">
        <f t="shared" si="1096"/>
        <v>7</v>
      </c>
      <c r="FQ312" s="116">
        <f t="shared" si="1096"/>
        <v>0</v>
      </c>
      <c r="FR312" s="116">
        <f t="shared" si="1096"/>
        <v>1</v>
      </c>
      <c r="FS312" s="116">
        <f t="shared" si="1096"/>
        <v>7</v>
      </c>
      <c r="FT312" s="116">
        <f t="shared" si="1096"/>
        <v>0</v>
      </c>
      <c r="FU312" s="116">
        <f t="shared" si="1096"/>
        <v>1</v>
      </c>
      <c r="FV312" s="116">
        <f t="shared" ref="FV312:GL312" si="1097">FV309</f>
        <v>7</v>
      </c>
      <c r="FW312" s="116">
        <f t="shared" si="1097"/>
        <v>0</v>
      </c>
      <c r="FX312" s="116">
        <f t="shared" si="1097"/>
        <v>1</v>
      </c>
      <c r="FY312" s="116">
        <f t="shared" si="1097"/>
        <v>7</v>
      </c>
      <c r="FZ312" s="116">
        <f t="shared" si="1097"/>
        <v>0</v>
      </c>
      <c r="GA312" s="116">
        <f t="shared" si="1097"/>
        <v>1</v>
      </c>
      <c r="GB312" s="116">
        <f t="shared" si="1097"/>
        <v>7</v>
      </c>
      <c r="GC312" s="116">
        <f t="shared" si="1097"/>
        <v>0</v>
      </c>
      <c r="GD312" s="116">
        <f t="shared" si="1097"/>
        <v>1</v>
      </c>
      <c r="GE312" s="116">
        <f t="shared" si="1097"/>
        <v>7</v>
      </c>
      <c r="GF312" s="116">
        <f t="shared" si="1097"/>
        <v>0</v>
      </c>
      <c r="GG312" s="116">
        <f t="shared" si="1097"/>
        <v>1</v>
      </c>
      <c r="GH312" s="116">
        <f t="shared" si="1097"/>
        <v>7</v>
      </c>
      <c r="GI312" s="116">
        <f t="shared" si="1097"/>
        <v>0</v>
      </c>
      <c r="GJ312" s="116">
        <f t="shared" si="1097"/>
        <v>1</v>
      </c>
      <c r="GK312" s="116">
        <f t="shared" si="1097"/>
        <v>7</v>
      </c>
      <c r="GL312" s="116">
        <f t="shared" si="1097"/>
        <v>0</v>
      </c>
    </row>
    <row r="313" spans="14:194" ht="15" customHeight="1">
      <c r="N313" s="99" t="str">
        <f>IF(N130=-1,"x",IF(OR(N228=1,N$197=1,$CX130=1),N130,0))</f>
        <v>x</v>
      </c>
      <c r="O313" s="45" t="str">
        <f>IF(O130=-1,"x",IF(OR(O228=1,O$197=1,$CY130=1),O130,0))</f>
        <v>x</v>
      </c>
      <c r="P313" s="47" t="str">
        <f>IF(P130=-1,"x",IF(OR(P228=1,P$197=1,$CZ130=1),P130,0))</f>
        <v>x</v>
      </c>
      <c r="Q313" s="46" t="str">
        <f>IF(Q130=-1,"x",IF(OR(Q228=1,Q$197=1,$CX130=1),Q130,0))</f>
        <v>x</v>
      </c>
      <c r="R313" s="45" t="str">
        <f>IF(R130=-1,"x",IF(OR(R228=1,R$197=1,$CY130=1),R130,0))</f>
        <v>x</v>
      </c>
      <c r="S313" s="47" t="str">
        <f>IF(S130=-1,"x",IF(OR(S228=1,S$197=1,$CZ130=1),S130,0))</f>
        <v>x</v>
      </c>
      <c r="T313" s="46" t="str">
        <f>IF(T130=-1,"x",IF(OR(T228=1,T$197=1,$CX130=1),T130,0))</f>
        <v>x</v>
      </c>
      <c r="U313" s="45" t="str">
        <f>IF(U130=-1,"x",IF(OR(U228=1,U$197=1,$CY130=1),U130,0))</f>
        <v>x</v>
      </c>
      <c r="V313" s="48" t="str">
        <f>IF(V130=-1,"x",IF(OR(V228=1,V$197=1,$CZ130=1),V130,0))</f>
        <v>x</v>
      </c>
      <c r="W313" s="44" t="str">
        <f>IF(W130=-1,"x",IF(OR(W228=1,W$197=1,$CX130=1),W130,0))</f>
        <v>x</v>
      </c>
      <c r="X313" s="45" t="str">
        <f>IF(X130=-1,"x",IF(OR(X228=1,X$197=1,$CY130=1),X130,0))</f>
        <v>x</v>
      </c>
      <c r="Y313" s="47" t="str">
        <f>IF(Y130=-1,"x",IF(OR(Y228=1,Y$197=1,$CZ130=1),Y130,0))</f>
        <v>x</v>
      </c>
      <c r="Z313" s="46" t="str">
        <f>IF(Z130=-1,"x",IF(OR(Z228=1,Z$197=1,$CX130=1),Z130,0))</f>
        <v>x</v>
      </c>
      <c r="AA313" s="45" t="str">
        <f>IF(AA130=-1,"x",IF(OR(AA228=1,AA$197=1,$CY130=1),AA130,0))</f>
        <v>x</v>
      </c>
      <c r="AB313" s="47" t="str">
        <f>IF(AB130=-1,"x",IF(OR(AB228=1,AB$197=1,$CZ130=1),AB130,0))</f>
        <v>x</v>
      </c>
      <c r="AC313" s="46" t="str">
        <f>IF(AC130=-1,"x",IF(OR(AC228=1,AC$197=1,$CX130=1),AC130,0))</f>
        <v>x</v>
      </c>
      <c r="AD313" s="45" t="str">
        <f>IF(AD130=-1,"x",IF(OR(AD228=1,AD$197=1,$CY130=1),AD130,0))</f>
        <v>x</v>
      </c>
      <c r="AE313" s="48" t="str">
        <f>IF(AE130=-1,"x",IF(OR(AE228=1,AE$197=1,$CZ130=1),AE130,0))</f>
        <v>x</v>
      </c>
      <c r="AF313" s="44" t="str">
        <f>IF(AF130=-1,"x",IF(OR(AF228=1,AF$197=1,$CX130=1),AF130,0))</f>
        <v>x</v>
      </c>
      <c r="AG313" s="45" t="str">
        <f>IF(AG130=-1,"x",IF(OR(AG228=1,AG$197=1,$CY130=1),AG130,0))</f>
        <v>x</v>
      </c>
      <c r="AH313" s="47" t="str">
        <f>IF(AH130=-1,"x",IF(OR(AH228=1,AH$197=1,$CZ130=1),AH130,0))</f>
        <v>x</v>
      </c>
      <c r="AI313" s="46" t="str">
        <f>IF(AI130=-1,"x",IF(OR(AI228=1,AI$197=1,$CX130=1),AI130,0))</f>
        <v>x</v>
      </c>
      <c r="AJ313" s="45" t="str">
        <f>IF(AJ130=-1,"x",IF(OR(AJ228=1,AJ$197=1,$CY130=1),AJ130,0))</f>
        <v>x</v>
      </c>
      <c r="AK313" s="47" t="str">
        <f>IF(AK130=-1,"x",IF(OR(AK228=1,AK$197=1,$CZ130=1),AK130,0))</f>
        <v>x</v>
      </c>
      <c r="AL313" s="46" t="str">
        <f>IF(AL130=-1,"x",IF(OR(AL228=1,AL$197=1,$CX130=1),AL130,0))</f>
        <v>x</v>
      </c>
      <c r="AM313" s="45" t="str">
        <f>IF(AM130=-1,"x",IF(OR(AM228=1,AM$197=1,$CY130=1),AM130,0))</f>
        <v>x</v>
      </c>
      <c r="AN313" s="100" t="str">
        <f>IF(AN130=-1,"x",IF(OR(AN228=1,AN$197=1,$CZ130=1),AN130,0))</f>
        <v>x</v>
      </c>
      <c r="AO313" s="99" t="str">
        <f>IF(AO130=-1,"x",IF(OR(AO228=1,AO$197=1,$CX130=1),AO130,0))</f>
        <v>x</v>
      </c>
      <c r="AP313" s="45" t="str">
        <f>IF(AP130=-1,"x",IF(OR(AP228=1,AP$197=1,$CY130=1),AP130,0))</f>
        <v>x</v>
      </c>
      <c r="AQ313" s="47" t="str">
        <f>IF(AQ130=-1,"x",IF(OR(AQ228=1,AQ$197=1,$CZ130=1),AQ130,0))</f>
        <v>x</v>
      </c>
      <c r="AR313" s="46" t="str">
        <f>IF(AR130=-1,"x",IF(OR(AR228=1,AR$197=1,$CX130=1),AR130,0))</f>
        <v>x</v>
      </c>
      <c r="AS313" s="45" t="str">
        <f>IF(AS130=-1,"x",IF(OR(AS228=1,AS$197=1,$CY130=1),AS130,0))</f>
        <v>x</v>
      </c>
      <c r="AT313" s="47" t="str">
        <f>IF(AT130=-1,"x",IF(OR(AT228=1,AT$197=1,$CZ130=1),AT130,0))</f>
        <v>x</v>
      </c>
      <c r="AU313" s="46" t="str">
        <f>IF(AU130=-1,"x",IF(OR(AU228=1,AU$197=1,$CX130=1),AU130,0))</f>
        <v>x</v>
      </c>
      <c r="AV313" s="45" t="str">
        <f>IF(AV130=-1,"x",IF(OR(AV228=1,AV$197=1,$CY130=1),AV130,0))</f>
        <v>x</v>
      </c>
      <c r="AW313" s="48" t="str">
        <f>IF(AW130=-1,"x",IF(OR(AW228=1,AW$197=1,$CZ130=1),AW130,0))</f>
        <v>x</v>
      </c>
      <c r="AX313" s="44" t="str">
        <f>IF(AX130=-1,"x",IF(OR(AX228=1,AX$197=1,$CX130=1),AX130,0))</f>
        <v>x</v>
      </c>
      <c r="AY313" s="45" t="str">
        <f>IF(AY130=-1,"x",IF(OR(AY228=1,AY$197=1,$CY130=1),AY130,0))</f>
        <v>x</v>
      </c>
      <c r="AZ313" s="47" t="str">
        <f>IF(AZ130=-1,"x",IF(OR(AZ228=1,AZ$197=1,$CZ130=1),AZ130,0))</f>
        <v>x</v>
      </c>
      <c r="BA313" s="46" t="str">
        <f>IF(BA130=-1,"x",IF(OR(BA228=1,BA$197=1,$CX130=1),BA130,0))</f>
        <v>x</v>
      </c>
      <c r="BB313" s="45" t="str">
        <f>IF(BB130=-1,"x",IF(OR(BB228=1,BB$197=1,$CY130=1),BB130,0))</f>
        <v>x</v>
      </c>
      <c r="BC313" s="47" t="str">
        <f>IF(BC130=-1,"x",IF(OR(BC228=1,BC$197=1,$CZ130=1),BC130,0))</f>
        <v>x</v>
      </c>
      <c r="BD313" s="46" t="str">
        <f>IF(BD130=-1,"x",IF(OR(BD228=1,BD$197=1,$CX130=1),BD130,0))</f>
        <v>x</v>
      </c>
      <c r="BE313" s="45" t="str">
        <f>IF(BE130=-1,"x",IF(OR(BE228=1,BE$197=1,$CY130=1),BE130,0))</f>
        <v>x</v>
      </c>
      <c r="BF313" s="48" t="str">
        <f>IF(BF130=-1,"x",IF(OR(BF228=1,BF$197=1,$CZ130=1),BF130,0))</f>
        <v>x</v>
      </c>
      <c r="BG313" s="44" t="str">
        <f>IF(BG130=-1,"x",IF(OR(BG228=1,BG$197=1,$CX130=1),BG130,0))</f>
        <v>x</v>
      </c>
      <c r="BH313" s="45" t="str">
        <f>IF(BH130=-1,"x",IF(OR(BH228=1,BH$197=1,$CY130=1),BH130,0))</f>
        <v>x</v>
      </c>
      <c r="BI313" s="47" t="str">
        <f>IF(BI130=-1,"x",IF(OR(BI228=1,BI$197=1,$CZ130=1),BI130,0))</f>
        <v>x</v>
      </c>
      <c r="BJ313" s="46" t="str">
        <f>IF(BJ130=-1,"x",IF(OR(BJ228=1,BJ$197=1,$CX130=1),BJ130,0))</f>
        <v>x</v>
      </c>
      <c r="BK313" s="45" t="str">
        <f>IF(BK130=-1,"x",IF(OR(BK228=1,BK$197=1,$CY130=1),BK130,0))</f>
        <v>x</v>
      </c>
      <c r="BL313" s="47" t="str">
        <f>IF(BL130=-1,"x",IF(OR(BL228=1,BL$197=1,$CZ130=1),BL130,0))</f>
        <v>x</v>
      </c>
      <c r="BM313" s="46" t="str">
        <f>IF(BM130=-1,"x",IF(OR(BM228=1,BM$197=1,$CX130=1),BM130,0))</f>
        <v>x</v>
      </c>
      <c r="BN313" s="45" t="str">
        <f>IF(BN130=-1,"x",IF(OR(BN228=1,BN$197=1,$CY130=1),BN130,0))</f>
        <v>x</v>
      </c>
      <c r="BO313" s="100" t="str">
        <f>IF(BO130=-1,"x",IF(OR(BO228=1,BO$197=1,$CZ130=1),BO130,0))</f>
        <v>x</v>
      </c>
      <c r="BP313" s="99" t="str">
        <f>IF(BP130=-1,"x",IF(OR(BP228=1,BP$197=1,$CX130=1),BP130,0))</f>
        <v>x</v>
      </c>
      <c r="BQ313" s="45" t="str">
        <f>IF(BQ130=-1,"x",IF(OR(BQ228=1,BQ$197=1,$CY130=1),BQ130,0))</f>
        <v>x</v>
      </c>
      <c r="BR313" s="47" t="str">
        <f>IF(BR130=-1,"x",IF(OR(BR228=1,BR$197=1,$CZ130=1),BR130,0))</f>
        <v>x</v>
      </c>
      <c r="BS313" s="46" t="str">
        <f>IF(BS130=-1,"x",IF(OR(BS228=1,BS$197=1,$CX130=1),BS130,0))</f>
        <v>x</v>
      </c>
      <c r="BT313" s="45" t="str">
        <f>IF(BT130=-1,"x",IF(OR(BT228=1,BT$197=1,$CY130=1),BT130,0))</f>
        <v>x</v>
      </c>
      <c r="BU313" s="47" t="str">
        <f>IF(BU130=-1,"x",IF(OR(BU228=1,BU$197=1,$CZ130=1),BU130,0))</f>
        <v>x</v>
      </c>
      <c r="BV313" s="46" t="str">
        <f>IF(BV130=-1,"x",IF(OR(BV228=1,BV$197=1,$CX130=1),BV130,0))</f>
        <v>x</v>
      </c>
      <c r="BW313" s="45" t="str">
        <f>IF(BW130=-1,"x",IF(OR(BW228=1,BW$197=1,$CY130=1),BW130,0))</f>
        <v>x</v>
      </c>
      <c r="BX313" s="48" t="str">
        <f>IF(BX130=-1,"x",IF(OR(BX228=1,BX$197=1,$CZ130=1),BX130,0))</f>
        <v>x</v>
      </c>
      <c r="BY313" s="44" t="str">
        <f>IF(BY130=-1,"x",IF(OR(BY228=1,BY$197=1,$CX130=1),BY130,0))</f>
        <v>x</v>
      </c>
      <c r="BZ313" s="45" t="str">
        <f>IF(BZ130=-1,"x",IF(OR(BZ228=1,BZ$197=1,$CY130=1),BZ130,0))</f>
        <v>x</v>
      </c>
      <c r="CA313" s="47" t="str">
        <f>IF(CA130=-1,"x",IF(OR(CA228=1,CA$197=1,$CZ130=1),CA130,0))</f>
        <v>x</v>
      </c>
      <c r="CB313" s="46" t="str">
        <f>IF(CB130=-1,"x",IF(OR(CB228=1,CB$197=1,$CX130=1),CB130,0))</f>
        <v>x</v>
      </c>
      <c r="CC313" s="45" t="str">
        <f>IF(CC130=-1,"x",IF(OR(CC228=1,CC$197=1,$CY130=1),CC130,0))</f>
        <v>x</v>
      </c>
      <c r="CD313" s="47" t="str">
        <f>IF(CD130=-1,"x",IF(OR(CD228=1,CD$197=1,$CZ130=1),CD130,0))</f>
        <v>x</v>
      </c>
      <c r="CE313" s="46" t="str">
        <f>IF(CE130=-1,"x",IF(OR(CE228=1,CE$197=1,$CX130=1),CE130,0))</f>
        <v>x</v>
      </c>
      <c r="CF313" s="45" t="str">
        <f>IF(CF130=-1,"x",IF(OR(CF228=1,CF$197=1,$CY130=1),CF130,0))</f>
        <v>x</v>
      </c>
      <c r="CG313" s="48" t="str">
        <f>IF(CG130=-1,"x",IF(OR(CG228=1,CG$197=1,$CZ130=1),CG130,0))</f>
        <v>x</v>
      </c>
      <c r="CH313" s="44" t="str">
        <f>IF(CH130=-1,"x",IF(OR(CH228=1,CH$197=1,$CX130=1),CH130,0))</f>
        <v>x</v>
      </c>
      <c r="CI313" s="45" t="str">
        <f>IF(CI130=-1,"x",IF(OR(CI228=1,CI$197=1,$CY130=1),CI130,0))</f>
        <v>x</v>
      </c>
      <c r="CJ313" s="47" t="str">
        <f>IF(CJ130=-1,"x",IF(OR(CJ228=1,CJ$197=1,$CZ130=1),CJ130,0))</f>
        <v>x</v>
      </c>
      <c r="CK313" s="46" t="str">
        <f>IF(CK130=-1,"x",IF(OR(CK228=1,CK$197=1,$CX130=1),CK130,0))</f>
        <v>x</v>
      </c>
      <c r="CL313" s="45" t="str">
        <f>IF(CL130=-1,"x",IF(OR(CL228=1,CL$197=1,$CY130=1),CL130,0))</f>
        <v>x</v>
      </c>
      <c r="CM313" s="47" t="str">
        <f>IF(CM130=-1,"x",IF(OR(CM228=1,CM$197=1,$CZ130=1),CM130,0))</f>
        <v>x</v>
      </c>
      <c r="CN313" s="46" t="str">
        <f>IF(CN130=-1,"x",IF(OR(CN228=1,CN$197=1,$CX130=1),CN130,0))</f>
        <v>x</v>
      </c>
      <c r="CO313" s="45" t="str">
        <f>IF(CO130=-1,"x",IF(OR(CO228=1,CO$197=1,$CY130=1),CO130,0))</f>
        <v>x</v>
      </c>
      <c r="CP313" s="100" t="str">
        <f>IF(CP130=-1,"x",IF(OR(CP228=1,CP$197=1,$CZ130=1),CP130,0))</f>
        <v>x</v>
      </c>
      <c r="DJ313" s="116">
        <f t="shared" ref="DJ313:FU313" si="1098">DJ310</f>
        <v>6</v>
      </c>
      <c r="DK313" s="116">
        <f t="shared" si="1098"/>
        <v>0</v>
      </c>
      <c r="DL313" s="116">
        <f t="shared" si="1098"/>
        <v>2</v>
      </c>
      <c r="DM313" s="116">
        <f t="shared" si="1098"/>
        <v>6</v>
      </c>
      <c r="DN313" s="116">
        <f t="shared" si="1098"/>
        <v>0</v>
      </c>
      <c r="DO313" s="116">
        <f t="shared" si="1098"/>
        <v>2</v>
      </c>
      <c r="DP313" s="116">
        <f t="shared" si="1098"/>
        <v>6</v>
      </c>
      <c r="DQ313" s="116">
        <f t="shared" si="1098"/>
        <v>0</v>
      </c>
      <c r="DR313" s="116">
        <f t="shared" si="1098"/>
        <v>2</v>
      </c>
      <c r="DS313" s="116">
        <f t="shared" si="1098"/>
        <v>6</v>
      </c>
      <c r="DT313" s="116">
        <f t="shared" si="1098"/>
        <v>0</v>
      </c>
      <c r="DU313" s="116">
        <f t="shared" si="1098"/>
        <v>2</v>
      </c>
      <c r="DV313" s="116">
        <f t="shared" si="1098"/>
        <v>6</v>
      </c>
      <c r="DW313" s="116">
        <f t="shared" si="1098"/>
        <v>0</v>
      </c>
      <c r="DX313" s="116">
        <f t="shared" si="1098"/>
        <v>2</v>
      </c>
      <c r="DY313" s="116">
        <f t="shared" si="1098"/>
        <v>6</v>
      </c>
      <c r="DZ313" s="116">
        <f t="shared" si="1098"/>
        <v>0</v>
      </c>
      <c r="EA313" s="116">
        <f t="shared" si="1098"/>
        <v>2</v>
      </c>
      <c r="EB313" s="116">
        <f t="shared" si="1098"/>
        <v>6</v>
      </c>
      <c r="EC313" s="116">
        <f t="shared" si="1098"/>
        <v>0</v>
      </c>
      <c r="ED313" s="116">
        <f t="shared" si="1098"/>
        <v>2</v>
      </c>
      <c r="EE313" s="116">
        <f t="shared" si="1098"/>
        <v>6</v>
      </c>
      <c r="EF313" s="116">
        <f t="shared" si="1098"/>
        <v>0</v>
      </c>
      <c r="EG313" s="116">
        <f t="shared" si="1098"/>
        <v>2</v>
      </c>
      <c r="EH313" s="116">
        <f t="shared" si="1098"/>
        <v>6</v>
      </c>
      <c r="EI313" s="116">
        <f t="shared" si="1098"/>
        <v>0</v>
      </c>
      <c r="EJ313" s="116">
        <f t="shared" si="1098"/>
        <v>2</v>
      </c>
      <c r="EK313" s="116">
        <f t="shared" si="1098"/>
        <v>2</v>
      </c>
      <c r="EL313" s="116">
        <f t="shared" si="1098"/>
        <v>0</v>
      </c>
      <c r="EM313" s="116">
        <f t="shared" si="1098"/>
        <v>2</v>
      </c>
      <c r="EN313" s="116">
        <f t="shared" si="1098"/>
        <v>2</v>
      </c>
      <c r="EO313" s="116">
        <f t="shared" si="1098"/>
        <v>0</v>
      </c>
      <c r="EP313" s="116">
        <f t="shared" si="1098"/>
        <v>2</v>
      </c>
      <c r="EQ313" s="116">
        <f t="shared" si="1098"/>
        <v>2</v>
      </c>
      <c r="ER313" s="116">
        <f t="shared" si="1098"/>
        <v>0</v>
      </c>
      <c r="ES313" s="116">
        <f t="shared" si="1098"/>
        <v>2</v>
      </c>
      <c r="ET313" s="116">
        <f t="shared" si="1098"/>
        <v>2</v>
      </c>
      <c r="EU313" s="116">
        <f t="shared" si="1098"/>
        <v>0</v>
      </c>
      <c r="EV313" s="116">
        <f t="shared" si="1098"/>
        <v>2</v>
      </c>
      <c r="EW313" s="116">
        <f t="shared" si="1098"/>
        <v>2</v>
      </c>
      <c r="EX313" s="116">
        <f t="shared" si="1098"/>
        <v>0</v>
      </c>
      <c r="EY313" s="116">
        <f t="shared" si="1098"/>
        <v>2</v>
      </c>
      <c r="EZ313" s="116">
        <f t="shared" si="1098"/>
        <v>2</v>
      </c>
      <c r="FA313" s="116">
        <f t="shared" si="1098"/>
        <v>0</v>
      </c>
      <c r="FB313" s="116">
        <f t="shared" si="1098"/>
        <v>2</v>
      </c>
      <c r="FC313" s="116">
        <f t="shared" si="1098"/>
        <v>2</v>
      </c>
      <c r="FD313" s="116">
        <f t="shared" si="1098"/>
        <v>0</v>
      </c>
      <c r="FE313" s="116">
        <f t="shared" si="1098"/>
        <v>2</v>
      </c>
      <c r="FF313" s="116">
        <f t="shared" si="1098"/>
        <v>2</v>
      </c>
      <c r="FG313" s="116">
        <f t="shared" si="1098"/>
        <v>0</v>
      </c>
      <c r="FH313" s="116">
        <f t="shared" si="1098"/>
        <v>2</v>
      </c>
      <c r="FI313" s="116">
        <f t="shared" si="1098"/>
        <v>2</v>
      </c>
      <c r="FJ313" s="116">
        <f t="shared" si="1098"/>
        <v>0</v>
      </c>
      <c r="FK313" s="116">
        <f t="shared" si="1098"/>
        <v>2</v>
      </c>
      <c r="FL313" s="116">
        <f t="shared" si="1098"/>
        <v>5</v>
      </c>
      <c r="FM313" s="116">
        <f t="shared" si="1098"/>
        <v>3</v>
      </c>
      <c r="FN313" s="116">
        <f t="shared" si="1098"/>
        <v>7</v>
      </c>
      <c r="FO313" s="116">
        <f t="shared" si="1098"/>
        <v>5</v>
      </c>
      <c r="FP313" s="116">
        <f t="shared" si="1098"/>
        <v>3</v>
      </c>
      <c r="FQ313" s="116">
        <f t="shared" si="1098"/>
        <v>7</v>
      </c>
      <c r="FR313" s="116">
        <f t="shared" si="1098"/>
        <v>5</v>
      </c>
      <c r="FS313" s="116">
        <f t="shared" si="1098"/>
        <v>3</v>
      </c>
      <c r="FT313" s="116">
        <f t="shared" si="1098"/>
        <v>7</v>
      </c>
      <c r="FU313" s="116">
        <f t="shared" si="1098"/>
        <v>5</v>
      </c>
      <c r="FV313" s="116">
        <f t="shared" ref="FV313:GL313" si="1099">FV310</f>
        <v>3</v>
      </c>
      <c r="FW313" s="116">
        <f t="shared" si="1099"/>
        <v>7</v>
      </c>
      <c r="FX313" s="116">
        <f t="shared" si="1099"/>
        <v>5</v>
      </c>
      <c r="FY313" s="116">
        <f t="shared" si="1099"/>
        <v>3</v>
      </c>
      <c r="FZ313" s="116">
        <f t="shared" si="1099"/>
        <v>7</v>
      </c>
      <c r="GA313" s="116">
        <f t="shared" si="1099"/>
        <v>5</v>
      </c>
      <c r="GB313" s="116">
        <f t="shared" si="1099"/>
        <v>3</v>
      </c>
      <c r="GC313" s="116">
        <f t="shared" si="1099"/>
        <v>7</v>
      </c>
      <c r="GD313" s="116">
        <f t="shared" si="1099"/>
        <v>5</v>
      </c>
      <c r="GE313" s="116">
        <f t="shared" si="1099"/>
        <v>3</v>
      </c>
      <c r="GF313" s="116">
        <f t="shared" si="1099"/>
        <v>7</v>
      </c>
      <c r="GG313" s="116">
        <f t="shared" si="1099"/>
        <v>5</v>
      </c>
      <c r="GH313" s="116">
        <f t="shared" si="1099"/>
        <v>3</v>
      </c>
      <c r="GI313" s="116">
        <f t="shared" si="1099"/>
        <v>7</v>
      </c>
      <c r="GJ313" s="116">
        <f t="shared" si="1099"/>
        <v>5</v>
      </c>
      <c r="GK313" s="116">
        <f t="shared" si="1099"/>
        <v>3</v>
      </c>
      <c r="GL313" s="116">
        <f t="shared" si="1099"/>
        <v>7</v>
      </c>
    </row>
    <row r="314" spans="14:194" ht="15" customHeight="1">
      <c r="N314" s="104" t="str">
        <f>IF(N131=-1,"x",IF(OR(N229=1,N$195=1,$CX131=1),N131,0))</f>
        <v>x</v>
      </c>
      <c r="O314" s="50" t="str">
        <f>IF(O131=-1,"x",IF(OR(O229=1,O$195=1,$CY131=1),O131,0))</f>
        <v>x</v>
      </c>
      <c r="P314" s="51" t="str">
        <f>IF(P131=-1,"x",IF(OR(P229=1,P$195=1,$CZ131=1),P131,0))</f>
        <v>x</v>
      </c>
      <c r="Q314" s="52" t="str">
        <f>IF(Q131=-1,"x",IF(OR(Q229=1,Q$195=1,$CX131=1),Q131,0))</f>
        <v>x</v>
      </c>
      <c r="R314" s="50" t="str">
        <f>IF(R131=-1,"x",IF(OR(R229=1,R$195=1,$CY131=1),R131,0))</f>
        <v>x</v>
      </c>
      <c r="S314" s="51" t="str">
        <f>IF(S131=-1,"x",IF(OR(S229=1,S$195=1,$CZ131=1),S131,0))</f>
        <v>x</v>
      </c>
      <c r="T314" s="52" t="str">
        <f>IF(T131=-1,"x",IF(OR(T229=1,T$195=1,$CX131=1),T131,0))</f>
        <v>x</v>
      </c>
      <c r="U314" s="50" t="str">
        <f>IF(U131=-1,"x",IF(OR(U229=1,U$195=1,$CY131=1),U131,0))</f>
        <v>x</v>
      </c>
      <c r="V314" s="53" t="str">
        <f>IF(V131=-1,"x",IF(OR(V229=1,V$195=1,$CZ131=1),V131,0))</f>
        <v>x</v>
      </c>
      <c r="W314" s="49" t="str">
        <f>IF(W131=-1,"x",IF(OR(W229=1,W$195=1,$CX131=1),W131,0))</f>
        <v>x</v>
      </c>
      <c r="X314" s="50" t="str">
        <f>IF(X131=-1,"x",IF(OR(X229=1,X$195=1,$CY131=1),X131,0))</f>
        <v>x</v>
      </c>
      <c r="Y314" s="51" t="str">
        <f>IF(Y131=-1,"x",IF(OR(Y229=1,Y$195=1,$CZ131=1),Y131,0))</f>
        <v>x</v>
      </c>
      <c r="Z314" s="52" t="str">
        <f>IF(Z131=-1,"x",IF(OR(Z229=1,Z$195=1,$CX131=1),Z131,0))</f>
        <v>x</v>
      </c>
      <c r="AA314" s="50" t="str">
        <f>IF(AA131=-1,"x",IF(OR(AA229=1,AA$195=1,$CY131=1),AA131,0))</f>
        <v>x</v>
      </c>
      <c r="AB314" s="51" t="str">
        <f>IF(AB131=-1,"x",IF(OR(AB229=1,AB$195=1,$CZ131=1),AB131,0))</f>
        <v>x</v>
      </c>
      <c r="AC314" s="52" t="str">
        <f>IF(AC131=-1,"x",IF(OR(AC229=1,AC$195=1,$CX131=1),AC131,0))</f>
        <v>x</v>
      </c>
      <c r="AD314" s="50" t="str">
        <f>IF(AD131=-1,"x",IF(OR(AD229=1,AD$195=1,$CY131=1),AD131,0))</f>
        <v>x</v>
      </c>
      <c r="AE314" s="53" t="str">
        <f>IF(AE131=-1,"x",IF(OR(AE229=1,AE$195=1,$CZ131=1),AE131,0))</f>
        <v>x</v>
      </c>
      <c r="AF314" s="49" t="str">
        <f>IF(AF131=-1,"x",IF(OR(AF229=1,AF$195=1,$CX131=1),AF131,0))</f>
        <v>x</v>
      </c>
      <c r="AG314" s="50" t="str">
        <f>IF(AG131=-1,"x",IF(OR(AG229=1,AG$195=1,$CY131=1),AG131,0))</f>
        <v>x</v>
      </c>
      <c r="AH314" s="51" t="str">
        <f>IF(AH131=-1,"x",IF(OR(AH229=1,AH$195=1,$CZ131=1),AH131,0))</f>
        <v>x</v>
      </c>
      <c r="AI314" s="52" t="str">
        <f>IF(AI131=-1,"x",IF(OR(AI229=1,AI$195=1,$CX131=1),AI131,0))</f>
        <v>x</v>
      </c>
      <c r="AJ314" s="50" t="str">
        <f>IF(AJ131=-1,"x",IF(OR(AJ229=1,AJ$195=1,$CY131=1),AJ131,0))</f>
        <v>x</v>
      </c>
      <c r="AK314" s="51" t="str">
        <f>IF(AK131=-1,"x",IF(OR(AK229=1,AK$195=1,$CZ131=1),AK131,0))</f>
        <v>x</v>
      </c>
      <c r="AL314" s="52" t="str">
        <f>IF(AL131=-1,"x",IF(OR(AL229=1,AL$195=1,$CX131=1),AL131,0))</f>
        <v>x</v>
      </c>
      <c r="AM314" s="50" t="str">
        <f>IF(AM131=-1,"x",IF(OR(AM229=1,AM$195=1,$CY131=1),AM131,0))</f>
        <v>x</v>
      </c>
      <c r="AN314" s="105" t="str">
        <f>IF(AN131=-1,"x",IF(OR(AN229=1,AN$195=1,$CZ131=1),AN131,0))</f>
        <v>x</v>
      </c>
      <c r="AO314" s="104" t="str">
        <f>IF(AO131=-1,"x",IF(OR(AO229=1,AO$195=1,$CX131=1),AO131,0))</f>
        <v>x</v>
      </c>
      <c r="AP314" s="50" t="str">
        <f>IF(AP131=-1,"x",IF(OR(AP229=1,AP$195=1,$CY131=1),AP131,0))</f>
        <v>x</v>
      </c>
      <c r="AQ314" s="51" t="str">
        <f>IF(AQ131=-1,"x",IF(OR(AQ229=1,AQ$195=1,$CZ131=1),AQ131,0))</f>
        <v>x</v>
      </c>
      <c r="AR314" s="52" t="str">
        <f>IF(AR131=-1,"x",IF(OR(AR229=1,AR$195=1,$CX131=1),AR131,0))</f>
        <v>x</v>
      </c>
      <c r="AS314" s="50" t="str">
        <f>IF(AS131=-1,"x",IF(OR(AS229=1,AS$195=1,$CY131=1),AS131,0))</f>
        <v>x</v>
      </c>
      <c r="AT314" s="51" t="str">
        <f>IF(AT131=-1,"x",IF(OR(AT229=1,AT$195=1,$CZ131=1),AT131,0))</f>
        <v>x</v>
      </c>
      <c r="AU314" s="52" t="str">
        <f>IF(AU131=-1,"x",IF(OR(AU229=1,AU$195=1,$CX131=1),AU131,0))</f>
        <v>x</v>
      </c>
      <c r="AV314" s="50" t="str">
        <f>IF(AV131=-1,"x",IF(OR(AV229=1,AV$195=1,$CY131=1),AV131,0))</f>
        <v>x</v>
      </c>
      <c r="AW314" s="53" t="str">
        <f>IF(AW131=-1,"x",IF(OR(AW229=1,AW$195=1,$CZ131=1),AW131,0))</f>
        <v>x</v>
      </c>
      <c r="AX314" s="49" t="str">
        <f>IF(AX131=-1,"x",IF(OR(AX229=1,AX$195=1,$CX131=1),AX131,0))</f>
        <v>x</v>
      </c>
      <c r="AY314" s="50" t="str">
        <f>IF(AY131=-1,"x",IF(OR(AY229=1,AY$195=1,$CY131=1),AY131,0))</f>
        <v>x</v>
      </c>
      <c r="AZ314" s="51" t="str">
        <f>IF(AZ131=-1,"x",IF(OR(AZ229=1,AZ$195=1,$CZ131=1),AZ131,0))</f>
        <v>x</v>
      </c>
      <c r="BA314" s="52" t="str">
        <f>IF(BA131=-1,"x",IF(OR(BA229=1,BA$195=1,$CX131=1),BA131,0))</f>
        <v>x</v>
      </c>
      <c r="BB314" s="50" t="str">
        <f>IF(BB131=-1,"x",IF(OR(BB229=1,BB$195=1,$CY131=1),BB131,0))</f>
        <v>x</v>
      </c>
      <c r="BC314" s="51" t="str">
        <f>IF(BC131=-1,"x",IF(OR(BC229=1,BC$195=1,$CZ131=1),BC131,0))</f>
        <v>x</v>
      </c>
      <c r="BD314" s="52" t="str">
        <f>IF(BD131=-1,"x",IF(OR(BD229=1,BD$195=1,$CX131=1),BD131,0))</f>
        <v>x</v>
      </c>
      <c r="BE314" s="50" t="str">
        <f>IF(BE131=-1,"x",IF(OR(BE229=1,BE$195=1,$CY131=1),BE131,0))</f>
        <v>x</v>
      </c>
      <c r="BF314" s="53" t="str">
        <f>IF(BF131=-1,"x",IF(OR(BF229=1,BF$195=1,$CZ131=1),BF131,0))</f>
        <v>x</v>
      </c>
      <c r="BG314" s="49" t="str">
        <f>IF(BG131=-1,"x",IF(OR(BG229=1,BG$195=1,$CX131=1),BG131,0))</f>
        <v>x</v>
      </c>
      <c r="BH314" s="50" t="str">
        <f>IF(BH131=-1,"x",IF(OR(BH229=1,BH$195=1,$CY131=1),BH131,0))</f>
        <v>x</v>
      </c>
      <c r="BI314" s="51" t="str">
        <f>IF(BI131=-1,"x",IF(OR(BI229=1,BI$195=1,$CZ131=1),BI131,0))</f>
        <v>x</v>
      </c>
      <c r="BJ314" s="52" t="str">
        <f>IF(BJ131=-1,"x",IF(OR(BJ229=1,BJ$195=1,$CX131=1),BJ131,0))</f>
        <v>x</v>
      </c>
      <c r="BK314" s="50" t="str">
        <f>IF(BK131=-1,"x",IF(OR(BK229=1,BK$195=1,$CY131=1),BK131,0))</f>
        <v>x</v>
      </c>
      <c r="BL314" s="51" t="str">
        <f>IF(BL131=-1,"x",IF(OR(BL229=1,BL$195=1,$CZ131=1),BL131,0))</f>
        <v>x</v>
      </c>
      <c r="BM314" s="52" t="str">
        <f>IF(BM131=-1,"x",IF(OR(BM229=1,BM$195=1,$CX131=1),BM131,0))</f>
        <v>x</v>
      </c>
      <c r="BN314" s="50" t="str">
        <f>IF(BN131=-1,"x",IF(OR(BN229=1,BN$195=1,$CY131=1),BN131,0))</f>
        <v>x</v>
      </c>
      <c r="BO314" s="105" t="str">
        <f>IF(BO131=-1,"x",IF(OR(BO229=1,BO$195=1,$CZ131=1),BO131,0))</f>
        <v>x</v>
      </c>
      <c r="BP314" s="104" t="str">
        <f>IF(BP131=-1,"x",IF(OR(BP229=1,BP$195=1,$CX131=1),BP131,0))</f>
        <v>x</v>
      </c>
      <c r="BQ314" s="50" t="str">
        <f>IF(BQ131=-1,"x",IF(OR(BQ229=1,BQ$195=1,$CY131=1),BQ131,0))</f>
        <v>x</v>
      </c>
      <c r="BR314" s="51" t="str">
        <f>IF(BR131=-1,"x",IF(OR(BR229=1,BR$195=1,$CZ131=1),BR131,0))</f>
        <v>x</v>
      </c>
      <c r="BS314" s="52" t="str">
        <f>IF(BS131=-1,"x",IF(OR(BS229=1,BS$195=1,$CX131=1),BS131,0))</f>
        <v>x</v>
      </c>
      <c r="BT314" s="50" t="str">
        <f>IF(BT131=-1,"x",IF(OR(BT229=1,BT$195=1,$CY131=1),BT131,0))</f>
        <v>x</v>
      </c>
      <c r="BU314" s="51" t="str">
        <f>IF(BU131=-1,"x",IF(OR(BU229=1,BU$195=1,$CZ131=1),BU131,0))</f>
        <v>x</v>
      </c>
      <c r="BV314" s="52" t="str">
        <f>IF(BV131=-1,"x",IF(OR(BV229=1,BV$195=1,$CX131=1),BV131,0))</f>
        <v>x</v>
      </c>
      <c r="BW314" s="50" t="str">
        <f>IF(BW131=-1,"x",IF(OR(BW229=1,BW$195=1,$CY131=1),BW131,0))</f>
        <v>x</v>
      </c>
      <c r="BX314" s="53" t="str">
        <f>IF(BX131=-1,"x",IF(OR(BX229=1,BX$195=1,$CZ131=1),BX131,0))</f>
        <v>x</v>
      </c>
      <c r="BY314" s="49" t="str">
        <f>IF(BY131=-1,"x",IF(OR(BY229=1,BY$195=1,$CX131=1),BY131,0))</f>
        <v>x</v>
      </c>
      <c r="BZ314" s="50" t="str">
        <f>IF(BZ131=-1,"x",IF(OR(BZ229=1,BZ$195=1,$CY131=1),BZ131,0))</f>
        <v>x</v>
      </c>
      <c r="CA314" s="51" t="str">
        <f>IF(CA131=-1,"x",IF(OR(CA229=1,CA$195=1,$CZ131=1),CA131,0))</f>
        <v>x</v>
      </c>
      <c r="CB314" s="52" t="str">
        <f>IF(CB131=-1,"x",IF(OR(CB229=1,CB$195=1,$CX131=1),CB131,0))</f>
        <v>x</v>
      </c>
      <c r="CC314" s="50" t="str">
        <f>IF(CC131=-1,"x",IF(OR(CC229=1,CC$195=1,$CY131=1),CC131,0))</f>
        <v>x</v>
      </c>
      <c r="CD314" s="51" t="str">
        <f>IF(CD131=-1,"x",IF(OR(CD229=1,CD$195=1,$CZ131=1),CD131,0))</f>
        <v>x</v>
      </c>
      <c r="CE314" s="52" t="str">
        <f>IF(CE131=-1,"x",IF(OR(CE229=1,CE$195=1,$CX131=1),CE131,0))</f>
        <v>x</v>
      </c>
      <c r="CF314" s="50" t="str">
        <f>IF(CF131=-1,"x",IF(OR(CF229=1,CF$195=1,$CY131=1),CF131,0))</f>
        <v>x</v>
      </c>
      <c r="CG314" s="53" t="str">
        <f>IF(CG131=-1,"x",IF(OR(CG229=1,CG$195=1,$CZ131=1),CG131,0))</f>
        <v>x</v>
      </c>
      <c r="CH314" s="49" t="str">
        <f>IF(CH131=-1,"x",IF(OR(CH229=1,CH$195=1,$CX131=1),CH131,0))</f>
        <v>x</v>
      </c>
      <c r="CI314" s="50" t="str">
        <f>IF(CI131=-1,"x",IF(OR(CI229=1,CI$195=1,$CY131=1),CI131,0))</f>
        <v>x</v>
      </c>
      <c r="CJ314" s="51" t="str">
        <f>IF(CJ131=-1,"x",IF(OR(CJ229=1,CJ$195=1,$CZ131=1),CJ131,0))</f>
        <v>x</v>
      </c>
      <c r="CK314" s="52" t="str">
        <f>IF(CK131=-1,"x",IF(OR(CK229=1,CK$195=1,$CX131=1),CK131,0))</f>
        <v>x</v>
      </c>
      <c r="CL314" s="50" t="str">
        <f>IF(CL131=-1,"x",IF(OR(CL229=1,CL$195=1,$CY131=1),CL131,0))</f>
        <v>x</v>
      </c>
      <c r="CM314" s="51" t="str">
        <f>IF(CM131=-1,"x",IF(OR(CM229=1,CM$195=1,$CZ131=1),CM131,0))</f>
        <v>x</v>
      </c>
      <c r="CN314" s="52" t="str">
        <f>IF(CN131=-1,"x",IF(OR(CN229=1,CN$195=1,$CX131=1),CN131,0))</f>
        <v>x</v>
      </c>
      <c r="CO314" s="50" t="str">
        <f>IF(CO131=-1,"x",IF(OR(CO229=1,CO$195=1,$CY131=1),CO131,0))</f>
        <v>x</v>
      </c>
      <c r="CP314" s="105" t="str">
        <f>IF(CP131=-1,"x",IF(OR(CP229=1,CP$195=1,$CZ131=1),CP131,0))</f>
        <v>x</v>
      </c>
      <c r="DJ314" s="116">
        <f t="shared" ref="DJ314:FU314" si="1100">DJ311</f>
        <v>6</v>
      </c>
      <c r="DK314" s="116">
        <f t="shared" si="1100"/>
        <v>1</v>
      </c>
      <c r="DL314" s="116">
        <f t="shared" si="1100"/>
        <v>4</v>
      </c>
      <c r="DM314" s="116">
        <f t="shared" si="1100"/>
        <v>6</v>
      </c>
      <c r="DN314" s="116">
        <f t="shared" si="1100"/>
        <v>1</v>
      </c>
      <c r="DO314" s="116">
        <f t="shared" si="1100"/>
        <v>4</v>
      </c>
      <c r="DP314" s="116">
        <f t="shared" si="1100"/>
        <v>6</v>
      </c>
      <c r="DQ314" s="116">
        <f t="shared" si="1100"/>
        <v>1</v>
      </c>
      <c r="DR314" s="116">
        <f t="shared" si="1100"/>
        <v>4</v>
      </c>
      <c r="DS314" s="116">
        <f t="shared" si="1100"/>
        <v>6</v>
      </c>
      <c r="DT314" s="116">
        <f t="shared" si="1100"/>
        <v>1</v>
      </c>
      <c r="DU314" s="116">
        <f t="shared" si="1100"/>
        <v>4</v>
      </c>
      <c r="DV314" s="116">
        <f t="shared" si="1100"/>
        <v>6</v>
      </c>
      <c r="DW314" s="116">
        <f t="shared" si="1100"/>
        <v>1</v>
      </c>
      <c r="DX314" s="116">
        <f t="shared" si="1100"/>
        <v>4</v>
      </c>
      <c r="DY314" s="116">
        <f t="shared" si="1100"/>
        <v>6</v>
      </c>
      <c r="DZ314" s="116">
        <f t="shared" si="1100"/>
        <v>1</v>
      </c>
      <c r="EA314" s="116">
        <f t="shared" si="1100"/>
        <v>4</v>
      </c>
      <c r="EB314" s="116">
        <f t="shared" si="1100"/>
        <v>6</v>
      </c>
      <c r="EC314" s="116">
        <f t="shared" si="1100"/>
        <v>1</v>
      </c>
      <c r="ED314" s="116">
        <f t="shared" si="1100"/>
        <v>4</v>
      </c>
      <c r="EE314" s="116">
        <f t="shared" si="1100"/>
        <v>6</v>
      </c>
      <c r="EF314" s="116">
        <f t="shared" si="1100"/>
        <v>1</v>
      </c>
      <c r="EG314" s="116">
        <f t="shared" si="1100"/>
        <v>4</v>
      </c>
      <c r="EH314" s="116">
        <f t="shared" si="1100"/>
        <v>6</v>
      </c>
      <c r="EI314" s="116">
        <f t="shared" si="1100"/>
        <v>1</v>
      </c>
      <c r="EJ314" s="116">
        <f t="shared" si="1100"/>
        <v>4</v>
      </c>
      <c r="EK314" s="116">
        <f t="shared" si="1100"/>
        <v>1</v>
      </c>
      <c r="EL314" s="116">
        <f t="shared" si="1100"/>
        <v>0</v>
      </c>
      <c r="EM314" s="116">
        <f t="shared" si="1100"/>
        <v>0</v>
      </c>
      <c r="EN314" s="116">
        <f t="shared" si="1100"/>
        <v>1</v>
      </c>
      <c r="EO314" s="116">
        <f t="shared" si="1100"/>
        <v>0</v>
      </c>
      <c r="EP314" s="116">
        <f t="shared" si="1100"/>
        <v>0</v>
      </c>
      <c r="EQ314" s="116">
        <f t="shared" si="1100"/>
        <v>1</v>
      </c>
      <c r="ER314" s="116">
        <f t="shared" si="1100"/>
        <v>0</v>
      </c>
      <c r="ES314" s="116">
        <f t="shared" si="1100"/>
        <v>0</v>
      </c>
      <c r="ET314" s="116">
        <f t="shared" si="1100"/>
        <v>1</v>
      </c>
      <c r="EU314" s="116">
        <f t="shared" si="1100"/>
        <v>0</v>
      </c>
      <c r="EV314" s="116">
        <f t="shared" si="1100"/>
        <v>0</v>
      </c>
      <c r="EW314" s="116">
        <f t="shared" si="1100"/>
        <v>1</v>
      </c>
      <c r="EX314" s="116">
        <f t="shared" si="1100"/>
        <v>0</v>
      </c>
      <c r="EY314" s="116">
        <f t="shared" si="1100"/>
        <v>0</v>
      </c>
      <c r="EZ314" s="116">
        <f t="shared" si="1100"/>
        <v>1</v>
      </c>
      <c r="FA314" s="116">
        <f t="shared" si="1100"/>
        <v>0</v>
      </c>
      <c r="FB314" s="116">
        <f t="shared" si="1100"/>
        <v>0</v>
      </c>
      <c r="FC314" s="116">
        <f t="shared" si="1100"/>
        <v>1</v>
      </c>
      <c r="FD314" s="116">
        <f t="shared" si="1100"/>
        <v>0</v>
      </c>
      <c r="FE314" s="116">
        <f t="shared" si="1100"/>
        <v>0</v>
      </c>
      <c r="FF314" s="116">
        <f t="shared" si="1100"/>
        <v>1</v>
      </c>
      <c r="FG314" s="116">
        <f t="shared" si="1100"/>
        <v>0</v>
      </c>
      <c r="FH314" s="116">
        <f t="shared" si="1100"/>
        <v>0</v>
      </c>
      <c r="FI314" s="116">
        <f t="shared" si="1100"/>
        <v>1</v>
      </c>
      <c r="FJ314" s="116">
        <f t="shared" si="1100"/>
        <v>0</v>
      </c>
      <c r="FK314" s="116">
        <f t="shared" si="1100"/>
        <v>0</v>
      </c>
      <c r="FL314" s="116">
        <f t="shared" si="1100"/>
        <v>2</v>
      </c>
      <c r="FM314" s="116">
        <f t="shared" si="1100"/>
        <v>0</v>
      </c>
      <c r="FN314" s="116">
        <f t="shared" si="1100"/>
        <v>2</v>
      </c>
      <c r="FO314" s="116">
        <f t="shared" si="1100"/>
        <v>2</v>
      </c>
      <c r="FP314" s="116">
        <f t="shared" si="1100"/>
        <v>0</v>
      </c>
      <c r="FQ314" s="116">
        <f t="shared" si="1100"/>
        <v>2</v>
      </c>
      <c r="FR314" s="116">
        <f t="shared" si="1100"/>
        <v>2</v>
      </c>
      <c r="FS314" s="116">
        <f t="shared" si="1100"/>
        <v>0</v>
      </c>
      <c r="FT314" s="116">
        <f t="shared" si="1100"/>
        <v>2</v>
      </c>
      <c r="FU314" s="116">
        <f t="shared" si="1100"/>
        <v>2</v>
      </c>
      <c r="FV314" s="116">
        <f t="shared" ref="FV314:GL314" si="1101">FV311</f>
        <v>0</v>
      </c>
      <c r="FW314" s="116">
        <f t="shared" si="1101"/>
        <v>2</v>
      </c>
      <c r="FX314" s="116">
        <f t="shared" si="1101"/>
        <v>2</v>
      </c>
      <c r="FY314" s="116">
        <f t="shared" si="1101"/>
        <v>0</v>
      </c>
      <c r="FZ314" s="116">
        <f t="shared" si="1101"/>
        <v>2</v>
      </c>
      <c r="GA314" s="116">
        <f t="shared" si="1101"/>
        <v>2</v>
      </c>
      <c r="GB314" s="116">
        <f t="shared" si="1101"/>
        <v>0</v>
      </c>
      <c r="GC314" s="116">
        <f t="shared" si="1101"/>
        <v>2</v>
      </c>
      <c r="GD314" s="116">
        <f t="shared" si="1101"/>
        <v>2</v>
      </c>
      <c r="GE314" s="116">
        <f t="shared" si="1101"/>
        <v>0</v>
      </c>
      <c r="GF314" s="116">
        <f t="shared" si="1101"/>
        <v>2</v>
      </c>
      <c r="GG314" s="116">
        <f t="shared" si="1101"/>
        <v>2</v>
      </c>
      <c r="GH314" s="116">
        <f t="shared" si="1101"/>
        <v>0</v>
      </c>
      <c r="GI314" s="116">
        <f t="shared" si="1101"/>
        <v>2</v>
      </c>
      <c r="GJ314" s="116">
        <f t="shared" si="1101"/>
        <v>2</v>
      </c>
      <c r="GK314" s="116">
        <f t="shared" si="1101"/>
        <v>0</v>
      </c>
      <c r="GL314" s="116">
        <f t="shared" si="1101"/>
        <v>2</v>
      </c>
    </row>
    <row r="315" spans="14:194" ht="15" customHeight="1">
      <c r="N315" s="94" t="str">
        <f>IF(N132=-1,"x",IF(OR(N230=1,N$196=1,$CX132=1),N132,0))</f>
        <v>x</v>
      </c>
      <c r="O315" s="39" t="str">
        <f>IF(O132=-1,"x",IF(OR(O230=1,O$196=1,$CY132=1),O132,0))</f>
        <v>x</v>
      </c>
      <c r="P315" s="41" t="str">
        <f>IF(P132=-1,"x",IF(OR(P230=1,P$196=1,$CZ132=1),P132,0))</f>
        <v>x</v>
      </c>
      <c r="Q315" s="40" t="str">
        <f>IF(Q132=-1,"x",IF(OR(Q230=1,Q$196=1,$CX132=1),Q132,0))</f>
        <v>x</v>
      </c>
      <c r="R315" s="39" t="str">
        <f>IF(R132=-1,"x",IF(OR(R230=1,R$196=1,$CY132=1),R132,0))</f>
        <v>x</v>
      </c>
      <c r="S315" s="41" t="str">
        <f>IF(S132=-1,"x",IF(OR(S230=1,S$196=1,$CZ132=1),S132,0))</f>
        <v>x</v>
      </c>
      <c r="T315" s="40" t="str">
        <f>IF(T132=-1,"x",IF(OR(T230=1,T$196=1,$CX132=1),T132,0))</f>
        <v>x</v>
      </c>
      <c r="U315" s="39" t="str">
        <f>IF(U132=-1,"x",IF(OR(U230=1,U$196=1,$CY132=1),U132,0))</f>
        <v>x</v>
      </c>
      <c r="V315" s="42" t="str">
        <f>IF(V132=-1,"x",IF(OR(V230=1,V$196=1,$CZ132=1),V132,0))</f>
        <v>x</v>
      </c>
      <c r="W315" s="43" t="str">
        <f>IF(W132=-1,"x",IF(OR(W230=1,W$196=1,$CX132=1),W132,0))</f>
        <v>x</v>
      </c>
      <c r="X315" s="39" t="str">
        <f>IF(X132=-1,"x",IF(OR(X230=1,X$196=1,$CY132=1),X132,0))</f>
        <v>x</v>
      </c>
      <c r="Y315" s="41" t="str">
        <f>IF(Y132=-1,"x",IF(OR(Y230=1,Y$196=1,$CZ132=1),Y132,0))</f>
        <v>x</v>
      </c>
      <c r="Z315" s="40" t="str">
        <f>IF(Z132=-1,"x",IF(OR(Z230=1,Z$196=1,$CX132=1),Z132,0))</f>
        <v>x</v>
      </c>
      <c r="AA315" s="39" t="str">
        <f>IF(AA132=-1,"x",IF(OR(AA230=1,AA$196=1,$CY132=1),AA132,0))</f>
        <v>x</v>
      </c>
      <c r="AB315" s="41" t="str">
        <f>IF(AB132=-1,"x",IF(OR(AB230=1,AB$196=1,$CZ132=1),AB132,0))</f>
        <v>x</v>
      </c>
      <c r="AC315" s="40" t="str">
        <f>IF(AC132=-1,"x",IF(OR(AC230=1,AC$196=1,$CX132=1),AC132,0))</f>
        <v>x</v>
      </c>
      <c r="AD315" s="39" t="str">
        <f>IF(AD132=-1,"x",IF(OR(AD230=1,AD$196=1,$CY132=1),AD132,0))</f>
        <v>x</v>
      </c>
      <c r="AE315" s="42" t="str">
        <f>IF(AE132=-1,"x",IF(OR(AE230=1,AE$196=1,$CZ132=1),AE132,0))</f>
        <v>x</v>
      </c>
      <c r="AF315" s="43" t="str">
        <f>IF(AF132=-1,"x",IF(OR(AF230=1,AF$196=1,$CX132=1),AF132,0))</f>
        <v>x</v>
      </c>
      <c r="AG315" s="39" t="str">
        <f>IF(AG132=-1,"x",IF(OR(AG230=1,AG$196=1,$CY132=1),AG132,0))</f>
        <v>x</v>
      </c>
      <c r="AH315" s="41" t="str">
        <f>IF(AH132=-1,"x",IF(OR(AH230=1,AH$196=1,$CZ132=1),AH132,0))</f>
        <v>x</v>
      </c>
      <c r="AI315" s="40" t="str">
        <f>IF(AI132=-1,"x",IF(OR(AI230=1,AI$196=1,$CX132=1),AI132,0))</f>
        <v>x</v>
      </c>
      <c r="AJ315" s="39" t="str">
        <f>IF(AJ132=-1,"x",IF(OR(AJ230=1,AJ$196=1,$CY132=1),AJ132,0))</f>
        <v>x</v>
      </c>
      <c r="AK315" s="41" t="str">
        <f>IF(AK132=-1,"x",IF(OR(AK230=1,AK$196=1,$CZ132=1),AK132,0))</f>
        <v>x</v>
      </c>
      <c r="AL315" s="40" t="str">
        <f>IF(AL132=-1,"x",IF(OR(AL230=1,AL$196=1,$CX132=1),AL132,0))</f>
        <v>x</v>
      </c>
      <c r="AM315" s="39" t="str">
        <f>IF(AM132=-1,"x",IF(OR(AM230=1,AM$196=1,$CY132=1),AM132,0))</f>
        <v>x</v>
      </c>
      <c r="AN315" s="95" t="str">
        <f>IF(AN132=-1,"x",IF(OR(AN230=1,AN$196=1,$CZ132=1),AN132,0))</f>
        <v>x</v>
      </c>
      <c r="AO315" s="94" t="str">
        <f>IF(AO132=-1,"x",IF(OR(AO230=1,AO$196=1,$CX132=1),AO132,0))</f>
        <v>x</v>
      </c>
      <c r="AP315" s="39" t="str">
        <f>IF(AP132=-1,"x",IF(OR(AP230=1,AP$196=1,$CY132=1),AP132,0))</f>
        <v>x</v>
      </c>
      <c r="AQ315" s="41" t="str">
        <f>IF(AQ132=-1,"x",IF(OR(AQ230=1,AQ$196=1,$CZ132=1),AQ132,0))</f>
        <v>x</v>
      </c>
      <c r="AR315" s="40" t="str">
        <f>IF(AR132=-1,"x",IF(OR(AR230=1,AR$196=1,$CX132=1),AR132,0))</f>
        <v>x</v>
      </c>
      <c r="AS315" s="39" t="str">
        <f>IF(AS132=-1,"x",IF(OR(AS230=1,AS$196=1,$CY132=1),AS132,0))</f>
        <v>x</v>
      </c>
      <c r="AT315" s="41" t="str">
        <f>IF(AT132=-1,"x",IF(OR(AT230=1,AT$196=1,$CZ132=1),AT132,0))</f>
        <v>x</v>
      </c>
      <c r="AU315" s="40" t="str">
        <f>IF(AU132=-1,"x",IF(OR(AU230=1,AU$196=1,$CX132=1),AU132,0))</f>
        <v>x</v>
      </c>
      <c r="AV315" s="39" t="str">
        <f>IF(AV132=-1,"x",IF(OR(AV230=1,AV$196=1,$CY132=1),AV132,0))</f>
        <v>x</v>
      </c>
      <c r="AW315" s="42" t="str">
        <f>IF(AW132=-1,"x",IF(OR(AW230=1,AW$196=1,$CZ132=1),AW132,0))</f>
        <v>x</v>
      </c>
      <c r="AX315" s="43" t="str">
        <f>IF(AX132=-1,"x",IF(OR(AX230=1,AX$196=1,$CX132=1),AX132,0))</f>
        <v>x</v>
      </c>
      <c r="AY315" s="39" t="str">
        <f>IF(AY132=-1,"x",IF(OR(AY230=1,AY$196=1,$CY132=1),AY132,0))</f>
        <v>x</v>
      </c>
      <c r="AZ315" s="41" t="str">
        <f>IF(AZ132=-1,"x",IF(OR(AZ230=1,AZ$196=1,$CZ132=1),AZ132,0))</f>
        <v>x</v>
      </c>
      <c r="BA315" s="40" t="str">
        <f>IF(BA132=-1,"x",IF(OR(BA230=1,BA$196=1,$CX132=1),BA132,0))</f>
        <v>x</v>
      </c>
      <c r="BB315" s="39" t="str">
        <f>IF(BB132=-1,"x",IF(OR(BB230=1,BB$196=1,$CY132=1),BB132,0))</f>
        <v>x</v>
      </c>
      <c r="BC315" s="41" t="str">
        <f>IF(BC132=-1,"x",IF(OR(BC230=1,BC$196=1,$CZ132=1),BC132,0))</f>
        <v>x</v>
      </c>
      <c r="BD315" s="40" t="str">
        <f>IF(BD132=-1,"x",IF(OR(BD230=1,BD$196=1,$CX132=1),BD132,0))</f>
        <v>x</v>
      </c>
      <c r="BE315" s="39" t="str">
        <f>IF(BE132=-1,"x",IF(OR(BE230=1,BE$196=1,$CY132=1),BE132,0))</f>
        <v>x</v>
      </c>
      <c r="BF315" s="42" t="str">
        <f>IF(BF132=-1,"x",IF(OR(BF230=1,BF$196=1,$CZ132=1),BF132,0))</f>
        <v>x</v>
      </c>
      <c r="BG315" s="43" t="str">
        <f>IF(BG132=-1,"x",IF(OR(BG230=1,BG$196=1,$CX132=1),BG132,0))</f>
        <v>x</v>
      </c>
      <c r="BH315" s="39" t="str">
        <f>IF(BH132=-1,"x",IF(OR(BH230=1,BH$196=1,$CY132=1),BH132,0))</f>
        <v>x</v>
      </c>
      <c r="BI315" s="41" t="str">
        <f>IF(BI132=-1,"x",IF(OR(BI230=1,BI$196=1,$CZ132=1),BI132,0))</f>
        <v>x</v>
      </c>
      <c r="BJ315" s="40" t="str">
        <f>IF(BJ132=-1,"x",IF(OR(BJ230=1,BJ$196=1,$CX132=1),BJ132,0))</f>
        <v>x</v>
      </c>
      <c r="BK315" s="39" t="str">
        <f>IF(BK132=-1,"x",IF(OR(BK230=1,BK$196=1,$CY132=1),BK132,0))</f>
        <v>x</v>
      </c>
      <c r="BL315" s="41" t="str">
        <f>IF(BL132=-1,"x",IF(OR(BL230=1,BL$196=1,$CZ132=1),BL132,0))</f>
        <v>x</v>
      </c>
      <c r="BM315" s="40" t="str">
        <f>IF(BM132=-1,"x",IF(OR(BM230=1,BM$196=1,$CX132=1),BM132,0))</f>
        <v>x</v>
      </c>
      <c r="BN315" s="39" t="str">
        <f>IF(BN132=-1,"x",IF(OR(BN230=1,BN$196=1,$CY132=1),BN132,0))</f>
        <v>x</v>
      </c>
      <c r="BO315" s="95" t="str">
        <f>IF(BO132=-1,"x",IF(OR(BO230=1,BO$196=1,$CZ132=1),BO132,0))</f>
        <v>x</v>
      </c>
      <c r="BP315" s="94" t="str">
        <f>IF(BP132=-1,"x",IF(OR(BP230=1,BP$196=1,$CX132=1),BP132,0))</f>
        <v>x</v>
      </c>
      <c r="BQ315" s="39" t="str">
        <f>IF(BQ132=-1,"x",IF(OR(BQ230=1,BQ$196=1,$CY132=1),BQ132,0))</f>
        <v>x</v>
      </c>
      <c r="BR315" s="41" t="str">
        <f>IF(BR132=-1,"x",IF(OR(BR230=1,BR$196=1,$CZ132=1),BR132,0))</f>
        <v>x</v>
      </c>
      <c r="BS315" s="40" t="str">
        <f>IF(BS132=-1,"x",IF(OR(BS230=1,BS$196=1,$CX132=1),BS132,0))</f>
        <v>x</v>
      </c>
      <c r="BT315" s="39" t="str">
        <f>IF(BT132=-1,"x",IF(OR(BT230=1,BT$196=1,$CY132=1),BT132,0))</f>
        <v>x</v>
      </c>
      <c r="BU315" s="41" t="str">
        <f>IF(BU132=-1,"x",IF(OR(BU230=1,BU$196=1,$CZ132=1),BU132,0))</f>
        <v>x</v>
      </c>
      <c r="BV315" s="40" t="str">
        <f>IF(BV132=-1,"x",IF(OR(BV230=1,BV$196=1,$CX132=1),BV132,0))</f>
        <v>x</v>
      </c>
      <c r="BW315" s="39" t="str">
        <f>IF(BW132=-1,"x",IF(OR(BW230=1,BW$196=1,$CY132=1),BW132,0))</f>
        <v>x</v>
      </c>
      <c r="BX315" s="42" t="str">
        <f>IF(BX132=-1,"x",IF(OR(BX230=1,BX$196=1,$CZ132=1),BX132,0))</f>
        <v>x</v>
      </c>
      <c r="BY315" s="43" t="str">
        <f>IF(BY132=-1,"x",IF(OR(BY230=1,BY$196=1,$CX132=1),BY132,0))</f>
        <v>x</v>
      </c>
      <c r="BZ315" s="39" t="str">
        <f>IF(BZ132=-1,"x",IF(OR(BZ230=1,BZ$196=1,$CY132=1),BZ132,0))</f>
        <v>x</v>
      </c>
      <c r="CA315" s="41" t="str">
        <f>IF(CA132=-1,"x",IF(OR(CA230=1,CA$196=1,$CZ132=1),CA132,0))</f>
        <v>x</v>
      </c>
      <c r="CB315" s="40" t="str">
        <f>IF(CB132=-1,"x",IF(OR(CB230=1,CB$196=1,$CX132=1),CB132,0))</f>
        <v>x</v>
      </c>
      <c r="CC315" s="39" t="str">
        <f>IF(CC132=-1,"x",IF(OR(CC230=1,CC$196=1,$CY132=1),CC132,0))</f>
        <v>x</v>
      </c>
      <c r="CD315" s="41" t="str">
        <f>IF(CD132=-1,"x",IF(OR(CD230=1,CD$196=1,$CZ132=1),CD132,0))</f>
        <v>x</v>
      </c>
      <c r="CE315" s="40" t="str">
        <f>IF(CE132=-1,"x",IF(OR(CE230=1,CE$196=1,$CX132=1),CE132,0))</f>
        <v>x</v>
      </c>
      <c r="CF315" s="39" t="str">
        <f>IF(CF132=-1,"x",IF(OR(CF230=1,CF$196=1,$CY132=1),CF132,0))</f>
        <v>x</v>
      </c>
      <c r="CG315" s="42" t="str">
        <f>IF(CG132=-1,"x",IF(OR(CG230=1,CG$196=1,$CZ132=1),CG132,0))</f>
        <v>x</v>
      </c>
      <c r="CH315" s="43" t="str">
        <f>IF(CH132=-1,"x",IF(OR(CH230=1,CH$196=1,$CX132=1),CH132,0))</f>
        <v>x</v>
      </c>
      <c r="CI315" s="39" t="str">
        <f>IF(CI132=-1,"x",IF(OR(CI230=1,CI$196=1,$CY132=1),CI132,0))</f>
        <v>x</v>
      </c>
      <c r="CJ315" s="41" t="str">
        <f>IF(CJ132=-1,"x",IF(OR(CJ230=1,CJ$196=1,$CZ132=1),CJ132,0))</f>
        <v>x</v>
      </c>
      <c r="CK315" s="40" t="str">
        <f>IF(CK132=-1,"x",IF(OR(CK230=1,CK$196=1,$CX132=1),CK132,0))</f>
        <v>x</v>
      </c>
      <c r="CL315" s="39" t="str">
        <f>IF(CL132=-1,"x",IF(OR(CL230=1,CL$196=1,$CY132=1),CL132,0))</f>
        <v>x</v>
      </c>
      <c r="CM315" s="41" t="str">
        <f>IF(CM132=-1,"x",IF(OR(CM230=1,CM$196=1,$CZ132=1),CM132,0))</f>
        <v>x</v>
      </c>
      <c r="CN315" s="40" t="str">
        <f>IF(CN132=-1,"x",IF(OR(CN230=1,CN$196=1,$CX132=1),CN132,0))</f>
        <v>x</v>
      </c>
      <c r="CO315" s="39" t="str">
        <f>IF(CO132=-1,"x",IF(OR(CO230=1,CO$196=1,$CY132=1),CO132,0))</f>
        <v>x</v>
      </c>
      <c r="CP315" s="95" t="str">
        <f>IF(CP132=-1,"x",IF(OR(CP230=1,CP$196=1,$CZ132=1),CP132,0))</f>
        <v>x</v>
      </c>
      <c r="DJ315" s="116">
        <f t="shared" ref="DJ315:FU315" si="1102">DJ312</f>
        <v>0</v>
      </c>
      <c r="DK315" s="116">
        <f t="shared" si="1102"/>
        <v>2</v>
      </c>
      <c r="DL315" s="116">
        <f t="shared" si="1102"/>
        <v>0</v>
      </c>
      <c r="DM315" s="116">
        <f t="shared" si="1102"/>
        <v>0</v>
      </c>
      <c r="DN315" s="116">
        <f t="shared" si="1102"/>
        <v>2</v>
      </c>
      <c r="DO315" s="116">
        <f t="shared" si="1102"/>
        <v>0</v>
      </c>
      <c r="DP315" s="116">
        <f t="shared" si="1102"/>
        <v>0</v>
      </c>
      <c r="DQ315" s="116">
        <f t="shared" si="1102"/>
        <v>2</v>
      </c>
      <c r="DR315" s="116">
        <f t="shared" si="1102"/>
        <v>0</v>
      </c>
      <c r="DS315" s="116">
        <f t="shared" si="1102"/>
        <v>0</v>
      </c>
      <c r="DT315" s="116">
        <f t="shared" si="1102"/>
        <v>2</v>
      </c>
      <c r="DU315" s="116">
        <f t="shared" si="1102"/>
        <v>0</v>
      </c>
      <c r="DV315" s="116">
        <f t="shared" si="1102"/>
        <v>0</v>
      </c>
      <c r="DW315" s="116">
        <f t="shared" si="1102"/>
        <v>2</v>
      </c>
      <c r="DX315" s="116">
        <f t="shared" si="1102"/>
        <v>0</v>
      </c>
      <c r="DY315" s="116">
        <f t="shared" si="1102"/>
        <v>0</v>
      </c>
      <c r="DZ315" s="116">
        <f t="shared" si="1102"/>
        <v>2</v>
      </c>
      <c r="EA315" s="116">
        <f t="shared" si="1102"/>
        <v>0</v>
      </c>
      <c r="EB315" s="116">
        <f t="shared" si="1102"/>
        <v>0</v>
      </c>
      <c r="EC315" s="116">
        <f t="shared" si="1102"/>
        <v>2</v>
      </c>
      <c r="ED315" s="116">
        <f t="shared" si="1102"/>
        <v>0</v>
      </c>
      <c r="EE315" s="116">
        <f t="shared" si="1102"/>
        <v>0</v>
      </c>
      <c r="EF315" s="116">
        <f t="shared" si="1102"/>
        <v>2</v>
      </c>
      <c r="EG315" s="116">
        <f t="shared" si="1102"/>
        <v>0</v>
      </c>
      <c r="EH315" s="116">
        <f t="shared" si="1102"/>
        <v>0</v>
      </c>
      <c r="EI315" s="116">
        <f t="shared" si="1102"/>
        <v>2</v>
      </c>
      <c r="EJ315" s="116">
        <f t="shared" si="1102"/>
        <v>0</v>
      </c>
      <c r="EK315" s="116">
        <f t="shared" si="1102"/>
        <v>1</v>
      </c>
      <c r="EL315" s="116">
        <f t="shared" si="1102"/>
        <v>2</v>
      </c>
      <c r="EM315" s="116">
        <f t="shared" si="1102"/>
        <v>0</v>
      </c>
      <c r="EN315" s="116">
        <f t="shared" si="1102"/>
        <v>1</v>
      </c>
      <c r="EO315" s="116">
        <f t="shared" si="1102"/>
        <v>2</v>
      </c>
      <c r="EP315" s="116">
        <f t="shared" si="1102"/>
        <v>0</v>
      </c>
      <c r="EQ315" s="116">
        <f t="shared" si="1102"/>
        <v>1</v>
      </c>
      <c r="ER315" s="116">
        <f t="shared" si="1102"/>
        <v>2</v>
      </c>
      <c r="ES315" s="116">
        <f t="shared" si="1102"/>
        <v>0</v>
      </c>
      <c r="ET315" s="116">
        <f t="shared" si="1102"/>
        <v>1</v>
      </c>
      <c r="EU315" s="116">
        <f t="shared" si="1102"/>
        <v>2</v>
      </c>
      <c r="EV315" s="116">
        <f t="shared" si="1102"/>
        <v>0</v>
      </c>
      <c r="EW315" s="116">
        <f t="shared" si="1102"/>
        <v>1</v>
      </c>
      <c r="EX315" s="116">
        <f t="shared" si="1102"/>
        <v>2</v>
      </c>
      <c r="EY315" s="116">
        <f t="shared" si="1102"/>
        <v>0</v>
      </c>
      <c r="EZ315" s="116">
        <f t="shared" si="1102"/>
        <v>1</v>
      </c>
      <c r="FA315" s="116">
        <f t="shared" si="1102"/>
        <v>2</v>
      </c>
      <c r="FB315" s="116">
        <f t="shared" si="1102"/>
        <v>0</v>
      </c>
      <c r="FC315" s="116">
        <f t="shared" si="1102"/>
        <v>1</v>
      </c>
      <c r="FD315" s="116">
        <f t="shared" si="1102"/>
        <v>2</v>
      </c>
      <c r="FE315" s="116">
        <f t="shared" si="1102"/>
        <v>0</v>
      </c>
      <c r="FF315" s="116">
        <f t="shared" si="1102"/>
        <v>1</v>
      </c>
      <c r="FG315" s="116">
        <f t="shared" si="1102"/>
        <v>2</v>
      </c>
      <c r="FH315" s="116">
        <f t="shared" si="1102"/>
        <v>0</v>
      </c>
      <c r="FI315" s="116">
        <f t="shared" si="1102"/>
        <v>1</v>
      </c>
      <c r="FJ315" s="116">
        <f t="shared" si="1102"/>
        <v>2</v>
      </c>
      <c r="FK315" s="116">
        <f t="shared" si="1102"/>
        <v>0</v>
      </c>
      <c r="FL315" s="116">
        <f t="shared" si="1102"/>
        <v>1</v>
      </c>
      <c r="FM315" s="116">
        <f t="shared" si="1102"/>
        <v>7</v>
      </c>
      <c r="FN315" s="116">
        <f t="shared" si="1102"/>
        <v>0</v>
      </c>
      <c r="FO315" s="116">
        <f t="shared" si="1102"/>
        <v>1</v>
      </c>
      <c r="FP315" s="116">
        <f t="shared" si="1102"/>
        <v>7</v>
      </c>
      <c r="FQ315" s="116">
        <f t="shared" si="1102"/>
        <v>0</v>
      </c>
      <c r="FR315" s="116">
        <f t="shared" si="1102"/>
        <v>1</v>
      </c>
      <c r="FS315" s="116">
        <f t="shared" si="1102"/>
        <v>7</v>
      </c>
      <c r="FT315" s="116">
        <f t="shared" si="1102"/>
        <v>0</v>
      </c>
      <c r="FU315" s="116">
        <f t="shared" si="1102"/>
        <v>1</v>
      </c>
      <c r="FV315" s="116">
        <f t="shared" ref="FV315:GL315" si="1103">FV312</f>
        <v>7</v>
      </c>
      <c r="FW315" s="116">
        <f t="shared" si="1103"/>
        <v>0</v>
      </c>
      <c r="FX315" s="116">
        <f t="shared" si="1103"/>
        <v>1</v>
      </c>
      <c r="FY315" s="116">
        <f t="shared" si="1103"/>
        <v>7</v>
      </c>
      <c r="FZ315" s="116">
        <f t="shared" si="1103"/>
        <v>0</v>
      </c>
      <c r="GA315" s="116">
        <f t="shared" si="1103"/>
        <v>1</v>
      </c>
      <c r="GB315" s="116">
        <f t="shared" si="1103"/>
        <v>7</v>
      </c>
      <c r="GC315" s="116">
        <f t="shared" si="1103"/>
        <v>0</v>
      </c>
      <c r="GD315" s="116">
        <f t="shared" si="1103"/>
        <v>1</v>
      </c>
      <c r="GE315" s="116">
        <f t="shared" si="1103"/>
        <v>7</v>
      </c>
      <c r="GF315" s="116">
        <f t="shared" si="1103"/>
        <v>0</v>
      </c>
      <c r="GG315" s="116">
        <f t="shared" si="1103"/>
        <v>1</v>
      </c>
      <c r="GH315" s="116">
        <f t="shared" si="1103"/>
        <v>7</v>
      </c>
      <c r="GI315" s="116">
        <f t="shared" si="1103"/>
        <v>0</v>
      </c>
      <c r="GJ315" s="116">
        <f t="shared" si="1103"/>
        <v>1</v>
      </c>
      <c r="GK315" s="116">
        <f t="shared" si="1103"/>
        <v>7</v>
      </c>
      <c r="GL315" s="116">
        <f t="shared" si="1103"/>
        <v>0</v>
      </c>
    </row>
    <row r="316" spans="14:194" ht="15" customHeight="1" thickBot="1">
      <c r="N316" s="110" t="str">
        <f>IF(N133=-1,"x",IF(OR(N231=1,N$197=1,$CX133=1),N133,0))</f>
        <v>x</v>
      </c>
      <c r="O316" s="83" t="str">
        <f>IF(O133=-1,"x",IF(OR(O231=1,O$197=1,$CY133=1),O133,0))</f>
        <v>x</v>
      </c>
      <c r="P316" s="111" t="str">
        <f>IF(P133=-1,"x",IF(OR(P231=1,P$197=1,$CZ133=1),P133,0))</f>
        <v>x</v>
      </c>
      <c r="Q316" s="112" t="str">
        <f>IF(Q133=-1,"x",IF(OR(Q231=1,Q$197=1,$CX133=1),Q133,0))</f>
        <v>x</v>
      </c>
      <c r="R316" s="83" t="str">
        <f>IF(R133=-1,"x",IF(OR(R231=1,R$197=1,$CY133=1),R133,0))</f>
        <v>x</v>
      </c>
      <c r="S316" s="111" t="str">
        <f>IF(S133=-1,"x",IF(OR(S231=1,S$197=1,$CZ133=1),S133,0))</f>
        <v>x</v>
      </c>
      <c r="T316" s="112" t="str">
        <f>IF(T133=-1,"x",IF(OR(T231=1,T$197=1,$CX133=1),T133,0))</f>
        <v>x</v>
      </c>
      <c r="U316" s="83" t="str">
        <f>IF(U133=-1,"x",IF(OR(U231=1,U$197=1,$CY133=1),U133,0))</f>
        <v>x</v>
      </c>
      <c r="V316" s="113" t="str">
        <f>IF(V133=-1,"x",IF(OR(V231=1,V$197=1,$CZ133=1),V133,0))</f>
        <v>x</v>
      </c>
      <c r="W316" s="114" t="str">
        <f>IF(W133=-1,"x",IF(OR(W231=1,W$197=1,$CX133=1),W133,0))</f>
        <v>x</v>
      </c>
      <c r="X316" s="83" t="str">
        <f>IF(X133=-1,"x",IF(OR(X231=1,X$197=1,$CY133=1),X133,0))</f>
        <v>x</v>
      </c>
      <c r="Y316" s="111" t="str">
        <f>IF(Y133=-1,"x",IF(OR(Y231=1,Y$197=1,$CZ133=1),Y133,0))</f>
        <v>x</v>
      </c>
      <c r="Z316" s="112" t="str">
        <f>IF(Z133=-1,"x",IF(OR(Z231=1,Z$197=1,$CX133=1),Z133,0))</f>
        <v>x</v>
      </c>
      <c r="AA316" s="83" t="str">
        <f>IF(AA133=-1,"x",IF(OR(AA231=1,AA$197=1,$CY133=1),AA133,0))</f>
        <v>x</v>
      </c>
      <c r="AB316" s="111" t="str">
        <f>IF(AB133=-1,"x",IF(OR(AB231=1,AB$197=1,$CZ133=1),AB133,0))</f>
        <v>x</v>
      </c>
      <c r="AC316" s="112" t="str">
        <f>IF(AC133=-1,"x",IF(OR(AC231=1,AC$197=1,$CX133=1),AC133,0))</f>
        <v>x</v>
      </c>
      <c r="AD316" s="83" t="str">
        <f>IF(AD133=-1,"x",IF(OR(AD231=1,AD$197=1,$CY133=1),AD133,0))</f>
        <v>x</v>
      </c>
      <c r="AE316" s="113" t="str">
        <f>IF(AE133=-1,"x",IF(OR(AE231=1,AE$197=1,$CZ133=1),AE133,0))</f>
        <v>x</v>
      </c>
      <c r="AF316" s="114" t="str">
        <f>IF(AF133=-1,"x",IF(OR(AF231=1,AF$197=1,$CX133=1),AF133,0))</f>
        <v>x</v>
      </c>
      <c r="AG316" s="83" t="str">
        <f>IF(AG133=-1,"x",IF(OR(AG231=1,AG$197=1,$CY133=1),AG133,0))</f>
        <v>x</v>
      </c>
      <c r="AH316" s="111" t="str">
        <f>IF(AH133=-1,"x",IF(OR(AH231=1,AH$197=1,$CZ133=1),AH133,0))</f>
        <v>x</v>
      </c>
      <c r="AI316" s="112" t="str">
        <f>IF(AI133=-1,"x",IF(OR(AI231=1,AI$197=1,$CX133=1),AI133,0))</f>
        <v>x</v>
      </c>
      <c r="AJ316" s="83" t="str">
        <f>IF(AJ133=-1,"x",IF(OR(AJ231=1,AJ$197=1,$CY133=1),AJ133,0))</f>
        <v>x</v>
      </c>
      <c r="AK316" s="111" t="str">
        <f>IF(AK133=-1,"x",IF(OR(AK231=1,AK$197=1,$CZ133=1),AK133,0))</f>
        <v>x</v>
      </c>
      <c r="AL316" s="112" t="str">
        <f>IF(AL133=-1,"x",IF(OR(AL231=1,AL$197=1,$CX133=1),AL133,0))</f>
        <v>x</v>
      </c>
      <c r="AM316" s="83" t="str">
        <f>IF(AM133=-1,"x",IF(OR(AM231=1,AM$197=1,$CY133=1),AM133,0))</f>
        <v>x</v>
      </c>
      <c r="AN316" s="115" t="str">
        <f>IF(AN133=-1,"x",IF(OR(AN231=1,AN$197=1,$CZ133=1),AN133,0))</f>
        <v>x</v>
      </c>
      <c r="AO316" s="110" t="str">
        <f>IF(AO133=-1,"x",IF(OR(AO231=1,AO$197=1,$CX133=1),AO133,0))</f>
        <v>x</v>
      </c>
      <c r="AP316" s="83" t="str">
        <f>IF(AP133=-1,"x",IF(OR(AP231=1,AP$197=1,$CY133=1),AP133,0))</f>
        <v>x</v>
      </c>
      <c r="AQ316" s="111" t="str">
        <f>IF(AQ133=-1,"x",IF(OR(AQ231=1,AQ$197=1,$CZ133=1),AQ133,0))</f>
        <v>x</v>
      </c>
      <c r="AR316" s="112" t="str">
        <f>IF(AR133=-1,"x",IF(OR(AR231=1,AR$197=1,$CX133=1),AR133,0))</f>
        <v>x</v>
      </c>
      <c r="AS316" s="83" t="str">
        <f>IF(AS133=-1,"x",IF(OR(AS231=1,AS$197=1,$CY133=1),AS133,0))</f>
        <v>x</v>
      </c>
      <c r="AT316" s="111" t="str">
        <f>IF(AT133=-1,"x",IF(OR(AT231=1,AT$197=1,$CZ133=1),AT133,0))</f>
        <v>x</v>
      </c>
      <c r="AU316" s="112" t="str">
        <f>IF(AU133=-1,"x",IF(OR(AU231=1,AU$197=1,$CX133=1),AU133,0))</f>
        <v>x</v>
      </c>
      <c r="AV316" s="83" t="str">
        <f>IF(AV133=-1,"x",IF(OR(AV231=1,AV$197=1,$CY133=1),AV133,0))</f>
        <v>x</v>
      </c>
      <c r="AW316" s="113" t="str">
        <f>IF(AW133=-1,"x",IF(OR(AW231=1,AW$197=1,$CZ133=1),AW133,0))</f>
        <v>x</v>
      </c>
      <c r="AX316" s="114" t="str">
        <f>IF(AX133=-1,"x",IF(OR(AX231=1,AX$197=1,$CX133=1),AX133,0))</f>
        <v>x</v>
      </c>
      <c r="AY316" s="83" t="str">
        <f>IF(AY133=-1,"x",IF(OR(AY231=1,AY$197=1,$CY133=1),AY133,0))</f>
        <v>x</v>
      </c>
      <c r="AZ316" s="111" t="str">
        <f>IF(AZ133=-1,"x",IF(OR(AZ231=1,AZ$197=1,$CZ133=1),AZ133,0))</f>
        <v>x</v>
      </c>
      <c r="BA316" s="112" t="str">
        <f>IF(BA133=-1,"x",IF(OR(BA231=1,BA$197=1,$CX133=1),BA133,0))</f>
        <v>x</v>
      </c>
      <c r="BB316" s="83" t="str">
        <f>IF(BB133=-1,"x",IF(OR(BB231=1,BB$197=1,$CY133=1),BB133,0))</f>
        <v>x</v>
      </c>
      <c r="BC316" s="111" t="str">
        <f>IF(BC133=-1,"x",IF(OR(BC231=1,BC$197=1,$CZ133=1),BC133,0))</f>
        <v>x</v>
      </c>
      <c r="BD316" s="112" t="str">
        <f>IF(BD133=-1,"x",IF(OR(BD231=1,BD$197=1,$CX133=1),BD133,0))</f>
        <v>x</v>
      </c>
      <c r="BE316" s="83" t="str">
        <f>IF(BE133=-1,"x",IF(OR(BE231=1,BE$197=1,$CY133=1),BE133,0))</f>
        <v>x</v>
      </c>
      <c r="BF316" s="113" t="str">
        <f>IF(BF133=-1,"x",IF(OR(BF231=1,BF$197=1,$CZ133=1),BF133,0))</f>
        <v>x</v>
      </c>
      <c r="BG316" s="114" t="str">
        <f>IF(BG133=-1,"x",IF(OR(BG231=1,BG$197=1,$CX133=1),BG133,0))</f>
        <v>x</v>
      </c>
      <c r="BH316" s="83" t="str">
        <f>IF(BH133=-1,"x",IF(OR(BH231=1,BH$197=1,$CY133=1),BH133,0))</f>
        <v>x</v>
      </c>
      <c r="BI316" s="111" t="str">
        <f>IF(BI133=-1,"x",IF(OR(BI231=1,BI$197=1,$CZ133=1),BI133,0))</f>
        <v>x</v>
      </c>
      <c r="BJ316" s="112" t="str">
        <f>IF(BJ133=-1,"x",IF(OR(BJ231=1,BJ$197=1,$CX133=1),BJ133,0))</f>
        <v>x</v>
      </c>
      <c r="BK316" s="83" t="str">
        <f>IF(BK133=-1,"x",IF(OR(BK231=1,BK$197=1,$CY133=1),BK133,0))</f>
        <v>x</v>
      </c>
      <c r="BL316" s="111" t="str">
        <f>IF(BL133=-1,"x",IF(OR(BL231=1,BL$197=1,$CZ133=1),BL133,0))</f>
        <v>x</v>
      </c>
      <c r="BM316" s="112" t="str">
        <f>IF(BM133=-1,"x",IF(OR(BM231=1,BM$197=1,$CX133=1),BM133,0))</f>
        <v>x</v>
      </c>
      <c r="BN316" s="83" t="str">
        <f>IF(BN133=-1,"x",IF(OR(BN231=1,BN$197=1,$CY133=1),BN133,0))</f>
        <v>x</v>
      </c>
      <c r="BO316" s="115" t="str">
        <f>IF(BO133=-1,"x",IF(OR(BO231=1,BO$197=1,$CZ133=1),BO133,0))</f>
        <v>x</v>
      </c>
      <c r="BP316" s="110" t="str">
        <f>IF(BP133=-1,"x",IF(OR(BP231=1,BP$197=1,$CX133=1),BP133,0))</f>
        <v>x</v>
      </c>
      <c r="BQ316" s="83" t="str">
        <f>IF(BQ133=-1,"x",IF(OR(BQ231=1,BQ$197=1,$CY133=1),BQ133,0))</f>
        <v>x</v>
      </c>
      <c r="BR316" s="111" t="str">
        <f>IF(BR133=-1,"x",IF(OR(BR231=1,BR$197=1,$CZ133=1),BR133,0))</f>
        <v>x</v>
      </c>
      <c r="BS316" s="112" t="str">
        <f>IF(BS133=-1,"x",IF(OR(BS231=1,BS$197=1,$CX133=1),BS133,0))</f>
        <v>x</v>
      </c>
      <c r="BT316" s="83" t="str">
        <f>IF(BT133=-1,"x",IF(OR(BT231=1,BT$197=1,$CY133=1),BT133,0))</f>
        <v>x</v>
      </c>
      <c r="BU316" s="111" t="str">
        <f>IF(BU133=-1,"x",IF(OR(BU231=1,BU$197=1,$CZ133=1),BU133,0))</f>
        <v>x</v>
      </c>
      <c r="BV316" s="112" t="str">
        <f>IF(BV133=-1,"x",IF(OR(BV231=1,BV$197=1,$CX133=1),BV133,0))</f>
        <v>x</v>
      </c>
      <c r="BW316" s="83" t="str">
        <f>IF(BW133=-1,"x",IF(OR(BW231=1,BW$197=1,$CY133=1),BW133,0))</f>
        <v>x</v>
      </c>
      <c r="BX316" s="113" t="str">
        <f>IF(BX133=-1,"x",IF(OR(BX231=1,BX$197=1,$CZ133=1),BX133,0))</f>
        <v>x</v>
      </c>
      <c r="BY316" s="114" t="str">
        <f>IF(BY133=-1,"x",IF(OR(BY231=1,BY$197=1,$CX133=1),BY133,0))</f>
        <v>x</v>
      </c>
      <c r="BZ316" s="83" t="str">
        <f>IF(BZ133=-1,"x",IF(OR(BZ231=1,BZ$197=1,$CY133=1),BZ133,0))</f>
        <v>x</v>
      </c>
      <c r="CA316" s="111" t="str">
        <f>IF(CA133=-1,"x",IF(OR(CA231=1,CA$197=1,$CZ133=1),CA133,0))</f>
        <v>x</v>
      </c>
      <c r="CB316" s="112" t="str">
        <f>IF(CB133=-1,"x",IF(OR(CB231=1,CB$197=1,$CX133=1),CB133,0))</f>
        <v>x</v>
      </c>
      <c r="CC316" s="83" t="str">
        <f>IF(CC133=-1,"x",IF(OR(CC231=1,CC$197=1,$CY133=1),CC133,0))</f>
        <v>x</v>
      </c>
      <c r="CD316" s="111" t="str">
        <f>IF(CD133=-1,"x",IF(OR(CD231=1,CD$197=1,$CZ133=1),CD133,0))</f>
        <v>x</v>
      </c>
      <c r="CE316" s="112" t="str">
        <f>IF(CE133=-1,"x",IF(OR(CE231=1,CE$197=1,$CX133=1),CE133,0))</f>
        <v>x</v>
      </c>
      <c r="CF316" s="83" t="str">
        <f>IF(CF133=-1,"x",IF(OR(CF231=1,CF$197=1,$CY133=1),CF133,0))</f>
        <v>x</v>
      </c>
      <c r="CG316" s="113" t="str">
        <f>IF(CG133=-1,"x",IF(OR(CG231=1,CG$197=1,$CZ133=1),CG133,0))</f>
        <v>x</v>
      </c>
      <c r="CH316" s="114" t="str">
        <f>IF(CH133=-1,"x",IF(OR(CH231=1,CH$197=1,$CX133=1),CH133,0))</f>
        <v>x</v>
      </c>
      <c r="CI316" s="83" t="str">
        <f>IF(CI133=-1,"x",IF(OR(CI231=1,CI$197=1,$CY133=1),CI133,0))</f>
        <v>x</v>
      </c>
      <c r="CJ316" s="111" t="str">
        <f>IF(CJ133=-1,"x",IF(OR(CJ231=1,CJ$197=1,$CZ133=1),CJ133,0))</f>
        <v>x</v>
      </c>
      <c r="CK316" s="112" t="str">
        <f>IF(CK133=-1,"x",IF(OR(CK231=1,CK$197=1,$CX133=1),CK133,0))</f>
        <v>x</v>
      </c>
      <c r="CL316" s="83" t="str">
        <f>IF(CL133=-1,"x",IF(OR(CL231=1,CL$197=1,$CY133=1),CL133,0))</f>
        <v>x</v>
      </c>
      <c r="CM316" s="111" t="str">
        <f>IF(CM133=-1,"x",IF(OR(CM231=1,CM$197=1,$CZ133=1),CM133,0))</f>
        <v>x</v>
      </c>
      <c r="CN316" s="112" t="str">
        <f>IF(CN133=-1,"x",IF(OR(CN231=1,CN$197=1,$CX133=1),CN133,0))</f>
        <v>x</v>
      </c>
      <c r="CO316" s="83" t="str">
        <f>IF(CO133=-1,"x",IF(OR(CO231=1,CO$197=1,$CY133=1),CO133,0))</f>
        <v>x</v>
      </c>
      <c r="CP316" s="115" t="str">
        <f>IF(CP133=-1,"x",IF(OR(CP231=1,CP$197=1,$CZ133=1),CP133,0))</f>
        <v>x</v>
      </c>
      <c r="DJ316" s="116">
        <f t="shared" ref="DJ316:FU316" si="1104">DJ313</f>
        <v>6</v>
      </c>
      <c r="DK316" s="116">
        <f t="shared" si="1104"/>
        <v>0</v>
      </c>
      <c r="DL316" s="116">
        <f t="shared" si="1104"/>
        <v>2</v>
      </c>
      <c r="DM316" s="116">
        <f t="shared" si="1104"/>
        <v>6</v>
      </c>
      <c r="DN316" s="116">
        <f t="shared" si="1104"/>
        <v>0</v>
      </c>
      <c r="DO316" s="116">
        <f t="shared" si="1104"/>
        <v>2</v>
      </c>
      <c r="DP316" s="116">
        <f t="shared" si="1104"/>
        <v>6</v>
      </c>
      <c r="DQ316" s="116">
        <f t="shared" si="1104"/>
        <v>0</v>
      </c>
      <c r="DR316" s="116">
        <f t="shared" si="1104"/>
        <v>2</v>
      </c>
      <c r="DS316" s="116">
        <f t="shared" si="1104"/>
        <v>6</v>
      </c>
      <c r="DT316" s="116">
        <f t="shared" si="1104"/>
        <v>0</v>
      </c>
      <c r="DU316" s="116">
        <f t="shared" si="1104"/>
        <v>2</v>
      </c>
      <c r="DV316" s="116">
        <f t="shared" si="1104"/>
        <v>6</v>
      </c>
      <c r="DW316" s="116">
        <f t="shared" si="1104"/>
        <v>0</v>
      </c>
      <c r="DX316" s="116">
        <f t="shared" si="1104"/>
        <v>2</v>
      </c>
      <c r="DY316" s="116">
        <f t="shared" si="1104"/>
        <v>6</v>
      </c>
      <c r="DZ316" s="116">
        <f t="shared" si="1104"/>
        <v>0</v>
      </c>
      <c r="EA316" s="116">
        <f t="shared" si="1104"/>
        <v>2</v>
      </c>
      <c r="EB316" s="116">
        <f t="shared" si="1104"/>
        <v>6</v>
      </c>
      <c r="EC316" s="116">
        <f t="shared" si="1104"/>
        <v>0</v>
      </c>
      <c r="ED316" s="116">
        <f t="shared" si="1104"/>
        <v>2</v>
      </c>
      <c r="EE316" s="116">
        <f t="shared" si="1104"/>
        <v>6</v>
      </c>
      <c r="EF316" s="116">
        <f t="shared" si="1104"/>
        <v>0</v>
      </c>
      <c r="EG316" s="116">
        <f t="shared" si="1104"/>
        <v>2</v>
      </c>
      <c r="EH316" s="116">
        <f t="shared" si="1104"/>
        <v>6</v>
      </c>
      <c r="EI316" s="116">
        <f t="shared" si="1104"/>
        <v>0</v>
      </c>
      <c r="EJ316" s="116">
        <f t="shared" si="1104"/>
        <v>2</v>
      </c>
      <c r="EK316" s="116">
        <f t="shared" si="1104"/>
        <v>2</v>
      </c>
      <c r="EL316" s="116">
        <f t="shared" si="1104"/>
        <v>0</v>
      </c>
      <c r="EM316" s="116">
        <f t="shared" si="1104"/>
        <v>2</v>
      </c>
      <c r="EN316" s="116">
        <f t="shared" si="1104"/>
        <v>2</v>
      </c>
      <c r="EO316" s="116">
        <f t="shared" si="1104"/>
        <v>0</v>
      </c>
      <c r="EP316" s="116">
        <f t="shared" si="1104"/>
        <v>2</v>
      </c>
      <c r="EQ316" s="116">
        <f t="shared" si="1104"/>
        <v>2</v>
      </c>
      <c r="ER316" s="116">
        <f t="shared" si="1104"/>
        <v>0</v>
      </c>
      <c r="ES316" s="116">
        <f t="shared" si="1104"/>
        <v>2</v>
      </c>
      <c r="ET316" s="116">
        <f t="shared" si="1104"/>
        <v>2</v>
      </c>
      <c r="EU316" s="116">
        <f t="shared" si="1104"/>
        <v>0</v>
      </c>
      <c r="EV316" s="116">
        <f t="shared" si="1104"/>
        <v>2</v>
      </c>
      <c r="EW316" s="116">
        <f t="shared" si="1104"/>
        <v>2</v>
      </c>
      <c r="EX316" s="116">
        <f t="shared" si="1104"/>
        <v>0</v>
      </c>
      <c r="EY316" s="116">
        <f t="shared" si="1104"/>
        <v>2</v>
      </c>
      <c r="EZ316" s="116">
        <f t="shared" si="1104"/>
        <v>2</v>
      </c>
      <c r="FA316" s="116">
        <f t="shared" si="1104"/>
        <v>0</v>
      </c>
      <c r="FB316" s="116">
        <f t="shared" si="1104"/>
        <v>2</v>
      </c>
      <c r="FC316" s="116">
        <f t="shared" si="1104"/>
        <v>2</v>
      </c>
      <c r="FD316" s="116">
        <f t="shared" si="1104"/>
        <v>0</v>
      </c>
      <c r="FE316" s="116">
        <f t="shared" si="1104"/>
        <v>2</v>
      </c>
      <c r="FF316" s="116">
        <f t="shared" si="1104"/>
        <v>2</v>
      </c>
      <c r="FG316" s="116">
        <f t="shared" si="1104"/>
        <v>0</v>
      </c>
      <c r="FH316" s="116">
        <f t="shared" si="1104"/>
        <v>2</v>
      </c>
      <c r="FI316" s="116">
        <f t="shared" si="1104"/>
        <v>2</v>
      </c>
      <c r="FJ316" s="116">
        <f t="shared" si="1104"/>
        <v>0</v>
      </c>
      <c r="FK316" s="116">
        <f t="shared" si="1104"/>
        <v>2</v>
      </c>
      <c r="FL316" s="116">
        <f t="shared" si="1104"/>
        <v>5</v>
      </c>
      <c r="FM316" s="116">
        <f t="shared" si="1104"/>
        <v>3</v>
      </c>
      <c r="FN316" s="116">
        <f t="shared" si="1104"/>
        <v>7</v>
      </c>
      <c r="FO316" s="116">
        <f t="shared" si="1104"/>
        <v>5</v>
      </c>
      <c r="FP316" s="116">
        <f t="shared" si="1104"/>
        <v>3</v>
      </c>
      <c r="FQ316" s="116">
        <f t="shared" si="1104"/>
        <v>7</v>
      </c>
      <c r="FR316" s="116">
        <f t="shared" si="1104"/>
        <v>5</v>
      </c>
      <c r="FS316" s="116">
        <f t="shared" si="1104"/>
        <v>3</v>
      </c>
      <c r="FT316" s="116">
        <f t="shared" si="1104"/>
        <v>7</v>
      </c>
      <c r="FU316" s="116">
        <f t="shared" si="1104"/>
        <v>5</v>
      </c>
      <c r="FV316" s="116">
        <f t="shared" ref="FV316:GL316" si="1105">FV313</f>
        <v>3</v>
      </c>
      <c r="FW316" s="116">
        <f t="shared" si="1105"/>
        <v>7</v>
      </c>
      <c r="FX316" s="116">
        <f t="shared" si="1105"/>
        <v>5</v>
      </c>
      <c r="FY316" s="116">
        <f t="shared" si="1105"/>
        <v>3</v>
      </c>
      <c r="FZ316" s="116">
        <f t="shared" si="1105"/>
        <v>7</v>
      </c>
      <c r="GA316" s="116">
        <f t="shared" si="1105"/>
        <v>5</v>
      </c>
      <c r="GB316" s="116">
        <f t="shared" si="1105"/>
        <v>3</v>
      </c>
      <c r="GC316" s="116">
        <f t="shared" si="1105"/>
        <v>7</v>
      </c>
      <c r="GD316" s="116">
        <f t="shared" si="1105"/>
        <v>5</v>
      </c>
      <c r="GE316" s="116">
        <f t="shared" si="1105"/>
        <v>3</v>
      </c>
      <c r="GF316" s="116">
        <f t="shared" si="1105"/>
        <v>7</v>
      </c>
      <c r="GG316" s="116">
        <f t="shared" si="1105"/>
        <v>5</v>
      </c>
      <c r="GH316" s="116">
        <f t="shared" si="1105"/>
        <v>3</v>
      </c>
      <c r="GI316" s="116">
        <f t="shared" si="1105"/>
        <v>7</v>
      </c>
      <c r="GJ316" s="116">
        <f t="shared" si="1105"/>
        <v>5</v>
      </c>
      <c r="GK316" s="116">
        <f t="shared" si="1105"/>
        <v>3</v>
      </c>
      <c r="GL316" s="116">
        <f t="shared" si="1105"/>
        <v>7</v>
      </c>
    </row>
    <row r="317" spans="14:194" ht="15" customHeight="1" thickTop="1">
      <c r="N317" s="84" t="str">
        <f>IF(N134=-1,"x",IF(OR(N232=1,N$195=1,$CX134=1),N134,0))</f>
        <v>x</v>
      </c>
      <c r="O317" s="85" t="str">
        <f>IF(O134=-1,"x",IF(OR(O232=1,O$195=1,$CY134=1),O134,0))</f>
        <v>x</v>
      </c>
      <c r="P317" s="87" t="str">
        <f>IF(P134=-1,"x",IF(OR(P232=1,P$195=1,$CZ134=1),P134,0))</f>
        <v>x</v>
      </c>
      <c r="Q317" s="86" t="str">
        <f>IF(Q134=-1,"x",IF(OR(Q232=1,Q$195=1,$CX134=1),Q134,0))</f>
        <v>x</v>
      </c>
      <c r="R317" s="85" t="str">
        <f>IF(R134=-1,"x",IF(OR(R232=1,R$195=1,$CY134=1),R134,0))</f>
        <v>x</v>
      </c>
      <c r="S317" s="87" t="str">
        <f>IF(S134=-1,"x",IF(OR(S232=1,S$195=1,$CZ134=1),S134,0))</f>
        <v>x</v>
      </c>
      <c r="T317" s="86" t="str">
        <f>IF(T134=-1,"x",IF(OR(T232=1,T$195=1,$CX134=1),T134,0))</f>
        <v>x</v>
      </c>
      <c r="U317" s="85" t="str">
        <f>IF(U134=-1,"x",IF(OR(U232=1,U$195=1,$CY134=1),U134,0))</f>
        <v>x</v>
      </c>
      <c r="V317" s="88" t="str">
        <f>IF(V134=-1,"x",IF(OR(V232=1,V$195=1,$CZ134=1),V134,0))</f>
        <v>x</v>
      </c>
      <c r="W317" s="89" t="str">
        <f>IF(W134=-1,"x",IF(OR(W232=1,W$195=1,$CX134=1),W134,0))</f>
        <v>x</v>
      </c>
      <c r="X317" s="85" t="str">
        <f>IF(X134=-1,"x",IF(OR(X232=1,X$195=1,$CY134=1),X134,0))</f>
        <v>x</v>
      </c>
      <c r="Y317" s="87" t="str">
        <f>IF(Y134=-1,"x",IF(OR(Y232=1,Y$195=1,$CZ134=1),Y134,0))</f>
        <v>x</v>
      </c>
      <c r="Z317" s="86" t="str">
        <f>IF(Z134=-1,"x",IF(OR(Z232=1,Z$195=1,$CX134=1),Z134,0))</f>
        <v>x</v>
      </c>
      <c r="AA317" s="85" t="str">
        <f>IF(AA134=-1,"x",IF(OR(AA232=1,AA$195=1,$CY134=1),AA134,0))</f>
        <v>x</v>
      </c>
      <c r="AB317" s="87" t="str">
        <f>IF(AB134=-1,"x",IF(OR(AB232=1,AB$195=1,$CZ134=1),AB134,0))</f>
        <v>x</v>
      </c>
      <c r="AC317" s="86" t="str">
        <f>IF(AC134=-1,"x",IF(OR(AC232=1,AC$195=1,$CX134=1),AC134,0))</f>
        <v>x</v>
      </c>
      <c r="AD317" s="85" t="str">
        <f>IF(AD134=-1,"x",IF(OR(AD232=1,AD$195=1,$CY134=1),AD134,0))</f>
        <v>x</v>
      </c>
      <c r="AE317" s="88" t="str">
        <f>IF(AE134=-1,"x",IF(OR(AE232=1,AE$195=1,$CZ134=1),AE134,0))</f>
        <v>x</v>
      </c>
      <c r="AF317" s="89" t="str">
        <f>IF(AF134=-1,"x",IF(OR(AF232=1,AF$195=1,$CX134=1),AF134,0))</f>
        <v>x</v>
      </c>
      <c r="AG317" s="85" t="str">
        <f>IF(AG134=-1,"x",IF(OR(AG232=1,AG$195=1,$CY134=1),AG134,0))</f>
        <v>x</v>
      </c>
      <c r="AH317" s="87" t="str">
        <f>IF(AH134=-1,"x",IF(OR(AH232=1,AH$195=1,$CZ134=1),AH134,0))</f>
        <v>x</v>
      </c>
      <c r="AI317" s="86" t="str">
        <f>IF(AI134=-1,"x",IF(OR(AI232=1,AI$195=1,$CX134=1),AI134,0))</f>
        <v>x</v>
      </c>
      <c r="AJ317" s="85" t="str">
        <f>IF(AJ134=-1,"x",IF(OR(AJ232=1,AJ$195=1,$CY134=1),AJ134,0))</f>
        <v>x</v>
      </c>
      <c r="AK317" s="87" t="str">
        <f>IF(AK134=-1,"x",IF(OR(AK232=1,AK$195=1,$CZ134=1),AK134,0))</f>
        <v>x</v>
      </c>
      <c r="AL317" s="86" t="str">
        <f>IF(AL134=-1,"x",IF(OR(AL232=1,AL$195=1,$CX134=1),AL134,0))</f>
        <v>x</v>
      </c>
      <c r="AM317" s="85" t="str">
        <f>IF(AM134=-1,"x",IF(OR(AM232=1,AM$195=1,$CY134=1),AM134,0))</f>
        <v>x</v>
      </c>
      <c r="AN317" s="90" t="str">
        <f>IF(AN134=-1,"x",IF(OR(AN232=1,AN$195=1,$CZ134=1),AN134,0))</f>
        <v>x</v>
      </c>
      <c r="AO317" s="84" t="str">
        <f>IF(AO134=-1,"x",IF(OR(AO232=1,AO$195=1,$CX134=1),AO134,0))</f>
        <v>x</v>
      </c>
      <c r="AP317" s="85" t="str">
        <f>IF(AP134=-1,"x",IF(OR(AP232=1,AP$195=1,$CY134=1),AP134,0))</f>
        <v>x</v>
      </c>
      <c r="AQ317" s="87" t="str">
        <f>IF(AQ134=-1,"x",IF(OR(AQ232=1,AQ$195=1,$CZ134=1),AQ134,0))</f>
        <v>x</v>
      </c>
      <c r="AR317" s="86" t="str">
        <f>IF(AR134=-1,"x",IF(OR(AR232=1,AR$195=1,$CX134=1),AR134,0))</f>
        <v>x</v>
      </c>
      <c r="AS317" s="85" t="str">
        <f>IF(AS134=-1,"x",IF(OR(AS232=1,AS$195=1,$CY134=1),AS134,0))</f>
        <v>x</v>
      </c>
      <c r="AT317" s="87" t="str">
        <f>IF(AT134=-1,"x",IF(OR(AT232=1,AT$195=1,$CZ134=1),AT134,0))</f>
        <v>x</v>
      </c>
      <c r="AU317" s="86" t="str">
        <f>IF(AU134=-1,"x",IF(OR(AU232=1,AU$195=1,$CX134=1),AU134,0))</f>
        <v>x</v>
      </c>
      <c r="AV317" s="85" t="str">
        <f>IF(AV134=-1,"x",IF(OR(AV232=1,AV$195=1,$CY134=1),AV134,0))</f>
        <v>x</v>
      </c>
      <c r="AW317" s="88" t="str">
        <f>IF(AW134=-1,"x",IF(OR(AW232=1,AW$195=1,$CZ134=1),AW134,0))</f>
        <v>x</v>
      </c>
      <c r="AX317" s="89" t="str">
        <f>IF(AX134=-1,"x",IF(OR(AX232=1,AX$195=1,$CX134=1),AX134,0))</f>
        <v>x</v>
      </c>
      <c r="AY317" s="85" t="str">
        <f>IF(AY134=-1,"x",IF(OR(AY232=1,AY$195=1,$CY134=1),AY134,0))</f>
        <v>x</v>
      </c>
      <c r="AZ317" s="87" t="str">
        <f>IF(AZ134=-1,"x",IF(OR(AZ232=1,AZ$195=1,$CZ134=1),AZ134,0))</f>
        <v>x</v>
      </c>
      <c r="BA317" s="86" t="str">
        <f>IF(BA134=-1,"x",IF(OR(BA232=1,BA$195=1,$CX134=1),BA134,0))</f>
        <v>x</v>
      </c>
      <c r="BB317" s="85" t="str">
        <f>IF(BB134=-1,"x",IF(OR(BB232=1,BB$195=1,$CY134=1),BB134,0))</f>
        <v>x</v>
      </c>
      <c r="BC317" s="87" t="str">
        <f>IF(BC134=-1,"x",IF(OR(BC232=1,BC$195=1,$CZ134=1),BC134,0))</f>
        <v>x</v>
      </c>
      <c r="BD317" s="86" t="str">
        <f>IF(BD134=-1,"x",IF(OR(BD232=1,BD$195=1,$CX134=1),BD134,0))</f>
        <v>x</v>
      </c>
      <c r="BE317" s="85" t="str">
        <f>IF(BE134=-1,"x",IF(OR(BE232=1,BE$195=1,$CY134=1),BE134,0))</f>
        <v>x</v>
      </c>
      <c r="BF317" s="88" t="str">
        <f>IF(BF134=-1,"x",IF(OR(BF232=1,BF$195=1,$CZ134=1),BF134,0))</f>
        <v>x</v>
      </c>
      <c r="BG317" s="89" t="str">
        <f>IF(BG134=-1,"x",IF(OR(BG232=1,BG$195=1,$CX134=1),BG134,0))</f>
        <v>x</v>
      </c>
      <c r="BH317" s="85" t="str">
        <f>IF(BH134=-1,"x",IF(OR(BH232=1,BH$195=1,$CY134=1),BH134,0))</f>
        <v>x</v>
      </c>
      <c r="BI317" s="87" t="str">
        <f>IF(BI134=-1,"x",IF(OR(BI232=1,BI$195=1,$CZ134=1),BI134,0))</f>
        <v>x</v>
      </c>
      <c r="BJ317" s="86" t="str">
        <f>IF(BJ134=-1,"x",IF(OR(BJ232=1,BJ$195=1,$CX134=1),BJ134,0))</f>
        <v>x</v>
      </c>
      <c r="BK317" s="85" t="str">
        <f>IF(BK134=-1,"x",IF(OR(BK232=1,BK$195=1,$CY134=1),BK134,0))</f>
        <v>x</v>
      </c>
      <c r="BL317" s="87" t="str">
        <f>IF(BL134=-1,"x",IF(OR(BL232=1,BL$195=1,$CZ134=1),BL134,0))</f>
        <v>x</v>
      </c>
      <c r="BM317" s="86" t="str">
        <f>IF(BM134=-1,"x",IF(OR(BM232=1,BM$195=1,$CX134=1),BM134,0))</f>
        <v>x</v>
      </c>
      <c r="BN317" s="85" t="str">
        <f>IF(BN134=-1,"x",IF(OR(BN232=1,BN$195=1,$CY134=1),BN134,0))</f>
        <v>x</v>
      </c>
      <c r="BO317" s="90" t="str">
        <f>IF(BO134=-1,"x",IF(OR(BO232=1,BO$195=1,$CZ134=1),BO134,0))</f>
        <v>x</v>
      </c>
      <c r="BP317" s="84" t="str">
        <f>IF(BP134=-1,"x",IF(OR(BP232=1,BP$195=1,$CX134=1),BP134,0))</f>
        <v>x</v>
      </c>
      <c r="BQ317" s="85" t="str">
        <f>IF(BQ134=-1,"x",IF(OR(BQ232=1,BQ$195=1,$CY134=1),BQ134,0))</f>
        <v>x</v>
      </c>
      <c r="BR317" s="87" t="str">
        <f>IF(BR134=-1,"x",IF(OR(BR232=1,BR$195=1,$CZ134=1),BR134,0))</f>
        <v>x</v>
      </c>
      <c r="BS317" s="86" t="str">
        <f>IF(BS134=-1,"x",IF(OR(BS232=1,BS$195=1,$CX134=1),BS134,0))</f>
        <v>x</v>
      </c>
      <c r="BT317" s="85" t="str">
        <f>IF(BT134=-1,"x",IF(OR(BT232=1,BT$195=1,$CY134=1),BT134,0))</f>
        <v>x</v>
      </c>
      <c r="BU317" s="87" t="str">
        <f>IF(BU134=-1,"x",IF(OR(BU232=1,BU$195=1,$CZ134=1),BU134,0))</f>
        <v>x</v>
      </c>
      <c r="BV317" s="86" t="str">
        <f>IF(BV134=-1,"x",IF(OR(BV232=1,BV$195=1,$CX134=1),BV134,0))</f>
        <v>x</v>
      </c>
      <c r="BW317" s="85" t="str">
        <f>IF(BW134=-1,"x",IF(OR(BW232=1,BW$195=1,$CY134=1),BW134,0))</f>
        <v>x</v>
      </c>
      <c r="BX317" s="88" t="str">
        <f>IF(BX134=-1,"x",IF(OR(BX232=1,BX$195=1,$CZ134=1),BX134,0))</f>
        <v>x</v>
      </c>
      <c r="BY317" s="89" t="str">
        <f>IF(BY134=-1,"x",IF(OR(BY232=1,BY$195=1,$CX134=1),BY134,0))</f>
        <v>x</v>
      </c>
      <c r="BZ317" s="85" t="str">
        <f>IF(BZ134=-1,"x",IF(OR(BZ232=1,BZ$195=1,$CY134=1),BZ134,0))</f>
        <v>x</v>
      </c>
      <c r="CA317" s="87" t="str">
        <f>IF(CA134=-1,"x",IF(OR(CA232=1,CA$195=1,$CZ134=1),CA134,0))</f>
        <v>x</v>
      </c>
      <c r="CB317" s="86" t="str">
        <f>IF(CB134=-1,"x",IF(OR(CB232=1,CB$195=1,$CX134=1),CB134,0))</f>
        <v>x</v>
      </c>
      <c r="CC317" s="85" t="str">
        <f>IF(CC134=-1,"x",IF(OR(CC232=1,CC$195=1,$CY134=1),CC134,0))</f>
        <v>x</v>
      </c>
      <c r="CD317" s="87" t="str">
        <f>IF(CD134=-1,"x",IF(OR(CD232=1,CD$195=1,$CZ134=1),CD134,0))</f>
        <v>x</v>
      </c>
      <c r="CE317" s="86" t="str">
        <f>IF(CE134=-1,"x",IF(OR(CE232=1,CE$195=1,$CX134=1),CE134,0))</f>
        <v>x</v>
      </c>
      <c r="CF317" s="85" t="str">
        <f>IF(CF134=-1,"x",IF(OR(CF232=1,CF$195=1,$CY134=1),CF134,0))</f>
        <v>x</v>
      </c>
      <c r="CG317" s="88" t="str">
        <f>IF(CG134=-1,"x",IF(OR(CG232=1,CG$195=1,$CZ134=1),CG134,0))</f>
        <v>x</v>
      </c>
      <c r="CH317" s="89">
        <f>IF(CH134=-1,"x",IF(OR(CH232=1,CH$195=1,$CX134=1),CH134,0))</f>
        <v>0</v>
      </c>
      <c r="CI317" s="85">
        <f>IF(CI134=-1,"x",IF(OR(CI232=1,CI$195=1,$CY134=1),CI134,0))</f>
        <v>0</v>
      </c>
      <c r="CJ317" s="87">
        <f>IF(CJ134=-1,"x",IF(OR(CJ232=1,CJ$195=1,$CZ134=1),CJ134,0))</f>
        <v>0</v>
      </c>
      <c r="CK317" s="86" t="str">
        <f>IF(CK134=-1,"x",IF(OR(CK232=1,CK$195=1,$CX134=1),CK134,0))</f>
        <v>x</v>
      </c>
      <c r="CL317" s="85" t="str">
        <f>IF(CL134=-1,"x",IF(OR(CL232=1,CL$195=1,$CY134=1),CL134,0))</f>
        <v>x</v>
      </c>
      <c r="CM317" s="87" t="str">
        <f>IF(CM134=-1,"x",IF(OR(CM232=1,CM$195=1,$CZ134=1),CM134,0))</f>
        <v>x</v>
      </c>
      <c r="CN317" s="86">
        <f>IF(CN134=-1,"x",IF(OR(CN232=1,CN$195=1,$CX134=1),CN134,0))</f>
        <v>0</v>
      </c>
      <c r="CO317" s="85">
        <f>IF(CO134=-1,"x",IF(OR(CO232=1,CO$195=1,$CY134=1),CO134,0))</f>
        <v>0</v>
      </c>
      <c r="CP317" s="90">
        <f>IF(CP134=-1,"x",IF(OR(CP232=1,CP$195=1,$CZ134=1),CP134,0))</f>
        <v>0</v>
      </c>
      <c r="DJ317" s="116">
        <f t="shared" ref="DJ317:FU317" si="1106">DJ314</f>
        <v>6</v>
      </c>
      <c r="DK317" s="116">
        <f t="shared" si="1106"/>
        <v>1</v>
      </c>
      <c r="DL317" s="116">
        <f t="shared" si="1106"/>
        <v>4</v>
      </c>
      <c r="DM317" s="116">
        <f t="shared" si="1106"/>
        <v>6</v>
      </c>
      <c r="DN317" s="116">
        <f t="shared" si="1106"/>
        <v>1</v>
      </c>
      <c r="DO317" s="116">
        <f t="shared" si="1106"/>
        <v>4</v>
      </c>
      <c r="DP317" s="116">
        <f t="shared" si="1106"/>
        <v>6</v>
      </c>
      <c r="DQ317" s="116">
        <f t="shared" si="1106"/>
        <v>1</v>
      </c>
      <c r="DR317" s="116">
        <f t="shared" si="1106"/>
        <v>4</v>
      </c>
      <c r="DS317" s="116">
        <f t="shared" si="1106"/>
        <v>6</v>
      </c>
      <c r="DT317" s="116">
        <f t="shared" si="1106"/>
        <v>1</v>
      </c>
      <c r="DU317" s="116">
        <f t="shared" si="1106"/>
        <v>4</v>
      </c>
      <c r="DV317" s="116">
        <f t="shared" si="1106"/>
        <v>6</v>
      </c>
      <c r="DW317" s="116">
        <f t="shared" si="1106"/>
        <v>1</v>
      </c>
      <c r="DX317" s="116">
        <f t="shared" si="1106"/>
        <v>4</v>
      </c>
      <c r="DY317" s="116">
        <f t="shared" si="1106"/>
        <v>6</v>
      </c>
      <c r="DZ317" s="116">
        <f t="shared" si="1106"/>
        <v>1</v>
      </c>
      <c r="EA317" s="116">
        <f t="shared" si="1106"/>
        <v>4</v>
      </c>
      <c r="EB317" s="116">
        <f t="shared" si="1106"/>
        <v>6</v>
      </c>
      <c r="EC317" s="116">
        <f t="shared" si="1106"/>
        <v>1</v>
      </c>
      <c r="ED317" s="116">
        <f t="shared" si="1106"/>
        <v>4</v>
      </c>
      <c r="EE317" s="116">
        <f t="shared" si="1106"/>
        <v>6</v>
      </c>
      <c r="EF317" s="116">
        <f t="shared" si="1106"/>
        <v>1</v>
      </c>
      <c r="EG317" s="116">
        <f t="shared" si="1106"/>
        <v>4</v>
      </c>
      <c r="EH317" s="116">
        <f t="shared" si="1106"/>
        <v>6</v>
      </c>
      <c r="EI317" s="116">
        <f t="shared" si="1106"/>
        <v>1</v>
      </c>
      <c r="EJ317" s="116">
        <f t="shared" si="1106"/>
        <v>4</v>
      </c>
      <c r="EK317" s="116">
        <f t="shared" si="1106"/>
        <v>1</v>
      </c>
      <c r="EL317" s="116">
        <f t="shared" si="1106"/>
        <v>0</v>
      </c>
      <c r="EM317" s="116">
        <f t="shared" si="1106"/>
        <v>0</v>
      </c>
      <c r="EN317" s="116">
        <f t="shared" si="1106"/>
        <v>1</v>
      </c>
      <c r="EO317" s="116">
        <f t="shared" si="1106"/>
        <v>0</v>
      </c>
      <c r="EP317" s="116">
        <f t="shared" si="1106"/>
        <v>0</v>
      </c>
      <c r="EQ317" s="116">
        <f t="shared" si="1106"/>
        <v>1</v>
      </c>
      <c r="ER317" s="116">
        <f t="shared" si="1106"/>
        <v>0</v>
      </c>
      <c r="ES317" s="116">
        <f t="shared" si="1106"/>
        <v>0</v>
      </c>
      <c r="ET317" s="116">
        <f t="shared" si="1106"/>
        <v>1</v>
      </c>
      <c r="EU317" s="116">
        <f t="shared" si="1106"/>
        <v>0</v>
      </c>
      <c r="EV317" s="116">
        <f t="shared" si="1106"/>
        <v>0</v>
      </c>
      <c r="EW317" s="116">
        <f t="shared" si="1106"/>
        <v>1</v>
      </c>
      <c r="EX317" s="116">
        <f t="shared" si="1106"/>
        <v>0</v>
      </c>
      <c r="EY317" s="116">
        <f t="shared" si="1106"/>
        <v>0</v>
      </c>
      <c r="EZ317" s="116">
        <f t="shared" si="1106"/>
        <v>1</v>
      </c>
      <c r="FA317" s="116">
        <f t="shared" si="1106"/>
        <v>0</v>
      </c>
      <c r="FB317" s="116">
        <f t="shared" si="1106"/>
        <v>0</v>
      </c>
      <c r="FC317" s="116">
        <f t="shared" si="1106"/>
        <v>1</v>
      </c>
      <c r="FD317" s="116">
        <f t="shared" si="1106"/>
        <v>0</v>
      </c>
      <c r="FE317" s="116">
        <f t="shared" si="1106"/>
        <v>0</v>
      </c>
      <c r="FF317" s="116">
        <f t="shared" si="1106"/>
        <v>1</v>
      </c>
      <c r="FG317" s="116">
        <f t="shared" si="1106"/>
        <v>0</v>
      </c>
      <c r="FH317" s="116">
        <f t="shared" si="1106"/>
        <v>0</v>
      </c>
      <c r="FI317" s="116">
        <f t="shared" si="1106"/>
        <v>1</v>
      </c>
      <c r="FJ317" s="116">
        <f t="shared" si="1106"/>
        <v>0</v>
      </c>
      <c r="FK317" s="116">
        <f t="shared" si="1106"/>
        <v>0</v>
      </c>
      <c r="FL317" s="116">
        <f t="shared" si="1106"/>
        <v>2</v>
      </c>
      <c r="FM317" s="116">
        <f t="shared" si="1106"/>
        <v>0</v>
      </c>
      <c r="FN317" s="116">
        <f t="shared" si="1106"/>
        <v>2</v>
      </c>
      <c r="FO317" s="116">
        <f t="shared" si="1106"/>
        <v>2</v>
      </c>
      <c r="FP317" s="116">
        <f t="shared" si="1106"/>
        <v>0</v>
      </c>
      <c r="FQ317" s="116">
        <f t="shared" si="1106"/>
        <v>2</v>
      </c>
      <c r="FR317" s="116">
        <f t="shared" si="1106"/>
        <v>2</v>
      </c>
      <c r="FS317" s="116">
        <f t="shared" si="1106"/>
        <v>0</v>
      </c>
      <c r="FT317" s="116">
        <f t="shared" si="1106"/>
        <v>2</v>
      </c>
      <c r="FU317" s="116">
        <f t="shared" si="1106"/>
        <v>2</v>
      </c>
      <c r="FV317" s="116">
        <f t="shared" ref="FV317:GL317" si="1107">FV314</f>
        <v>0</v>
      </c>
      <c r="FW317" s="116">
        <f t="shared" si="1107"/>
        <v>2</v>
      </c>
      <c r="FX317" s="116">
        <f t="shared" si="1107"/>
        <v>2</v>
      </c>
      <c r="FY317" s="116">
        <f t="shared" si="1107"/>
        <v>0</v>
      </c>
      <c r="FZ317" s="116">
        <f t="shared" si="1107"/>
        <v>2</v>
      </c>
      <c r="GA317" s="116">
        <f t="shared" si="1107"/>
        <v>2</v>
      </c>
      <c r="GB317" s="116">
        <f t="shared" si="1107"/>
        <v>0</v>
      </c>
      <c r="GC317" s="116">
        <f t="shared" si="1107"/>
        <v>2</v>
      </c>
      <c r="GD317" s="116">
        <f t="shared" si="1107"/>
        <v>2</v>
      </c>
      <c r="GE317" s="116">
        <f t="shared" si="1107"/>
        <v>0</v>
      </c>
      <c r="GF317" s="116">
        <f t="shared" si="1107"/>
        <v>2</v>
      </c>
      <c r="GG317" s="116">
        <f t="shared" si="1107"/>
        <v>2</v>
      </c>
      <c r="GH317" s="116">
        <f t="shared" si="1107"/>
        <v>0</v>
      </c>
      <c r="GI317" s="116">
        <f t="shared" si="1107"/>
        <v>2</v>
      </c>
      <c r="GJ317" s="116">
        <f t="shared" si="1107"/>
        <v>2</v>
      </c>
      <c r="GK317" s="116">
        <f t="shared" si="1107"/>
        <v>0</v>
      </c>
      <c r="GL317" s="116">
        <f t="shared" si="1107"/>
        <v>2</v>
      </c>
    </row>
    <row r="318" spans="14:194" ht="15" customHeight="1">
      <c r="N318" s="94" t="str">
        <f>IF(N135=-1,"x",IF(OR(N233=1,N$196=1,$CX135=1),N135,0))</f>
        <v>x</v>
      </c>
      <c r="O318" s="39" t="str">
        <f>IF(O135=-1,"x",IF(OR(O233=1,O$196=1,$CY135=1),O135,0))</f>
        <v>x</v>
      </c>
      <c r="P318" s="41" t="str">
        <f>IF(P135=-1,"x",IF(OR(P233=1,P$196=1,$CZ135=1),P135,0))</f>
        <v>x</v>
      </c>
      <c r="Q318" s="40" t="str">
        <f>IF(Q135=-1,"x",IF(OR(Q233=1,Q$196=1,$CX135=1),Q135,0))</f>
        <v>x</v>
      </c>
      <c r="R318" s="39" t="str">
        <f>IF(R135=-1,"x",IF(OR(R233=1,R$196=1,$CY135=1),R135,0))</f>
        <v>x</v>
      </c>
      <c r="S318" s="41" t="str">
        <f>IF(S135=-1,"x",IF(OR(S233=1,S$196=1,$CZ135=1),S135,0))</f>
        <v>x</v>
      </c>
      <c r="T318" s="40" t="str">
        <f>IF(T135=-1,"x",IF(OR(T233=1,T$196=1,$CX135=1),T135,0))</f>
        <v>x</v>
      </c>
      <c r="U318" s="39" t="str">
        <f>IF(U135=-1,"x",IF(OR(U233=1,U$196=1,$CY135=1),U135,0))</f>
        <v>x</v>
      </c>
      <c r="V318" s="42" t="str">
        <f>IF(V135=-1,"x",IF(OR(V233=1,V$196=1,$CZ135=1),V135,0))</f>
        <v>x</v>
      </c>
      <c r="W318" s="43" t="str">
        <f>IF(W135=-1,"x",IF(OR(W233=1,W$196=1,$CX135=1),W135,0))</f>
        <v>x</v>
      </c>
      <c r="X318" s="39" t="str">
        <f>IF(X135=-1,"x",IF(OR(X233=1,X$196=1,$CY135=1),X135,0))</f>
        <v>x</v>
      </c>
      <c r="Y318" s="41" t="str">
        <f>IF(Y135=-1,"x",IF(OR(Y233=1,Y$196=1,$CZ135=1),Y135,0))</f>
        <v>x</v>
      </c>
      <c r="Z318" s="40" t="str">
        <f>IF(Z135=-1,"x",IF(OR(Z233=1,Z$196=1,$CX135=1),Z135,0))</f>
        <v>x</v>
      </c>
      <c r="AA318" s="39" t="str">
        <f>IF(AA135=-1,"x",IF(OR(AA233=1,AA$196=1,$CY135=1),AA135,0))</f>
        <v>x</v>
      </c>
      <c r="AB318" s="41" t="str">
        <f>IF(AB135=-1,"x",IF(OR(AB233=1,AB$196=1,$CZ135=1),AB135,0))</f>
        <v>x</v>
      </c>
      <c r="AC318" s="40" t="str">
        <f>IF(AC135=-1,"x",IF(OR(AC233=1,AC$196=1,$CX135=1),AC135,0))</f>
        <v>x</v>
      </c>
      <c r="AD318" s="39" t="str">
        <f>IF(AD135=-1,"x",IF(OR(AD233=1,AD$196=1,$CY135=1),AD135,0))</f>
        <v>x</v>
      </c>
      <c r="AE318" s="42" t="str">
        <f>IF(AE135=-1,"x",IF(OR(AE233=1,AE$196=1,$CZ135=1),AE135,0))</f>
        <v>x</v>
      </c>
      <c r="AF318" s="43" t="str">
        <f>IF(AF135=-1,"x",IF(OR(AF233=1,AF$196=1,$CX135=1),AF135,0))</f>
        <v>x</v>
      </c>
      <c r="AG318" s="39" t="str">
        <f>IF(AG135=-1,"x",IF(OR(AG233=1,AG$196=1,$CY135=1),AG135,0))</f>
        <v>x</v>
      </c>
      <c r="AH318" s="41" t="str">
        <f>IF(AH135=-1,"x",IF(OR(AH233=1,AH$196=1,$CZ135=1),AH135,0))</f>
        <v>x</v>
      </c>
      <c r="AI318" s="40" t="str">
        <f>IF(AI135=-1,"x",IF(OR(AI233=1,AI$196=1,$CX135=1),AI135,0))</f>
        <v>x</v>
      </c>
      <c r="AJ318" s="39" t="str">
        <f>IF(AJ135=-1,"x",IF(OR(AJ233=1,AJ$196=1,$CY135=1),AJ135,0))</f>
        <v>x</v>
      </c>
      <c r="AK318" s="41" t="str">
        <f>IF(AK135=-1,"x",IF(OR(AK233=1,AK$196=1,$CZ135=1),AK135,0))</f>
        <v>x</v>
      </c>
      <c r="AL318" s="40" t="str">
        <f>IF(AL135=-1,"x",IF(OR(AL233=1,AL$196=1,$CX135=1),AL135,0))</f>
        <v>x</v>
      </c>
      <c r="AM318" s="39" t="str">
        <f>IF(AM135=-1,"x",IF(OR(AM233=1,AM$196=1,$CY135=1),AM135,0))</f>
        <v>x</v>
      </c>
      <c r="AN318" s="95" t="str">
        <f>IF(AN135=-1,"x",IF(OR(AN233=1,AN$196=1,$CZ135=1),AN135,0))</f>
        <v>x</v>
      </c>
      <c r="AO318" s="94" t="str">
        <f>IF(AO135=-1,"x",IF(OR(AO233=1,AO$196=1,$CX135=1),AO135,0))</f>
        <v>x</v>
      </c>
      <c r="AP318" s="39" t="str">
        <f>IF(AP135=-1,"x",IF(OR(AP233=1,AP$196=1,$CY135=1),AP135,0))</f>
        <v>x</v>
      </c>
      <c r="AQ318" s="41" t="str">
        <f>IF(AQ135=-1,"x",IF(OR(AQ233=1,AQ$196=1,$CZ135=1),AQ135,0))</f>
        <v>x</v>
      </c>
      <c r="AR318" s="40" t="str">
        <f>IF(AR135=-1,"x",IF(OR(AR233=1,AR$196=1,$CX135=1),AR135,0))</f>
        <v>x</v>
      </c>
      <c r="AS318" s="39" t="str">
        <f>IF(AS135=-1,"x",IF(OR(AS233=1,AS$196=1,$CY135=1),AS135,0))</f>
        <v>x</v>
      </c>
      <c r="AT318" s="41" t="str">
        <f>IF(AT135=-1,"x",IF(OR(AT233=1,AT$196=1,$CZ135=1),AT135,0))</f>
        <v>x</v>
      </c>
      <c r="AU318" s="40" t="str">
        <f>IF(AU135=-1,"x",IF(OR(AU233=1,AU$196=1,$CX135=1),AU135,0))</f>
        <v>x</v>
      </c>
      <c r="AV318" s="39" t="str">
        <f>IF(AV135=-1,"x",IF(OR(AV233=1,AV$196=1,$CY135=1),AV135,0))</f>
        <v>x</v>
      </c>
      <c r="AW318" s="42" t="str">
        <f>IF(AW135=-1,"x",IF(OR(AW233=1,AW$196=1,$CZ135=1),AW135,0))</f>
        <v>x</v>
      </c>
      <c r="AX318" s="43" t="str">
        <f>IF(AX135=-1,"x",IF(OR(AX233=1,AX$196=1,$CX135=1),AX135,0))</f>
        <v>x</v>
      </c>
      <c r="AY318" s="39" t="str">
        <f>IF(AY135=-1,"x",IF(OR(AY233=1,AY$196=1,$CY135=1),AY135,0))</f>
        <v>x</v>
      </c>
      <c r="AZ318" s="41" t="str">
        <f>IF(AZ135=-1,"x",IF(OR(AZ233=1,AZ$196=1,$CZ135=1),AZ135,0))</f>
        <v>x</v>
      </c>
      <c r="BA318" s="40" t="str">
        <f>IF(BA135=-1,"x",IF(OR(BA233=1,BA$196=1,$CX135=1),BA135,0))</f>
        <v>x</v>
      </c>
      <c r="BB318" s="39" t="str">
        <f>IF(BB135=-1,"x",IF(OR(BB233=1,BB$196=1,$CY135=1),BB135,0))</f>
        <v>x</v>
      </c>
      <c r="BC318" s="41" t="str">
        <f>IF(BC135=-1,"x",IF(OR(BC233=1,BC$196=1,$CZ135=1),BC135,0))</f>
        <v>x</v>
      </c>
      <c r="BD318" s="40" t="str">
        <f>IF(BD135=-1,"x",IF(OR(BD233=1,BD$196=1,$CX135=1),BD135,0))</f>
        <v>x</v>
      </c>
      <c r="BE318" s="39" t="str">
        <f>IF(BE135=-1,"x",IF(OR(BE233=1,BE$196=1,$CY135=1),BE135,0))</f>
        <v>x</v>
      </c>
      <c r="BF318" s="42" t="str">
        <f>IF(BF135=-1,"x",IF(OR(BF233=1,BF$196=1,$CZ135=1),BF135,0))</f>
        <v>x</v>
      </c>
      <c r="BG318" s="43" t="str">
        <f>IF(BG135=-1,"x",IF(OR(BG233=1,BG$196=1,$CX135=1),BG135,0))</f>
        <v>x</v>
      </c>
      <c r="BH318" s="39" t="str">
        <f>IF(BH135=-1,"x",IF(OR(BH233=1,BH$196=1,$CY135=1),BH135,0))</f>
        <v>x</v>
      </c>
      <c r="BI318" s="41" t="str">
        <f>IF(BI135=-1,"x",IF(OR(BI233=1,BI$196=1,$CZ135=1),BI135,0))</f>
        <v>x</v>
      </c>
      <c r="BJ318" s="40" t="str">
        <f>IF(BJ135=-1,"x",IF(OR(BJ233=1,BJ$196=1,$CX135=1),BJ135,0))</f>
        <v>x</v>
      </c>
      <c r="BK318" s="39" t="str">
        <f>IF(BK135=-1,"x",IF(OR(BK233=1,BK$196=1,$CY135=1),BK135,0))</f>
        <v>x</v>
      </c>
      <c r="BL318" s="41" t="str">
        <f>IF(BL135=-1,"x",IF(OR(BL233=1,BL$196=1,$CZ135=1),BL135,0))</f>
        <v>x</v>
      </c>
      <c r="BM318" s="40" t="str">
        <f>IF(BM135=-1,"x",IF(OR(BM233=1,BM$196=1,$CX135=1),BM135,0))</f>
        <v>x</v>
      </c>
      <c r="BN318" s="39" t="str">
        <f>IF(BN135=-1,"x",IF(OR(BN233=1,BN$196=1,$CY135=1),BN135,0))</f>
        <v>x</v>
      </c>
      <c r="BO318" s="95" t="str">
        <f>IF(BO135=-1,"x",IF(OR(BO233=1,BO$196=1,$CZ135=1),BO135,0))</f>
        <v>x</v>
      </c>
      <c r="BP318" s="94" t="str">
        <f>IF(BP135=-1,"x",IF(OR(BP233=1,BP$196=1,$CX135=1),BP135,0))</f>
        <v>x</v>
      </c>
      <c r="BQ318" s="39" t="str">
        <f>IF(BQ135=-1,"x",IF(OR(BQ233=1,BQ$196=1,$CY135=1),BQ135,0))</f>
        <v>x</v>
      </c>
      <c r="BR318" s="41" t="str">
        <f>IF(BR135=-1,"x",IF(OR(BR233=1,BR$196=1,$CZ135=1),BR135,0))</f>
        <v>x</v>
      </c>
      <c r="BS318" s="40" t="str">
        <f>IF(BS135=-1,"x",IF(OR(BS233=1,BS$196=1,$CX135=1),BS135,0))</f>
        <v>x</v>
      </c>
      <c r="BT318" s="39" t="str">
        <f>IF(BT135=-1,"x",IF(OR(BT233=1,BT$196=1,$CY135=1),BT135,0))</f>
        <v>x</v>
      </c>
      <c r="BU318" s="41" t="str">
        <f>IF(BU135=-1,"x",IF(OR(BU233=1,BU$196=1,$CZ135=1),BU135,0))</f>
        <v>x</v>
      </c>
      <c r="BV318" s="40" t="str">
        <f>IF(BV135=-1,"x",IF(OR(BV233=1,BV$196=1,$CX135=1),BV135,0))</f>
        <v>x</v>
      </c>
      <c r="BW318" s="39" t="str">
        <f>IF(BW135=-1,"x",IF(OR(BW233=1,BW$196=1,$CY135=1),BW135,0))</f>
        <v>x</v>
      </c>
      <c r="BX318" s="42" t="str">
        <f>IF(BX135=-1,"x",IF(OR(BX233=1,BX$196=1,$CZ135=1),BX135,0))</f>
        <v>x</v>
      </c>
      <c r="BY318" s="43" t="str">
        <f>IF(BY135=-1,"x",IF(OR(BY233=1,BY$196=1,$CX135=1),BY135,0))</f>
        <v>x</v>
      </c>
      <c r="BZ318" s="39" t="str">
        <f>IF(BZ135=-1,"x",IF(OR(BZ233=1,BZ$196=1,$CY135=1),BZ135,0))</f>
        <v>x</v>
      </c>
      <c r="CA318" s="41" t="str">
        <f>IF(CA135=-1,"x",IF(OR(CA233=1,CA$196=1,$CZ135=1),CA135,0))</f>
        <v>x</v>
      </c>
      <c r="CB318" s="40" t="str">
        <f>IF(CB135=-1,"x",IF(OR(CB233=1,CB$196=1,$CX135=1),CB135,0))</f>
        <v>x</v>
      </c>
      <c r="CC318" s="39" t="str">
        <f>IF(CC135=-1,"x",IF(OR(CC233=1,CC$196=1,$CY135=1),CC135,0))</f>
        <v>x</v>
      </c>
      <c r="CD318" s="41" t="str">
        <f>IF(CD135=-1,"x",IF(OR(CD233=1,CD$196=1,$CZ135=1),CD135,0))</f>
        <v>x</v>
      </c>
      <c r="CE318" s="40" t="str">
        <f>IF(CE135=-1,"x",IF(OR(CE233=1,CE$196=1,$CX135=1),CE135,0))</f>
        <v>x</v>
      </c>
      <c r="CF318" s="39" t="str">
        <f>IF(CF135=-1,"x",IF(OR(CF233=1,CF$196=1,$CY135=1),CF135,0))</f>
        <v>x</v>
      </c>
      <c r="CG318" s="42" t="str">
        <f>IF(CG135=-1,"x",IF(OR(CG233=1,CG$196=1,$CZ135=1),CG135,0))</f>
        <v>x</v>
      </c>
      <c r="CH318" s="43">
        <f>IF(CH135=-1,"x",IF(OR(CH233=1,CH$196=1,$CX135=1),CH135,0))</f>
        <v>0</v>
      </c>
      <c r="CI318" s="39">
        <f>IF(CI135=-1,"x",IF(OR(CI233=1,CI$196=1,$CY135=1),CI135,0))</f>
        <v>0</v>
      </c>
      <c r="CJ318" s="41">
        <f>IF(CJ135=-1,"x",IF(OR(CJ233=1,CJ$196=1,$CZ135=1),CJ135,0))</f>
        <v>0</v>
      </c>
      <c r="CK318" s="40" t="str">
        <f>IF(CK135=-1,"x",IF(OR(CK233=1,CK$196=1,$CX135=1),CK135,0))</f>
        <v>x</v>
      </c>
      <c r="CL318" s="39" t="str">
        <f>IF(CL135=-1,"x",IF(OR(CL233=1,CL$196=1,$CY135=1),CL135,0))</f>
        <v>x</v>
      </c>
      <c r="CM318" s="41" t="str">
        <f>IF(CM135=-1,"x",IF(OR(CM233=1,CM$196=1,$CZ135=1),CM135,0))</f>
        <v>x</v>
      </c>
      <c r="CN318" s="40">
        <f>IF(CN135=-1,"x",IF(OR(CN233=1,CN$196=1,$CX135=1),CN135,0))</f>
        <v>0</v>
      </c>
      <c r="CO318" s="39">
        <f>IF(CO135=-1,"x",IF(OR(CO233=1,CO$196=1,$CY135=1),CO135,0))</f>
        <v>0</v>
      </c>
      <c r="CP318" s="95">
        <f>IF(CP135=-1,"x",IF(OR(CP233=1,CP$196=1,$CZ135=1),CP135,0))</f>
        <v>0</v>
      </c>
      <c r="DJ318" s="116">
        <f t="shared" ref="DJ318:FU318" si="1108">DJ315</f>
        <v>0</v>
      </c>
      <c r="DK318" s="116">
        <f t="shared" si="1108"/>
        <v>2</v>
      </c>
      <c r="DL318" s="116">
        <f t="shared" si="1108"/>
        <v>0</v>
      </c>
      <c r="DM318" s="116">
        <f t="shared" si="1108"/>
        <v>0</v>
      </c>
      <c r="DN318" s="116">
        <f t="shared" si="1108"/>
        <v>2</v>
      </c>
      <c r="DO318" s="116">
        <f t="shared" si="1108"/>
        <v>0</v>
      </c>
      <c r="DP318" s="116">
        <f t="shared" si="1108"/>
        <v>0</v>
      </c>
      <c r="DQ318" s="116">
        <f t="shared" si="1108"/>
        <v>2</v>
      </c>
      <c r="DR318" s="116">
        <f t="shared" si="1108"/>
        <v>0</v>
      </c>
      <c r="DS318" s="116">
        <f t="shared" si="1108"/>
        <v>0</v>
      </c>
      <c r="DT318" s="116">
        <f t="shared" si="1108"/>
        <v>2</v>
      </c>
      <c r="DU318" s="116">
        <f t="shared" si="1108"/>
        <v>0</v>
      </c>
      <c r="DV318" s="116">
        <f t="shared" si="1108"/>
        <v>0</v>
      </c>
      <c r="DW318" s="116">
        <f t="shared" si="1108"/>
        <v>2</v>
      </c>
      <c r="DX318" s="116">
        <f t="shared" si="1108"/>
        <v>0</v>
      </c>
      <c r="DY318" s="116">
        <f t="shared" si="1108"/>
        <v>0</v>
      </c>
      <c r="DZ318" s="116">
        <f t="shared" si="1108"/>
        <v>2</v>
      </c>
      <c r="EA318" s="116">
        <f t="shared" si="1108"/>
        <v>0</v>
      </c>
      <c r="EB318" s="116">
        <f t="shared" si="1108"/>
        <v>0</v>
      </c>
      <c r="EC318" s="116">
        <f t="shared" si="1108"/>
        <v>2</v>
      </c>
      <c r="ED318" s="116">
        <f t="shared" si="1108"/>
        <v>0</v>
      </c>
      <c r="EE318" s="116">
        <f t="shared" si="1108"/>
        <v>0</v>
      </c>
      <c r="EF318" s="116">
        <f t="shared" si="1108"/>
        <v>2</v>
      </c>
      <c r="EG318" s="116">
        <f t="shared" si="1108"/>
        <v>0</v>
      </c>
      <c r="EH318" s="116">
        <f t="shared" si="1108"/>
        <v>0</v>
      </c>
      <c r="EI318" s="116">
        <f t="shared" si="1108"/>
        <v>2</v>
      </c>
      <c r="EJ318" s="116">
        <f t="shared" si="1108"/>
        <v>0</v>
      </c>
      <c r="EK318" s="116">
        <f t="shared" si="1108"/>
        <v>1</v>
      </c>
      <c r="EL318" s="116">
        <f t="shared" si="1108"/>
        <v>2</v>
      </c>
      <c r="EM318" s="116">
        <f t="shared" si="1108"/>
        <v>0</v>
      </c>
      <c r="EN318" s="116">
        <f t="shared" si="1108"/>
        <v>1</v>
      </c>
      <c r="EO318" s="116">
        <f t="shared" si="1108"/>
        <v>2</v>
      </c>
      <c r="EP318" s="116">
        <f t="shared" si="1108"/>
        <v>0</v>
      </c>
      <c r="EQ318" s="116">
        <f t="shared" si="1108"/>
        <v>1</v>
      </c>
      <c r="ER318" s="116">
        <f t="shared" si="1108"/>
        <v>2</v>
      </c>
      <c r="ES318" s="116">
        <f t="shared" si="1108"/>
        <v>0</v>
      </c>
      <c r="ET318" s="116">
        <f t="shared" si="1108"/>
        <v>1</v>
      </c>
      <c r="EU318" s="116">
        <f t="shared" si="1108"/>
        <v>2</v>
      </c>
      <c r="EV318" s="116">
        <f t="shared" si="1108"/>
        <v>0</v>
      </c>
      <c r="EW318" s="116">
        <f t="shared" si="1108"/>
        <v>1</v>
      </c>
      <c r="EX318" s="116">
        <f t="shared" si="1108"/>
        <v>2</v>
      </c>
      <c r="EY318" s="116">
        <f t="shared" si="1108"/>
        <v>0</v>
      </c>
      <c r="EZ318" s="116">
        <f t="shared" si="1108"/>
        <v>1</v>
      </c>
      <c r="FA318" s="116">
        <f t="shared" si="1108"/>
        <v>2</v>
      </c>
      <c r="FB318" s="116">
        <f t="shared" si="1108"/>
        <v>0</v>
      </c>
      <c r="FC318" s="116">
        <f t="shared" si="1108"/>
        <v>1</v>
      </c>
      <c r="FD318" s="116">
        <f t="shared" si="1108"/>
        <v>2</v>
      </c>
      <c r="FE318" s="116">
        <f t="shared" si="1108"/>
        <v>0</v>
      </c>
      <c r="FF318" s="116">
        <f t="shared" si="1108"/>
        <v>1</v>
      </c>
      <c r="FG318" s="116">
        <f t="shared" si="1108"/>
        <v>2</v>
      </c>
      <c r="FH318" s="116">
        <f t="shared" si="1108"/>
        <v>0</v>
      </c>
      <c r="FI318" s="116">
        <f t="shared" si="1108"/>
        <v>1</v>
      </c>
      <c r="FJ318" s="116">
        <f t="shared" si="1108"/>
        <v>2</v>
      </c>
      <c r="FK318" s="116">
        <f t="shared" si="1108"/>
        <v>0</v>
      </c>
      <c r="FL318" s="116">
        <f t="shared" si="1108"/>
        <v>1</v>
      </c>
      <c r="FM318" s="116">
        <f t="shared" si="1108"/>
        <v>7</v>
      </c>
      <c r="FN318" s="116">
        <f t="shared" si="1108"/>
        <v>0</v>
      </c>
      <c r="FO318" s="116">
        <f t="shared" si="1108"/>
        <v>1</v>
      </c>
      <c r="FP318" s="116">
        <f t="shared" si="1108"/>
        <v>7</v>
      </c>
      <c r="FQ318" s="116">
        <f t="shared" si="1108"/>
        <v>0</v>
      </c>
      <c r="FR318" s="116">
        <f t="shared" si="1108"/>
        <v>1</v>
      </c>
      <c r="FS318" s="116">
        <f t="shared" si="1108"/>
        <v>7</v>
      </c>
      <c r="FT318" s="116">
        <f t="shared" si="1108"/>
        <v>0</v>
      </c>
      <c r="FU318" s="116">
        <f t="shared" si="1108"/>
        <v>1</v>
      </c>
      <c r="FV318" s="116">
        <f t="shared" ref="FV318:GL318" si="1109">FV315</f>
        <v>7</v>
      </c>
      <c r="FW318" s="116">
        <f t="shared" si="1109"/>
        <v>0</v>
      </c>
      <c r="FX318" s="116">
        <f t="shared" si="1109"/>
        <v>1</v>
      </c>
      <c r="FY318" s="116">
        <f t="shared" si="1109"/>
        <v>7</v>
      </c>
      <c r="FZ318" s="116">
        <f t="shared" si="1109"/>
        <v>0</v>
      </c>
      <c r="GA318" s="116">
        <f t="shared" si="1109"/>
        <v>1</v>
      </c>
      <c r="GB318" s="116">
        <f t="shared" si="1109"/>
        <v>7</v>
      </c>
      <c r="GC318" s="116">
        <f t="shared" si="1109"/>
        <v>0</v>
      </c>
      <c r="GD318" s="116">
        <f t="shared" si="1109"/>
        <v>1</v>
      </c>
      <c r="GE318" s="116">
        <f t="shared" si="1109"/>
        <v>7</v>
      </c>
      <c r="GF318" s="116">
        <f t="shared" si="1109"/>
        <v>0</v>
      </c>
      <c r="GG318" s="116">
        <f t="shared" si="1109"/>
        <v>1</v>
      </c>
      <c r="GH318" s="116">
        <f t="shared" si="1109"/>
        <v>7</v>
      </c>
      <c r="GI318" s="116">
        <f t="shared" si="1109"/>
        <v>0</v>
      </c>
      <c r="GJ318" s="116">
        <f t="shared" si="1109"/>
        <v>1</v>
      </c>
      <c r="GK318" s="116">
        <f t="shared" si="1109"/>
        <v>7</v>
      </c>
      <c r="GL318" s="116">
        <f t="shared" si="1109"/>
        <v>0</v>
      </c>
    </row>
    <row r="319" spans="14:194" ht="15" customHeight="1">
      <c r="N319" s="99" t="str">
        <f>IF(N136=-1,"x",IF(OR(N234=1,N$197=1,$CX136=1),N136,0))</f>
        <v>x</v>
      </c>
      <c r="O319" s="45" t="str">
        <f>IF(O136=-1,"x",IF(OR(O234=1,O$197=1,$CY136=1),O136,0))</f>
        <v>x</v>
      </c>
      <c r="P319" s="47" t="str">
        <f>IF(P136=-1,"x",IF(OR(P234=1,P$197=1,$CZ136=1),P136,0))</f>
        <v>x</v>
      </c>
      <c r="Q319" s="46" t="str">
        <f>IF(Q136=-1,"x",IF(OR(Q234=1,Q$197=1,$CX136=1),Q136,0))</f>
        <v>x</v>
      </c>
      <c r="R319" s="45" t="str">
        <f>IF(R136=-1,"x",IF(OR(R234=1,R$197=1,$CY136=1),R136,0))</f>
        <v>x</v>
      </c>
      <c r="S319" s="47" t="str">
        <f>IF(S136=-1,"x",IF(OR(S234=1,S$197=1,$CZ136=1),S136,0))</f>
        <v>x</v>
      </c>
      <c r="T319" s="46" t="str">
        <f>IF(T136=-1,"x",IF(OR(T234=1,T$197=1,$CX136=1),T136,0))</f>
        <v>x</v>
      </c>
      <c r="U319" s="45" t="str">
        <f>IF(U136=-1,"x",IF(OR(U234=1,U$197=1,$CY136=1),U136,0))</f>
        <v>x</v>
      </c>
      <c r="V319" s="48" t="str">
        <f>IF(V136=-1,"x",IF(OR(V234=1,V$197=1,$CZ136=1),V136,0))</f>
        <v>x</v>
      </c>
      <c r="W319" s="44" t="str">
        <f>IF(W136=-1,"x",IF(OR(W234=1,W$197=1,$CX136=1),W136,0))</f>
        <v>x</v>
      </c>
      <c r="X319" s="45" t="str">
        <f>IF(X136=-1,"x",IF(OR(X234=1,X$197=1,$CY136=1),X136,0))</f>
        <v>x</v>
      </c>
      <c r="Y319" s="47" t="str">
        <f>IF(Y136=-1,"x",IF(OR(Y234=1,Y$197=1,$CZ136=1),Y136,0))</f>
        <v>x</v>
      </c>
      <c r="Z319" s="46" t="str">
        <f>IF(Z136=-1,"x",IF(OR(Z234=1,Z$197=1,$CX136=1),Z136,0))</f>
        <v>x</v>
      </c>
      <c r="AA319" s="45" t="str">
        <f>IF(AA136=-1,"x",IF(OR(AA234=1,AA$197=1,$CY136=1),AA136,0))</f>
        <v>x</v>
      </c>
      <c r="AB319" s="47" t="str">
        <f>IF(AB136=-1,"x",IF(OR(AB234=1,AB$197=1,$CZ136=1),AB136,0))</f>
        <v>x</v>
      </c>
      <c r="AC319" s="46" t="str">
        <f>IF(AC136=-1,"x",IF(OR(AC234=1,AC$197=1,$CX136=1),AC136,0))</f>
        <v>x</v>
      </c>
      <c r="AD319" s="45" t="str">
        <f>IF(AD136=-1,"x",IF(OR(AD234=1,AD$197=1,$CY136=1),AD136,0))</f>
        <v>x</v>
      </c>
      <c r="AE319" s="48" t="str">
        <f>IF(AE136=-1,"x",IF(OR(AE234=1,AE$197=1,$CZ136=1),AE136,0))</f>
        <v>x</v>
      </c>
      <c r="AF319" s="44" t="str">
        <f>IF(AF136=-1,"x",IF(OR(AF234=1,AF$197=1,$CX136=1),AF136,0))</f>
        <v>x</v>
      </c>
      <c r="AG319" s="45" t="str">
        <f>IF(AG136=-1,"x",IF(OR(AG234=1,AG$197=1,$CY136=1),AG136,0))</f>
        <v>x</v>
      </c>
      <c r="AH319" s="47" t="str">
        <f>IF(AH136=-1,"x",IF(OR(AH234=1,AH$197=1,$CZ136=1),AH136,0))</f>
        <v>x</v>
      </c>
      <c r="AI319" s="46" t="str">
        <f>IF(AI136=-1,"x",IF(OR(AI234=1,AI$197=1,$CX136=1),AI136,0))</f>
        <v>x</v>
      </c>
      <c r="AJ319" s="45" t="str">
        <f>IF(AJ136=-1,"x",IF(OR(AJ234=1,AJ$197=1,$CY136=1),AJ136,0))</f>
        <v>x</v>
      </c>
      <c r="AK319" s="47" t="str">
        <f>IF(AK136=-1,"x",IF(OR(AK234=1,AK$197=1,$CZ136=1),AK136,0))</f>
        <v>x</v>
      </c>
      <c r="AL319" s="46" t="str">
        <f>IF(AL136=-1,"x",IF(OR(AL234=1,AL$197=1,$CX136=1),AL136,0))</f>
        <v>x</v>
      </c>
      <c r="AM319" s="45" t="str">
        <f>IF(AM136=-1,"x",IF(OR(AM234=1,AM$197=1,$CY136=1),AM136,0))</f>
        <v>x</v>
      </c>
      <c r="AN319" s="100" t="str">
        <f>IF(AN136=-1,"x",IF(OR(AN234=1,AN$197=1,$CZ136=1),AN136,0))</f>
        <v>x</v>
      </c>
      <c r="AO319" s="99" t="str">
        <f>IF(AO136=-1,"x",IF(OR(AO234=1,AO$197=1,$CX136=1),AO136,0))</f>
        <v>x</v>
      </c>
      <c r="AP319" s="45" t="str">
        <f>IF(AP136=-1,"x",IF(OR(AP234=1,AP$197=1,$CY136=1),AP136,0))</f>
        <v>x</v>
      </c>
      <c r="AQ319" s="47" t="str">
        <f>IF(AQ136=-1,"x",IF(OR(AQ234=1,AQ$197=1,$CZ136=1),AQ136,0))</f>
        <v>x</v>
      </c>
      <c r="AR319" s="46" t="str">
        <f>IF(AR136=-1,"x",IF(OR(AR234=1,AR$197=1,$CX136=1),AR136,0))</f>
        <v>x</v>
      </c>
      <c r="AS319" s="45" t="str">
        <f>IF(AS136=-1,"x",IF(OR(AS234=1,AS$197=1,$CY136=1),AS136,0))</f>
        <v>x</v>
      </c>
      <c r="AT319" s="47" t="str">
        <f>IF(AT136=-1,"x",IF(OR(AT234=1,AT$197=1,$CZ136=1),AT136,0))</f>
        <v>x</v>
      </c>
      <c r="AU319" s="46" t="str">
        <f>IF(AU136=-1,"x",IF(OR(AU234=1,AU$197=1,$CX136=1),AU136,0))</f>
        <v>x</v>
      </c>
      <c r="AV319" s="45" t="str">
        <f>IF(AV136=-1,"x",IF(OR(AV234=1,AV$197=1,$CY136=1),AV136,0))</f>
        <v>x</v>
      </c>
      <c r="AW319" s="48" t="str">
        <f>IF(AW136=-1,"x",IF(OR(AW234=1,AW$197=1,$CZ136=1),AW136,0))</f>
        <v>x</v>
      </c>
      <c r="AX319" s="44" t="str">
        <f>IF(AX136=-1,"x",IF(OR(AX234=1,AX$197=1,$CX136=1),AX136,0))</f>
        <v>x</v>
      </c>
      <c r="AY319" s="45" t="str">
        <f>IF(AY136=-1,"x",IF(OR(AY234=1,AY$197=1,$CY136=1),AY136,0))</f>
        <v>x</v>
      </c>
      <c r="AZ319" s="47" t="str">
        <f>IF(AZ136=-1,"x",IF(OR(AZ234=1,AZ$197=1,$CZ136=1),AZ136,0))</f>
        <v>x</v>
      </c>
      <c r="BA319" s="46" t="str">
        <f>IF(BA136=-1,"x",IF(OR(BA234=1,BA$197=1,$CX136=1),BA136,0))</f>
        <v>x</v>
      </c>
      <c r="BB319" s="45" t="str">
        <f>IF(BB136=-1,"x",IF(OR(BB234=1,BB$197=1,$CY136=1),BB136,0))</f>
        <v>x</v>
      </c>
      <c r="BC319" s="47" t="str">
        <f>IF(BC136=-1,"x",IF(OR(BC234=1,BC$197=1,$CZ136=1),BC136,0))</f>
        <v>x</v>
      </c>
      <c r="BD319" s="46" t="str">
        <f>IF(BD136=-1,"x",IF(OR(BD234=1,BD$197=1,$CX136=1),BD136,0))</f>
        <v>x</v>
      </c>
      <c r="BE319" s="45" t="str">
        <f>IF(BE136=-1,"x",IF(OR(BE234=1,BE$197=1,$CY136=1),BE136,0))</f>
        <v>x</v>
      </c>
      <c r="BF319" s="48" t="str">
        <f>IF(BF136=-1,"x",IF(OR(BF234=1,BF$197=1,$CZ136=1),BF136,0))</f>
        <v>x</v>
      </c>
      <c r="BG319" s="44" t="str">
        <f>IF(BG136=-1,"x",IF(OR(BG234=1,BG$197=1,$CX136=1),BG136,0))</f>
        <v>x</v>
      </c>
      <c r="BH319" s="45" t="str">
        <f>IF(BH136=-1,"x",IF(OR(BH234=1,BH$197=1,$CY136=1),BH136,0))</f>
        <v>x</v>
      </c>
      <c r="BI319" s="47" t="str">
        <f>IF(BI136=-1,"x",IF(OR(BI234=1,BI$197=1,$CZ136=1),BI136,0))</f>
        <v>x</v>
      </c>
      <c r="BJ319" s="46" t="str">
        <f>IF(BJ136=-1,"x",IF(OR(BJ234=1,BJ$197=1,$CX136=1),BJ136,0))</f>
        <v>x</v>
      </c>
      <c r="BK319" s="45" t="str">
        <f>IF(BK136=-1,"x",IF(OR(BK234=1,BK$197=1,$CY136=1),BK136,0))</f>
        <v>x</v>
      </c>
      <c r="BL319" s="47" t="str">
        <f>IF(BL136=-1,"x",IF(OR(BL234=1,BL$197=1,$CZ136=1),BL136,0))</f>
        <v>x</v>
      </c>
      <c r="BM319" s="46" t="str">
        <f>IF(BM136=-1,"x",IF(OR(BM234=1,BM$197=1,$CX136=1),BM136,0))</f>
        <v>x</v>
      </c>
      <c r="BN319" s="45" t="str">
        <f>IF(BN136=-1,"x",IF(OR(BN234=1,BN$197=1,$CY136=1),BN136,0))</f>
        <v>x</v>
      </c>
      <c r="BO319" s="100" t="str">
        <f>IF(BO136=-1,"x",IF(OR(BO234=1,BO$197=1,$CZ136=1),BO136,0))</f>
        <v>x</v>
      </c>
      <c r="BP319" s="99" t="str">
        <f>IF(BP136=-1,"x",IF(OR(BP234=1,BP$197=1,$CX136=1),BP136,0))</f>
        <v>x</v>
      </c>
      <c r="BQ319" s="45" t="str">
        <f>IF(BQ136=-1,"x",IF(OR(BQ234=1,BQ$197=1,$CY136=1),BQ136,0))</f>
        <v>x</v>
      </c>
      <c r="BR319" s="47" t="str">
        <f>IF(BR136=-1,"x",IF(OR(BR234=1,BR$197=1,$CZ136=1),BR136,0))</f>
        <v>x</v>
      </c>
      <c r="BS319" s="46" t="str">
        <f>IF(BS136=-1,"x",IF(OR(BS234=1,BS$197=1,$CX136=1),BS136,0))</f>
        <v>x</v>
      </c>
      <c r="BT319" s="45" t="str">
        <f>IF(BT136=-1,"x",IF(OR(BT234=1,BT$197=1,$CY136=1),BT136,0))</f>
        <v>x</v>
      </c>
      <c r="BU319" s="47" t="str">
        <f>IF(BU136=-1,"x",IF(OR(BU234=1,BU$197=1,$CZ136=1),BU136,0))</f>
        <v>x</v>
      </c>
      <c r="BV319" s="46" t="str">
        <f>IF(BV136=-1,"x",IF(OR(BV234=1,BV$197=1,$CX136=1),BV136,0))</f>
        <v>x</v>
      </c>
      <c r="BW319" s="45" t="str">
        <f>IF(BW136=-1,"x",IF(OR(BW234=1,BW$197=1,$CY136=1),BW136,0))</f>
        <v>x</v>
      </c>
      <c r="BX319" s="48" t="str">
        <f>IF(BX136=-1,"x",IF(OR(BX234=1,BX$197=1,$CZ136=1),BX136,0))</f>
        <v>x</v>
      </c>
      <c r="BY319" s="44" t="str">
        <f>IF(BY136=-1,"x",IF(OR(BY234=1,BY$197=1,$CX136=1),BY136,0))</f>
        <v>x</v>
      </c>
      <c r="BZ319" s="45" t="str">
        <f>IF(BZ136=-1,"x",IF(OR(BZ234=1,BZ$197=1,$CY136=1),BZ136,0))</f>
        <v>x</v>
      </c>
      <c r="CA319" s="47" t="str">
        <f>IF(CA136=-1,"x",IF(OR(CA234=1,CA$197=1,$CZ136=1),CA136,0))</f>
        <v>x</v>
      </c>
      <c r="CB319" s="46" t="str">
        <f>IF(CB136=-1,"x",IF(OR(CB234=1,CB$197=1,$CX136=1),CB136,0))</f>
        <v>x</v>
      </c>
      <c r="CC319" s="45" t="str">
        <f>IF(CC136=-1,"x",IF(OR(CC234=1,CC$197=1,$CY136=1),CC136,0))</f>
        <v>x</v>
      </c>
      <c r="CD319" s="47" t="str">
        <f>IF(CD136=-1,"x",IF(OR(CD234=1,CD$197=1,$CZ136=1),CD136,0))</f>
        <v>x</v>
      </c>
      <c r="CE319" s="46" t="str">
        <f>IF(CE136=-1,"x",IF(OR(CE234=1,CE$197=1,$CX136=1),CE136,0))</f>
        <v>x</v>
      </c>
      <c r="CF319" s="45" t="str">
        <f>IF(CF136=-1,"x",IF(OR(CF234=1,CF$197=1,$CY136=1),CF136,0))</f>
        <v>x</v>
      </c>
      <c r="CG319" s="48" t="str">
        <f>IF(CG136=-1,"x",IF(OR(CG234=1,CG$197=1,$CZ136=1),CG136,0))</f>
        <v>x</v>
      </c>
      <c r="CH319" s="44">
        <f>IF(CH136=-1,"x",IF(OR(CH234=1,CH$197=1,$CX136=1),CH136,0))</f>
        <v>0</v>
      </c>
      <c r="CI319" s="45">
        <f>IF(CI136=-1,"x",IF(OR(CI234=1,CI$197=1,$CY136=1),CI136,0))</f>
        <v>0</v>
      </c>
      <c r="CJ319" s="47">
        <f>IF(CJ136=-1,"x",IF(OR(CJ234=1,CJ$197=1,$CZ136=1),CJ136,0))</f>
        <v>0</v>
      </c>
      <c r="CK319" s="46" t="str">
        <f>IF(CK136=-1,"x",IF(OR(CK234=1,CK$197=1,$CX136=1),CK136,0))</f>
        <v>x</v>
      </c>
      <c r="CL319" s="45" t="str">
        <f>IF(CL136=-1,"x",IF(OR(CL234=1,CL$197=1,$CY136=1),CL136,0))</f>
        <v>x</v>
      </c>
      <c r="CM319" s="47" t="str">
        <f>IF(CM136=-1,"x",IF(OR(CM234=1,CM$197=1,$CZ136=1),CM136,0))</f>
        <v>x</v>
      </c>
      <c r="CN319" s="46">
        <f>IF(CN136=-1,"x",IF(OR(CN234=1,CN$197=1,$CX136=1),CN136,0))</f>
        <v>0</v>
      </c>
      <c r="CO319" s="45">
        <f>IF(CO136=-1,"x",IF(OR(CO234=1,CO$197=1,$CY136=1),CO136,0))</f>
        <v>0</v>
      </c>
      <c r="CP319" s="100">
        <f>IF(CP136=-1,"x",IF(OR(CP234=1,CP$197=1,$CZ136=1),CP136,0))</f>
        <v>0</v>
      </c>
      <c r="GD319" s="29"/>
    </row>
    <row r="320" spans="14:194" ht="15" customHeight="1">
      <c r="N320" s="104" t="str">
        <f>IF(N137=-1,"x",IF(OR(N235=1,N$195=1,$CX137=1),N137,0))</f>
        <v>x</v>
      </c>
      <c r="O320" s="50" t="str">
        <f>IF(O137=-1,"x",IF(OR(O235=1,O$195=1,$CY137=1),O137,0))</f>
        <v>x</v>
      </c>
      <c r="P320" s="51" t="str">
        <f>IF(P137=-1,"x",IF(OR(P235=1,P$195=1,$CZ137=1),P137,0))</f>
        <v>x</v>
      </c>
      <c r="Q320" s="52" t="str">
        <f>IF(Q137=-1,"x",IF(OR(Q235=1,Q$195=1,$CX137=1),Q137,0))</f>
        <v>x</v>
      </c>
      <c r="R320" s="50" t="str">
        <f>IF(R137=-1,"x",IF(OR(R235=1,R$195=1,$CY137=1),R137,0))</f>
        <v>x</v>
      </c>
      <c r="S320" s="51" t="str">
        <f>IF(S137=-1,"x",IF(OR(S235=1,S$195=1,$CZ137=1),S137,0))</f>
        <v>x</v>
      </c>
      <c r="T320" s="52" t="str">
        <f>IF(T137=-1,"x",IF(OR(T235=1,T$195=1,$CX137=1),T137,0))</f>
        <v>x</v>
      </c>
      <c r="U320" s="50" t="str">
        <f>IF(U137=-1,"x",IF(OR(U235=1,U$195=1,$CY137=1),U137,0))</f>
        <v>x</v>
      </c>
      <c r="V320" s="53" t="str">
        <f>IF(V137=-1,"x",IF(OR(V235=1,V$195=1,$CZ137=1),V137,0))</f>
        <v>x</v>
      </c>
      <c r="W320" s="49" t="str">
        <f>IF(W137=-1,"x",IF(OR(W235=1,W$195=1,$CX137=1),W137,0))</f>
        <v>x</v>
      </c>
      <c r="X320" s="50" t="str">
        <f>IF(X137=-1,"x",IF(OR(X235=1,X$195=1,$CY137=1),X137,0))</f>
        <v>x</v>
      </c>
      <c r="Y320" s="51" t="str">
        <f>IF(Y137=-1,"x",IF(OR(Y235=1,Y$195=1,$CZ137=1),Y137,0))</f>
        <v>x</v>
      </c>
      <c r="Z320" s="52" t="str">
        <f>IF(Z137=-1,"x",IF(OR(Z235=1,Z$195=1,$CX137=1),Z137,0))</f>
        <v>x</v>
      </c>
      <c r="AA320" s="50" t="str">
        <f>IF(AA137=-1,"x",IF(OR(AA235=1,AA$195=1,$CY137=1),AA137,0))</f>
        <v>x</v>
      </c>
      <c r="AB320" s="51" t="str">
        <f>IF(AB137=-1,"x",IF(OR(AB235=1,AB$195=1,$CZ137=1),AB137,0))</f>
        <v>x</v>
      </c>
      <c r="AC320" s="52" t="str">
        <f>IF(AC137=-1,"x",IF(OR(AC235=1,AC$195=1,$CX137=1),AC137,0))</f>
        <v>x</v>
      </c>
      <c r="AD320" s="50" t="str">
        <f>IF(AD137=-1,"x",IF(OR(AD235=1,AD$195=1,$CY137=1),AD137,0))</f>
        <v>x</v>
      </c>
      <c r="AE320" s="53" t="str">
        <f>IF(AE137=-1,"x",IF(OR(AE235=1,AE$195=1,$CZ137=1),AE137,0))</f>
        <v>x</v>
      </c>
      <c r="AF320" s="49" t="str">
        <f>IF(AF137=-1,"x",IF(OR(AF235=1,AF$195=1,$CX137=1),AF137,0))</f>
        <v>x</v>
      </c>
      <c r="AG320" s="50" t="str">
        <f>IF(AG137=-1,"x",IF(OR(AG235=1,AG$195=1,$CY137=1),AG137,0))</f>
        <v>x</v>
      </c>
      <c r="AH320" s="51" t="str">
        <f>IF(AH137=-1,"x",IF(OR(AH235=1,AH$195=1,$CZ137=1),AH137,0))</f>
        <v>x</v>
      </c>
      <c r="AI320" s="52" t="str">
        <f>IF(AI137=-1,"x",IF(OR(AI235=1,AI$195=1,$CX137=1),AI137,0))</f>
        <v>x</v>
      </c>
      <c r="AJ320" s="50" t="str">
        <f>IF(AJ137=-1,"x",IF(OR(AJ235=1,AJ$195=1,$CY137=1),AJ137,0))</f>
        <v>x</v>
      </c>
      <c r="AK320" s="51" t="str">
        <f>IF(AK137=-1,"x",IF(OR(AK235=1,AK$195=1,$CZ137=1),AK137,0))</f>
        <v>x</v>
      </c>
      <c r="AL320" s="52" t="str">
        <f>IF(AL137=-1,"x",IF(OR(AL235=1,AL$195=1,$CX137=1),AL137,0))</f>
        <v>x</v>
      </c>
      <c r="AM320" s="50" t="str">
        <f>IF(AM137=-1,"x",IF(OR(AM235=1,AM$195=1,$CY137=1),AM137,0))</f>
        <v>x</v>
      </c>
      <c r="AN320" s="105" t="str">
        <f>IF(AN137=-1,"x",IF(OR(AN235=1,AN$195=1,$CZ137=1),AN137,0))</f>
        <v>x</v>
      </c>
      <c r="AO320" s="104" t="str">
        <f>IF(AO137=-1,"x",IF(OR(AO235=1,AO$195=1,$CX137=1),AO137,0))</f>
        <v>x</v>
      </c>
      <c r="AP320" s="50" t="str">
        <f>IF(AP137=-1,"x",IF(OR(AP235=1,AP$195=1,$CY137=1),AP137,0))</f>
        <v>x</v>
      </c>
      <c r="AQ320" s="51" t="str">
        <f>IF(AQ137=-1,"x",IF(OR(AQ235=1,AQ$195=1,$CZ137=1),AQ137,0))</f>
        <v>x</v>
      </c>
      <c r="AR320" s="52">
        <f>IF(AR137=-1,"x",IF(OR(AR235=1,AR$195=1,$CX137=1),AR137,0))</f>
        <v>0</v>
      </c>
      <c r="AS320" s="50">
        <f>IF(AS137=-1,"x",IF(OR(AS235=1,AS$195=1,$CY137=1),AS137,0))</f>
        <v>0</v>
      </c>
      <c r="AT320" s="51">
        <f>IF(AT137=-1,"x",IF(OR(AT235=1,AT$195=1,$CZ137=1),AT137,0))</f>
        <v>0</v>
      </c>
      <c r="AU320" s="52">
        <f>IF(AU137=-1,"x",IF(OR(AU235=1,AU$195=1,$CX137=1),AU137,0))</f>
        <v>0</v>
      </c>
      <c r="AV320" s="50">
        <f>IF(AV137=-1,"x",IF(OR(AV235=1,AV$195=1,$CY137=1),AV137,0))</f>
        <v>0</v>
      </c>
      <c r="AW320" s="53">
        <f>IF(AW137=-1,"x",IF(OR(AW235=1,AW$195=1,$CZ137=1),AW137,0))</f>
        <v>0</v>
      </c>
      <c r="AX320" s="49" t="str">
        <f>IF(AX137=-1,"x",IF(OR(AX235=1,AX$195=1,$CX137=1),AX137,0))</f>
        <v>x</v>
      </c>
      <c r="AY320" s="50" t="str">
        <f>IF(AY137=-1,"x",IF(OR(AY235=1,AY$195=1,$CY137=1),AY137,0))</f>
        <v>x</v>
      </c>
      <c r="AZ320" s="51" t="str">
        <f>IF(AZ137=-1,"x",IF(OR(AZ235=1,AZ$195=1,$CZ137=1),AZ137,0))</f>
        <v>x</v>
      </c>
      <c r="BA320" s="52" t="str">
        <f>IF(BA137=-1,"x",IF(OR(BA235=1,BA$195=1,$CX137=1),BA137,0))</f>
        <v>x</v>
      </c>
      <c r="BB320" s="50" t="str">
        <f>IF(BB137=-1,"x",IF(OR(BB235=1,BB$195=1,$CY137=1),BB137,0))</f>
        <v>x</v>
      </c>
      <c r="BC320" s="51" t="str">
        <f>IF(BC137=-1,"x",IF(OR(BC235=1,BC$195=1,$CZ137=1),BC137,0))</f>
        <v>x</v>
      </c>
      <c r="BD320" s="52">
        <f>IF(BD137=-1,"x",IF(OR(BD235=1,BD$195=1,$CX137=1),BD137,0))</f>
        <v>0</v>
      </c>
      <c r="BE320" s="50">
        <f>IF(BE137=-1,"x",IF(OR(BE235=1,BE$195=1,$CY137=1),BE137,0))</f>
        <v>0</v>
      </c>
      <c r="BF320" s="53">
        <f>IF(BF137=-1,"x",IF(OR(BF235=1,BF$195=1,$CZ137=1),BF137,0))</f>
        <v>0</v>
      </c>
      <c r="BG320" s="49">
        <f>IF(BG137=-1,"x",IF(OR(BG235=1,BG$195=1,$CX137=1),BG137,0))</f>
        <v>0</v>
      </c>
      <c r="BH320" s="50">
        <f>IF(BH137=-1,"x",IF(OR(BH235=1,BH$195=1,$CY137=1),BH137,0))</f>
        <v>0</v>
      </c>
      <c r="BI320" s="51">
        <f>IF(BI137=-1,"x",IF(OR(BI235=1,BI$195=1,$CZ137=1),BI137,0))</f>
        <v>0</v>
      </c>
      <c r="BJ320" s="52" t="str">
        <f>IF(BJ137=-1,"x",IF(OR(BJ235=1,BJ$195=1,$CX137=1),BJ137,0))</f>
        <v>x</v>
      </c>
      <c r="BK320" s="50" t="str">
        <f>IF(BK137=-1,"x",IF(OR(BK235=1,BK$195=1,$CY137=1),BK137,0))</f>
        <v>x</v>
      </c>
      <c r="BL320" s="51" t="str">
        <f>IF(BL137=-1,"x",IF(OR(BL235=1,BL$195=1,$CZ137=1),BL137,0))</f>
        <v>x</v>
      </c>
      <c r="BM320" s="52" t="str">
        <f>IF(BM137=-1,"x",IF(OR(BM235=1,BM$195=1,$CX137=1),BM137,0))</f>
        <v>x</v>
      </c>
      <c r="BN320" s="50" t="str">
        <f>IF(BN137=-1,"x",IF(OR(BN235=1,BN$195=1,$CY137=1),BN137,0))</f>
        <v>x</v>
      </c>
      <c r="BO320" s="105" t="str">
        <f>IF(BO137=-1,"x",IF(OR(BO235=1,BO$195=1,$CZ137=1),BO137,0))</f>
        <v>x</v>
      </c>
      <c r="BP320" s="104" t="str">
        <f>IF(BP137=-1,"x",IF(OR(BP235=1,BP$195=1,$CX137=1),BP137,0))</f>
        <v>x</v>
      </c>
      <c r="BQ320" s="50" t="str">
        <f>IF(BQ137=-1,"x",IF(OR(BQ235=1,BQ$195=1,$CY137=1),BQ137,0))</f>
        <v>x</v>
      </c>
      <c r="BR320" s="51" t="str">
        <f>IF(BR137=-1,"x",IF(OR(BR235=1,BR$195=1,$CZ137=1),BR137,0))</f>
        <v>x</v>
      </c>
      <c r="BS320" s="52" t="str">
        <f>IF(BS137=-1,"x",IF(OR(BS235=1,BS$195=1,$CX137=1),BS137,0))</f>
        <v>x</v>
      </c>
      <c r="BT320" s="50" t="str">
        <f>IF(BT137=-1,"x",IF(OR(BT235=1,BT$195=1,$CY137=1),BT137,0))</f>
        <v>x</v>
      </c>
      <c r="BU320" s="51" t="str">
        <f>IF(BU137=-1,"x",IF(OR(BU235=1,BU$195=1,$CZ137=1),BU137,0))</f>
        <v>x</v>
      </c>
      <c r="BV320" s="52" t="str">
        <f>IF(BV137=-1,"x",IF(OR(BV235=1,BV$195=1,$CX137=1),BV137,0))</f>
        <v>x</v>
      </c>
      <c r="BW320" s="50" t="str">
        <f>IF(BW137=-1,"x",IF(OR(BW235=1,BW$195=1,$CY137=1),BW137,0))</f>
        <v>x</v>
      </c>
      <c r="BX320" s="53" t="str">
        <f>IF(BX137=-1,"x",IF(OR(BX235=1,BX$195=1,$CZ137=1),BX137,0))</f>
        <v>x</v>
      </c>
      <c r="BY320" s="49" t="str">
        <f>IF(BY137=-1,"x",IF(OR(BY235=1,BY$195=1,$CX137=1),BY137,0))</f>
        <v>x</v>
      </c>
      <c r="BZ320" s="50" t="str">
        <f>IF(BZ137=-1,"x",IF(OR(BZ235=1,BZ$195=1,$CY137=1),BZ137,0))</f>
        <v>x</v>
      </c>
      <c r="CA320" s="51" t="str">
        <f>IF(CA137=-1,"x",IF(OR(CA235=1,CA$195=1,$CZ137=1),CA137,0))</f>
        <v>x</v>
      </c>
      <c r="CB320" s="52" t="str">
        <f>IF(CB137=-1,"x",IF(OR(CB235=1,CB$195=1,$CX137=1),CB137,0))</f>
        <v>x</v>
      </c>
      <c r="CC320" s="50" t="str">
        <f>IF(CC137=-1,"x",IF(OR(CC235=1,CC$195=1,$CY137=1),CC137,0))</f>
        <v>x</v>
      </c>
      <c r="CD320" s="51" t="str">
        <f>IF(CD137=-1,"x",IF(OR(CD235=1,CD$195=1,$CZ137=1),CD137,0))</f>
        <v>x</v>
      </c>
      <c r="CE320" s="52" t="str">
        <f>IF(CE137=-1,"x",IF(OR(CE235=1,CE$195=1,$CX137=1),CE137,0))</f>
        <v>x</v>
      </c>
      <c r="CF320" s="50" t="str">
        <f>IF(CF137=-1,"x",IF(OR(CF235=1,CF$195=1,$CY137=1),CF137,0))</f>
        <v>x</v>
      </c>
      <c r="CG320" s="53" t="str">
        <f>IF(CG137=-1,"x",IF(OR(CG235=1,CG$195=1,$CZ137=1),CG137,0))</f>
        <v>x</v>
      </c>
      <c r="CH320" s="49" t="str">
        <f>IF(CH137=-1,"x",IF(OR(CH235=1,CH$195=1,$CX137=1),CH137,0))</f>
        <v>x</v>
      </c>
      <c r="CI320" s="50" t="str">
        <f>IF(CI137=-1,"x",IF(OR(CI235=1,CI$195=1,$CY137=1),CI137,0))</f>
        <v>x</v>
      </c>
      <c r="CJ320" s="51" t="str">
        <f>IF(CJ137=-1,"x",IF(OR(CJ235=1,CJ$195=1,$CZ137=1),CJ137,0))</f>
        <v>x</v>
      </c>
      <c r="CK320" s="52">
        <f>IF(CK137=-1,"x",IF(OR(CK235=1,CK$195=1,$CX137=1),CK137,0))</f>
        <v>0</v>
      </c>
      <c r="CL320" s="50">
        <f>IF(CL137=-1,"x",IF(OR(CL235=1,CL$195=1,$CY137=1),CL137,0))</f>
        <v>0</v>
      </c>
      <c r="CM320" s="51">
        <f>IF(CM137=-1,"x",IF(OR(CM235=1,CM$195=1,$CZ137=1),CM137,0))</f>
        <v>0</v>
      </c>
      <c r="CN320" s="52" t="str">
        <f>IF(CN137=-1,"x",IF(OR(CN235=1,CN$195=1,$CX137=1),CN137,0))</f>
        <v>x</v>
      </c>
      <c r="CO320" s="50" t="str">
        <f>IF(CO137=-1,"x",IF(OR(CO235=1,CO$195=1,$CY137=1),CO137,0))</f>
        <v>x</v>
      </c>
      <c r="CP320" s="105" t="str">
        <f>IF(CP137=-1,"x",IF(OR(CP235=1,CP$195=1,$CZ137=1),CP137,0))</f>
        <v>x</v>
      </c>
      <c r="GD320" s="29"/>
    </row>
    <row r="321" spans="14:194" ht="15" customHeight="1">
      <c r="N321" s="94" t="str">
        <f>IF(N138=-1,"x",IF(OR(N236=1,N$196=1,$CX138=1),N138,0))</f>
        <v>x</v>
      </c>
      <c r="O321" s="39" t="str">
        <f>IF(O138=-1,"x",IF(OR(O236=1,O$196=1,$CY138=1),O138,0))</f>
        <v>x</v>
      </c>
      <c r="P321" s="41" t="str">
        <f>IF(P138=-1,"x",IF(OR(P236=1,P$196=1,$CZ138=1),P138,0))</f>
        <v>x</v>
      </c>
      <c r="Q321" s="40" t="str">
        <f>IF(Q138=-1,"x",IF(OR(Q236=1,Q$196=1,$CX138=1),Q138,0))</f>
        <v>x</v>
      </c>
      <c r="R321" s="39" t="str">
        <f>IF(R138=-1,"x",IF(OR(R236=1,R$196=1,$CY138=1),R138,0))</f>
        <v>x</v>
      </c>
      <c r="S321" s="41" t="str">
        <f>IF(S138=-1,"x",IF(OR(S236=1,S$196=1,$CZ138=1),S138,0))</f>
        <v>x</v>
      </c>
      <c r="T321" s="40" t="str">
        <f>IF(T138=-1,"x",IF(OR(T236=1,T$196=1,$CX138=1),T138,0))</f>
        <v>x</v>
      </c>
      <c r="U321" s="39" t="str">
        <f>IF(U138=-1,"x",IF(OR(U236=1,U$196=1,$CY138=1),U138,0))</f>
        <v>x</v>
      </c>
      <c r="V321" s="42" t="str">
        <f>IF(V138=-1,"x",IF(OR(V236=1,V$196=1,$CZ138=1),V138,0))</f>
        <v>x</v>
      </c>
      <c r="W321" s="43" t="str">
        <f>IF(W138=-1,"x",IF(OR(W236=1,W$196=1,$CX138=1),W138,0))</f>
        <v>x</v>
      </c>
      <c r="X321" s="39" t="str">
        <f>IF(X138=-1,"x",IF(OR(X236=1,X$196=1,$CY138=1),X138,0))</f>
        <v>x</v>
      </c>
      <c r="Y321" s="41" t="str">
        <f>IF(Y138=-1,"x",IF(OR(Y236=1,Y$196=1,$CZ138=1),Y138,0))</f>
        <v>x</v>
      </c>
      <c r="Z321" s="40" t="str">
        <f>IF(Z138=-1,"x",IF(OR(Z236=1,Z$196=1,$CX138=1),Z138,0))</f>
        <v>x</v>
      </c>
      <c r="AA321" s="39" t="str">
        <f>IF(AA138=-1,"x",IF(OR(AA236=1,AA$196=1,$CY138=1),AA138,0))</f>
        <v>x</v>
      </c>
      <c r="AB321" s="41" t="str">
        <f>IF(AB138=-1,"x",IF(OR(AB236=1,AB$196=1,$CZ138=1),AB138,0))</f>
        <v>x</v>
      </c>
      <c r="AC321" s="40" t="str">
        <f>IF(AC138=-1,"x",IF(OR(AC236=1,AC$196=1,$CX138=1),AC138,0))</f>
        <v>x</v>
      </c>
      <c r="AD321" s="39" t="str">
        <f>IF(AD138=-1,"x",IF(OR(AD236=1,AD$196=1,$CY138=1),AD138,0))</f>
        <v>x</v>
      </c>
      <c r="AE321" s="42" t="str">
        <f>IF(AE138=-1,"x",IF(OR(AE236=1,AE$196=1,$CZ138=1),AE138,0))</f>
        <v>x</v>
      </c>
      <c r="AF321" s="43" t="str">
        <f>IF(AF138=-1,"x",IF(OR(AF236=1,AF$196=1,$CX138=1),AF138,0))</f>
        <v>x</v>
      </c>
      <c r="AG321" s="39" t="str">
        <f>IF(AG138=-1,"x",IF(OR(AG236=1,AG$196=1,$CY138=1),AG138,0))</f>
        <v>x</v>
      </c>
      <c r="AH321" s="41" t="str">
        <f>IF(AH138=-1,"x",IF(OR(AH236=1,AH$196=1,$CZ138=1),AH138,0))</f>
        <v>x</v>
      </c>
      <c r="AI321" s="40" t="str">
        <f>IF(AI138=-1,"x",IF(OR(AI236=1,AI$196=1,$CX138=1),AI138,0))</f>
        <v>x</v>
      </c>
      <c r="AJ321" s="39" t="str">
        <f>IF(AJ138=-1,"x",IF(OR(AJ236=1,AJ$196=1,$CY138=1),AJ138,0))</f>
        <v>x</v>
      </c>
      <c r="AK321" s="41" t="str">
        <f>IF(AK138=-1,"x",IF(OR(AK236=1,AK$196=1,$CZ138=1),AK138,0))</f>
        <v>x</v>
      </c>
      <c r="AL321" s="40" t="str">
        <f>IF(AL138=-1,"x",IF(OR(AL236=1,AL$196=1,$CX138=1),AL138,0))</f>
        <v>x</v>
      </c>
      <c r="AM321" s="39" t="str">
        <f>IF(AM138=-1,"x",IF(OR(AM236=1,AM$196=1,$CY138=1),AM138,0))</f>
        <v>x</v>
      </c>
      <c r="AN321" s="95" t="str">
        <f>IF(AN138=-1,"x",IF(OR(AN236=1,AN$196=1,$CZ138=1),AN138,0))</f>
        <v>x</v>
      </c>
      <c r="AO321" s="94" t="str">
        <f>IF(AO138=-1,"x",IF(OR(AO236=1,AO$196=1,$CX138=1),AO138,0))</f>
        <v>x</v>
      </c>
      <c r="AP321" s="39" t="str">
        <f>IF(AP138=-1,"x",IF(OR(AP236=1,AP$196=1,$CY138=1),AP138,0))</f>
        <v>x</v>
      </c>
      <c r="AQ321" s="41" t="str">
        <f>IF(AQ138=-1,"x",IF(OR(AQ236=1,AQ$196=1,$CZ138=1),AQ138,0))</f>
        <v>x</v>
      </c>
      <c r="AR321" s="40">
        <f>IF(AR138=-1,"x",IF(OR(AR236=1,AR$196=1,$CX138=1),AR138,0))</f>
        <v>0</v>
      </c>
      <c r="AS321" s="39">
        <f>IF(AS138=-1,"x",IF(OR(AS236=1,AS$196=1,$CY138=1),AS138,0))</f>
        <v>0</v>
      </c>
      <c r="AT321" s="41">
        <f>IF(AT138=-1,"x",IF(OR(AT236=1,AT$196=1,$CZ138=1),AT138,0))</f>
        <v>0</v>
      </c>
      <c r="AU321" s="40">
        <f>IF(AU138=-1,"x",IF(OR(AU236=1,AU$196=1,$CX138=1),AU138,0))</f>
        <v>0</v>
      </c>
      <c r="AV321" s="39">
        <f>IF(AV138=-1,"x",IF(OR(AV236=1,AV$196=1,$CY138=1),AV138,0))</f>
        <v>0</v>
      </c>
      <c r="AW321" s="42">
        <f>IF(AW138=-1,"x",IF(OR(AW236=1,AW$196=1,$CZ138=1),AW138,0))</f>
        <v>0</v>
      </c>
      <c r="AX321" s="43" t="str">
        <f>IF(AX138=-1,"x",IF(OR(AX236=1,AX$196=1,$CX138=1),AX138,0))</f>
        <v>x</v>
      </c>
      <c r="AY321" s="39" t="str">
        <f>IF(AY138=-1,"x",IF(OR(AY236=1,AY$196=1,$CY138=1),AY138,0))</f>
        <v>x</v>
      </c>
      <c r="AZ321" s="41" t="str">
        <f>IF(AZ138=-1,"x",IF(OR(AZ236=1,AZ$196=1,$CZ138=1),AZ138,0))</f>
        <v>x</v>
      </c>
      <c r="BA321" s="40" t="str">
        <f>IF(BA138=-1,"x",IF(OR(BA236=1,BA$196=1,$CX138=1),BA138,0))</f>
        <v>x</v>
      </c>
      <c r="BB321" s="39" t="str">
        <f>IF(BB138=-1,"x",IF(OR(BB236=1,BB$196=1,$CY138=1),BB138,0))</f>
        <v>x</v>
      </c>
      <c r="BC321" s="41" t="str">
        <f>IF(BC138=-1,"x",IF(OR(BC236=1,BC$196=1,$CZ138=1),BC138,0))</f>
        <v>x</v>
      </c>
      <c r="BD321" s="40">
        <f>IF(BD138=-1,"x",IF(OR(BD236=1,BD$196=1,$CX138=1),BD138,0))</f>
        <v>0</v>
      </c>
      <c r="BE321" s="39">
        <f>IF(BE138=-1,"x",IF(OR(BE236=1,BE$196=1,$CY138=1),BE138,0))</f>
        <v>0</v>
      </c>
      <c r="BF321" s="42">
        <f>IF(BF138=-1,"x",IF(OR(BF236=1,BF$196=1,$CZ138=1),BF138,0))</f>
        <v>0</v>
      </c>
      <c r="BG321" s="43">
        <f>IF(BG138=-1,"x",IF(OR(BG236=1,BG$196=1,$CX138=1),BG138,0))</f>
        <v>0</v>
      </c>
      <c r="BH321" s="39">
        <f>IF(BH138=-1,"x",IF(OR(BH236=1,BH$196=1,$CY138=1),BH138,0))</f>
        <v>0</v>
      </c>
      <c r="BI321" s="41">
        <f>IF(BI138=-1,"x",IF(OR(BI236=1,BI$196=1,$CZ138=1),BI138,0))</f>
        <v>0</v>
      </c>
      <c r="BJ321" s="40" t="str">
        <f>IF(BJ138=-1,"x",IF(OR(BJ236=1,BJ$196=1,$CX138=1),BJ138,0))</f>
        <v>x</v>
      </c>
      <c r="BK321" s="39" t="str">
        <f>IF(BK138=-1,"x",IF(OR(BK236=1,BK$196=1,$CY138=1),BK138,0))</f>
        <v>x</v>
      </c>
      <c r="BL321" s="41" t="str">
        <f>IF(BL138=-1,"x",IF(OR(BL236=1,BL$196=1,$CZ138=1),BL138,0))</f>
        <v>x</v>
      </c>
      <c r="BM321" s="40" t="str">
        <f>IF(BM138=-1,"x",IF(OR(BM236=1,BM$196=1,$CX138=1),BM138,0))</f>
        <v>x</v>
      </c>
      <c r="BN321" s="39" t="str">
        <f>IF(BN138=-1,"x",IF(OR(BN236=1,BN$196=1,$CY138=1),BN138,0))</f>
        <v>x</v>
      </c>
      <c r="BO321" s="95" t="str">
        <f>IF(BO138=-1,"x",IF(OR(BO236=1,BO$196=1,$CZ138=1),BO138,0))</f>
        <v>x</v>
      </c>
      <c r="BP321" s="94" t="str">
        <f>IF(BP138=-1,"x",IF(OR(BP236=1,BP$196=1,$CX138=1),BP138,0))</f>
        <v>x</v>
      </c>
      <c r="BQ321" s="39" t="str">
        <f>IF(BQ138=-1,"x",IF(OR(BQ236=1,BQ$196=1,$CY138=1),BQ138,0))</f>
        <v>x</v>
      </c>
      <c r="BR321" s="41" t="str">
        <f>IF(BR138=-1,"x",IF(OR(BR236=1,BR$196=1,$CZ138=1),BR138,0))</f>
        <v>x</v>
      </c>
      <c r="BS321" s="40" t="str">
        <f>IF(BS138=-1,"x",IF(OR(BS236=1,BS$196=1,$CX138=1),BS138,0))</f>
        <v>x</v>
      </c>
      <c r="BT321" s="39" t="str">
        <f>IF(BT138=-1,"x",IF(OR(BT236=1,BT$196=1,$CY138=1),BT138,0))</f>
        <v>x</v>
      </c>
      <c r="BU321" s="41" t="str">
        <f>IF(BU138=-1,"x",IF(OR(BU236=1,BU$196=1,$CZ138=1),BU138,0))</f>
        <v>x</v>
      </c>
      <c r="BV321" s="40" t="str">
        <f>IF(BV138=-1,"x",IF(OR(BV236=1,BV$196=1,$CX138=1),BV138,0))</f>
        <v>x</v>
      </c>
      <c r="BW321" s="39" t="str">
        <f>IF(BW138=-1,"x",IF(OR(BW236=1,BW$196=1,$CY138=1),BW138,0))</f>
        <v>x</v>
      </c>
      <c r="BX321" s="42" t="str">
        <f>IF(BX138=-1,"x",IF(OR(BX236=1,BX$196=1,$CZ138=1),BX138,0))</f>
        <v>x</v>
      </c>
      <c r="BY321" s="43" t="str">
        <f>IF(BY138=-1,"x",IF(OR(BY236=1,BY$196=1,$CX138=1),BY138,0))</f>
        <v>x</v>
      </c>
      <c r="BZ321" s="39" t="str">
        <f>IF(BZ138=-1,"x",IF(OR(BZ236=1,BZ$196=1,$CY138=1),BZ138,0))</f>
        <v>x</v>
      </c>
      <c r="CA321" s="41" t="str">
        <f>IF(CA138=-1,"x",IF(OR(CA236=1,CA$196=1,$CZ138=1),CA138,0))</f>
        <v>x</v>
      </c>
      <c r="CB321" s="40" t="str">
        <f>IF(CB138=-1,"x",IF(OR(CB236=1,CB$196=1,$CX138=1),CB138,0))</f>
        <v>x</v>
      </c>
      <c r="CC321" s="39" t="str">
        <f>IF(CC138=-1,"x",IF(OR(CC236=1,CC$196=1,$CY138=1),CC138,0))</f>
        <v>x</v>
      </c>
      <c r="CD321" s="41" t="str">
        <f>IF(CD138=-1,"x",IF(OR(CD236=1,CD$196=1,$CZ138=1),CD138,0))</f>
        <v>x</v>
      </c>
      <c r="CE321" s="40" t="str">
        <f>IF(CE138=-1,"x",IF(OR(CE236=1,CE$196=1,$CX138=1),CE138,0))</f>
        <v>x</v>
      </c>
      <c r="CF321" s="39" t="str">
        <f>IF(CF138=-1,"x",IF(OR(CF236=1,CF$196=1,$CY138=1),CF138,0))</f>
        <v>x</v>
      </c>
      <c r="CG321" s="42" t="str">
        <f>IF(CG138=-1,"x",IF(OR(CG236=1,CG$196=1,$CZ138=1),CG138,0))</f>
        <v>x</v>
      </c>
      <c r="CH321" s="43" t="str">
        <f>IF(CH138=-1,"x",IF(OR(CH236=1,CH$196=1,$CX138=1),CH138,0))</f>
        <v>x</v>
      </c>
      <c r="CI321" s="39" t="str">
        <f>IF(CI138=-1,"x",IF(OR(CI236=1,CI$196=1,$CY138=1),CI138,0))</f>
        <v>x</v>
      </c>
      <c r="CJ321" s="41" t="str">
        <f>IF(CJ138=-1,"x",IF(OR(CJ236=1,CJ$196=1,$CZ138=1),CJ138,0))</f>
        <v>x</v>
      </c>
      <c r="CK321" s="40">
        <f>IF(CK138=-1,"x",IF(OR(CK236=1,CK$196=1,$CX138=1),CK138,0))</f>
        <v>0</v>
      </c>
      <c r="CL321" s="39">
        <f>IF(CL138=-1,"x",IF(OR(CL236=1,CL$196=1,$CY138=1),CL138,0))</f>
        <v>0</v>
      </c>
      <c r="CM321" s="41">
        <f>IF(CM138=-1,"x",IF(OR(CM236=1,CM$196=1,$CZ138=1),CM138,0))</f>
        <v>0</v>
      </c>
      <c r="CN321" s="40" t="str">
        <f>IF(CN138=-1,"x",IF(OR(CN236=1,CN$196=1,$CX138=1),CN138,0))</f>
        <v>x</v>
      </c>
      <c r="CO321" s="39" t="str">
        <f>IF(CO138=-1,"x",IF(OR(CO236=1,CO$196=1,$CY138=1),CO138,0))</f>
        <v>x</v>
      </c>
      <c r="CP321" s="95" t="str">
        <f>IF(CP138=-1,"x",IF(OR(CP236=1,CP$196=1,$CZ138=1),CP138,0))</f>
        <v>x</v>
      </c>
      <c r="GD321" s="29"/>
    </row>
    <row r="322" spans="14:194" ht="15" customHeight="1" thickBot="1">
      <c r="N322" s="99" t="str">
        <f>IF(N139=-1,"x",IF(OR(N237=1,N$197=1,$CX139=1),N139,0))</f>
        <v>x</v>
      </c>
      <c r="O322" s="45" t="str">
        <f>IF(O139=-1,"x",IF(OR(O237=1,O$197=1,$CY139=1),O139,0))</f>
        <v>x</v>
      </c>
      <c r="P322" s="47" t="str">
        <f>IF(P139=-1,"x",IF(OR(P237=1,P$197=1,$CZ139=1),P139,0))</f>
        <v>x</v>
      </c>
      <c r="Q322" s="46" t="str">
        <f>IF(Q139=-1,"x",IF(OR(Q237=1,Q$197=1,$CX139=1),Q139,0))</f>
        <v>x</v>
      </c>
      <c r="R322" s="45" t="str">
        <f>IF(R139=-1,"x",IF(OR(R237=1,R$197=1,$CY139=1),R139,0))</f>
        <v>x</v>
      </c>
      <c r="S322" s="47" t="str">
        <f>IF(S139=-1,"x",IF(OR(S237=1,S$197=1,$CZ139=1),S139,0))</f>
        <v>x</v>
      </c>
      <c r="T322" s="46" t="str">
        <f>IF(T139=-1,"x",IF(OR(T237=1,T$197=1,$CX139=1),T139,0))</f>
        <v>x</v>
      </c>
      <c r="U322" s="45" t="str">
        <f>IF(U139=-1,"x",IF(OR(U237=1,U$197=1,$CY139=1),U139,0))</f>
        <v>x</v>
      </c>
      <c r="V322" s="48" t="str">
        <f>IF(V139=-1,"x",IF(OR(V237=1,V$197=1,$CZ139=1),V139,0))</f>
        <v>x</v>
      </c>
      <c r="W322" s="44" t="str">
        <f>IF(W139=-1,"x",IF(OR(W237=1,W$197=1,$CX139=1),W139,0))</f>
        <v>x</v>
      </c>
      <c r="X322" s="45" t="str">
        <f>IF(X139=-1,"x",IF(OR(X237=1,X$197=1,$CY139=1),X139,0))</f>
        <v>x</v>
      </c>
      <c r="Y322" s="47" t="str">
        <f>IF(Y139=-1,"x",IF(OR(Y237=1,Y$197=1,$CZ139=1),Y139,0))</f>
        <v>x</v>
      </c>
      <c r="Z322" s="46" t="str">
        <f>IF(Z139=-1,"x",IF(OR(Z237=1,Z$197=1,$CX139=1),Z139,0))</f>
        <v>x</v>
      </c>
      <c r="AA322" s="45" t="str">
        <f>IF(AA139=-1,"x",IF(OR(AA237=1,AA$197=1,$CY139=1),AA139,0))</f>
        <v>x</v>
      </c>
      <c r="AB322" s="47" t="str">
        <f>IF(AB139=-1,"x",IF(OR(AB237=1,AB$197=1,$CZ139=1),AB139,0))</f>
        <v>x</v>
      </c>
      <c r="AC322" s="46" t="str">
        <f>IF(AC139=-1,"x",IF(OR(AC237=1,AC$197=1,$CX139=1),AC139,0))</f>
        <v>x</v>
      </c>
      <c r="AD322" s="45" t="str">
        <f>IF(AD139=-1,"x",IF(OR(AD237=1,AD$197=1,$CY139=1),AD139,0))</f>
        <v>x</v>
      </c>
      <c r="AE322" s="48" t="str">
        <f>IF(AE139=-1,"x",IF(OR(AE237=1,AE$197=1,$CZ139=1),AE139,0))</f>
        <v>x</v>
      </c>
      <c r="AF322" s="44" t="str">
        <f>IF(AF139=-1,"x",IF(OR(AF237=1,AF$197=1,$CX139=1),AF139,0))</f>
        <v>x</v>
      </c>
      <c r="AG322" s="45" t="str">
        <f>IF(AG139=-1,"x",IF(OR(AG237=1,AG$197=1,$CY139=1),AG139,0))</f>
        <v>x</v>
      </c>
      <c r="AH322" s="47" t="str">
        <f>IF(AH139=-1,"x",IF(OR(AH237=1,AH$197=1,$CZ139=1),AH139,0))</f>
        <v>x</v>
      </c>
      <c r="AI322" s="46" t="str">
        <f>IF(AI139=-1,"x",IF(OR(AI237=1,AI$197=1,$CX139=1),AI139,0))</f>
        <v>x</v>
      </c>
      <c r="AJ322" s="45" t="str">
        <f>IF(AJ139=-1,"x",IF(OR(AJ237=1,AJ$197=1,$CY139=1),AJ139,0))</f>
        <v>x</v>
      </c>
      <c r="AK322" s="47" t="str">
        <f>IF(AK139=-1,"x",IF(OR(AK237=1,AK$197=1,$CZ139=1),AK139,0))</f>
        <v>x</v>
      </c>
      <c r="AL322" s="46" t="str">
        <f>IF(AL139=-1,"x",IF(OR(AL237=1,AL$197=1,$CX139=1),AL139,0))</f>
        <v>x</v>
      </c>
      <c r="AM322" s="45" t="str">
        <f>IF(AM139=-1,"x",IF(OR(AM237=1,AM$197=1,$CY139=1),AM139,0))</f>
        <v>x</v>
      </c>
      <c r="AN322" s="100" t="str">
        <f>IF(AN139=-1,"x",IF(OR(AN237=1,AN$197=1,$CZ139=1),AN139,0))</f>
        <v>x</v>
      </c>
      <c r="AO322" s="99" t="str">
        <f>IF(AO139=-1,"x",IF(OR(AO237=1,AO$197=1,$CX139=1),AO139,0))</f>
        <v>x</v>
      </c>
      <c r="AP322" s="45" t="str">
        <f>IF(AP139=-1,"x",IF(OR(AP237=1,AP$197=1,$CY139=1),AP139,0))</f>
        <v>x</v>
      </c>
      <c r="AQ322" s="47" t="str">
        <f>IF(AQ139=-1,"x",IF(OR(AQ237=1,AQ$197=1,$CZ139=1),AQ139,0))</f>
        <v>x</v>
      </c>
      <c r="AR322" s="46">
        <f>IF(AR139=-1,"x",IF(OR(AR237=1,AR$197=1,$CX139=1),AR139,0))</f>
        <v>0</v>
      </c>
      <c r="AS322" s="45">
        <f>IF(AS139=-1,"x",IF(OR(AS237=1,AS$197=1,$CY139=1),AS139,0))</f>
        <v>0</v>
      </c>
      <c r="AT322" s="47">
        <f>IF(AT139=-1,"x",IF(OR(AT237=1,AT$197=1,$CZ139=1),AT139,0))</f>
        <v>0</v>
      </c>
      <c r="AU322" s="46">
        <f>IF(AU139=-1,"x",IF(OR(AU237=1,AU$197=1,$CX139=1),AU139,0))</f>
        <v>0</v>
      </c>
      <c r="AV322" s="45">
        <f>IF(AV139=-1,"x",IF(OR(AV237=1,AV$197=1,$CY139=1),AV139,0))</f>
        <v>0</v>
      </c>
      <c r="AW322" s="48">
        <f>IF(AW139=-1,"x",IF(OR(AW237=1,AW$197=1,$CZ139=1),AW139,0))</f>
        <v>0</v>
      </c>
      <c r="AX322" s="44" t="str">
        <f>IF(AX139=-1,"x",IF(OR(AX237=1,AX$197=1,$CX139=1),AX139,0))</f>
        <v>x</v>
      </c>
      <c r="AY322" s="45" t="str">
        <f>IF(AY139=-1,"x",IF(OR(AY237=1,AY$197=1,$CY139=1),AY139,0))</f>
        <v>x</v>
      </c>
      <c r="AZ322" s="47" t="str">
        <f>IF(AZ139=-1,"x",IF(OR(AZ237=1,AZ$197=1,$CZ139=1),AZ139,0))</f>
        <v>x</v>
      </c>
      <c r="BA322" s="46" t="str">
        <f>IF(BA139=-1,"x",IF(OR(BA237=1,BA$197=1,$CX139=1),BA139,0))</f>
        <v>x</v>
      </c>
      <c r="BB322" s="45" t="str">
        <f>IF(BB139=-1,"x",IF(OR(BB237=1,BB$197=1,$CY139=1),BB139,0))</f>
        <v>x</v>
      </c>
      <c r="BC322" s="47" t="str">
        <f>IF(BC139=-1,"x",IF(OR(BC237=1,BC$197=1,$CZ139=1),BC139,0))</f>
        <v>x</v>
      </c>
      <c r="BD322" s="46">
        <f>IF(BD139=-1,"x",IF(OR(BD237=1,BD$197=1,$CX139=1),BD139,0))</f>
        <v>0</v>
      </c>
      <c r="BE322" s="45">
        <f>IF(BE139=-1,"x",IF(OR(BE237=1,BE$197=1,$CY139=1),BE139,0))</f>
        <v>0</v>
      </c>
      <c r="BF322" s="48">
        <f>IF(BF139=-1,"x",IF(OR(BF237=1,BF$197=1,$CZ139=1),BF139,0))</f>
        <v>0</v>
      </c>
      <c r="BG322" s="44">
        <f>IF(BG139=-1,"x",IF(OR(BG237=1,BG$197=1,$CX139=1),BG139,0))</f>
        <v>0</v>
      </c>
      <c r="BH322" s="45">
        <f>IF(BH139=-1,"x",IF(OR(BH237=1,BH$197=1,$CY139=1),BH139,0))</f>
        <v>0</v>
      </c>
      <c r="BI322" s="47">
        <f>IF(BI139=-1,"x",IF(OR(BI237=1,BI$197=1,$CZ139=1),BI139,0))</f>
        <v>0</v>
      </c>
      <c r="BJ322" s="46" t="str">
        <f>IF(BJ139=-1,"x",IF(OR(BJ237=1,BJ$197=1,$CX139=1),BJ139,0))</f>
        <v>x</v>
      </c>
      <c r="BK322" s="45" t="str">
        <f>IF(BK139=-1,"x",IF(OR(BK237=1,BK$197=1,$CY139=1),BK139,0))</f>
        <v>x</v>
      </c>
      <c r="BL322" s="47" t="str">
        <f>IF(BL139=-1,"x",IF(OR(BL237=1,BL$197=1,$CZ139=1),BL139,0))</f>
        <v>x</v>
      </c>
      <c r="BM322" s="46" t="str">
        <f>IF(BM139=-1,"x",IF(OR(BM237=1,BM$197=1,$CX139=1),BM139,0))</f>
        <v>x</v>
      </c>
      <c r="BN322" s="45" t="str">
        <f>IF(BN139=-1,"x",IF(OR(BN237=1,BN$197=1,$CY139=1),BN139,0))</f>
        <v>x</v>
      </c>
      <c r="BO322" s="100" t="str">
        <f>IF(BO139=-1,"x",IF(OR(BO237=1,BO$197=1,$CZ139=1),BO139,0))</f>
        <v>x</v>
      </c>
      <c r="BP322" s="99" t="str">
        <f>IF(BP139=-1,"x",IF(OR(BP237=1,BP$197=1,$CX139=1),BP139,0))</f>
        <v>x</v>
      </c>
      <c r="BQ322" s="45" t="str">
        <f>IF(BQ139=-1,"x",IF(OR(BQ237=1,BQ$197=1,$CY139=1),BQ139,0))</f>
        <v>x</v>
      </c>
      <c r="BR322" s="47" t="str">
        <f>IF(BR139=-1,"x",IF(OR(BR237=1,BR$197=1,$CZ139=1),BR139,0))</f>
        <v>x</v>
      </c>
      <c r="BS322" s="46" t="str">
        <f>IF(BS139=-1,"x",IF(OR(BS237=1,BS$197=1,$CX139=1),BS139,0))</f>
        <v>x</v>
      </c>
      <c r="BT322" s="45" t="str">
        <f>IF(BT139=-1,"x",IF(OR(BT237=1,BT$197=1,$CY139=1),BT139,0))</f>
        <v>x</v>
      </c>
      <c r="BU322" s="47" t="str">
        <f>IF(BU139=-1,"x",IF(OR(BU237=1,BU$197=1,$CZ139=1),BU139,0))</f>
        <v>x</v>
      </c>
      <c r="BV322" s="46" t="str">
        <f>IF(BV139=-1,"x",IF(OR(BV237=1,BV$197=1,$CX139=1),BV139,0))</f>
        <v>x</v>
      </c>
      <c r="BW322" s="45" t="str">
        <f>IF(BW139=-1,"x",IF(OR(BW237=1,BW$197=1,$CY139=1),BW139,0))</f>
        <v>x</v>
      </c>
      <c r="BX322" s="48" t="str">
        <f>IF(BX139=-1,"x",IF(OR(BX237=1,BX$197=1,$CZ139=1),BX139,0))</f>
        <v>x</v>
      </c>
      <c r="BY322" s="44" t="str">
        <f>IF(BY139=-1,"x",IF(OR(BY237=1,BY$197=1,$CX139=1),BY139,0))</f>
        <v>x</v>
      </c>
      <c r="BZ322" s="45" t="str">
        <f>IF(BZ139=-1,"x",IF(OR(BZ237=1,BZ$197=1,$CY139=1),BZ139,0))</f>
        <v>x</v>
      </c>
      <c r="CA322" s="47" t="str">
        <f>IF(CA139=-1,"x",IF(OR(CA237=1,CA$197=1,$CZ139=1),CA139,0))</f>
        <v>x</v>
      </c>
      <c r="CB322" s="46" t="str">
        <f>IF(CB139=-1,"x",IF(OR(CB237=1,CB$197=1,$CX139=1),CB139,0))</f>
        <v>x</v>
      </c>
      <c r="CC322" s="45" t="str">
        <f>IF(CC139=-1,"x",IF(OR(CC237=1,CC$197=1,$CY139=1),CC139,0))</f>
        <v>x</v>
      </c>
      <c r="CD322" s="47" t="str">
        <f>IF(CD139=-1,"x",IF(OR(CD237=1,CD$197=1,$CZ139=1),CD139,0))</f>
        <v>x</v>
      </c>
      <c r="CE322" s="46" t="str">
        <f>IF(CE139=-1,"x",IF(OR(CE237=1,CE$197=1,$CX139=1),CE139,0))</f>
        <v>x</v>
      </c>
      <c r="CF322" s="45" t="str">
        <f>IF(CF139=-1,"x",IF(OR(CF237=1,CF$197=1,$CY139=1),CF139,0))</f>
        <v>x</v>
      </c>
      <c r="CG322" s="48" t="str">
        <f>IF(CG139=-1,"x",IF(OR(CG237=1,CG$197=1,$CZ139=1),CG139,0))</f>
        <v>x</v>
      </c>
      <c r="CH322" s="44" t="str">
        <f>IF(CH139=-1,"x",IF(OR(CH237=1,CH$197=1,$CX139=1),CH139,0))</f>
        <v>x</v>
      </c>
      <c r="CI322" s="45" t="str">
        <f>IF(CI139=-1,"x",IF(OR(CI237=1,CI$197=1,$CY139=1),CI139,0))</f>
        <v>x</v>
      </c>
      <c r="CJ322" s="47" t="str">
        <f>IF(CJ139=-1,"x",IF(OR(CJ237=1,CJ$197=1,$CZ139=1),CJ139,0))</f>
        <v>x</v>
      </c>
      <c r="CK322" s="46">
        <f>IF(CK139=-1,"x",IF(OR(CK237=1,CK$197=1,$CX139=1),CK139,0))</f>
        <v>0</v>
      </c>
      <c r="CL322" s="45">
        <f>IF(CL139=-1,"x",IF(OR(CL237=1,CL$197=1,$CY139=1),CL139,0))</f>
        <v>0</v>
      </c>
      <c r="CM322" s="47">
        <f>IF(CM139=-1,"x",IF(OR(CM237=1,CM$197=1,$CZ139=1),CM139,0))</f>
        <v>0</v>
      </c>
      <c r="CN322" s="46" t="str">
        <f>IF(CN139=-1,"x",IF(OR(CN237=1,CN$197=1,$CX139=1),CN139,0))</f>
        <v>x</v>
      </c>
      <c r="CO322" s="45" t="str">
        <f>IF(CO139=-1,"x",IF(OR(CO237=1,CO$197=1,$CY139=1),CO139,0))</f>
        <v>x</v>
      </c>
      <c r="CP322" s="100" t="str">
        <f>IF(CP139=-1,"x",IF(OR(CP237=1,CP$197=1,$CZ139=1),CP139,0))</f>
        <v>x</v>
      </c>
      <c r="DJ322" s="417" t="s">
        <v>9</v>
      </c>
      <c r="GD322" s="29"/>
    </row>
    <row r="323" spans="14:194" ht="15" customHeight="1" thickTop="1">
      <c r="N323" s="104" t="str">
        <f>IF(N140=-1,"x",IF(OR(N238=1,N$195=1,$CX140=1),N140,0))</f>
        <v>x</v>
      </c>
      <c r="O323" s="50" t="str">
        <f>IF(O140=-1,"x",IF(OR(O238=1,O$195=1,$CY140=1),O140,0))</f>
        <v>x</v>
      </c>
      <c r="P323" s="51" t="str">
        <f>IF(P140=-1,"x",IF(OR(P238=1,P$195=1,$CZ140=1),P140,0))</f>
        <v>x</v>
      </c>
      <c r="Q323" s="52" t="str">
        <f>IF(Q140=-1,"x",IF(OR(Q238=1,Q$195=1,$CX140=1),Q140,0))</f>
        <v>x</v>
      </c>
      <c r="R323" s="50" t="str">
        <f>IF(R140=-1,"x",IF(OR(R238=1,R$195=1,$CY140=1),R140,0))</f>
        <v>x</v>
      </c>
      <c r="S323" s="51" t="str">
        <f>IF(S140=-1,"x",IF(OR(S238=1,S$195=1,$CZ140=1),S140,0))</f>
        <v>x</v>
      </c>
      <c r="T323" s="52" t="str">
        <f>IF(T140=-1,"x",IF(OR(T238=1,T$195=1,$CX140=1),T140,0))</f>
        <v>x</v>
      </c>
      <c r="U323" s="50" t="str">
        <f>IF(U140=-1,"x",IF(OR(U238=1,U$195=1,$CY140=1),U140,0))</f>
        <v>x</v>
      </c>
      <c r="V323" s="53" t="str">
        <f>IF(V140=-1,"x",IF(OR(V238=1,V$195=1,$CZ140=1),V140,0))</f>
        <v>x</v>
      </c>
      <c r="W323" s="49" t="str">
        <f>IF(W140=-1,"x",IF(OR(W238=1,W$195=1,$CX140=1),W140,0))</f>
        <v>x</v>
      </c>
      <c r="X323" s="50" t="str">
        <f>IF(X140=-1,"x",IF(OR(X238=1,X$195=1,$CY140=1),X140,0))</f>
        <v>x</v>
      </c>
      <c r="Y323" s="51" t="str">
        <f>IF(Y140=-1,"x",IF(OR(Y238=1,Y$195=1,$CZ140=1),Y140,0))</f>
        <v>x</v>
      </c>
      <c r="Z323" s="52" t="str">
        <f>IF(Z140=-1,"x",IF(OR(Z238=1,Z$195=1,$CX140=1),Z140,0))</f>
        <v>x</v>
      </c>
      <c r="AA323" s="50" t="str">
        <f>IF(AA140=-1,"x",IF(OR(AA238=1,AA$195=1,$CY140=1),AA140,0))</f>
        <v>x</v>
      </c>
      <c r="AB323" s="51" t="str">
        <f>IF(AB140=-1,"x",IF(OR(AB238=1,AB$195=1,$CZ140=1),AB140,0))</f>
        <v>x</v>
      </c>
      <c r="AC323" s="52" t="str">
        <f>IF(AC140=-1,"x",IF(OR(AC238=1,AC$195=1,$CX140=1),AC140,0))</f>
        <v>x</v>
      </c>
      <c r="AD323" s="50" t="str">
        <f>IF(AD140=-1,"x",IF(OR(AD238=1,AD$195=1,$CY140=1),AD140,0))</f>
        <v>x</v>
      </c>
      <c r="AE323" s="53" t="str">
        <f>IF(AE140=-1,"x",IF(OR(AE238=1,AE$195=1,$CZ140=1),AE140,0))</f>
        <v>x</v>
      </c>
      <c r="AF323" s="49" t="str">
        <f>IF(AF140=-1,"x",IF(OR(AF238=1,AF$195=1,$CX140=1),AF140,0))</f>
        <v>x</v>
      </c>
      <c r="AG323" s="50" t="str">
        <f>IF(AG140=-1,"x",IF(OR(AG238=1,AG$195=1,$CY140=1),AG140,0))</f>
        <v>x</v>
      </c>
      <c r="AH323" s="51" t="str">
        <f>IF(AH140=-1,"x",IF(OR(AH238=1,AH$195=1,$CZ140=1),AH140,0))</f>
        <v>x</v>
      </c>
      <c r="AI323" s="52" t="str">
        <f>IF(AI140=-1,"x",IF(OR(AI238=1,AI$195=1,$CX140=1),AI140,0))</f>
        <v>x</v>
      </c>
      <c r="AJ323" s="50" t="str">
        <f>IF(AJ140=-1,"x",IF(OR(AJ238=1,AJ$195=1,$CY140=1),AJ140,0))</f>
        <v>x</v>
      </c>
      <c r="AK323" s="51" t="str">
        <f>IF(AK140=-1,"x",IF(OR(AK238=1,AK$195=1,$CZ140=1),AK140,0))</f>
        <v>x</v>
      </c>
      <c r="AL323" s="52" t="str">
        <f>IF(AL140=-1,"x",IF(OR(AL238=1,AL$195=1,$CX140=1),AL140,0))</f>
        <v>x</v>
      </c>
      <c r="AM323" s="50" t="str">
        <f>IF(AM140=-1,"x",IF(OR(AM238=1,AM$195=1,$CY140=1),AM140,0))</f>
        <v>x</v>
      </c>
      <c r="AN323" s="105" t="str">
        <f>IF(AN140=-1,"x",IF(OR(AN238=1,AN$195=1,$CZ140=1),AN140,0))</f>
        <v>x</v>
      </c>
      <c r="AO323" s="104" t="str">
        <f>IF(AO140=-1,"x",IF(OR(AO238=1,AO$195=1,$CX140=1),AO140,0))</f>
        <v>x</v>
      </c>
      <c r="AP323" s="50" t="str">
        <f>IF(AP140=-1,"x",IF(OR(AP238=1,AP$195=1,$CY140=1),AP140,0))</f>
        <v>x</v>
      </c>
      <c r="AQ323" s="51" t="str">
        <f>IF(AQ140=-1,"x",IF(OR(AQ238=1,AQ$195=1,$CZ140=1),AQ140,0))</f>
        <v>x</v>
      </c>
      <c r="AR323" s="52">
        <f>IF(AR140=-1,"x",IF(OR(AR238=1,AR$195=1,$CX140=1),AR140,0))</f>
        <v>0</v>
      </c>
      <c r="AS323" s="50">
        <f>IF(AS140=-1,"x",IF(OR(AS238=1,AS$195=1,$CY140=1),AS140,0))</f>
        <v>0</v>
      </c>
      <c r="AT323" s="51">
        <f>IF(AT140=-1,"x",IF(OR(AT238=1,AT$195=1,$CZ140=1),AT140,0))</f>
        <v>0</v>
      </c>
      <c r="AU323" s="52" t="str">
        <f>IF(AU140=-1,"x",IF(OR(AU238=1,AU$195=1,$CX140=1),AU140,0))</f>
        <v>x</v>
      </c>
      <c r="AV323" s="50" t="str">
        <f>IF(AV140=-1,"x",IF(OR(AV238=1,AV$195=1,$CY140=1),AV140,0))</f>
        <v>x</v>
      </c>
      <c r="AW323" s="53" t="str">
        <f>IF(AW140=-1,"x",IF(OR(AW238=1,AW$195=1,$CZ140=1),AW140,0))</f>
        <v>x</v>
      </c>
      <c r="AX323" s="49">
        <f>IF(AX140=-1,"x",IF(OR(AX238=1,AX$195=1,$CX140=1),AX140,0))</f>
        <v>0</v>
      </c>
      <c r="AY323" s="50">
        <f>IF(AY140=-1,"x",IF(OR(AY238=1,AY$195=1,$CY140=1),AY140,0))</f>
        <v>0</v>
      </c>
      <c r="AZ323" s="51">
        <f>IF(AZ140=-1,"x",IF(OR(AZ238=1,AZ$195=1,$CZ140=1),AZ140,0))</f>
        <v>0</v>
      </c>
      <c r="BA323" s="52">
        <f>IF(BA140=-1,"x",IF(OR(BA238=1,BA$195=1,$CX140=1),BA140,0))</f>
        <v>0</v>
      </c>
      <c r="BB323" s="50">
        <f>IF(BB140=-1,"x",IF(OR(BB238=1,BB$195=1,$CY140=1),BB140,0))</f>
        <v>0</v>
      </c>
      <c r="BC323" s="51">
        <f>IF(BC140=-1,"x",IF(OR(BC238=1,BC$195=1,$CZ140=1),BC140,0))</f>
        <v>0</v>
      </c>
      <c r="BD323" s="52" t="str">
        <f>IF(BD140=-1,"x",IF(OR(BD238=1,BD$195=1,$CX140=1),BD140,0))</f>
        <v>x</v>
      </c>
      <c r="BE323" s="50" t="str">
        <f>IF(BE140=-1,"x",IF(OR(BE238=1,BE$195=1,$CY140=1),BE140,0))</f>
        <v>x</v>
      </c>
      <c r="BF323" s="53" t="str">
        <f>IF(BF140=-1,"x",IF(OR(BF238=1,BF$195=1,$CZ140=1),BF140,0))</f>
        <v>x</v>
      </c>
      <c r="BG323" s="49" t="str">
        <f>IF(BG140=-1,"x",IF(OR(BG238=1,BG$195=1,$CX140=1),BG140,0))</f>
        <v>x</v>
      </c>
      <c r="BH323" s="50" t="str">
        <f>IF(BH140=-1,"x",IF(OR(BH238=1,BH$195=1,$CY140=1),BH140,0))</f>
        <v>x</v>
      </c>
      <c r="BI323" s="51" t="str">
        <f>IF(BI140=-1,"x",IF(OR(BI238=1,BI$195=1,$CZ140=1),BI140,0))</f>
        <v>x</v>
      </c>
      <c r="BJ323" s="52" t="str">
        <f>IF(BJ140=-1,"x",IF(OR(BJ238=1,BJ$195=1,$CX140=1),BJ140,0))</f>
        <v>x</v>
      </c>
      <c r="BK323" s="50" t="str">
        <f>IF(BK140=-1,"x",IF(OR(BK238=1,BK$195=1,$CY140=1),BK140,0))</f>
        <v>x</v>
      </c>
      <c r="BL323" s="51" t="str">
        <f>IF(BL140=-1,"x",IF(OR(BL238=1,BL$195=1,$CZ140=1),BL140,0))</f>
        <v>x</v>
      </c>
      <c r="BM323" s="52" t="str">
        <f>IF(BM140=-1,"x",IF(OR(BM238=1,BM$195=1,$CX140=1),BM140,0))</f>
        <v>x</v>
      </c>
      <c r="BN323" s="50" t="str">
        <f>IF(BN140=-1,"x",IF(OR(BN238=1,BN$195=1,$CY140=1),BN140,0))</f>
        <v>x</v>
      </c>
      <c r="BO323" s="105" t="str">
        <f>IF(BO140=-1,"x",IF(OR(BO238=1,BO$195=1,$CZ140=1),BO140,0))</f>
        <v>x</v>
      </c>
      <c r="BP323" s="104" t="str">
        <f>IF(BP140=-1,"x",IF(OR(BP238=1,BP$195=1,$CX140=1),BP140,0))</f>
        <v>x</v>
      </c>
      <c r="BQ323" s="50" t="str">
        <f>IF(BQ140=-1,"x",IF(OR(BQ238=1,BQ$195=1,$CY140=1),BQ140,0))</f>
        <v>x</v>
      </c>
      <c r="BR323" s="51" t="str">
        <f>IF(BR140=-1,"x",IF(OR(BR238=1,BR$195=1,$CZ140=1),BR140,0))</f>
        <v>x</v>
      </c>
      <c r="BS323" s="52" t="str">
        <f>IF(BS140=-1,"x",IF(OR(BS238=1,BS$195=1,$CX140=1),BS140,0))</f>
        <v>x</v>
      </c>
      <c r="BT323" s="50" t="str">
        <f>IF(BT140=-1,"x",IF(OR(BT238=1,BT$195=1,$CY140=1),BT140,0))</f>
        <v>x</v>
      </c>
      <c r="BU323" s="51" t="str">
        <f>IF(BU140=-1,"x",IF(OR(BU238=1,BU$195=1,$CZ140=1),BU140,0))</f>
        <v>x</v>
      </c>
      <c r="BV323" s="52" t="str">
        <f>IF(BV140=-1,"x",IF(OR(BV238=1,BV$195=1,$CX140=1),BV140,0))</f>
        <v>x</v>
      </c>
      <c r="BW323" s="50" t="str">
        <f>IF(BW140=-1,"x",IF(OR(BW238=1,BW$195=1,$CY140=1),BW140,0))</f>
        <v>x</v>
      </c>
      <c r="BX323" s="53" t="str">
        <f>IF(BX140=-1,"x",IF(OR(BX238=1,BX$195=1,$CZ140=1),BX140,0))</f>
        <v>x</v>
      </c>
      <c r="BY323" s="49" t="str">
        <f>IF(BY140=-1,"x",IF(OR(BY238=1,BY$195=1,$CX140=1),BY140,0))</f>
        <v>x</v>
      </c>
      <c r="BZ323" s="50" t="str">
        <f>IF(BZ140=-1,"x",IF(OR(BZ238=1,BZ$195=1,$CY140=1),BZ140,0))</f>
        <v>x</v>
      </c>
      <c r="CA323" s="51" t="str">
        <f>IF(CA140=-1,"x",IF(OR(CA238=1,CA$195=1,$CZ140=1),CA140,0))</f>
        <v>x</v>
      </c>
      <c r="CB323" s="52" t="str">
        <f>IF(CB140=-1,"x",IF(OR(CB238=1,CB$195=1,$CX140=1),CB140,0))</f>
        <v>x</v>
      </c>
      <c r="CC323" s="50" t="str">
        <f>IF(CC140=-1,"x",IF(OR(CC238=1,CC$195=1,$CY140=1),CC140,0))</f>
        <v>x</v>
      </c>
      <c r="CD323" s="51" t="str">
        <f>IF(CD140=-1,"x",IF(OR(CD238=1,CD$195=1,$CZ140=1),CD140,0))</f>
        <v>x</v>
      </c>
      <c r="CE323" s="52" t="str">
        <f>IF(CE140=-1,"x",IF(OR(CE238=1,CE$195=1,$CX140=1),CE140,0))</f>
        <v>x</v>
      </c>
      <c r="CF323" s="50" t="str">
        <f>IF(CF140=-1,"x",IF(OR(CF238=1,CF$195=1,$CY140=1),CF140,0))</f>
        <v>x</v>
      </c>
      <c r="CG323" s="53" t="str">
        <f>IF(CG140=-1,"x",IF(OR(CG238=1,CG$195=1,$CZ140=1),CG140,0))</f>
        <v>x</v>
      </c>
      <c r="CH323" s="49">
        <f>IF(CH140=-1,"x",IF(OR(CH238=1,CH$195=1,$CX140=1),CH140,0))</f>
        <v>0</v>
      </c>
      <c r="CI323" s="50">
        <f>IF(CI140=-1,"x",IF(OR(CI238=1,CI$195=1,$CY140=1),CI140,0))</f>
        <v>0</v>
      </c>
      <c r="CJ323" s="51">
        <f>IF(CJ140=-1,"x",IF(OR(CJ238=1,CJ$195=1,$CZ140=1),CJ140,0))</f>
        <v>0</v>
      </c>
      <c r="CK323" s="52" t="str">
        <f>IF(CK140=-1,"x",IF(OR(CK238=1,CK$195=1,$CX140=1),CK140,0))</f>
        <v>x</v>
      </c>
      <c r="CL323" s="50" t="str">
        <f>IF(CL140=-1,"x",IF(OR(CL238=1,CL$195=1,$CY140=1),CL140,0))</f>
        <v>x</v>
      </c>
      <c r="CM323" s="51" t="str">
        <f>IF(CM140=-1,"x",IF(OR(CM238=1,CM$195=1,$CZ140=1),CM140,0))</f>
        <v>x</v>
      </c>
      <c r="CN323" s="52" t="str">
        <f>IF(CN140=-1,"x",IF(OR(CN238=1,CN$195=1,$CX140=1),CN140,0))</f>
        <v>x</v>
      </c>
      <c r="CO323" s="50" t="str">
        <f>IF(CO140=-1,"x",IF(OR(CO238=1,CO$195=1,$CY140=1),CO140,0))</f>
        <v>x</v>
      </c>
      <c r="CP323" s="105" t="str">
        <f>IF(CP140=-1,"x",IF(OR(CP238=1,CP$195=1,$CZ140=1),CP140,0))</f>
        <v>x</v>
      </c>
      <c r="DJ323" s="84">
        <f>IF(DJ140=-1,"x",IF(OR(DJ238=1,DJ$228=1,$GT140=1),DJ140,0))</f>
        <v>0</v>
      </c>
      <c r="DK323" s="85">
        <f>IF(DK140=-1,"x",IF(OR(DK238=1,DK$228=1,$GU140=1),DK140,0))</f>
        <v>0</v>
      </c>
      <c r="DL323" s="85">
        <f>IF(DL140=-1,"x",IF(OR(DL238=1,DL$228=1,$GV140=1),DL140,0))</f>
        <v>0</v>
      </c>
      <c r="DM323" s="86">
        <f>IF(DM140=-1,"x",IF(OR(DM238=1,DM$228=1,$GT140=1),DM140,0))</f>
        <v>0</v>
      </c>
      <c r="DN323" s="85">
        <f>IF(DN140=-1,"x",IF(OR(DN238=1,DN$228=1,$GU140=1),DN140,0))</f>
        <v>0</v>
      </c>
      <c r="DO323" s="87">
        <f>IF(DO140=-1,"x",IF(OR(DO238=1,DO$228=1,$GV140=1),DO140,0))</f>
        <v>0</v>
      </c>
      <c r="DP323" s="86">
        <f>IF(DP140=-1,"x",IF(OR(DP238=1,DP$228=1,$GT140=1),DP140,0))</f>
        <v>0</v>
      </c>
      <c r="DQ323" s="85">
        <f>IF(DQ140=-1,"x",IF(OR(DQ238=1,DQ$228=1,$GU140=1),DQ140,0))</f>
        <v>0</v>
      </c>
      <c r="DR323" s="88">
        <f>IF(DR140=-1,"x",IF(OR(DR238=1,DR$228=1,$GV140=1),DR140,0))</f>
        <v>0</v>
      </c>
      <c r="DS323" s="89" t="str">
        <f>IF(DS140=-1,"x",IF(OR(DS238=1,DS$228=1,$GT140=1),DS140,0))</f>
        <v>x</v>
      </c>
      <c r="DT323" s="85" t="str">
        <f>IF(DT140=-1,"x",IF(OR(DT238=1,DT$228=1,$GU140=1),DT140,0))</f>
        <v>x</v>
      </c>
      <c r="DU323" s="87" t="str">
        <f>IF(DU140=-1,"x",IF(OR(DU238=1,DU$228=1,$GV140=1),DU140,0))</f>
        <v>x</v>
      </c>
      <c r="DV323" s="86" t="str">
        <f>IF(DV140=-1,"x",IF(OR(DV238=1,DV$228=1,$GT140=1),DV140,0))</f>
        <v>x</v>
      </c>
      <c r="DW323" s="85" t="str">
        <f>IF(DW140=-1,"x",IF(OR(DW238=1,DW$228=1,$GU140=1),DW140,0))</f>
        <v>x</v>
      </c>
      <c r="DX323" s="87" t="str">
        <f>IF(DX140=-1,"x",IF(OR(DX238=1,DX$228=1,$GV140=1),DX140,0))</f>
        <v>x</v>
      </c>
      <c r="DY323" s="86" t="str">
        <f>IF(DY140=-1,"x",IF(OR(DY238=1,DY$228=1,$GT140=1),DY140,0))</f>
        <v>x</v>
      </c>
      <c r="DZ323" s="85" t="str">
        <f>IF(DZ140=-1,"x",IF(OR(DZ238=1,DZ$228=1,$GU140=1),DZ140,0))</f>
        <v>x</v>
      </c>
      <c r="EA323" s="88" t="str">
        <f>IF(EA140=-1,"x",IF(OR(EA238=1,EA$228=1,$GV140=1),EA140,0))</f>
        <v>x</v>
      </c>
      <c r="EB323" s="89" t="str">
        <f>IF(EB140=-1,"x",IF(OR(EB238=1,EB$228=1,$GT140=1),EB140,0))</f>
        <v>x</v>
      </c>
      <c r="EC323" s="85" t="str">
        <f>IF(EC140=-1,"x",IF(OR(EC238=1,EC$228=1,$GU140=1),EC140,0))</f>
        <v>x</v>
      </c>
      <c r="ED323" s="87" t="str">
        <f>IF(ED140=-1,"x",IF(OR(ED238=1,ED$228=1,$GV140=1),ED140,0))</f>
        <v>x</v>
      </c>
      <c r="EE323" s="86" t="str">
        <f>IF(EE140=-1,"x",IF(OR(EE238=1,EE$228=1,$GT140=1),EE140,0))</f>
        <v>x</v>
      </c>
      <c r="EF323" s="85" t="str">
        <f>IF(EF140=-1,"x",IF(OR(EF238=1,EF$228=1,$GU140=1),EF140,0))</f>
        <v>x</v>
      </c>
      <c r="EG323" s="87" t="str">
        <f>IF(EG140=-1,"x",IF(OR(EG238=1,EG$228=1,$GV140=1),EG140,0))</f>
        <v>x</v>
      </c>
      <c r="EH323" s="86" t="str">
        <f>IF(EH140=-1,"x",IF(OR(EH238=1,EH$228=1,$GT140=1),EH140,0))</f>
        <v>x</v>
      </c>
      <c r="EI323" s="85" t="str">
        <f>IF(EI140=-1,"x",IF(OR(EI238=1,EI$228=1,$GU140=1),EI140,0))</f>
        <v>x</v>
      </c>
      <c r="EJ323" s="90" t="str">
        <f>IF(EJ140=-1,"x",IF(OR(EJ238=1,EJ$228=1,$GV140=1),EJ140,0))</f>
        <v>x</v>
      </c>
      <c r="EK323" s="84" t="str">
        <f>IF(EK140=-1,"x",IF(OR(EK238=1,EK$228=1,$GT140=1),EK140,0))</f>
        <v>x</v>
      </c>
      <c r="EL323" s="85" t="str">
        <f>IF(EL140=-1,"x",IF(OR(EL238=1,EL$228=1,$GU140=1),EL140,0))</f>
        <v>x</v>
      </c>
      <c r="EM323" s="87" t="str">
        <f>IF(EM140=-1,"x",IF(OR(EM238=1,EM$228=1,$GV140=1),EM140,0))</f>
        <v>x</v>
      </c>
      <c r="EN323" s="86" t="str">
        <f>IF(EN140=-1,"x",IF(OR(EN238=1,EN$228=1,$GT140=1),EN140,0))</f>
        <v>x</v>
      </c>
      <c r="EO323" s="85" t="str">
        <f>IF(EO140=-1,"x",IF(OR(EO238=1,EO$228=1,$GU140=1),EO140,0))</f>
        <v>x</v>
      </c>
      <c r="EP323" s="87" t="str">
        <f>IF(EP140=-1,"x",IF(OR(EP238=1,EP$228=1,$GV140=1),EP140,0))</f>
        <v>x</v>
      </c>
      <c r="EQ323" s="86" t="str">
        <f>IF(EQ140=-1,"x",IF(OR(EQ238=1,EQ$228=1,$GT140=1),EQ140,0))</f>
        <v>x</v>
      </c>
      <c r="ER323" s="85" t="str">
        <f>IF(ER140=-1,"x",IF(OR(ER238=1,ER$228=1,$GU140=1),ER140,0))</f>
        <v>x</v>
      </c>
      <c r="ES323" s="88" t="str">
        <f>IF(ES140=-1,"x",IF(OR(ES238=1,ES$228=1,$GV140=1),ES140,0))</f>
        <v>x</v>
      </c>
      <c r="ET323" s="89">
        <f>IF(ET140=-1,"x",IF(OR(ET238=1,ET$228=1,$GT140=1),ET140,0))</f>
        <v>0</v>
      </c>
      <c r="EU323" s="85">
        <f>IF(EU140=-1,"x",IF(OR(EU238=1,EU$228=1,$GU140=1),EU140,0))</f>
        <v>0</v>
      </c>
      <c r="EV323" s="87">
        <f>IF(EV140=-1,"x",IF(OR(EV238=1,EV$228=1,$GV140=1),EV140,0))</f>
        <v>0</v>
      </c>
      <c r="EW323" s="86">
        <f>IF(EW140=-1,"x",IF(OR(EW238=1,EW$228=1,$GT140=1),EW140,0))</f>
        <v>0</v>
      </c>
      <c r="EX323" s="85">
        <f>IF(EX140=-1,"x",IF(OR(EX238=1,EX$228=1,$GU140=1),EX140,0))</f>
        <v>0</v>
      </c>
      <c r="EY323" s="87">
        <f>IF(EY140=-1,"x",IF(OR(EY238=1,EY$228=1,$GV140=1),EY140,0))</f>
        <v>0</v>
      </c>
      <c r="EZ323" s="86">
        <f>IF(EZ140=-1,"x",IF(OR(EZ238=1,EZ$228=1,$GT140=1),EZ140,0))</f>
        <v>0</v>
      </c>
      <c r="FA323" s="85">
        <f>IF(FA140=-1,"x",IF(OR(FA238=1,FA$228=1,$GU140=1),FA140,0))</f>
        <v>0</v>
      </c>
      <c r="FB323" s="88">
        <f>IF(FB140=-1,"x",IF(OR(FB238=1,FB$228=1,$GV140=1),FB140,0))</f>
        <v>0</v>
      </c>
      <c r="FC323" s="89" t="str">
        <f>IF(FC140=-1,"x",IF(OR(FC238=1,FC$228=1,$GT140=1),FC140,0))</f>
        <v>x</v>
      </c>
      <c r="FD323" s="85" t="str">
        <f>IF(FD140=-1,"x",IF(OR(FD238=1,FD$228=1,$GU140=1),FD140,0))</f>
        <v>x</v>
      </c>
      <c r="FE323" s="87" t="str">
        <f>IF(FE140=-1,"x",IF(OR(FE238=1,FE$228=1,$GV140=1),FE140,0))</f>
        <v>x</v>
      </c>
      <c r="FF323" s="86" t="str">
        <f>IF(FF140=-1,"x",IF(OR(FF238=1,FF$228=1,$GT140=1),FF140,0))</f>
        <v>x</v>
      </c>
      <c r="FG323" s="85" t="str">
        <f>IF(FG140=-1,"x",IF(OR(FG238=1,FG$228=1,$GU140=1),FG140,0))</f>
        <v>x</v>
      </c>
      <c r="FH323" s="87" t="str">
        <f>IF(FH140=-1,"x",IF(OR(FH238=1,FH$228=1,$GV140=1),FH140,0))</f>
        <v>x</v>
      </c>
      <c r="FI323" s="86" t="str">
        <f>IF(FI140=-1,"x",IF(OR(FI238=1,FI$228=1,$GT140=1),FI140,0))</f>
        <v>x</v>
      </c>
      <c r="FJ323" s="85" t="str">
        <f>IF(FJ140=-1,"x",IF(OR(FJ238=1,FJ$228=1,$GU140=1),FJ140,0))</f>
        <v>x</v>
      </c>
      <c r="FK323" s="90" t="str">
        <f>IF(FK140=-1,"x",IF(OR(FK238=1,FK$228=1,$GV140=1),FK140,0))</f>
        <v>x</v>
      </c>
      <c r="FL323" s="84" t="str">
        <f>IF(FL140=-1,"x",IF(OR(FL238=1,FL$228=1,$GT140=1),FL140,0))</f>
        <v>x</v>
      </c>
      <c r="FM323" s="85" t="str">
        <f>IF(FM140=-1,"x",IF(OR(FM238=1,FM$228=1,$GU140=1),FM140,0))</f>
        <v>x</v>
      </c>
      <c r="FN323" s="87" t="str">
        <f>IF(FN140=-1,"x",IF(OR(FN238=1,FN$228=1,$GV140=1),FN140,0))</f>
        <v>x</v>
      </c>
      <c r="FO323" s="86" t="str">
        <f>IF(FO140=-1,"x",IF(OR(FO238=1,FO$228=1,$GT140=1),FO140,0))</f>
        <v>x</v>
      </c>
      <c r="FP323" s="85" t="str">
        <f>IF(FP140=-1,"x",IF(OR(FP238=1,FP$228=1,$GU140=1),FP140,0))</f>
        <v>x</v>
      </c>
      <c r="FQ323" s="87" t="str">
        <f>IF(FQ140=-1,"x",IF(OR(FQ238=1,FQ$228=1,$GV140=1),FQ140,0))</f>
        <v>x</v>
      </c>
      <c r="FR323" s="86" t="str">
        <f>IF(FR140=-1,"x",IF(OR(FR238=1,FR$228=1,$GT140=1),FR140,0))</f>
        <v>x</v>
      </c>
      <c r="FS323" s="85" t="str">
        <f>IF(FS140=-1,"x",IF(OR(FS238=1,FS$228=1,$GU140=1),FS140,0))</f>
        <v>x</v>
      </c>
      <c r="FT323" s="88" t="str">
        <f>IF(FT140=-1,"x",IF(OR(FT238=1,FT$228=1,$GV140=1),FT140,0))</f>
        <v>x</v>
      </c>
      <c r="FU323" s="89" t="str">
        <f>IF(FU140=-1,"x",IF(OR(FU238=1,FU$228=1,$GT140=1),FU140,0))</f>
        <v>x</v>
      </c>
      <c r="FV323" s="85" t="str">
        <f>IF(FV140=-1,"x",IF(OR(FV238=1,FV$228=1,$GU140=1),FV140,0))</f>
        <v>x</v>
      </c>
      <c r="FW323" s="87" t="str">
        <f>IF(FW140=-1,"x",IF(OR(FW238=1,FW$228=1,$GV140=1),FW140,0))</f>
        <v>x</v>
      </c>
      <c r="FX323" s="86" t="str">
        <f>IF(FX140=-1,"x",IF(OR(FX238=1,FX$228=1,$GT140=1),FX140,0))</f>
        <v>x</v>
      </c>
      <c r="FY323" s="85" t="str">
        <f>IF(FY140=-1,"x",IF(OR(FY238=1,FY$228=1,$GU140=1),FY140,0))</f>
        <v>x</v>
      </c>
      <c r="FZ323" s="87" t="str">
        <f>IF(FZ140=-1,"x",IF(OR(FZ238=1,FZ$228=1,$GV140=1),FZ140,0))</f>
        <v>x</v>
      </c>
      <c r="GA323" s="86" t="str">
        <f>IF(GA140=-1,"x",IF(OR(GA238=1,GA$228=1,$GT140=1),GA140,0))</f>
        <v>x</v>
      </c>
      <c r="GB323" s="85" t="str">
        <f>IF(GB140=-1,"x",IF(OR(GB238=1,GB$228=1,$GU140=1),GB140,0))</f>
        <v>x</v>
      </c>
      <c r="GC323" s="88" t="str">
        <f>IF(GC140=-1,"x",IF(OR(GC238=1,GC$228=1,$GV140=1),GC140,0))</f>
        <v>x</v>
      </c>
      <c r="GD323" s="89" t="str">
        <f>IF(GD140=-1,"x",IF(OR(GD238=1,GD$228=1,$GT140=1),GD140,0))</f>
        <v>x</v>
      </c>
      <c r="GE323" s="85" t="str">
        <f>IF(GE140=-1,"x",IF(OR(GE238=1,GE$228=1,$GU140=1),GE140,0))</f>
        <v>x</v>
      </c>
      <c r="GF323" s="87" t="str">
        <f>IF(GF140=-1,"x",IF(OR(GF238=1,GF$228=1,$GV140=1),GF140,0))</f>
        <v>x</v>
      </c>
      <c r="GG323" s="86">
        <f>IF(GG140=-1,"x",IF(OR(GG238=1,GG$228=1,$GT140=1),GG140,0))</f>
        <v>0</v>
      </c>
      <c r="GH323" s="85">
        <f>IF(GH140=-1,"x",IF(OR(GH238=1,GH$228=1,$GU140=1),GH140,0))</f>
        <v>0</v>
      </c>
      <c r="GI323" s="87">
        <f>IF(GI140=-1,"x",IF(OR(GI238=1,GI$228=1,$GV140=1),GI140,0))</f>
        <v>0</v>
      </c>
      <c r="GJ323" s="86" t="str">
        <f>IF(GJ140=-1,"x",IF(OR(GJ238=1,GJ$228=1,$GT140=1),GJ140,0))</f>
        <v>x</v>
      </c>
      <c r="GK323" s="85" t="str">
        <f>IF(GK140=-1,"x",IF(OR(GK238=1,GK$228=1,$GU140=1),GK140,0))</f>
        <v>x</v>
      </c>
      <c r="GL323" s="90" t="str">
        <f>IF(GL140=-1,"x",IF(OR(GL238=1,GL$228=1,$GV140=1),GL140,0))</f>
        <v>x</v>
      </c>
    </row>
    <row r="324" spans="14:194" ht="15" customHeight="1">
      <c r="N324" s="94" t="str">
        <f>IF(N141=-1,"x",IF(OR(N239=1,N$196=1,$CX141=1),N141,0))</f>
        <v>x</v>
      </c>
      <c r="O324" s="39" t="str">
        <f>IF(O141=-1,"x",IF(OR(O239=1,O$196=1,$CY141=1),O141,0))</f>
        <v>x</v>
      </c>
      <c r="P324" s="41" t="str">
        <f>IF(P141=-1,"x",IF(OR(P239=1,P$196=1,$CZ141=1),P141,0))</f>
        <v>x</v>
      </c>
      <c r="Q324" s="40" t="str">
        <f>IF(Q141=-1,"x",IF(OR(Q239=1,Q$196=1,$CX141=1),Q141,0))</f>
        <v>x</v>
      </c>
      <c r="R324" s="39" t="str">
        <f>IF(R141=-1,"x",IF(OR(R239=1,R$196=1,$CY141=1),R141,0))</f>
        <v>x</v>
      </c>
      <c r="S324" s="41" t="str">
        <f>IF(S141=-1,"x",IF(OR(S239=1,S$196=1,$CZ141=1),S141,0))</f>
        <v>x</v>
      </c>
      <c r="T324" s="40" t="str">
        <f>IF(T141=-1,"x",IF(OR(T239=1,T$196=1,$CX141=1),T141,0))</f>
        <v>x</v>
      </c>
      <c r="U324" s="39" t="str">
        <f>IF(U141=-1,"x",IF(OR(U239=1,U$196=1,$CY141=1),U141,0))</f>
        <v>x</v>
      </c>
      <c r="V324" s="42" t="str">
        <f>IF(V141=-1,"x",IF(OR(V239=1,V$196=1,$CZ141=1),V141,0))</f>
        <v>x</v>
      </c>
      <c r="W324" s="43" t="str">
        <f>IF(W141=-1,"x",IF(OR(W239=1,W$196=1,$CX141=1),W141,0))</f>
        <v>x</v>
      </c>
      <c r="X324" s="39" t="str">
        <f>IF(X141=-1,"x",IF(OR(X239=1,X$196=1,$CY141=1),X141,0))</f>
        <v>x</v>
      </c>
      <c r="Y324" s="41" t="str">
        <f>IF(Y141=-1,"x",IF(OR(Y239=1,Y$196=1,$CZ141=1),Y141,0))</f>
        <v>x</v>
      </c>
      <c r="Z324" s="40" t="str">
        <f>IF(Z141=-1,"x",IF(OR(Z239=1,Z$196=1,$CX141=1),Z141,0))</f>
        <v>x</v>
      </c>
      <c r="AA324" s="39" t="str">
        <f>IF(AA141=-1,"x",IF(OR(AA239=1,AA$196=1,$CY141=1),AA141,0))</f>
        <v>x</v>
      </c>
      <c r="AB324" s="41" t="str">
        <f>IF(AB141=-1,"x",IF(OR(AB239=1,AB$196=1,$CZ141=1),AB141,0))</f>
        <v>x</v>
      </c>
      <c r="AC324" s="40" t="str">
        <f>IF(AC141=-1,"x",IF(OR(AC239=1,AC$196=1,$CX141=1),AC141,0))</f>
        <v>x</v>
      </c>
      <c r="AD324" s="39" t="str">
        <f>IF(AD141=-1,"x",IF(OR(AD239=1,AD$196=1,$CY141=1),AD141,0))</f>
        <v>x</v>
      </c>
      <c r="AE324" s="42" t="str">
        <f>IF(AE141=-1,"x",IF(OR(AE239=1,AE$196=1,$CZ141=1),AE141,0))</f>
        <v>x</v>
      </c>
      <c r="AF324" s="43" t="str">
        <f>IF(AF141=-1,"x",IF(OR(AF239=1,AF$196=1,$CX141=1),AF141,0))</f>
        <v>x</v>
      </c>
      <c r="AG324" s="39" t="str">
        <f>IF(AG141=-1,"x",IF(OR(AG239=1,AG$196=1,$CY141=1),AG141,0))</f>
        <v>x</v>
      </c>
      <c r="AH324" s="41" t="str">
        <f>IF(AH141=-1,"x",IF(OR(AH239=1,AH$196=1,$CZ141=1),AH141,0))</f>
        <v>x</v>
      </c>
      <c r="AI324" s="40" t="str">
        <f>IF(AI141=-1,"x",IF(OR(AI239=1,AI$196=1,$CX141=1),AI141,0))</f>
        <v>x</v>
      </c>
      <c r="AJ324" s="39" t="str">
        <f>IF(AJ141=-1,"x",IF(OR(AJ239=1,AJ$196=1,$CY141=1),AJ141,0))</f>
        <v>x</v>
      </c>
      <c r="AK324" s="41" t="str">
        <f>IF(AK141=-1,"x",IF(OR(AK239=1,AK$196=1,$CZ141=1),AK141,0))</f>
        <v>x</v>
      </c>
      <c r="AL324" s="40" t="str">
        <f>IF(AL141=-1,"x",IF(OR(AL239=1,AL$196=1,$CX141=1),AL141,0))</f>
        <v>x</v>
      </c>
      <c r="AM324" s="39" t="str">
        <f>IF(AM141=-1,"x",IF(OR(AM239=1,AM$196=1,$CY141=1),AM141,0))</f>
        <v>x</v>
      </c>
      <c r="AN324" s="95" t="str">
        <f>IF(AN141=-1,"x",IF(OR(AN239=1,AN$196=1,$CZ141=1),AN141,0))</f>
        <v>x</v>
      </c>
      <c r="AO324" s="94" t="str">
        <f>IF(AO141=-1,"x",IF(OR(AO239=1,AO$196=1,$CX141=1),AO141,0))</f>
        <v>x</v>
      </c>
      <c r="AP324" s="39" t="str">
        <f>IF(AP141=-1,"x",IF(OR(AP239=1,AP$196=1,$CY141=1),AP141,0))</f>
        <v>x</v>
      </c>
      <c r="AQ324" s="41" t="str">
        <f>IF(AQ141=-1,"x",IF(OR(AQ239=1,AQ$196=1,$CZ141=1),AQ141,0))</f>
        <v>x</v>
      </c>
      <c r="AR324" s="40">
        <f>IF(AR141=-1,"x",IF(OR(AR239=1,AR$196=1,$CX141=1),AR141,0))</f>
        <v>0</v>
      </c>
      <c r="AS324" s="39">
        <f>IF(AS141=-1,"x",IF(OR(AS239=1,AS$196=1,$CY141=1),AS141,0))</f>
        <v>0</v>
      </c>
      <c r="AT324" s="41">
        <f>IF(AT141=-1,"x",IF(OR(AT239=1,AT$196=1,$CZ141=1),AT141,0))</f>
        <v>0</v>
      </c>
      <c r="AU324" s="40" t="str">
        <f>IF(AU141=-1,"x",IF(OR(AU239=1,AU$196=1,$CX141=1),AU141,0))</f>
        <v>x</v>
      </c>
      <c r="AV324" s="39" t="str">
        <f>IF(AV141=-1,"x",IF(OR(AV239=1,AV$196=1,$CY141=1),AV141,0))</f>
        <v>x</v>
      </c>
      <c r="AW324" s="42" t="str">
        <f>IF(AW141=-1,"x",IF(OR(AW239=1,AW$196=1,$CZ141=1),AW141,0))</f>
        <v>x</v>
      </c>
      <c r="AX324" s="43">
        <f>IF(AX141=-1,"x",IF(OR(AX239=1,AX$196=1,$CX141=1),AX141,0))</f>
        <v>0</v>
      </c>
      <c r="AY324" s="39">
        <f>IF(AY141=-1,"x",IF(OR(AY239=1,AY$196=1,$CY141=1),AY141,0))</f>
        <v>0</v>
      </c>
      <c r="AZ324" s="41">
        <f>IF(AZ141=-1,"x",IF(OR(AZ239=1,AZ$196=1,$CZ141=1),AZ141,0))</f>
        <v>0</v>
      </c>
      <c r="BA324" s="40">
        <f>IF(BA141=-1,"x",IF(OR(BA239=1,BA$196=1,$CX141=1),BA141,0))</f>
        <v>0</v>
      </c>
      <c r="BB324" s="39">
        <f>IF(BB141=-1,"x",IF(OR(BB239=1,BB$196=1,$CY141=1),BB141,0))</f>
        <v>0</v>
      </c>
      <c r="BC324" s="41">
        <f>IF(BC141=-1,"x",IF(OR(BC239=1,BC$196=1,$CZ141=1),BC141,0))</f>
        <v>0</v>
      </c>
      <c r="BD324" s="40" t="str">
        <f>IF(BD141=-1,"x",IF(OR(BD239=1,BD$196=1,$CX141=1),BD141,0))</f>
        <v>x</v>
      </c>
      <c r="BE324" s="39" t="str">
        <f>IF(BE141=-1,"x",IF(OR(BE239=1,BE$196=1,$CY141=1),BE141,0))</f>
        <v>x</v>
      </c>
      <c r="BF324" s="42" t="str">
        <f>IF(BF141=-1,"x",IF(OR(BF239=1,BF$196=1,$CZ141=1),BF141,0))</f>
        <v>x</v>
      </c>
      <c r="BG324" s="43" t="str">
        <f>IF(BG141=-1,"x",IF(OR(BG239=1,BG$196=1,$CX141=1),BG141,0))</f>
        <v>x</v>
      </c>
      <c r="BH324" s="39" t="str">
        <f>IF(BH141=-1,"x",IF(OR(BH239=1,BH$196=1,$CY141=1),BH141,0))</f>
        <v>x</v>
      </c>
      <c r="BI324" s="41" t="str">
        <f>IF(BI141=-1,"x",IF(OR(BI239=1,BI$196=1,$CZ141=1),BI141,0))</f>
        <v>x</v>
      </c>
      <c r="BJ324" s="40" t="str">
        <f>IF(BJ141=-1,"x",IF(OR(BJ239=1,BJ$196=1,$CX141=1),BJ141,0))</f>
        <v>x</v>
      </c>
      <c r="BK324" s="39" t="str">
        <f>IF(BK141=-1,"x",IF(OR(BK239=1,BK$196=1,$CY141=1),BK141,0))</f>
        <v>x</v>
      </c>
      <c r="BL324" s="41" t="str">
        <f>IF(BL141=-1,"x",IF(OR(BL239=1,BL$196=1,$CZ141=1),BL141,0))</f>
        <v>x</v>
      </c>
      <c r="BM324" s="40" t="str">
        <f>IF(BM141=-1,"x",IF(OR(BM239=1,BM$196=1,$CX141=1),BM141,0))</f>
        <v>x</v>
      </c>
      <c r="BN324" s="39" t="str">
        <f>IF(BN141=-1,"x",IF(OR(BN239=1,BN$196=1,$CY141=1),BN141,0))</f>
        <v>x</v>
      </c>
      <c r="BO324" s="95" t="str">
        <f>IF(BO141=-1,"x",IF(OR(BO239=1,BO$196=1,$CZ141=1),BO141,0))</f>
        <v>x</v>
      </c>
      <c r="BP324" s="94" t="str">
        <f>IF(BP141=-1,"x",IF(OR(BP239=1,BP$196=1,$CX141=1),BP141,0))</f>
        <v>x</v>
      </c>
      <c r="BQ324" s="39" t="str">
        <f>IF(BQ141=-1,"x",IF(OR(BQ239=1,BQ$196=1,$CY141=1),BQ141,0))</f>
        <v>x</v>
      </c>
      <c r="BR324" s="41" t="str">
        <f>IF(BR141=-1,"x",IF(OR(BR239=1,BR$196=1,$CZ141=1),BR141,0))</f>
        <v>x</v>
      </c>
      <c r="BS324" s="40" t="str">
        <f>IF(BS141=-1,"x",IF(OR(BS239=1,BS$196=1,$CX141=1),BS141,0))</f>
        <v>x</v>
      </c>
      <c r="BT324" s="39" t="str">
        <f>IF(BT141=-1,"x",IF(OR(BT239=1,BT$196=1,$CY141=1),BT141,0))</f>
        <v>x</v>
      </c>
      <c r="BU324" s="41" t="str">
        <f>IF(BU141=-1,"x",IF(OR(BU239=1,BU$196=1,$CZ141=1),BU141,0))</f>
        <v>x</v>
      </c>
      <c r="BV324" s="40" t="str">
        <f>IF(BV141=-1,"x",IF(OR(BV239=1,BV$196=1,$CX141=1),BV141,0))</f>
        <v>x</v>
      </c>
      <c r="BW324" s="39" t="str">
        <f>IF(BW141=-1,"x",IF(OR(BW239=1,BW$196=1,$CY141=1),BW141,0))</f>
        <v>x</v>
      </c>
      <c r="BX324" s="42" t="str">
        <f>IF(BX141=-1,"x",IF(OR(BX239=1,BX$196=1,$CZ141=1),BX141,0))</f>
        <v>x</v>
      </c>
      <c r="BY324" s="43" t="str">
        <f>IF(BY141=-1,"x",IF(OR(BY239=1,BY$196=1,$CX141=1),BY141,0))</f>
        <v>x</v>
      </c>
      <c r="BZ324" s="39" t="str">
        <f>IF(BZ141=-1,"x",IF(OR(BZ239=1,BZ$196=1,$CY141=1),BZ141,0))</f>
        <v>x</v>
      </c>
      <c r="CA324" s="41" t="str">
        <f>IF(CA141=-1,"x",IF(OR(CA239=1,CA$196=1,$CZ141=1),CA141,0))</f>
        <v>x</v>
      </c>
      <c r="CB324" s="40" t="str">
        <f>IF(CB141=-1,"x",IF(OR(CB239=1,CB$196=1,$CX141=1),CB141,0))</f>
        <v>x</v>
      </c>
      <c r="CC324" s="39" t="str">
        <f>IF(CC141=-1,"x",IF(OR(CC239=1,CC$196=1,$CY141=1),CC141,0))</f>
        <v>x</v>
      </c>
      <c r="CD324" s="41" t="str">
        <f>IF(CD141=-1,"x",IF(OR(CD239=1,CD$196=1,$CZ141=1),CD141,0))</f>
        <v>x</v>
      </c>
      <c r="CE324" s="40" t="str">
        <f>IF(CE141=-1,"x",IF(OR(CE239=1,CE$196=1,$CX141=1),CE141,0))</f>
        <v>x</v>
      </c>
      <c r="CF324" s="39" t="str">
        <f>IF(CF141=-1,"x",IF(OR(CF239=1,CF$196=1,$CY141=1),CF141,0))</f>
        <v>x</v>
      </c>
      <c r="CG324" s="42" t="str">
        <f>IF(CG141=-1,"x",IF(OR(CG239=1,CG$196=1,$CZ141=1),CG141,0))</f>
        <v>x</v>
      </c>
      <c r="CH324" s="43">
        <f>IF(CH141=-1,"x",IF(OR(CH239=1,CH$196=1,$CX141=1),CH141,0))</f>
        <v>0</v>
      </c>
      <c r="CI324" s="39">
        <f>IF(CI141=-1,"x",IF(OR(CI239=1,CI$196=1,$CY141=1),CI141,0))</f>
        <v>0</v>
      </c>
      <c r="CJ324" s="41">
        <f>IF(CJ141=-1,"x",IF(OR(CJ239=1,CJ$196=1,$CZ141=1),CJ141,0))</f>
        <v>0</v>
      </c>
      <c r="CK324" s="40" t="str">
        <f>IF(CK141=-1,"x",IF(OR(CK239=1,CK$196=1,$CX141=1),CK141,0))</f>
        <v>x</v>
      </c>
      <c r="CL324" s="39" t="str">
        <f>IF(CL141=-1,"x",IF(OR(CL239=1,CL$196=1,$CY141=1),CL141,0))</f>
        <v>x</v>
      </c>
      <c r="CM324" s="41" t="str">
        <f>IF(CM141=-1,"x",IF(OR(CM239=1,CM$196=1,$CZ141=1),CM141,0))</f>
        <v>x</v>
      </c>
      <c r="CN324" s="40" t="str">
        <f>IF(CN141=-1,"x",IF(OR(CN239=1,CN$196=1,$CX141=1),CN141,0))</f>
        <v>x</v>
      </c>
      <c r="CO324" s="39" t="str">
        <f>IF(CO141=-1,"x",IF(OR(CO239=1,CO$196=1,$CY141=1),CO141,0))</f>
        <v>x</v>
      </c>
      <c r="CP324" s="95" t="str">
        <f>IF(CP141=-1,"x",IF(OR(CP239=1,CP$196=1,$CZ141=1),CP141,0))</f>
        <v>x</v>
      </c>
      <c r="DJ324" s="94">
        <f>IF(DJ141=-1,"x",IF(OR(DJ239=1,DJ$229=1,$GT141=1),DJ141,0))</f>
        <v>0</v>
      </c>
      <c r="DK324" s="39">
        <f>IF(DK141=-1,"x",IF(OR(DK239=1,DK$229=1,$GU141=1),DK141,0))</f>
        <v>0</v>
      </c>
      <c r="DL324" s="41">
        <f>IF(DL141=-1,"x",IF(OR(DL239=1,DL$229=1,$GV141=1),DL141,0))</f>
        <v>0</v>
      </c>
      <c r="DM324" s="40">
        <f>IF(DM141=-1,"x",IF(OR(DM239=1,DM$229=1,$GT141=1),DM141,0))</f>
        <v>0</v>
      </c>
      <c r="DN324" s="39">
        <f>IF(DN141=-1,"x",IF(OR(DN239=1,DN$229=1,$GU141=1),DN141,0))</f>
        <v>0</v>
      </c>
      <c r="DO324" s="41">
        <f>IF(DO141=-1,"x",IF(OR(DO239=1,DO$229=1,$GV141=1),DO141,0))</f>
        <v>0</v>
      </c>
      <c r="DP324" s="40">
        <f>IF(DP141=-1,"x",IF(OR(DP239=1,DP$229=1,$GT141=1),DP141,0))</f>
        <v>0</v>
      </c>
      <c r="DQ324" s="39">
        <f>IF(DQ141=-1,"x",IF(OR(DQ239=1,DQ$229=1,$GU141=1),DQ141,0))</f>
        <v>0</v>
      </c>
      <c r="DR324" s="42">
        <f>IF(DR141=-1,"x",IF(OR(DR239=1,DR$229=1,$GV141=1),DR141,0))</f>
        <v>0</v>
      </c>
      <c r="DS324" s="43" t="str">
        <f>IF(DS141=-1,"x",IF(OR(DS239=1,DS$229=1,$GT141=1),DS141,0))</f>
        <v>x</v>
      </c>
      <c r="DT324" s="39" t="str">
        <f>IF(DT141=-1,"x",IF(OR(DT239=1,DT$229=1,$GU141=1),DT141,0))</f>
        <v>x</v>
      </c>
      <c r="DU324" s="41" t="str">
        <f>IF(DU141=-1,"x",IF(OR(DU239=1,DU$229=1,$GV141=1),DU141,0))</f>
        <v>x</v>
      </c>
      <c r="DV324" s="40" t="str">
        <f>IF(DV141=-1,"x",IF(OR(DV239=1,DV$229=1,$GT141=1),DV141,0))</f>
        <v>x</v>
      </c>
      <c r="DW324" s="39" t="str">
        <f>IF(DW141=-1,"x",IF(OR(DW239=1,DW$229=1,$GU141=1),DW141,0))</f>
        <v>x</v>
      </c>
      <c r="DX324" s="41" t="str">
        <f>IF(DX141=-1,"x",IF(OR(DX239=1,DX$229=1,$GV141=1),DX141,0))</f>
        <v>x</v>
      </c>
      <c r="DY324" s="40" t="str">
        <f>IF(DY141=-1,"x",IF(OR(DY239=1,DY$229=1,$GT141=1),DY141,0))</f>
        <v>x</v>
      </c>
      <c r="DZ324" s="39" t="str">
        <f>IF(DZ141=-1,"x",IF(OR(DZ239=1,DZ$229=1,$GU141=1),DZ141,0))</f>
        <v>x</v>
      </c>
      <c r="EA324" s="42" t="str">
        <f>IF(EA141=-1,"x",IF(OR(EA239=1,EA$229=1,$GV141=1),EA141,0))</f>
        <v>x</v>
      </c>
      <c r="EB324" s="43" t="str">
        <f>IF(EB141=-1,"x",IF(OR(EB239=1,EB$229=1,$GT141=1),EB141,0))</f>
        <v>x</v>
      </c>
      <c r="EC324" s="39" t="str">
        <f>IF(EC141=-1,"x",IF(OR(EC239=1,EC$229=1,$GU141=1),EC141,0))</f>
        <v>x</v>
      </c>
      <c r="ED324" s="41" t="str">
        <f>IF(ED141=-1,"x",IF(OR(ED239=1,ED$229=1,$GV141=1),ED141,0))</f>
        <v>x</v>
      </c>
      <c r="EE324" s="40" t="str">
        <f>IF(EE141=-1,"x",IF(OR(EE239=1,EE$229=1,$GT141=1),EE141,0))</f>
        <v>x</v>
      </c>
      <c r="EF324" s="39" t="str">
        <f>IF(EF141=-1,"x",IF(OR(EF239=1,EF$229=1,$GU141=1),EF141,0))</f>
        <v>x</v>
      </c>
      <c r="EG324" s="41" t="str">
        <f>IF(EG141=-1,"x",IF(OR(EG239=1,EG$229=1,$GV141=1),EG141,0))</f>
        <v>x</v>
      </c>
      <c r="EH324" s="40" t="str">
        <f>IF(EH141=-1,"x",IF(OR(EH239=1,EH$229=1,$GT141=1),EH141,0))</f>
        <v>x</v>
      </c>
      <c r="EI324" s="39" t="str">
        <f>IF(EI141=-1,"x",IF(OR(EI239=1,EI$229=1,$GU141=1),EI141,0))</f>
        <v>x</v>
      </c>
      <c r="EJ324" s="95" t="str">
        <f>IF(EJ141=-1,"x",IF(OR(EJ239=1,EJ$229=1,$GV141=1),EJ141,0))</f>
        <v>x</v>
      </c>
      <c r="EK324" s="94" t="str">
        <f>IF(EK141=-1,"x",IF(OR(EK239=1,EK$229=1,$GT141=1),EK141,0))</f>
        <v>x</v>
      </c>
      <c r="EL324" s="39" t="str">
        <f>IF(EL141=-1,"x",IF(OR(EL239=1,EL$229=1,$GU141=1),EL141,0))</f>
        <v>x</v>
      </c>
      <c r="EM324" s="41" t="str">
        <f>IF(EM141=-1,"x",IF(OR(EM239=1,EM$229=1,$GV141=1),EM141,0))</f>
        <v>x</v>
      </c>
      <c r="EN324" s="40" t="str">
        <f>IF(EN141=-1,"x",IF(OR(EN239=1,EN$229=1,$GT141=1),EN141,0))</f>
        <v>x</v>
      </c>
      <c r="EO324" s="39" t="str">
        <f>IF(EO141=-1,"x",IF(OR(EO239=1,EO$229=1,$GU141=1),EO141,0))</f>
        <v>x</v>
      </c>
      <c r="EP324" s="41" t="str">
        <f>IF(EP141=-1,"x",IF(OR(EP239=1,EP$229=1,$GV141=1),EP141,0))</f>
        <v>x</v>
      </c>
      <c r="EQ324" s="40" t="str">
        <f>IF(EQ141=-1,"x",IF(OR(EQ239=1,EQ$229=1,$GT141=1),EQ141,0))</f>
        <v>x</v>
      </c>
      <c r="ER324" s="39" t="str">
        <f>IF(ER141=-1,"x",IF(OR(ER239=1,ER$229=1,$GU141=1),ER141,0))</f>
        <v>x</v>
      </c>
      <c r="ES324" s="42" t="str">
        <f>IF(ES141=-1,"x",IF(OR(ES239=1,ES$229=1,$GV141=1),ES141,0))</f>
        <v>x</v>
      </c>
      <c r="ET324" s="43">
        <f>IF(ET141=-1,"x",IF(OR(ET239=1,ET$229=1,$GT141=1),ET141,0))</f>
        <v>0</v>
      </c>
      <c r="EU324" s="39">
        <f>IF(EU141=-1,"x",IF(OR(EU239=1,EU$229=1,$GU141=1),EU141,0))</f>
        <v>0</v>
      </c>
      <c r="EV324" s="41">
        <f>IF(EV141=-1,"x",IF(OR(EV239=1,EV$229=1,$GV141=1),EV141,0))</f>
        <v>0</v>
      </c>
      <c r="EW324" s="40">
        <f>IF(EW141=-1,"x",IF(OR(EW239=1,EW$229=1,$GT141=1),EW141,0))</f>
        <v>0</v>
      </c>
      <c r="EX324" s="39">
        <f>IF(EX141=-1,"x",IF(OR(EX239=1,EX$229=1,$GU141=1),EX141,0))</f>
        <v>0</v>
      </c>
      <c r="EY324" s="41">
        <f>IF(EY141=-1,"x",IF(OR(EY239=1,EY$229=1,$GV141=1),EY141,0))</f>
        <v>0</v>
      </c>
      <c r="EZ324" s="40">
        <f>IF(EZ141=-1,"x",IF(OR(EZ239=1,EZ$229=1,$GT141=1),EZ141,0))</f>
        <v>0</v>
      </c>
      <c r="FA324" s="39">
        <f>IF(FA141=-1,"x",IF(OR(FA239=1,FA$229=1,$GU141=1),FA141,0))</f>
        <v>0</v>
      </c>
      <c r="FB324" s="42">
        <f>IF(FB141=-1,"x",IF(OR(FB239=1,FB$229=1,$GV141=1),FB141,0))</f>
        <v>0</v>
      </c>
      <c r="FC324" s="43" t="str">
        <f>IF(FC141=-1,"x",IF(OR(FC239=1,FC$229=1,$GT141=1),FC141,0))</f>
        <v>x</v>
      </c>
      <c r="FD324" s="39" t="str">
        <f>IF(FD141=-1,"x",IF(OR(FD239=1,FD$229=1,$GU141=1),FD141,0))</f>
        <v>x</v>
      </c>
      <c r="FE324" s="41" t="str">
        <f>IF(FE141=-1,"x",IF(OR(FE239=1,FE$229=1,$GV141=1),FE141,0))</f>
        <v>x</v>
      </c>
      <c r="FF324" s="40" t="str">
        <f>IF(FF141=-1,"x",IF(OR(FF239=1,FF$229=1,$GT141=1),FF141,0))</f>
        <v>x</v>
      </c>
      <c r="FG324" s="39" t="str">
        <f>IF(FG141=-1,"x",IF(OR(FG239=1,FG$229=1,$GU141=1),FG141,0))</f>
        <v>x</v>
      </c>
      <c r="FH324" s="41" t="str">
        <f>IF(FH141=-1,"x",IF(OR(FH239=1,FH$229=1,$GV141=1),FH141,0))</f>
        <v>x</v>
      </c>
      <c r="FI324" s="40" t="str">
        <f>IF(FI141=-1,"x",IF(OR(FI239=1,FI$229=1,$GT141=1),FI141,0))</f>
        <v>x</v>
      </c>
      <c r="FJ324" s="39" t="str">
        <f>IF(FJ141=-1,"x",IF(OR(FJ239=1,FJ$229=1,$GU141=1),FJ141,0))</f>
        <v>x</v>
      </c>
      <c r="FK324" s="95" t="str">
        <f>IF(FK141=-1,"x",IF(OR(FK239=1,FK$229=1,$GV141=1),FK141,0))</f>
        <v>x</v>
      </c>
      <c r="FL324" s="94" t="str">
        <f>IF(FL141=-1,"x",IF(OR(FL239=1,FL$229=1,$GT141=1),FL141,0))</f>
        <v>x</v>
      </c>
      <c r="FM324" s="39" t="str">
        <f>IF(FM141=-1,"x",IF(OR(FM239=1,FM$229=1,$GU141=1),FM141,0))</f>
        <v>x</v>
      </c>
      <c r="FN324" s="41" t="str">
        <f>IF(FN141=-1,"x",IF(OR(FN239=1,FN$229=1,$GV141=1),FN141,0))</f>
        <v>x</v>
      </c>
      <c r="FO324" s="40" t="str">
        <f>IF(FO141=-1,"x",IF(OR(FO239=1,FO$229=1,$GT141=1),FO141,0))</f>
        <v>x</v>
      </c>
      <c r="FP324" s="39" t="str">
        <f>IF(FP141=-1,"x",IF(OR(FP239=1,FP$229=1,$GU141=1),FP141,0))</f>
        <v>x</v>
      </c>
      <c r="FQ324" s="41" t="str">
        <f>IF(FQ141=-1,"x",IF(OR(FQ239=1,FQ$229=1,$GV141=1),FQ141,0))</f>
        <v>x</v>
      </c>
      <c r="FR324" s="40" t="str">
        <f>IF(FR141=-1,"x",IF(OR(FR239=1,FR$229=1,$GT141=1),FR141,0))</f>
        <v>x</v>
      </c>
      <c r="FS324" s="39" t="str">
        <f>IF(FS141=-1,"x",IF(OR(FS239=1,FS$229=1,$GU141=1),FS141,0))</f>
        <v>x</v>
      </c>
      <c r="FT324" s="42" t="str">
        <f>IF(FT141=-1,"x",IF(OR(FT239=1,FT$229=1,$GV141=1),FT141,0))</f>
        <v>x</v>
      </c>
      <c r="FU324" s="43" t="str">
        <f>IF(FU141=-1,"x",IF(OR(FU239=1,FU$229=1,$GT141=1),FU141,0))</f>
        <v>x</v>
      </c>
      <c r="FV324" s="39" t="str">
        <f>IF(FV141=-1,"x",IF(OR(FV239=1,FV$229=1,$GU141=1),FV141,0))</f>
        <v>x</v>
      </c>
      <c r="FW324" s="41" t="str">
        <f>IF(FW141=-1,"x",IF(OR(FW239=1,FW$229=1,$GV141=1),FW141,0))</f>
        <v>x</v>
      </c>
      <c r="FX324" s="40" t="str">
        <f>IF(FX141=-1,"x",IF(OR(FX239=1,FX$229=1,$GT141=1),FX141,0))</f>
        <v>x</v>
      </c>
      <c r="FY324" s="39" t="str">
        <f>IF(FY141=-1,"x",IF(OR(FY239=1,FY$229=1,$GU141=1),FY141,0))</f>
        <v>x</v>
      </c>
      <c r="FZ324" s="41" t="str">
        <f>IF(FZ141=-1,"x",IF(OR(FZ239=1,FZ$229=1,$GV141=1),FZ141,0))</f>
        <v>x</v>
      </c>
      <c r="GA324" s="40" t="str">
        <f>IF(GA141=-1,"x",IF(OR(GA239=1,GA$229=1,$GT141=1),GA141,0))</f>
        <v>x</v>
      </c>
      <c r="GB324" s="39" t="str">
        <f>IF(GB141=-1,"x",IF(OR(GB239=1,GB$229=1,$GU141=1),GB141,0))</f>
        <v>x</v>
      </c>
      <c r="GC324" s="42" t="str">
        <f>IF(GC141=-1,"x",IF(OR(GC239=1,GC$229=1,$GV141=1),GC141,0))</f>
        <v>x</v>
      </c>
      <c r="GD324" s="43" t="str">
        <f>IF(GD141=-1,"x",IF(OR(GD239=1,GD$229=1,$GT141=1),GD141,0))</f>
        <v>x</v>
      </c>
      <c r="GE324" s="39" t="str">
        <f>IF(GE141=-1,"x",IF(OR(GE239=1,GE$229=1,$GU141=1),GE141,0))</f>
        <v>x</v>
      </c>
      <c r="GF324" s="41" t="str">
        <f>IF(GF141=-1,"x",IF(OR(GF239=1,GF$229=1,$GV141=1),GF141,0))</f>
        <v>x</v>
      </c>
      <c r="GG324" s="40">
        <f>IF(GG141=-1,"x",IF(OR(GG239=1,GG$229=1,$GT141=1),GG141,0))</f>
        <v>0</v>
      </c>
      <c r="GH324" s="39">
        <f>IF(GH141=-1,"x",IF(OR(GH239=1,GH$229=1,$GU141=1),GH141,0))</f>
        <v>0</v>
      </c>
      <c r="GI324" s="41">
        <f>IF(GI141=-1,"x",IF(OR(GI239=1,GI$229=1,$GV141=1),GI141,0))</f>
        <v>0</v>
      </c>
      <c r="GJ324" s="40" t="str">
        <f>IF(GJ141=-1,"x",IF(OR(GJ239=1,GJ$229=1,$GT141=1),GJ141,0))</f>
        <v>x</v>
      </c>
      <c r="GK324" s="39" t="str">
        <f>IF(GK141=-1,"x",IF(OR(GK239=1,GK$229=1,$GU141=1),GK141,0))</f>
        <v>x</v>
      </c>
      <c r="GL324" s="95" t="str">
        <f>IF(GL141=-1,"x",IF(OR(GL239=1,GL$229=1,$GV141=1),GL141,0))</f>
        <v>x</v>
      </c>
    </row>
    <row r="325" spans="14:194" ht="15" customHeight="1" thickBot="1">
      <c r="N325" s="106" t="str">
        <f>IF(N142=-1,"x",IF(OR(N240=1,N$197=1,$CX142=1),N142,0))</f>
        <v>x</v>
      </c>
      <c r="O325" s="55" t="str">
        <f>IF(O142=-1,"x",IF(OR(O240=1,O$197=1,$CY142=1),O142,0))</f>
        <v>x</v>
      </c>
      <c r="P325" s="56" t="str">
        <f>IF(P142=-1,"x",IF(OR(P240=1,P$197=1,$CZ142=1),P142,0))</f>
        <v>x</v>
      </c>
      <c r="Q325" s="57" t="str">
        <f>IF(Q142=-1,"x",IF(OR(Q240=1,Q$197=1,$CX142=1),Q142,0))</f>
        <v>x</v>
      </c>
      <c r="R325" s="55" t="str">
        <f>IF(R142=-1,"x",IF(OR(R240=1,R$197=1,$CY142=1),R142,0))</f>
        <v>x</v>
      </c>
      <c r="S325" s="56" t="str">
        <f>IF(S142=-1,"x",IF(OR(S240=1,S$197=1,$CZ142=1),S142,0))</f>
        <v>x</v>
      </c>
      <c r="T325" s="57" t="str">
        <f>IF(T142=-1,"x",IF(OR(T240=1,T$197=1,$CX142=1),T142,0))</f>
        <v>x</v>
      </c>
      <c r="U325" s="55" t="str">
        <f>IF(U142=-1,"x",IF(OR(U240=1,U$197=1,$CY142=1),U142,0))</f>
        <v>x</v>
      </c>
      <c r="V325" s="58" t="str">
        <f>IF(V142=-1,"x",IF(OR(V240=1,V$197=1,$CZ142=1),V142,0))</f>
        <v>x</v>
      </c>
      <c r="W325" s="54" t="str">
        <f>IF(W142=-1,"x",IF(OR(W240=1,W$197=1,$CX142=1),W142,0))</f>
        <v>x</v>
      </c>
      <c r="X325" s="55" t="str">
        <f>IF(X142=-1,"x",IF(OR(X240=1,X$197=1,$CY142=1),X142,0))</f>
        <v>x</v>
      </c>
      <c r="Y325" s="56" t="str">
        <f>IF(Y142=-1,"x",IF(OR(Y240=1,Y$197=1,$CZ142=1),Y142,0))</f>
        <v>x</v>
      </c>
      <c r="Z325" s="57" t="str">
        <f>IF(Z142=-1,"x",IF(OR(Z240=1,Z$197=1,$CX142=1),Z142,0))</f>
        <v>x</v>
      </c>
      <c r="AA325" s="55" t="str">
        <f>IF(AA142=-1,"x",IF(OR(AA240=1,AA$197=1,$CY142=1),AA142,0))</f>
        <v>x</v>
      </c>
      <c r="AB325" s="56" t="str">
        <f>IF(AB142=-1,"x",IF(OR(AB240=1,AB$197=1,$CZ142=1),AB142,0))</f>
        <v>x</v>
      </c>
      <c r="AC325" s="57" t="str">
        <f>IF(AC142=-1,"x",IF(OR(AC240=1,AC$197=1,$CX142=1),AC142,0))</f>
        <v>x</v>
      </c>
      <c r="AD325" s="55" t="str">
        <f>IF(AD142=-1,"x",IF(OR(AD240=1,AD$197=1,$CY142=1),AD142,0))</f>
        <v>x</v>
      </c>
      <c r="AE325" s="58" t="str">
        <f>IF(AE142=-1,"x",IF(OR(AE240=1,AE$197=1,$CZ142=1),AE142,0))</f>
        <v>x</v>
      </c>
      <c r="AF325" s="54" t="str">
        <f>IF(AF142=-1,"x",IF(OR(AF240=1,AF$197=1,$CX142=1),AF142,0))</f>
        <v>x</v>
      </c>
      <c r="AG325" s="55" t="str">
        <f>IF(AG142=-1,"x",IF(OR(AG240=1,AG$197=1,$CY142=1),AG142,0))</f>
        <v>x</v>
      </c>
      <c r="AH325" s="56" t="str">
        <f>IF(AH142=-1,"x",IF(OR(AH240=1,AH$197=1,$CZ142=1),AH142,0))</f>
        <v>x</v>
      </c>
      <c r="AI325" s="57" t="str">
        <f>IF(AI142=-1,"x",IF(OR(AI240=1,AI$197=1,$CX142=1),AI142,0))</f>
        <v>x</v>
      </c>
      <c r="AJ325" s="55" t="str">
        <f>IF(AJ142=-1,"x",IF(OR(AJ240=1,AJ$197=1,$CY142=1),AJ142,0))</f>
        <v>x</v>
      </c>
      <c r="AK325" s="56" t="str">
        <f>IF(AK142=-1,"x",IF(OR(AK240=1,AK$197=1,$CZ142=1),AK142,0))</f>
        <v>x</v>
      </c>
      <c r="AL325" s="57" t="str">
        <f>IF(AL142=-1,"x",IF(OR(AL240=1,AL$197=1,$CX142=1),AL142,0))</f>
        <v>x</v>
      </c>
      <c r="AM325" s="55" t="str">
        <f>IF(AM142=-1,"x",IF(OR(AM240=1,AM$197=1,$CY142=1),AM142,0))</f>
        <v>x</v>
      </c>
      <c r="AN325" s="107" t="str">
        <f>IF(AN142=-1,"x",IF(OR(AN240=1,AN$197=1,$CZ142=1),AN142,0))</f>
        <v>x</v>
      </c>
      <c r="AO325" s="106" t="str">
        <f>IF(AO142=-1,"x",IF(OR(AO240=1,AO$197=1,$CX142=1),AO142,0))</f>
        <v>x</v>
      </c>
      <c r="AP325" s="55" t="str">
        <f>IF(AP142=-1,"x",IF(OR(AP240=1,AP$197=1,$CY142=1),AP142,0))</f>
        <v>x</v>
      </c>
      <c r="AQ325" s="56" t="str">
        <f>IF(AQ142=-1,"x",IF(OR(AQ240=1,AQ$197=1,$CZ142=1),AQ142,0))</f>
        <v>x</v>
      </c>
      <c r="AR325" s="57">
        <f>IF(AR142=-1,"x",IF(OR(AR240=1,AR$197=1,$CX142=1),AR142,0))</f>
        <v>0</v>
      </c>
      <c r="AS325" s="55">
        <f>IF(AS142=-1,"x",IF(OR(AS240=1,AS$197=1,$CY142=1),AS142,0))</f>
        <v>0</v>
      </c>
      <c r="AT325" s="56">
        <f>IF(AT142=-1,"x",IF(OR(AT240=1,AT$197=1,$CZ142=1),AT142,0))</f>
        <v>0</v>
      </c>
      <c r="AU325" s="57" t="str">
        <f>IF(AU142=-1,"x",IF(OR(AU240=1,AU$197=1,$CX142=1),AU142,0))</f>
        <v>x</v>
      </c>
      <c r="AV325" s="55" t="str">
        <f>IF(AV142=-1,"x",IF(OR(AV240=1,AV$197=1,$CY142=1),AV142,0))</f>
        <v>x</v>
      </c>
      <c r="AW325" s="58" t="str">
        <f>IF(AW142=-1,"x",IF(OR(AW240=1,AW$197=1,$CZ142=1),AW142,0))</f>
        <v>x</v>
      </c>
      <c r="AX325" s="54">
        <f>IF(AX142=-1,"x",IF(OR(AX240=1,AX$197=1,$CX142=1),AX142,0))</f>
        <v>0</v>
      </c>
      <c r="AY325" s="55">
        <f>IF(AY142=-1,"x",IF(OR(AY240=1,AY$197=1,$CY142=1),AY142,0))</f>
        <v>0</v>
      </c>
      <c r="AZ325" s="56">
        <f>IF(AZ142=-1,"x",IF(OR(AZ240=1,AZ$197=1,$CZ142=1),AZ142,0))</f>
        <v>0</v>
      </c>
      <c r="BA325" s="57">
        <f>IF(BA142=-1,"x",IF(OR(BA240=1,BA$197=1,$CX142=1),BA142,0))</f>
        <v>0</v>
      </c>
      <c r="BB325" s="55">
        <f>IF(BB142=-1,"x",IF(OR(BB240=1,BB$197=1,$CY142=1),BB142,0))</f>
        <v>0</v>
      </c>
      <c r="BC325" s="56">
        <f>IF(BC142=-1,"x",IF(OR(BC240=1,BC$197=1,$CZ142=1),BC142,0))</f>
        <v>0</v>
      </c>
      <c r="BD325" s="57" t="str">
        <f>IF(BD142=-1,"x",IF(OR(BD240=1,BD$197=1,$CX142=1),BD142,0))</f>
        <v>x</v>
      </c>
      <c r="BE325" s="55" t="str">
        <f>IF(BE142=-1,"x",IF(OR(BE240=1,BE$197=1,$CY142=1),BE142,0))</f>
        <v>x</v>
      </c>
      <c r="BF325" s="58" t="str">
        <f>IF(BF142=-1,"x",IF(OR(BF240=1,BF$197=1,$CZ142=1),BF142,0))</f>
        <v>x</v>
      </c>
      <c r="BG325" s="54" t="str">
        <f>IF(BG142=-1,"x",IF(OR(BG240=1,BG$197=1,$CX142=1),BG142,0))</f>
        <v>x</v>
      </c>
      <c r="BH325" s="55" t="str">
        <f>IF(BH142=-1,"x",IF(OR(BH240=1,BH$197=1,$CY142=1),BH142,0))</f>
        <v>x</v>
      </c>
      <c r="BI325" s="56" t="str">
        <f>IF(BI142=-1,"x",IF(OR(BI240=1,BI$197=1,$CZ142=1),BI142,0))</f>
        <v>x</v>
      </c>
      <c r="BJ325" s="57" t="str">
        <f>IF(BJ142=-1,"x",IF(OR(BJ240=1,BJ$197=1,$CX142=1),BJ142,0))</f>
        <v>x</v>
      </c>
      <c r="BK325" s="55" t="str">
        <f>IF(BK142=-1,"x",IF(OR(BK240=1,BK$197=1,$CY142=1),BK142,0))</f>
        <v>x</v>
      </c>
      <c r="BL325" s="56" t="str">
        <f>IF(BL142=-1,"x",IF(OR(BL240=1,BL$197=1,$CZ142=1),BL142,0))</f>
        <v>x</v>
      </c>
      <c r="BM325" s="57" t="str">
        <f>IF(BM142=-1,"x",IF(OR(BM240=1,BM$197=1,$CX142=1),BM142,0))</f>
        <v>x</v>
      </c>
      <c r="BN325" s="55" t="str">
        <f>IF(BN142=-1,"x",IF(OR(BN240=1,BN$197=1,$CY142=1),BN142,0))</f>
        <v>x</v>
      </c>
      <c r="BO325" s="107" t="str">
        <f>IF(BO142=-1,"x",IF(OR(BO240=1,BO$197=1,$CZ142=1),BO142,0))</f>
        <v>x</v>
      </c>
      <c r="BP325" s="106" t="str">
        <f>IF(BP142=-1,"x",IF(OR(BP240=1,BP$197=1,$CX142=1),BP142,0))</f>
        <v>x</v>
      </c>
      <c r="BQ325" s="55" t="str">
        <f>IF(BQ142=-1,"x",IF(OR(BQ240=1,BQ$197=1,$CY142=1),BQ142,0))</f>
        <v>x</v>
      </c>
      <c r="BR325" s="56" t="str">
        <f>IF(BR142=-1,"x",IF(OR(BR240=1,BR$197=1,$CZ142=1),BR142,0))</f>
        <v>x</v>
      </c>
      <c r="BS325" s="57" t="str">
        <f>IF(BS142=-1,"x",IF(OR(BS240=1,BS$197=1,$CX142=1),BS142,0))</f>
        <v>x</v>
      </c>
      <c r="BT325" s="55" t="str">
        <f>IF(BT142=-1,"x",IF(OR(BT240=1,BT$197=1,$CY142=1),BT142,0))</f>
        <v>x</v>
      </c>
      <c r="BU325" s="56" t="str">
        <f>IF(BU142=-1,"x",IF(OR(BU240=1,BU$197=1,$CZ142=1),BU142,0))</f>
        <v>x</v>
      </c>
      <c r="BV325" s="57" t="str">
        <f>IF(BV142=-1,"x",IF(OR(BV240=1,BV$197=1,$CX142=1),BV142,0))</f>
        <v>x</v>
      </c>
      <c r="BW325" s="55" t="str">
        <f>IF(BW142=-1,"x",IF(OR(BW240=1,BW$197=1,$CY142=1),BW142,0))</f>
        <v>x</v>
      </c>
      <c r="BX325" s="58" t="str">
        <f>IF(BX142=-1,"x",IF(OR(BX240=1,BX$197=1,$CZ142=1),BX142,0))</f>
        <v>x</v>
      </c>
      <c r="BY325" s="54" t="str">
        <f>IF(BY142=-1,"x",IF(OR(BY240=1,BY$197=1,$CX142=1),BY142,0))</f>
        <v>x</v>
      </c>
      <c r="BZ325" s="55" t="str">
        <f>IF(BZ142=-1,"x",IF(OR(BZ240=1,BZ$197=1,$CY142=1),BZ142,0))</f>
        <v>x</v>
      </c>
      <c r="CA325" s="56" t="str">
        <f>IF(CA142=-1,"x",IF(OR(CA240=1,CA$197=1,$CZ142=1),CA142,0))</f>
        <v>x</v>
      </c>
      <c r="CB325" s="57" t="str">
        <f>IF(CB142=-1,"x",IF(OR(CB240=1,CB$197=1,$CX142=1),CB142,0))</f>
        <v>x</v>
      </c>
      <c r="CC325" s="55" t="str">
        <f>IF(CC142=-1,"x",IF(OR(CC240=1,CC$197=1,$CY142=1),CC142,0))</f>
        <v>x</v>
      </c>
      <c r="CD325" s="56" t="str">
        <f>IF(CD142=-1,"x",IF(OR(CD240=1,CD$197=1,$CZ142=1),CD142,0))</f>
        <v>x</v>
      </c>
      <c r="CE325" s="57" t="str">
        <f>IF(CE142=-1,"x",IF(OR(CE240=1,CE$197=1,$CX142=1),CE142,0))</f>
        <v>x</v>
      </c>
      <c r="CF325" s="55" t="str">
        <f>IF(CF142=-1,"x",IF(OR(CF240=1,CF$197=1,$CY142=1),CF142,0))</f>
        <v>x</v>
      </c>
      <c r="CG325" s="58" t="str">
        <f>IF(CG142=-1,"x",IF(OR(CG240=1,CG$197=1,$CZ142=1),CG142,0))</f>
        <v>x</v>
      </c>
      <c r="CH325" s="54">
        <f>IF(CH142=-1,"x",IF(OR(CH240=1,CH$197=1,$CX142=1),CH142,0))</f>
        <v>0</v>
      </c>
      <c r="CI325" s="55">
        <f>IF(CI142=-1,"x",IF(OR(CI240=1,CI$197=1,$CY142=1),CI142,0))</f>
        <v>0</v>
      </c>
      <c r="CJ325" s="56">
        <f>IF(CJ142=-1,"x",IF(OR(CJ240=1,CJ$197=1,$CZ142=1),CJ142,0))</f>
        <v>0</v>
      </c>
      <c r="CK325" s="57" t="str">
        <f>IF(CK142=-1,"x",IF(OR(CK240=1,CK$197=1,$CX142=1),CK142,0))</f>
        <v>x</v>
      </c>
      <c r="CL325" s="55" t="str">
        <f>IF(CL142=-1,"x",IF(OR(CL240=1,CL$197=1,$CY142=1),CL142,0))</f>
        <v>x</v>
      </c>
      <c r="CM325" s="56" t="str">
        <f>IF(CM142=-1,"x",IF(OR(CM240=1,CM$197=1,$CZ142=1),CM142,0))</f>
        <v>x</v>
      </c>
      <c r="CN325" s="57" t="str">
        <f>IF(CN142=-1,"x",IF(OR(CN240=1,CN$197=1,$CX142=1),CN142,0))</f>
        <v>x</v>
      </c>
      <c r="CO325" s="55" t="str">
        <f>IF(CO142=-1,"x",IF(OR(CO240=1,CO$197=1,$CY142=1),CO142,0))</f>
        <v>x</v>
      </c>
      <c r="CP325" s="107" t="str">
        <f>IF(CP142=-1,"x",IF(OR(CP240=1,CP$197=1,$CZ142=1),CP142,0))</f>
        <v>x</v>
      </c>
      <c r="DJ325" s="99">
        <f>IF(DJ142=-1,"x",IF(OR(DJ240=1,DJ$230=1,$GT142=1),DJ142,0))</f>
        <v>7</v>
      </c>
      <c r="DK325" s="45">
        <f>IF(DK142=-1,"x",IF(OR(DK240=1,DK$230=1,$GU142=1),DK142,0))</f>
        <v>0</v>
      </c>
      <c r="DL325" s="47">
        <f>IF(DL142=-1,"x",IF(OR(DL240=1,DL$230=1,$GV142=1),DL142,0))</f>
        <v>0</v>
      </c>
      <c r="DM325" s="46">
        <f>IF(DM142=-1,"x",IF(OR(DM240=1,DM$230=1,$GT142=1),DM142,0))</f>
        <v>0</v>
      </c>
      <c r="DN325" s="45">
        <f>IF(DN142=-1,"x",IF(OR(DN240=1,DN$230=1,$GU142=1),DN142,0))</f>
        <v>0</v>
      </c>
      <c r="DO325" s="47">
        <f>IF(DO142=-1,"x",IF(OR(DO240=1,DO$230=1,$GV142=1),DO142,0))</f>
        <v>0</v>
      </c>
      <c r="DP325" s="46">
        <f>IF(DP142=-1,"x",IF(OR(DP240=1,DP$230=1,$GT142=1),DP142,0))</f>
        <v>0</v>
      </c>
      <c r="DQ325" s="45">
        <f>IF(DQ142=-1,"x",IF(OR(DQ240=1,DQ$230=1,$GU142=1),DQ142,0))</f>
        <v>0</v>
      </c>
      <c r="DR325" s="48">
        <f>IF(DR142=-1,"x",IF(OR(DR240=1,DR$230=1,$GV142=1),DR142,0))</f>
        <v>0</v>
      </c>
      <c r="DS325" s="44" t="str">
        <f>IF(DS142=-1,"x",IF(OR(DS240=1,DS$230=1,$GT142=1),DS142,0))</f>
        <v>x</v>
      </c>
      <c r="DT325" s="45" t="str">
        <f>IF(DT142=-1,"x",IF(OR(DT240=1,DT$230=1,$GU142=1),DT142,0))</f>
        <v>x</v>
      </c>
      <c r="DU325" s="47" t="str">
        <f>IF(DU142=-1,"x",IF(OR(DU240=1,DU$230=1,$GV142=1),DU142,0))</f>
        <v>x</v>
      </c>
      <c r="DV325" s="46" t="str">
        <f>IF(DV142=-1,"x",IF(OR(DV240=1,DV$230=1,$GT142=1),DV142,0))</f>
        <v>x</v>
      </c>
      <c r="DW325" s="45" t="str">
        <f>IF(DW142=-1,"x",IF(OR(DW240=1,DW$230=1,$GU142=1),DW142,0))</f>
        <v>x</v>
      </c>
      <c r="DX325" s="47" t="str">
        <f>IF(DX142=-1,"x",IF(OR(DX240=1,DX$230=1,$GV142=1),DX142,0))</f>
        <v>x</v>
      </c>
      <c r="DY325" s="46" t="str">
        <f>IF(DY142=-1,"x",IF(OR(DY240=1,DY$230=1,$GT142=1),DY142,0))</f>
        <v>x</v>
      </c>
      <c r="DZ325" s="45" t="str">
        <f>IF(DZ142=-1,"x",IF(OR(DZ240=1,DZ$230=1,$GU142=1),DZ142,0))</f>
        <v>x</v>
      </c>
      <c r="EA325" s="48" t="str">
        <f>IF(EA142=-1,"x",IF(OR(EA240=1,EA$230=1,$GV142=1),EA142,0))</f>
        <v>x</v>
      </c>
      <c r="EB325" s="44" t="str">
        <f>IF(EB142=-1,"x",IF(OR(EB240=1,EB$230=1,$GT142=1),EB142,0))</f>
        <v>x</v>
      </c>
      <c r="EC325" s="45" t="str">
        <f>IF(EC142=-1,"x",IF(OR(EC240=1,EC$230=1,$GU142=1),EC142,0))</f>
        <v>x</v>
      </c>
      <c r="ED325" s="47" t="str">
        <f>IF(ED142=-1,"x",IF(OR(ED240=1,ED$230=1,$GV142=1),ED142,0))</f>
        <v>x</v>
      </c>
      <c r="EE325" s="46" t="str">
        <f>IF(EE142=-1,"x",IF(OR(EE240=1,EE$230=1,$GT142=1),EE142,0))</f>
        <v>x</v>
      </c>
      <c r="EF325" s="45" t="str">
        <f>IF(EF142=-1,"x",IF(OR(EF240=1,EF$230=1,$GU142=1),EF142,0))</f>
        <v>x</v>
      </c>
      <c r="EG325" s="47" t="str">
        <f>IF(EG142=-1,"x",IF(OR(EG240=1,EG$230=1,$GV142=1),EG142,0))</f>
        <v>x</v>
      </c>
      <c r="EH325" s="46" t="str">
        <f>IF(EH142=-1,"x",IF(OR(EH240=1,EH$230=1,$GT142=1),EH142,0))</f>
        <v>x</v>
      </c>
      <c r="EI325" s="45" t="str">
        <f>IF(EI142=-1,"x",IF(OR(EI240=1,EI$230=1,$GU142=1),EI142,0))</f>
        <v>x</v>
      </c>
      <c r="EJ325" s="100" t="str">
        <f>IF(EJ142=-1,"x",IF(OR(EJ240=1,EJ$230=1,$GV142=1),EJ142,0))</f>
        <v>x</v>
      </c>
      <c r="EK325" s="99" t="str">
        <f>IF(EK142=-1,"x",IF(OR(EK240=1,EK$230=1,$GT142=1),EK142,0))</f>
        <v>x</v>
      </c>
      <c r="EL325" s="45" t="str">
        <f>IF(EL142=-1,"x",IF(OR(EL240=1,EL$230=1,$GU142=1),EL142,0))</f>
        <v>x</v>
      </c>
      <c r="EM325" s="47" t="str">
        <f>IF(EM142=-1,"x",IF(OR(EM240=1,EM$230=1,$GV142=1),EM142,0))</f>
        <v>x</v>
      </c>
      <c r="EN325" s="46" t="str">
        <f>IF(EN142=-1,"x",IF(OR(EN240=1,EN$230=1,$GT142=1),EN142,0))</f>
        <v>x</v>
      </c>
      <c r="EO325" s="45" t="str">
        <f>IF(EO142=-1,"x",IF(OR(EO240=1,EO$230=1,$GU142=1),EO142,0))</f>
        <v>x</v>
      </c>
      <c r="EP325" s="47" t="str">
        <f>IF(EP142=-1,"x",IF(OR(EP240=1,EP$230=1,$GV142=1),EP142,0))</f>
        <v>x</v>
      </c>
      <c r="EQ325" s="46" t="str">
        <f>IF(EQ142=-1,"x",IF(OR(EQ240=1,EQ$230=1,$GT142=1),EQ142,0))</f>
        <v>x</v>
      </c>
      <c r="ER325" s="45" t="str">
        <f>IF(ER142=-1,"x",IF(OR(ER240=1,ER$230=1,$GU142=1),ER142,0))</f>
        <v>x</v>
      </c>
      <c r="ES325" s="48" t="str">
        <f>IF(ES142=-1,"x",IF(OR(ES240=1,ES$230=1,$GV142=1),ES142,0))</f>
        <v>x</v>
      </c>
      <c r="ET325" s="44">
        <f>IF(ET142=-1,"x",IF(OR(ET240=1,ET$230=1,$GT142=1),ET142,0))</f>
        <v>0</v>
      </c>
      <c r="EU325" s="45">
        <f>IF(EU142=-1,"x",IF(OR(EU240=1,EU$230=1,$GU142=1),EU142,0))</f>
        <v>0</v>
      </c>
      <c r="EV325" s="47">
        <f>IF(EV142=-1,"x",IF(OR(EV240=1,EV$230=1,$GV142=1),EV142,0))</f>
        <v>0</v>
      </c>
      <c r="EW325" s="46">
        <f>IF(EW142=-1,"x",IF(OR(EW240=1,EW$230=1,$GT142=1),EW142,0))</f>
        <v>0</v>
      </c>
      <c r="EX325" s="45">
        <f>IF(EX142=-1,"x",IF(OR(EX240=1,EX$230=1,$GU142=1),EX142,0))</f>
        <v>0</v>
      </c>
      <c r="EY325" s="47">
        <f>IF(EY142=-1,"x",IF(OR(EY240=1,EY$230=1,$GV142=1),EY142,0))</f>
        <v>0</v>
      </c>
      <c r="EZ325" s="46">
        <f>IF(EZ142=-1,"x",IF(OR(EZ240=1,EZ$230=1,$GT142=1),EZ142,0))</f>
        <v>0</v>
      </c>
      <c r="FA325" s="45">
        <f>IF(FA142=-1,"x",IF(OR(FA240=1,FA$230=1,$GU142=1),FA142,0))</f>
        <v>0</v>
      </c>
      <c r="FB325" s="48">
        <f>IF(FB142=-1,"x",IF(OR(FB240=1,FB$230=1,$GV142=1),FB142,0))</f>
        <v>0</v>
      </c>
      <c r="FC325" s="44" t="str">
        <f>IF(FC142=-1,"x",IF(OR(FC240=1,FC$230=1,$GT142=1),FC142,0))</f>
        <v>x</v>
      </c>
      <c r="FD325" s="45" t="str">
        <f>IF(FD142=-1,"x",IF(OR(FD240=1,FD$230=1,$GU142=1),FD142,0))</f>
        <v>x</v>
      </c>
      <c r="FE325" s="47" t="str">
        <f>IF(FE142=-1,"x",IF(OR(FE240=1,FE$230=1,$GV142=1),FE142,0))</f>
        <v>x</v>
      </c>
      <c r="FF325" s="46" t="str">
        <f>IF(FF142=-1,"x",IF(OR(FF240=1,FF$230=1,$GT142=1),FF142,0))</f>
        <v>x</v>
      </c>
      <c r="FG325" s="45" t="str">
        <f>IF(FG142=-1,"x",IF(OR(FG240=1,FG$230=1,$GU142=1),FG142,0))</f>
        <v>x</v>
      </c>
      <c r="FH325" s="47" t="str">
        <f>IF(FH142=-1,"x",IF(OR(FH240=1,FH$230=1,$GV142=1),FH142,0))</f>
        <v>x</v>
      </c>
      <c r="FI325" s="46" t="str">
        <f>IF(FI142=-1,"x",IF(OR(FI240=1,FI$230=1,$GT142=1),FI142,0))</f>
        <v>x</v>
      </c>
      <c r="FJ325" s="45" t="str">
        <f>IF(FJ142=-1,"x",IF(OR(FJ240=1,FJ$230=1,$GU142=1),FJ142,0))</f>
        <v>x</v>
      </c>
      <c r="FK325" s="100" t="str">
        <f>IF(FK142=-1,"x",IF(OR(FK240=1,FK$230=1,$GV142=1),FK142,0))</f>
        <v>x</v>
      </c>
      <c r="FL325" s="99" t="str">
        <f>IF(FL142=-1,"x",IF(OR(FL240=1,FL$230=1,$GT142=1),FL142,0))</f>
        <v>x</v>
      </c>
      <c r="FM325" s="45" t="str">
        <f>IF(FM142=-1,"x",IF(OR(FM240=1,FM$230=1,$GU142=1),FM142,0))</f>
        <v>x</v>
      </c>
      <c r="FN325" s="47" t="str">
        <f>IF(FN142=-1,"x",IF(OR(FN240=1,FN$230=1,$GV142=1),FN142,0))</f>
        <v>x</v>
      </c>
      <c r="FO325" s="46" t="str">
        <f>IF(FO142=-1,"x",IF(OR(FO240=1,FO$230=1,$GT142=1),FO142,0))</f>
        <v>x</v>
      </c>
      <c r="FP325" s="45" t="str">
        <f>IF(FP142=-1,"x",IF(OR(FP240=1,FP$230=1,$GU142=1),FP142,0))</f>
        <v>x</v>
      </c>
      <c r="FQ325" s="47" t="str">
        <f>IF(FQ142=-1,"x",IF(OR(FQ240=1,FQ$230=1,$GV142=1),FQ142,0))</f>
        <v>x</v>
      </c>
      <c r="FR325" s="46" t="str">
        <f>IF(FR142=-1,"x",IF(OR(FR240=1,FR$230=1,$GT142=1),FR142,0))</f>
        <v>x</v>
      </c>
      <c r="FS325" s="45" t="str">
        <f>IF(FS142=-1,"x",IF(OR(FS240=1,FS$230=1,$GU142=1),FS142,0))</f>
        <v>x</v>
      </c>
      <c r="FT325" s="48" t="str">
        <f>IF(FT142=-1,"x",IF(OR(FT240=1,FT$230=1,$GV142=1),FT142,0))</f>
        <v>x</v>
      </c>
      <c r="FU325" s="44" t="str">
        <f>IF(FU142=-1,"x",IF(OR(FU240=1,FU$230=1,$GT142=1),FU142,0))</f>
        <v>x</v>
      </c>
      <c r="FV325" s="45" t="str">
        <f>IF(FV142=-1,"x",IF(OR(FV240=1,FV$230=1,$GU142=1),FV142,0))</f>
        <v>x</v>
      </c>
      <c r="FW325" s="47" t="str">
        <f>IF(FW142=-1,"x",IF(OR(FW240=1,FW$230=1,$GV142=1),FW142,0))</f>
        <v>x</v>
      </c>
      <c r="FX325" s="46" t="str">
        <f>IF(FX142=-1,"x",IF(OR(FX240=1,FX$230=1,$GT142=1),FX142,0))</f>
        <v>x</v>
      </c>
      <c r="FY325" s="45" t="str">
        <f>IF(FY142=-1,"x",IF(OR(FY240=1,FY$230=1,$GU142=1),FY142,0))</f>
        <v>x</v>
      </c>
      <c r="FZ325" s="47" t="str">
        <f>IF(FZ142=-1,"x",IF(OR(FZ240=1,FZ$230=1,$GV142=1),FZ142,0))</f>
        <v>x</v>
      </c>
      <c r="GA325" s="46" t="str">
        <f>IF(GA142=-1,"x",IF(OR(GA240=1,GA$230=1,$GT142=1),GA142,0))</f>
        <v>x</v>
      </c>
      <c r="GB325" s="45" t="str">
        <f>IF(GB142=-1,"x",IF(OR(GB240=1,GB$230=1,$GU142=1),GB142,0))</f>
        <v>x</v>
      </c>
      <c r="GC325" s="48" t="str">
        <f>IF(GC142=-1,"x",IF(OR(GC240=1,GC$230=1,$GV142=1),GC142,0))</f>
        <v>x</v>
      </c>
      <c r="GD325" s="44" t="str">
        <f>IF(GD142=-1,"x",IF(OR(GD240=1,GD$230=1,$GT142=1),GD142,0))</f>
        <v>x</v>
      </c>
      <c r="GE325" s="45" t="str">
        <f>IF(GE142=-1,"x",IF(OR(GE240=1,GE$230=1,$GU142=1),GE142,0))</f>
        <v>x</v>
      </c>
      <c r="GF325" s="47" t="str">
        <f>IF(GF142=-1,"x",IF(OR(GF240=1,GF$230=1,$GV142=1),GF142,0))</f>
        <v>x</v>
      </c>
      <c r="GG325" s="46">
        <f>IF(GG142=-1,"x",IF(OR(GG240=1,GG$230=1,$GT142=1),GG142,0))</f>
        <v>0</v>
      </c>
      <c r="GH325" s="45">
        <f>IF(GH142=-1,"x",IF(OR(GH240=1,GH$230=1,$GU142=1),GH142,0))</f>
        <v>0</v>
      </c>
      <c r="GI325" s="47">
        <f>IF(GI142=-1,"x",IF(OR(GI240=1,GI$230=1,$GV142=1),GI142,0))</f>
        <v>0</v>
      </c>
      <c r="GJ325" s="46" t="str">
        <f>IF(GJ142=-1,"x",IF(OR(GJ240=1,GJ$230=1,$GT142=1),GJ142,0))</f>
        <v>x</v>
      </c>
      <c r="GK325" s="45" t="str">
        <f>IF(GK142=-1,"x",IF(OR(GK240=1,GK$230=1,$GU142=1),GK142,0))</f>
        <v>x</v>
      </c>
      <c r="GL325" s="100" t="str">
        <f>IF(GL142=-1,"x",IF(OR(GL240=1,GL$230=1,$GV142=1),GL142,0))</f>
        <v>x</v>
      </c>
    </row>
    <row r="326" spans="14:194" ht="15" customHeight="1">
      <c r="N326" s="108" t="str">
        <f>IF(N143=-1,"x",IF(OR(N241=1,N$195=1,$CX143=1),N143,0))</f>
        <v>x</v>
      </c>
      <c r="O326" s="37" t="str">
        <f>IF(O143=-1,"x",IF(OR(O241=1,O$195=1,$CY143=1),O143,0))</f>
        <v>x</v>
      </c>
      <c r="P326" s="35" t="str">
        <f>IF(P143=-1,"x",IF(OR(P241=1,P$195=1,$CZ143=1),P143,0))</f>
        <v>x</v>
      </c>
      <c r="Q326" s="36" t="str">
        <f>IF(Q143=-1,"x",IF(OR(Q241=1,Q$195=1,$CX143=1),Q143,0))</f>
        <v>x</v>
      </c>
      <c r="R326" s="37" t="str">
        <f>IF(R143=-1,"x",IF(OR(R241=1,R$195=1,$CY143=1),R143,0))</f>
        <v>x</v>
      </c>
      <c r="S326" s="35" t="str">
        <f>IF(S143=-1,"x",IF(OR(S241=1,S$195=1,$CZ143=1),S143,0))</f>
        <v>x</v>
      </c>
      <c r="T326" s="36" t="str">
        <f>IF(T143=-1,"x",IF(OR(T241=1,T$195=1,$CX143=1),T143,0))</f>
        <v>x</v>
      </c>
      <c r="U326" s="37" t="str">
        <f>IF(U143=-1,"x",IF(OR(U241=1,U$195=1,$CY143=1),U143,0))</f>
        <v>x</v>
      </c>
      <c r="V326" s="38" t="str">
        <f>IF(V143=-1,"x",IF(OR(V241=1,V$195=1,$CZ143=1),V143,0))</f>
        <v>x</v>
      </c>
      <c r="W326" s="34" t="str">
        <f>IF(W143=-1,"x",IF(OR(W241=1,W$195=1,$CX143=1),W143,0))</f>
        <v>x</v>
      </c>
      <c r="X326" s="37" t="str">
        <f>IF(X143=-1,"x",IF(OR(X241=1,X$195=1,$CY143=1),X143,0))</f>
        <v>x</v>
      </c>
      <c r="Y326" s="35" t="str">
        <f>IF(Y143=-1,"x",IF(OR(Y241=1,Y$195=1,$CZ143=1),Y143,0))</f>
        <v>x</v>
      </c>
      <c r="Z326" s="36" t="str">
        <f>IF(Z143=-1,"x",IF(OR(Z241=1,Z$195=1,$CX143=1),Z143,0))</f>
        <v>x</v>
      </c>
      <c r="AA326" s="37" t="str">
        <f>IF(AA143=-1,"x",IF(OR(AA241=1,AA$195=1,$CY143=1),AA143,0))</f>
        <v>x</v>
      </c>
      <c r="AB326" s="35" t="str">
        <f>IF(AB143=-1,"x",IF(OR(AB241=1,AB$195=1,$CZ143=1),AB143,0))</f>
        <v>x</v>
      </c>
      <c r="AC326" s="36" t="str">
        <f>IF(AC143=-1,"x",IF(OR(AC241=1,AC$195=1,$CX143=1),AC143,0))</f>
        <v>x</v>
      </c>
      <c r="AD326" s="37" t="str">
        <f>IF(AD143=-1,"x",IF(OR(AD241=1,AD$195=1,$CY143=1),AD143,0))</f>
        <v>x</v>
      </c>
      <c r="AE326" s="38" t="str">
        <f>IF(AE143=-1,"x",IF(OR(AE241=1,AE$195=1,$CZ143=1),AE143,0))</f>
        <v>x</v>
      </c>
      <c r="AF326" s="34" t="str">
        <f>IF(AF143=-1,"x",IF(OR(AF241=1,AF$195=1,$CX143=1),AF143,0))</f>
        <v>x</v>
      </c>
      <c r="AG326" s="37" t="str">
        <f>IF(AG143=-1,"x",IF(OR(AG241=1,AG$195=1,$CY143=1),AG143,0))</f>
        <v>x</v>
      </c>
      <c r="AH326" s="35" t="str">
        <f>IF(AH143=-1,"x",IF(OR(AH241=1,AH$195=1,$CZ143=1),AH143,0))</f>
        <v>x</v>
      </c>
      <c r="AI326" s="36" t="str">
        <f>IF(AI143=-1,"x",IF(OR(AI241=1,AI$195=1,$CX143=1),AI143,0))</f>
        <v>x</v>
      </c>
      <c r="AJ326" s="37" t="str">
        <f>IF(AJ143=-1,"x",IF(OR(AJ241=1,AJ$195=1,$CY143=1),AJ143,0))</f>
        <v>x</v>
      </c>
      <c r="AK326" s="35" t="str">
        <f>IF(AK143=-1,"x",IF(OR(AK241=1,AK$195=1,$CZ143=1),AK143,0))</f>
        <v>x</v>
      </c>
      <c r="AL326" s="36" t="str">
        <f>IF(AL143=-1,"x",IF(OR(AL241=1,AL$195=1,$CX143=1),AL143,0))</f>
        <v>x</v>
      </c>
      <c r="AM326" s="37" t="str">
        <f>IF(AM143=-1,"x",IF(OR(AM241=1,AM$195=1,$CY143=1),AM143,0))</f>
        <v>x</v>
      </c>
      <c r="AN326" s="109" t="str">
        <f>IF(AN143=-1,"x",IF(OR(AN241=1,AN$195=1,$CZ143=1),AN143,0))</f>
        <v>x</v>
      </c>
      <c r="AO326" s="108" t="str">
        <f>IF(AO143=-1,"x",IF(OR(AO241=1,AO$195=1,$CX143=1),AO143,0))</f>
        <v>x</v>
      </c>
      <c r="AP326" s="37" t="str">
        <f>IF(AP143=-1,"x",IF(OR(AP241=1,AP$195=1,$CY143=1),AP143,0))</f>
        <v>x</v>
      </c>
      <c r="AQ326" s="35" t="str">
        <f>IF(AQ143=-1,"x",IF(OR(AQ241=1,AQ$195=1,$CZ143=1),AQ143,0))</f>
        <v>x</v>
      </c>
      <c r="AR326" s="36" t="str">
        <f>IF(AR143=-1,"x",IF(OR(AR241=1,AR$195=1,$CX143=1),AR143,0))</f>
        <v>x</v>
      </c>
      <c r="AS326" s="37" t="str">
        <f>IF(AS143=-1,"x",IF(OR(AS241=1,AS$195=1,$CY143=1),AS143,0))</f>
        <v>x</v>
      </c>
      <c r="AT326" s="35" t="str">
        <f>IF(AT143=-1,"x",IF(OR(AT241=1,AT$195=1,$CZ143=1),AT143,0))</f>
        <v>x</v>
      </c>
      <c r="AU326" s="36">
        <f>IF(AU143=-1,"x",IF(OR(AU241=1,AU$195=1,$CX143=1),AU143,0))</f>
        <v>0</v>
      </c>
      <c r="AV326" s="37">
        <f>IF(AV143=-1,"x",IF(OR(AV241=1,AV$195=1,$CY143=1),AV143,0))</f>
        <v>0</v>
      </c>
      <c r="AW326" s="38">
        <f>IF(AW143=-1,"x",IF(OR(AW241=1,AW$195=1,$CZ143=1),AW143,0))</f>
        <v>0</v>
      </c>
      <c r="AX326" s="34" t="str">
        <f>IF(AX143=-1,"x",IF(OR(AX241=1,AX$195=1,$CX143=1),AX143,0))</f>
        <v>x</v>
      </c>
      <c r="AY326" s="37" t="str">
        <f>IF(AY143=-1,"x",IF(OR(AY241=1,AY$195=1,$CY143=1),AY143,0))</f>
        <v>x</v>
      </c>
      <c r="AZ326" s="35" t="str">
        <f>IF(AZ143=-1,"x",IF(OR(AZ241=1,AZ$195=1,$CZ143=1),AZ143,0))</f>
        <v>x</v>
      </c>
      <c r="BA326" s="36" t="str">
        <f>IF(BA143=-1,"x",IF(OR(BA241=1,BA$195=1,$CX143=1),BA143,0))</f>
        <v>x</v>
      </c>
      <c r="BB326" s="37" t="str">
        <f>IF(BB143=-1,"x",IF(OR(BB241=1,BB$195=1,$CY143=1),BB143,0))</f>
        <v>x</v>
      </c>
      <c r="BC326" s="35" t="str">
        <f>IF(BC143=-1,"x",IF(OR(BC241=1,BC$195=1,$CZ143=1),BC143,0))</f>
        <v>x</v>
      </c>
      <c r="BD326" s="36">
        <f>IF(BD143=-1,"x",IF(OR(BD241=1,BD$195=1,$CX143=1),BD143,0))</f>
        <v>0</v>
      </c>
      <c r="BE326" s="37">
        <f>IF(BE143=-1,"x",IF(OR(BE241=1,BE$195=1,$CY143=1),BE143,0))</f>
        <v>0</v>
      </c>
      <c r="BF326" s="38">
        <f>IF(BF143=-1,"x",IF(OR(BF241=1,BF$195=1,$CZ143=1),BF143,0))</f>
        <v>0</v>
      </c>
      <c r="BG326" s="34" t="str">
        <f>IF(BG143=-1,"x",IF(OR(BG241=1,BG$195=1,$CX143=1),BG143,0))</f>
        <v>x</v>
      </c>
      <c r="BH326" s="37" t="str">
        <f>IF(BH143=-1,"x",IF(OR(BH241=1,BH$195=1,$CY143=1),BH143,0))</f>
        <v>x</v>
      </c>
      <c r="BI326" s="35" t="str">
        <f>IF(BI143=-1,"x",IF(OR(BI241=1,BI$195=1,$CZ143=1),BI143,0))</f>
        <v>x</v>
      </c>
      <c r="BJ326" s="36" t="str">
        <f>IF(BJ143=-1,"x",IF(OR(BJ241=1,BJ$195=1,$CX143=1),BJ143,0))</f>
        <v>x</v>
      </c>
      <c r="BK326" s="37" t="str">
        <f>IF(BK143=-1,"x",IF(OR(BK241=1,BK$195=1,$CY143=1),BK143,0))</f>
        <v>x</v>
      </c>
      <c r="BL326" s="35" t="str">
        <f>IF(BL143=-1,"x",IF(OR(BL241=1,BL$195=1,$CZ143=1),BL143,0))</f>
        <v>x</v>
      </c>
      <c r="BM326" s="36" t="str">
        <f>IF(BM143=-1,"x",IF(OR(BM241=1,BM$195=1,$CX143=1),BM143,0))</f>
        <v>x</v>
      </c>
      <c r="BN326" s="37" t="str">
        <f>IF(BN143=-1,"x",IF(OR(BN241=1,BN$195=1,$CY143=1),BN143,0))</f>
        <v>x</v>
      </c>
      <c r="BO326" s="109" t="str">
        <f>IF(BO143=-1,"x",IF(OR(BO241=1,BO$195=1,$CZ143=1),BO143,0))</f>
        <v>x</v>
      </c>
      <c r="BP326" s="108" t="str">
        <f>IF(BP143=-1,"x",IF(OR(BP241=1,BP$195=1,$CX143=1),BP143,0))</f>
        <v>x</v>
      </c>
      <c r="BQ326" s="37" t="str">
        <f>IF(BQ143=-1,"x",IF(OR(BQ241=1,BQ$195=1,$CY143=1),BQ143,0))</f>
        <v>x</v>
      </c>
      <c r="BR326" s="35" t="str">
        <f>IF(BR143=-1,"x",IF(OR(BR241=1,BR$195=1,$CZ143=1),BR143,0))</f>
        <v>x</v>
      </c>
      <c r="BS326" s="36" t="str">
        <f>IF(BS143=-1,"x",IF(OR(BS241=1,BS$195=1,$CX143=1),BS143,0))</f>
        <v>x</v>
      </c>
      <c r="BT326" s="37" t="str">
        <f>IF(BT143=-1,"x",IF(OR(BT241=1,BT$195=1,$CY143=1),BT143,0))</f>
        <v>x</v>
      </c>
      <c r="BU326" s="35" t="str">
        <f>IF(BU143=-1,"x",IF(OR(BU241=1,BU$195=1,$CZ143=1),BU143,0))</f>
        <v>x</v>
      </c>
      <c r="BV326" s="36" t="str">
        <f>IF(BV143=-1,"x",IF(OR(BV241=1,BV$195=1,$CX143=1),BV143,0))</f>
        <v>x</v>
      </c>
      <c r="BW326" s="37" t="str">
        <f>IF(BW143=-1,"x",IF(OR(BW241=1,BW$195=1,$CY143=1),BW143,0))</f>
        <v>x</v>
      </c>
      <c r="BX326" s="38" t="str">
        <f>IF(BX143=-1,"x",IF(OR(BX241=1,BX$195=1,$CZ143=1),BX143,0))</f>
        <v>x</v>
      </c>
      <c r="BY326" s="34" t="str">
        <f>IF(BY143=-1,"x",IF(OR(BY241=1,BY$195=1,$CX143=1),BY143,0))</f>
        <v>x</v>
      </c>
      <c r="BZ326" s="37" t="str">
        <f>IF(BZ143=-1,"x",IF(OR(BZ241=1,BZ$195=1,$CY143=1),BZ143,0))</f>
        <v>x</v>
      </c>
      <c r="CA326" s="35" t="str">
        <f>IF(CA143=-1,"x",IF(OR(CA241=1,CA$195=1,$CZ143=1),CA143,0))</f>
        <v>x</v>
      </c>
      <c r="CB326" s="36" t="str">
        <f>IF(CB143=-1,"x",IF(OR(CB241=1,CB$195=1,$CX143=1),CB143,0))</f>
        <v>x</v>
      </c>
      <c r="CC326" s="37" t="str">
        <f>IF(CC143=-1,"x",IF(OR(CC241=1,CC$195=1,$CY143=1),CC143,0))</f>
        <v>x</v>
      </c>
      <c r="CD326" s="35" t="str">
        <f>IF(CD143=-1,"x",IF(OR(CD241=1,CD$195=1,$CZ143=1),CD143,0))</f>
        <v>x</v>
      </c>
      <c r="CE326" s="36" t="str">
        <f>IF(CE143=-1,"x",IF(OR(CE241=1,CE$195=1,$CX143=1),CE143,0))</f>
        <v>x</v>
      </c>
      <c r="CF326" s="37" t="str">
        <f>IF(CF143=-1,"x",IF(OR(CF241=1,CF$195=1,$CY143=1),CF143,0))</f>
        <v>x</v>
      </c>
      <c r="CG326" s="38" t="str">
        <f>IF(CG143=-1,"x",IF(OR(CG241=1,CG$195=1,$CZ143=1),CG143,0))</f>
        <v>x</v>
      </c>
      <c r="CH326" s="34">
        <f>IF(CH143=-1,"x",IF(OR(CH241=1,CH$195=1,$CX143=1),CH143,0))</f>
        <v>0</v>
      </c>
      <c r="CI326" s="37">
        <f>IF(CI143=-1,"x",IF(OR(CI241=1,CI$195=1,$CY143=1),CI143,0))</f>
        <v>0</v>
      </c>
      <c r="CJ326" s="35">
        <f>IF(CJ143=-1,"x",IF(OR(CJ241=1,CJ$195=1,$CZ143=1),CJ143,0))</f>
        <v>0</v>
      </c>
      <c r="CK326" s="36" t="str">
        <f>IF(CK143=-1,"x",IF(OR(CK241=1,CK$195=1,$CX143=1),CK143,0))</f>
        <v>x</v>
      </c>
      <c r="CL326" s="37" t="str">
        <f>IF(CL143=-1,"x",IF(OR(CL241=1,CL$195=1,$CY143=1),CL143,0))</f>
        <v>x</v>
      </c>
      <c r="CM326" s="35" t="str">
        <f>IF(CM143=-1,"x",IF(OR(CM241=1,CM$195=1,$CZ143=1),CM143,0))</f>
        <v>x</v>
      </c>
      <c r="CN326" s="36" t="str">
        <f>IF(CN143=-1,"x",IF(OR(CN241=1,CN$195=1,$CX143=1),CN143,0))</f>
        <v>x</v>
      </c>
      <c r="CO326" s="37" t="str">
        <f>IF(CO143=-1,"x",IF(OR(CO241=1,CO$195=1,$CY143=1),CO143,0))</f>
        <v>x</v>
      </c>
      <c r="CP326" s="109" t="str">
        <f>IF(CP143=-1,"x",IF(OR(CP241=1,CP$195=1,$CZ143=1),CP143,0))</f>
        <v>x</v>
      </c>
      <c r="DJ326" s="104">
        <f>IF(DJ143=-1,"x",IF(OR(DJ241=1,DJ$228=1,$GT143=1),DJ143,0))</f>
        <v>0</v>
      </c>
      <c r="DK326" s="50">
        <f>IF(DK143=-1,"x",IF(OR(DK241=1,DK$228=1,$GU143=1),DK143,0))</f>
        <v>0</v>
      </c>
      <c r="DL326" s="51">
        <f>IF(DL143=-1,"x",IF(OR(DL241=1,DL$228=1,$GV143=1),DL143,0))</f>
        <v>0</v>
      </c>
      <c r="DM326" s="52" t="str">
        <f>IF(DM143=-1,"x",IF(OR(DM241=1,DM$228=1,$GT143=1),DM143,0))</f>
        <v>x</v>
      </c>
      <c r="DN326" s="50" t="str">
        <f>IF(DN143=-1,"x",IF(OR(DN241=1,DN$228=1,$GU143=1),DN143,0))</f>
        <v>x</v>
      </c>
      <c r="DO326" s="51" t="str">
        <f>IF(DO143=-1,"x",IF(OR(DO241=1,DO$228=1,$GV143=1),DO143,0))</f>
        <v>x</v>
      </c>
      <c r="DP326" s="52" t="str">
        <f>IF(DP143=-1,"x",IF(OR(DP241=1,DP$228=1,$GT143=1),DP143,0))</f>
        <v>x</v>
      </c>
      <c r="DQ326" s="50" t="str">
        <f>IF(DQ143=-1,"x",IF(OR(DQ241=1,DQ$228=1,$GU143=1),DQ143,0))</f>
        <v>x</v>
      </c>
      <c r="DR326" s="53" t="str">
        <f>IF(DR143=-1,"x",IF(OR(DR241=1,DR$228=1,$GV143=1),DR143,0))</f>
        <v>x</v>
      </c>
      <c r="DS326" s="49" t="str">
        <f>IF(DS143=-1,"x",IF(OR(DS241=1,DS$228=1,$GT143=1),DS143,0))</f>
        <v>x</v>
      </c>
      <c r="DT326" s="50" t="str">
        <f>IF(DT143=-1,"x",IF(OR(DT241=1,DT$228=1,$GU143=1),DT143,0))</f>
        <v>x</v>
      </c>
      <c r="DU326" s="51" t="str">
        <f>IF(DU143=-1,"x",IF(OR(DU241=1,DU$228=1,$GV143=1),DU143,0))</f>
        <v>x</v>
      </c>
      <c r="DV326" s="52" t="str">
        <f>IF(DV143=-1,"x",IF(OR(DV241=1,DV$228=1,$GT143=1),DV143,0))</f>
        <v>x</v>
      </c>
      <c r="DW326" s="50" t="str">
        <f>IF(DW143=-1,"x",IF(OR(DW241=1,DW$228=1,$GU143=1),DW143,0))</f>
        <v>x</v>
      </c>
      <c r="DX326" s="51" t="str">
        <f>IF(DX143=-1,"x",IF(OR(DX241=1,DX$228=1,$GV143=1),DX143,0))</f>
        <v>x</v>
      </c>
      <c r="DY326" s="52" t="str">
        <f>IF(DY143=-1,"x",IF(OR(DY241=1,DY$228=1,$GT143=1),DY143,0))</f>
        <v>x</v>
      </c>
      <c r="DZ326" s="50" t="str">
        <f>IF(DZ143=-1,"x",IF(OR(DZ241=1,DZ$228=1,$GU143=1),DZ143,0))</f>
        <v>x</v>
      </c>
      <c r="EA326" s="53" t="str">
        <f>IF(EA143=-1,"x",IF(OR(EA241=1,EA$228=1,$GV143=1),EA143,0))</f>
        <v>x</v>
      </c>
      <c r="EB326" s="49" t="str">
        <f>IF(EB143=-1,"x",IF(OR(EB241=1,EB$228=1,$GT143=1),EB143,0))</f>
        <v>x</v>
      </c>
      <c r="EC326" s="50" t="str">
        <f>IF(EC143=-1,"x",IF(OR(EC241=1,EC$228=1,$GU143=1),EC143,0))</f>
        <v>x</v>
      </c>
      <c r="ED326" s="51" t="str">
        <f>IF(ED143=-1,"x",IF(OR(ED241=1,ED$228=1,$GV143=1),ED143,0))</f>
        <v>x</v>
      </c>
      <c r="EE326" s="52" t="str">
        <f>IF(EE143=-1,"x",IF(OR(EE241=1,EE$228=1,$GT143=1),EE143,0))</f>
        <v>x</v>
      </c>
      <c r="EF326" s="50" t="str">
        <f>IF(EF143=-1,"x",IF(OR(EF241=1,EF$228=1,$GU143=1),EF143,0))</f>
        <v>x</v>
      </c>
      <c r="EG326" s="51" t="str">
        <f>IF(EG143=-1,"x",IF(OR(EG241=1,EG$228=1,$GV143=1),EG143,0))</f>
        <v>x</v>
      </c>
      <c r="EH326" s="52" t="str">
        <f>IF(EH143=-1,"x",IF(OR(EH241=1,EH$228=1,$GT143=1),EH143,0))</f>
        <v>x</v>
      </c>
      <c r="EI326" s="50" t="str">
        <f>IF(EI143=-1,"x",IF(OR(EI241=1,EI$228=1,$GU143=1),EI143,0))</f>
        <v>x</v>
      </c>
      <c r="EJ326" s="105" t="str">
        <f>IF(EJ143=-1,"x",IF(OR(EJ241=1,EJ$228=1,$GV143=1),EJ143,0))</f>
        <v>x</v>
      </c>
      <c r="EK326" s="104" t="str">
        <f>IF(EK143=-1,"x",IF(OR(EK241=1,EK$228=1,$GT143=1),EK143,0))</f>
        <v>x</v>
      </c>
      <c r="EL326" s="50" t="str">
        <f>IF(EL143=-1,"x",IF(OR(EL241=1,EL$228=1,$GU143=1),EL143,0))</f>
        <v>x</v>
      </c>
      <c r="EM326" s="51" t="str">
        <f>IF(EM143=-1,"x",IF(OR(EM241=1,EM$228=1,$GV143=1),EM143,0))</f>
        <v>x</v>
      </c>
      <c r="EN326" s="52" t="str">
        <f>IF(EN143=-1,"x",IF(OR(EN241=1,EN$228=1,$GT143=1),EN143,0))</f>
        <v>x</v>
      </c>
      <c r="EO326" s="50" t="str">
        <f>IF(EO143=-1,"x",IF(OR(EO241=1,EO$228=1,$GU143=1),EO143,0))</f>
        <v>x</v>
      </c>
      <c r="EP326" s="51" t="str">
        <f>IF(EP143=-1,"x",IF(OR(EP241=1,EP$228=1,$GV143=1),EP143,0))</f>
        <v>x</v>
      </c>
      <c r="EQ326" s="52" t="str">
        <f>IF(EQ143=-1,"x",IF(OR(EQ241=1,EQ$228=1,$GT143=1),EQ143,0))</f>
        <v>x</v>
      </c>
      <c r="ER326" s="50" t="str">
        <f>IF(ER143=-1,"x",IF(OR(ER241=1,ER$228=1,$GU143=1),ER143,0))</f>
        <v>x</v>
      </c>
      <c r="ES326" s="53" t="str">
        <f>IF(ES143=-1,"x",IF(OR(ES241=1,ES$228=1,$GV143=1),ES143,0))</f>
        <v>x</v>
      </c>
      <c r="ET326" s="49">
        <f>IF(ET143=-1,"x",IF(OR(ET241=1,ET$228=1,$GT143=1),ET143,0))</f>
        <v>0</v>
      </c>
      <c r="EU326" s="50">
        <f>IF(EU143=-1,"x",IF(OR(EU241=1,EU$228=1,$GU143=1),EU143,0))</f>
        <v>0</v>
      </c>
      <c r="EV326" s="51">
        <f>IF(EV143=-1,"x",IF(OR(EV241=1,EV$228=1,$GV143=1),EV143,0))</f>
        <v>0</v>
      </c>
      <c r="EW326" s="52">
        <f>IF(EW143=-1,"x",IF(OR(EW241=1,EW$228=1,$GT143=1),EW143,0))</f>
        <v>0</v>
      </c>
      <c r="EX326" s="50">
        <f>IF(EX143=-1,"x",IF(OR(EX241=1,EX$228=1,$GU143=1),EX143,0))</f>
        <v>0</v>
      </c>
      <c r="EY326" s="51">
        <f>IF(EY143=-1,"x",IF(OR(EY241=1,EY$228=1,$GV143=1),EY143,0))</f>
        <v>0</v>
      </c>
      <c r="EZ326" s="52" t="str">
        <f>IF(EZ143=-1,"x",IF(OR(EZ241=1,EZ$228=1,$GT143=1),EZ143,0))</f>
        <v>x</v>
      </c>
      <c r="FA326" s="50" t="str">
        <f>IF(FA143=-1,"x",IF(OR(FA241=1,FA$228=1,$GU143=1),FA143,0))</f>
        <v>x</v>
      </c>
      <c r="FB326" s="53" t="str">
        <f>IF(FB143=-1,"x",IF(OR(FB241=1,FB$228=1,$GV143=1),FB143,0))</f>
        <v>x</v>
      </c>
      <c r="FC326" s="49" t="str">
        <f>IF(FC143=-1,"x",IF(OR(FC241=1,FC$228=1,$GT143=1),FC143,0))</f>
        <v>x</v>
      </c>
      <c r="FD326" s="50" t="str">
        <f>IF(FD143=-1,"x",IF(OR(FD241=1,FD$228=1,$GU143=1),FD143,0))</f>
        <v>x</v>
      </c>
      <c r="FE326" s="51" t="str">
        <f>IF(FE143=-1,"x",IF(OR(FE241=1,FE$228=1,$GV143=1),FE143,0))</f>
        <v>x</v>
      </c>
      <c r="FF326" s="52" t="str">
        <f>IF(FF143=-1,"x",IF(OR(FF241=1,FF$228=1,$GT143=1),FF143,0))</f>
        <v>x</v>
      </c>
      <c r="FG326" s="50" t="str">
        <f>IF(FG143=-1,"x",IF(OR(FG241=1,FG$228=1,$GU143=1),FG143,0))</f>
        <v>x</v>
      </c>
      <c r="FH326" s="51" t="str">
        <f>IF(FH143=-1,"x",IF(OR(FH241=1,FH$228=1,$GV143=1),FH143,0))</f>
        <v>x</v>
      </c>
      <c r="FI326" s="52" t="str">
        <f>IF(FI143=-1,"x",IF(OR(FI241=1,FI$228=1,$GT143=1),FI143,0))</f>
        <v>x</v>
      </c>
      <c r="FJ326" s="50" t="str">
        <f>IF(FJ143=-1,"x",IF(OR(FJ241=1,FJ$228=1,$GU143=1),FJ143,0))</f>
        <v>x</v>
      </c>
      <c r="FK326" s="105" t="str">
        <f>IF(FK143=-1,"x",IF(OR(FK241=1,FK$228=1,$GV143=1),FK143,0))</f>
        <v>x</v>
      </c>
      <c r="FL326" s="104" t="str">
        <f>IF(FL143=-1,"x",IF(OR(FL241=1,FL$228=1,$GT143=1),FL143,0))</f>
        <v>x</v>
      </c>
      <c r="FM326" s="50" t="str">
        <f>IF(FM143=-1,"x",IF(OR(FM241=1,FM$228=1,$GU143=1),FM143,0))</f>
        <v>x</v>
      </c>
      <c r="FN326" s="51" t="str">
        <f>IF(FN143=-1,"x",IF(OR(FN241=1,FN$228=1,$GV143=1),FN143,0))</f>
        <v>x</v>
      </c>
      <c r="FO326" s="52" t="str">
        <f>IF(FO143=-1,"x",IF(OR(FO241=1,FO$228=1,$GT143=1),FO143,0))</f>
        <v>x</v>
      </c>
      <c r="FP326" s="50" t="str">
        <f>IF(FP143=-1,"x",IF(OR(FP241=1,FP$228=1,$GU143=1),FP143,0))</f>
        <v>x</v>
      </c>
      <c r="FQ326" s="51" t="str">
        <f>IF(FQ143=-1,"x",IF(OR(FQ241=1,FQ$228=1,$GV143=1),FQ143,0))</f>
        <v>x</v>
      </c>
      <c r="FR326" s="52" t="str">
        <f>IF(FR143=-1,"x",IF(OR(FR241=1,FR$228=1,$GT143=1),FR143,0))</f>
        <v>x</v>
      </c>
      <c r="FS326" s="50" t="str">
        <f>IF(FS143=-1,"x",IF(OR(FS241=1,FS$228=1,$GU143=1),FS143,0))</f>
        <v>x</v>
      </c>
      <c r="FT326" s="53" t="str">
        <f>IF(FT143=-1,"x",IF(OR(FT241=1,FT$228=1,$GV143=1),FT143,0))</f>
        <v>x</v>
      </c>
      <c r="FU326" s="49" t="str">
        <f>IF(FU143=-1,"x",IF(OR(FU241=1,FU$228=1,$GT143=1),FU143,0))</f>
        <v>x</v>
      </c>
      <c r="FV326" s="50" t="str">
        <f>IF(FV143=-1,"x",IF(OR(FV241=1,FV$228=1,$GU143=1),FV143,0))</f>
        <v>x</v>
      </c>
      <c r="FW326" s="51" t="str">
        <f>IF(FW143=-1,"x",IF(OR(FW241=1,FW$228=1,$GV143=1),FW143,0))</f>
        <v>x</v>
      </c>
      <c r="FX326" s="52" t="str">
        <f>IF(FX143=-1,"x",IF(OR(FX241=1,FX$228=1,$GT143=1),FX143,0))</f>
        <v>x</v>
      </c>
      <c r="FY326" s="50" t="str">
        <f>IF(FY143=-1,"x",IF(OR(FY241=1,FY$228=1,$GU143=1),FY143,0))</f>
        <v>x</v>
      </c>
      <c r="FZ326" s="51" t="str">
        <f>IF(FZ143=-1,"x",IF(OR(FZ241=1,FZ$228=1,$GV143=1),FZ143,0))</f>
        <v>x</v>
      </c>
      <c r="GA326" s="52" t="str">
        <f>IF(GA143=-1,"x",IF(OR(GA241=1,GA$228=1,$GT143=1),GA143,0))</f>
        <v>x</v>
      </c>
      <c r="GB326" s="50" t="str">
        <f>IF(GB143=-1,"x",IF(OR(GB241=1,GB$228=1,$GU143=1),GB143,0))</f>
        <v>x</v>
      </c>
      <c r="GC326" s="53" t="str">
        <f>IF(GC143=-1,"x",IF(OR(GC241=1,GC$228=1,$GV143=1),GC143,0))</f>
        <v>x</v>
      </c>
      <c r="GD326" s="49" t="str">
        <f>IF(GD143=-1,"x",IF(OR(GD241=1,GD$228=1,$GT143=1),GD143,0))</f>
        <v>x</v>
      </c>
      <c r="GE326" s="50" t="str">
        <f>IF(GE143=-1,"x",IF(OR(GE241=1,GE$228=1,$GU143=1),GE143,0))</f>
        <v>x</v>
      </c>
      <c r="GF326" s="51" t="str">
        <f>IF(GF143=-1,"x",IF(OR(GF241=1,GF$228=1,$GV143=1),GF143,0))</f>
        <v>x</v>
      </c>
      <c r="GG326" s="52" t="str">
        <f>IF(GG143=-1,"x",IF(OR(GG241=1,GG$228=1,$GT143=1),GG143,0))</f>
        <v>x</v>
      </c>
      <c r="GH326" s="50" t="str">
        <f>IF(GH143=-1,"x",IF(OR(GH241=1,GH$228=1,$GU143=1),GH143,0))</f>
        <v>x</v>
      </c>
      <c r="GI326" s="51" t="str">
        <f>IF(GI143=-1,"x",IF(OR(GI241=1,GI$228=1,$GV143=1),GI143,0))</f>
        <v>x</v>
      </c>
      <c r="GJ326" s="52">
        <f>IF(GJ143=-1,"x",IF(OR(GJ241=1,GJ$228=1,$GT143=1),GJ143,0))</f>
        <v>0</v>
      </c>
      <c r="GK326" s="50">
        <f>IF(GK143=-1,"x",IF(OR(GK241=1,GK$228=1,$GU143=1),GK143,0))</f>
        <v>0</v>
      </c>
      <c r="GL326" s="105">
        <f>IF(GL143=-1,"x",IF(OR(GL241=1,GL$228=1,$GV143=1),GL143,0))</f>
        <v>0</v>
      </c>
    </row>
    <row r="327" spans="14:194" ht="15" customHeight="1">
      <c r="N327" s="94" t="str">
        <f>IF(N144=-1,"x",IF(OR(N242=1,N$196=1,$CX144=1),N144,0))</f>
        <v>x</v>
      </c>
      <c r="O327" s="39" t="str">
        <f>IF(O144=-1,"x",IF(OR(O242=1,O$196=1,$CY144=1),O144,0))</f>
        <v>x</v>
      </c>
      <c r="P327" s="41" t="str">
        <f>IF(P144=-1,"x",IF(OR(P242=1,P$196=1,$CZ144=1),P144,0))</f>
        <v>x</v>
      </c>
      <c r="Q327" s="40" t="str">
        <f>IF(Q144=-1,"x",IF(OR(Q242=1,Q$196=1,$CX144=1),Q144,0))</f>
        <v>x</v>
      </c>
      <c r="R327" s="39" t="str">
        <f>IF(R144=-1,"x",IF(OR(R242=1,R$196=1,$CY144=1),R144,0))</f>
        <v>x</v>
      </c>
      <c r="S327" s="41" t="str">
        <f>IF(S144=-1,"x",IF(OR(S242=1,S$196=1,$CZ144=1),S144,0))</f>
        <v>x</v>
      </c>
      <c r="T327" s="40" t="str">
        <f>IF(T144=-1,"x",IF(OR(T242=1,T$196=1,$CX144=1),T144,0))</f>
        <v>x</v>
      </c>
      <c r="U327" s="39" t="str">
        <f>IF(U144=-1,"x",IF(OR(U242=1,U$196=1,$CY144=1),U144,0))</f>
        <v>x</v>
      </c>
      <c r="V327" s="42" t="str">
        <f>IF(V144=-1,"x",IF(OR(V242=1,V$196=1,$CZ144=1),V144,0))</f>
        <v>x</v>
      </c>
      <c r="W327" s="43" t="str">
        <f>IF(W144=-1,"x",IF(OR(W242=1,W$196=1,$CX144=1),W144,0))</f>
        <v>x</v>
      </c>
      <c r="X327" s="39" t="str">
        <f>IF(X144=-1,"x",IF(OR(X242=1,X$196=1,$CY144=1),X144,0))</f>
        <v>x</v>
      </c>
      <c r="Y327" s="41" t="str">
        <f>IF(Y144=-1,"x",IF(OR(Y242=1,Y$196=1,$CZ144=1),Y144,0))</f>
        <v>x</v>
      </c>
      <c r="Z327" s="40" t="str">
        <f>IF(Z144=-1,"x",IF(OR(Z242=1,Z$196=1,$CX144=1),Z144,0))</f>
        <v>x</v>
      </c>
      <c r="AA327" s="39" t="str">
        <f>IF(AA144=-1,"x",IF(OR(AA242=1,AA$196=1,$CY144=1),AA144,0))</f>
        <v>x</v>
      </c>
      <c r="AB327" s="41" t="str">
        <f>IF(AB144=-1,"x",IF(OR(AB242=1,AB$196=1,$CZ144=1),AB144,0))</f>
        <v>x</v>
      </c>
      <c r="AC327" s="40" t="str">
        <f>IF(AC144=-1,"x",IF(OR(AC242=1,AC$196=1,$CX144=1),AC144,0))</f>
        <v>x</v>
      </c>
      <c r="AD327" s="39" t="str">
        <f>IF(AD144=-1,"x",IF(OR(AD242=1,AD$196=1,$CY144=1),AD144,0))</f>
        <v>x</v>
      </c>
      <c r="AE327" s="42" t="str">
        <f>IF(AE144=-1,"x",IF(OR(AE242=1,AE$196=1,$CZ144=1),AE144,0))</f>
        <v>x</v>
      </c>
      <c r="AF327" s="43" t="str">
        <f>IF(AF144=-1,"x",IF(OR(AF242=1,AF$196=1,$CX144=1),AF144,0))</f>
        <v>x</v>
      </c>
      <c r="AG327" s="39" t="str">
        <f>IF(AG144=-1,"x",IF(OR(AG242=1,AG$196=1,$CY144=1),AG144,0))</f>
        <v>x</v>
      </c>
      <c r="AH327" s="41" t="str">
        <f>IF(AH144=-1,"x",IF(OR(AH242=1,AH$196=1,$CZ144=1),AH144,0))</f>
        <v>x</v>
      </c>
      <c r="AI327" s="40" t="str">
        <f>IF(AI144=-1,"x",IF(OR(AI242=1,AI$196=1,$CX144=1),AI144,0))</f>
        <v>x</v>
      </c>
      <c r="AJ327" s="39" t="str">
        <f>IF(AJ144=-1,"x",IF(OR(AJ242=1,AJ$196=1,$CY144=1),AJ144,0))</f>
        <v>x</v>
      </c>
      <c r="AK327" s="41" t="str">
        <f>IF(AK144=-1,"x",IF(OR(AK242=1,AK$196=1,$CZ144=1),AK144,0))</f>
        <v>x</v>
      </c>
      <c r="AL327" s="40" t="str">
        <f>IF(AL144=-1,"x",IF(OR(AL242=1,AL$196=1,$CX144=1),AL144,0))</f>
        <v>x</v>
      </c>
      <c r="AM327" s="39" t="str">
        <f>IF(AM144=-1,"x",IF(OR(AM242=1,AM$196=1,$CY144=1),AM144,0))</f>
        <v>x</v>
      </c>
      <c r="AN327" s="95" t="str">
        <f>IF(AN144=-1,"x",IF(OR(AN242=1,AN$196=1,$CZ144=1),AN144,0))</f>
        <v>x</v>
      </c>
      <c r="AO327" s="94" t="str">
        <f>IF(AO144=-1,"x",IF(OR(AO242=1,AO$196=1,$CX144=1),AO144,0))</f>
        <v>x</v>
      </c>
      <c r="AP327" s="39" t="str">
        <f>IF(AP144=-1,"x",IF(OR(AP242=1,AP$196=1,$CY144=1),AP144,0))</f>
        <v>x</v>
      </c>
      <c r="AQ327" s="41" t="str">
        <f>IF(AQ144=-1,"x",IF(OR(AQ242=1,AQ$196=1,$CZ144=1),AQ144,0))</f>
        <v>x</v>
      </c>
      <c r="AR327" s="40" t="str">
        <f>IF(AR144=-1,"x",IF(OR(AR242=1,AR$196=1,$CX144=1),AR144,0))</f>
        <v>x</v>
      </c>
      <c r="AS327" s="39" t="str">
        <f>IF(AS144=-1,"x",IF(OR(AS242=1,AS$196=1,$CY144=1),AS144,0))</f>
        <v>x</v>
      </c>
      <c r="AT327" s="41" t="str">
        <f>IF(AT144=-1,"x",IF(OR(AT242=1,AT$196=1,$CZ144=1),AT144,0))</f>
        <v>x</v>
      </c>
      <c r="AU327" s="40">
        <f>IF(AU144=-1,"x",IF(OR(AU242=1,AU$196=1,$CX144=1),AU144,0))</f>
        <v>0</v>
      </c>
      <c r="AV327" s="39">
        <f>IF(AV144=-1,"x",IF(OR(AV242=1,AV$196=1,$CY144=1),AV144,0))</f>
        <v>0</v>
      </c>
      <c r="AW327" s="42">
        <f>IF(AW144=-1,"x",IF(OR(AW242=1,AW$196=1,$CZ144=1),AW144,0))</f>
        <v>0</v>
      </c>
      <c r="AX327" s="43" t="str">
        <f>IF(AX144=-1,"x",IF(OR(AX242=1,AX$196=1,$CX144=1),AX144,0))</f>
        <v>x</v>
      </c>
      <c r="AY327" s="39" t="str">
        <f>IF(AY144=-1,"x",IF(OR(AY242=1,AY$196=1,$CY144=1),AY144,0))</f>
        <v>x</v>
      </c>
      <c r="AZ327" s="41" t="str">
        <f>IF(AZ144=-1,"x",IF(OR(AZ242=1,AZ$196=1,$CZ144=1),AZ144,0))</f>
        <v>x</v>
      </c>
      <c r="BA327" s="40" t="str">
        <f>IF(BA144=-1,"x",IF(OR(BA242=1,BA$196=1,$CX144=1),BA144,0))</f>
        <v>x</v>
      </c>
      <c r="BB327" s="39" t="str">
        <f>IF(BB144=-1,"x",IF(OR(BB242=1,BB$196=1,$CY144=1),BB144,0))</f>
        <v>x</v>
      </c>
      <c r="BC327" s="41" t="str">
        <f>IF(BC144=-1,"x",IF(OR(BC242=1,BC$196=1,$CZ144=1),BC144,0))</f>
        <v>x</v>
      </c>
      <c r="BD327" s="40">
        <f>IF(BD144=-1,"x",IF(OR(BD242=1,BD$196=1,$CX144=1),BD144,0))</f>
        <v>0</v>
      </c>
      <c r="BE327" s="39">
        <f>IF(BE144=-1,"x",IF(OR(BE242=1,BE$196=1,$CY144=1),BE144,0))</f>
        <v>0</v>
      </c>
      <c r="BF327" s="42">
        <f>IF(BF144=-1,"x",IF(OR(BF242=1,BF$196=1,$CZ144=1),BF144,0))</f>
        <v>0</v>
      </c>
      <c r="BG327" s="43" t="str">
        <f>IF(BG144=-1,"x",IF(OR(BG242=1,BG$196=1,$CX144=1),BG144,0))</f>
        <v>x</v>
      </c>
      <c r="BH327" s="39" t="str">
        <f>IF(BH144=-1,"x",IF(OR(BH242=1,BH$196=1,$CY144=1),BH144,0))</f>
        <v>x</v>
      </c>
      <c r="BI327" s="41" t="str">
        <f>IF(BI144=-1,"x",IF(OR(BI242=1,BI$196=1,$CZ144=1),BI144,0))</f>
        <v>x</v>
      </c>
      <c r="BJ327" s="40" t="str">
        <f>IF(BJ144=-1,"x",IF(OR(BJ242=1,BJ$196=1,$CX144=1),BJ144,0))</f>
        <v>x</v>
      </c>
      <c r="BK327" s="39" t="str">
        <f>IF(BK144=-1,"x",IF(OR(BK242=1,BK$196=1,$CY144=1),BK144,0))</f>
        <v>x</v>
      </c>
      <c r="BL327" s="41" t="str">
        <f>IF(BL144=-1,"x",IF(OR(BL242=1,BL$196=1,$CZ144=1),BL144,0))</f>
        <v>x</v>
      </c>
      <c r="BM327" s="40" t="str">
        <f>IF(BM144=-1,"x",IF(OR(BM242=1,BM$196=1,$CX144=1),BM144,0))</f>
        <v>x</v>
      </c>
      <c r="BN327" s="39" t="str">
        <f>IF(BN144=-1,"x",IF(OR(BN242=1,BN$196=1,$CY144=1),BN144,0))</f>
        <v>x</v>
      </c>
      <c r="BO327" s="95" t="str">
        <f>IF(BO144=-1,"x",IF(OR(BO242=1,BO$196=1,$CZ144=1),BO144,0))</f>
        <v>x</v>
      </c>
      <c r="BP327" s="94" t="str">
        <f>IF(BP144=-1,"x",IF(OR(BP242=1,BP$196=1,$CX144=1),BP144,0))</f>
        <v>x</v>
      </c>
      <c r="BQ327" s="39" t="str">
        <f>IF(BQ144=-1,"x",IF(OR(BQ242=1,BQ$196=1,$CY144=1),BQ144,0))</f>
        <v>x</v>
      </c>
      <c r="BR327" s="41" t="str">
        <f>IF(BR144=-1,"x",IF(OR(BR242=1,BR$196=1,$CZ144=1),BR144,0))</f>
        <v>x</v>
      </c>
      <c r="BS327" s="40" t="str">
        <f>IF(BS144=-1,"x",IF(OR(BS242=1,BS$196=1,$CX144=1),BS144,0))</f>
        <v>x</v>
      </c>
      <c r="BT327" s="39" t="str">
        <f>IF(BT144=-1,"x",IF(OR(BT242=1,BT$196=1,$CY144=1),BT144,0))</f>
        <v>x</v>
      </c>
      <c r="BU327" s="41" t="str">
        <f>IF(BU144=-1,"x",IF(OR(BU242=1,BU$196=1,$CZ144=1),BU144,0))</f>
        <v>x</v>
      </c>
      <c r="BV327" s="40" t="str">
        <f>IF(BV144=-1,"x",IF(OR(BV242=1,BV$196=1,$CX144=1),BV144,0))</f>
        <v>x</v>
      </c>
      <c r="BW327" s="39" t="str">
        <f>IF(BW144=-1,"x",IF(OR(BW242=1,BW$196=1,$CY144=1),BW144,0))</f>
        <v>x</v>
      </c>
      <c r="BX327" s="42" t="str">
        <f>IF(BX144=-1,"x",IF(OR(BX242=1,BX$196=1,$CZ144=1),BX144,0))</f>
        <v>x</v>
      </c>
      <c r="BY327" s="43" t="str">
        <f>IF(BY144=-1,"x",IF(OR(BY242=1,BY$196=1,$CX144=1),BY144,0))</f>
        <v>x</v>
      </c>
      <c r="BZ327" s="39" t="str">
        <f>IF(BZ144=-1,"x",IF(OR(BZ242=1,BZ$196=1,$CY144=1),BZ144,0))</f>
        <v>x</v>
      </c>
      <c r="CA327" s="41" t="str">
        <f>IF(CA144=-1,"x",IF(OR(CA242=1,CA$196=1,$CZ144=1),CA144,0))</f>
        <v>x</v>
      </c>
      <c r="CB327" s="40" t="str">
        <f>IF(CB144=-1,"x",IF(OR(CB242=1,CB$196=1,$CX144=1),CB144,0))</f>
        <v>x</v>
      </c>
      <c r="CC327" s="39" t="str">
        <f>IF(CC144=-1,"x",IF(OR(CC242=1,CC$196=1,$CY144=1),CC144,0))</f>
        <v>x</v>
      </c>
      <c r="CD327" s="41" t="str">
        <f>IF(CD144=-1,"x",IF(OR(CD242=1,CD$196=1,$CZ144=1),CD144,0))</f>
        <v>x</v>
      </c>
      <c r="CE327" s="40" t="str">
        <f>IF(CE144=-1,"x",IF(OR(CE242=1,CE$196=1,$CX144=1),CE144,0))</f>
        <v>x</v>
      </c>
      <c r="CF327" s="39" t="str">
        <f>IF(CF144=-1,"x",IF(OR(CF242=1,CF$196=1,$CY144=1),CF144,0))</f>
        <v>x</v>
      </c>
      <c r="CG327" s="42" t="str">
        <f>IF(CG144=-1,"x",IF(OR(CG242=1,CG$196=1,$CZ144=1),CG144,0))</f>
        <v>x</v>
      </c>
      <c r="CH327" s="43">
        <f>IF(CH144=-1,"x",IF(OR(CH242=1,CH$196=1,$CX144=1),CH144,0))</f>
        <v>0</v>
      </c>
      <c r="CI327" s="39">
        <f>IF(CI144=-1,"x",IF(OR(CI242=1,CI$196=1,$CY144=1),CI144,0))</f>
        <v>0</v>
      </c>
      <c r="CJ327" s="41">
        <f>IF(CJ144=-1,"x",IF(OR(CJ242=1,CJ$196=1,$CZ144=1),CJ144,0))</f>
        <v>0</v>
      </c>
      <c r="CK327" s="40" t="str">
        <f>IF(CK144=-1,"x",IF(OR(CK242=1,CK$196=1,$CX144=1),CK144,0))</f>
        <v>x</v>
      </c>
      <c r="CL327" s="39" t="str">
        <f>IF(CL144=-1,"x",IF(OR(CL242=1,CL$196=1,$CY144=1),CL144,0))</f>
        <v>x</v>
      </c>
      <c r="CM327" s="41" t="str">
        <f>IF(CM144=-1,"x",IF(OR(CM242=1,CM$196=1,$CZ144=1),CM144,0))</f>
        <v>x</v>
      </c>
      <c r="CN327" s="40" t="str">
        <f>IF(CN144=-1,"x",IF(OR(CN242=1,CN$196=1,$CX144=1),CN144,0))</f>
        <v>x</v>
      </c>
      <c r="CO327" s="39" t="str">
        <f>IF(CO144=-1,"x",IF(OR(CO242=1,CO$196=1,$CY144=1),CO144,0))</f>
        <v>x</v>
      </c>
      <c r="CP327" s="95" t="str">
        <f>IF(CP144=-1,"x",IF(OR(CP242=1,CP$196=1,$CZ144=1),CP144,0))</f>
        <v>x</v>
      </c>
      <c r="DJ327" s="94">
        <f>IF(DJ144=-1,"x",IF(OR(DJ242=1,DJ$229=1,$GT144=1),DJ144,0))</f>
        <v>0</v>
      </c>
      <c r="DK327" s="39">
        <f>IF(DK144=-1,"x",IF(OR(DK242=1,DK$229=1,$GU144=1),DK144,0))</f>
        <v>0</v>
      </c>
      <c r="DL327" s="41">
        <f>IF(DL144=-1,"x",IF(OR(DL242=1,DL$229=1,$GV144=1),DL144,0))</f>
        <v>0</v>
      </c>
      <c r="DM327" s="40" t="str">
        <f>IF(DM144=-1,"x",IF(OR(DM242=1,DM$229=1,$GT144=1),DM144,0))</f>
        <v>x</v>
      </c>
      <c r="DN327" s="39" t="str">
        <f>IF(DN144=-1,"x",IF(OR(DN242=1,DN$229=1,$GU144=1),DN144,0))</f>
        <v>x</v>
      </c>
      <c r="DO327" s="41" t="str">
        <f>IF(DO144=-1,"x",IF(OR(DO242=1,DO$229=1,$GV144=1),DO144,0))</f>
        <v>x</v>
      </c>
      <c r="DP327" s="40" t="str">
        <f>IF(DP144=-1,"x",IF(OR(DP242=1,DP$229=1,$GT144=1),DP144,0))</f>
        <v>x</v>
      </c>
      <c r="DQ327" s="39" t="str">
        <f>IF(DQ144=-1,"x",IF(OR(DQ242=1,DQ$229=1,$GU144=1),DQ144,0))</f>
        <v>x</v>
      </c>
      <c r="DR327" s="42" t="str">
        <f>IF(DR144=-1,"x",IF(OR(DR242=1,DR$229=1,$GV144=1),DR144,0))</f>
        <v>x</v>
      </c>
      <c r="DS327" s="43" t="str">
        <f>IF(DS144=-1,"x",IF(OR(DS242=1,DS$229=1,$GT144=1),DS144,0))</f>
        <v>x</v>
      </c>
      <c r="DT327" s="39" t="str">
        <f>IF(DT144=-1,"x",IF(OR(DT242=1,DT$229=1,$GU144=1),DT144,0))</f>
        <v>x</v>
      </c>
      <c r="DU327" s="41" t="str">
        <f>IF(DU144=-1,"x",IF(OR(DU242=1,DU$229=1,$GV144=1),DU144,0))</f>
        <v>x</v>
      </c>
      <c r="DV327" s="40" t="str">
        <f>IF(DV144=-1,"x",IF(OR(DV242=1,DV$229=1,$GT144=1),DV144,0))</f>
        <v>x</v>
      </c>
      <c r="DW327" s="39" t="str">
        <f>IF(DW144=-1,"x",IF(OR(DW242=1,DW$229=1,$GU144=1),DW144,0))</f>
        <v>x</v>
      </c>
      <c r="DX327" s="41" t="str">
        <f>IF(DX144=-1,"x",IF(OR(DX242=1,DX$229=1,$GV144=1),DX144,0))</f>
        <v>x</v>
      </c>
      <c r="DY327" s="40" t="str">
        <f>IF(DY144=-1,"x",IF(OR(DY242=1,DY$229=1,$GT144=1),DY144,0))</f>
        <v>x</v>
      </c>
      <c r="DZ327" s="39" t="str">
        <f>IF(DZ144=-1,"x",IF(OR(DZ242=1,DZ$229=1,$GU144=1),DZ144,0))</f>
        <v>x</v>
      </c>
      <c r="EA327" s="42" t="str">
        <f>IF(EA144=-1,"x",IF(OR(EA242=1,EA$229=1,$GV144=1),EA144,0))</f>
        <v>x</v>
      </c>
      <c r="EB327" s="43" t="str">
        <f>IF(EB144=-1,"x",IF(OR(EB242=1,EB$229=1,$GT144=1),EB144,0))</f>
        <v>x</v>
      </c>
      <c r="EC327" s="39" t="str">
        <f>IF(EC144=-1,"x",IF(OR(EC242=1,EC$229=1,$GU144=1),EC144,0))</f>
        <v>x</v>
      </c>
      <c r="ED327" s="41" t="str">
        <f>IF(ED144=-1,"x",IF(OR(ED242=1,ED$229=1,$GV144=1),ED144,0))</f>
        <v>x</v>
      </c>
      <c r="EE327" s="40" t="str">
        <f>IF(EE144=-1,"x",IF(OR(EE242=1,EE$229=1,$GT144=1),EE144,0))</f>
        <v>x</v>
      </c>
      <c r="EF327" s="39" t="str">
        <f>IF(EF144=-1,"x",IF(OR(EF242=1,EF$229=1,$GU144=1),EF144,0))</f>
        <v>x</v>
      </c>
      <c r="EG327" s="41" t="str">
        <f>IF(EG144=-1,"x",IF(OR(EG242=1,EG$229=1,$GV144=1),EG144,0))</f>
        <v>x</v>
      </c>
      <c r="EH327" s="40" t="str">
        <f>IF(EH144=-1,"x",IF(OR(EH242=1,EH$229=1,$GT144=1),EH144,0))</f>
        <v>x</v>
      </c>
      <c r="EI327" s="39" t="str">
        <f>IF(EI144=-1,"x",IF(OR(EI242=1,EI$229=1,$GU144=1),EI144,0))</f>
        <v>x</v>
      </c>
      <c r="EJ327" s="95" t="str">
        <f>IF(EJ144=-1,"x",IF(OR(EJ242=1,EJ$229=1,$GV144=1),EJ144,0))</f>
        <v>x</v>
      </c>
      <c r="EK327" s="94" t="str">
        <f>IF(EK144=-1,"x",IF(OR(EK242=1,EK$229=1,$GT144=1),EK144,0))</f>
        <v>x</v>
      </c>
      <c r="EL327" s="39" t="str">
        <f>IF(EL144=-1,"x",IF(OR(EL242=1,EL$229=1,$GU144=1),EL144,0))</f>
        <v>x</v>
      </c>
      <c r="EM327" s="41" t="str">
        <f>IF(EM144=-1,"x",IF(OR(EM242=1,EM$229=1,$GV144=1),EM144,0))</f>
        <v>x</v>
      </c>
      <c r="EN327" s="40" t="str">
        <f>IF(EN144=-1,"x",IF(OR(EN242=1,EN$229=1,$GT144=1),EN144,0))</f>
        <v>x</v>
      </c>
      <c r="EO327" s="39" t="str">
        <f>IF(EO144=-1,"x",IF(OR(EO242=1,EO$229=1,$GU144=1),EO144,0))</f>
        <v>x</v>
      </c>
      <c r="EP327" s="41" t="str">
        <f>IF(EP144=-1,"x",IF(OR(EP242=1,EP$229=1,$GV144=1),EP144,0))</f>
        <v>x</v>
      </c>
      <c r="EQ327" s="40" t="str">
        <f>IF(EQ144=-1,"x",IF(OR(EQ242=1,EQ$229=1,$GT144=1),EQ144,0))</f>
        <v>x</v>
      </c>
      <c r="ER327" s="39" t="str">
        <f>IF(ER144=-1,"x",IF(OR(ER242=1,ER$229=1,$GU144=1),ER144,0))</f>
        <v>x</v>
      </c>
      <c r="ES327" s="42" t="str">
        <f>IF(ES144=-1,"x",IF(OR(ES242=1,ES$229=1,$GV144=1),ES144,0))</f>
        <v>x</v>
      </c>
      <c r="ET327" s="43">
        <f>IF(ET144=-1,"x",IF(OR(ET242=1,ET$229=1,$GT144=1),ET144,0))</f>
        <v>0</v>
      </c>
      <c r="EU327" s="39">
        <f>IF(EU144=-1,"x",IF(OR(EU242=1,EU$229=1,$GU144=1),EU144,0))</f>
        <v>0</v>
      </c>
      <c r="EV327" s="41">
        <f>IF(EV144=-1,"x",IF(OR(EV242=1,EV$229=1,$GV144=1),EV144,0))</f>
        <v>0</v>
      </c>
      <c r="EW327" s="40">
        <f>IF(EW144=-1,"x",IF(OR(EW242=1,EW$229=1,$GT144=1),EW144,0))</f>
        <v>0</v>
      </c>
      <c r="EX327" s="39">
        <f>IF(EX144=-1,"x",IF(OR(EX242=1,EX$229=1,$GU144=1),EX144,0))</f>
        <v>0</v>
      </c>
      <c r="EY327" s="41">
        <f>IF(EY144=-1,"x",IF(OR(EY242=1,EY$229=1,$GV144=1),EY144,0))</f>
        <v>0</v>
      </c>
      <c r="EZ327" s="40" t="str">
        <f>IF(EZ144=-1,"x",IF(OR(EZ242=1,EZ$229=1,$GT144=1),EZ144,0))</f>
        <v>x</v>
      </c>
      <c r="FA327" s="39" t="str">
        <f>IF(FA144=-1,"x",IF(OR(FA242=1,FA$229=1,$GU144=1),FA144,0))</f>
        <v>x</v>
      </c>
      <c r="FB327" s="42" t="str">
        <f>IF(FB144=-1,"x",IF(OR(FB242=1,FB$229=1,$GV144=1),FB144,0))</f>
        <v>x</v>
      </c>
      <c r="FC327" s="43" t="str">
        <f>IF(FC144=-1,"x",IF(OR(FC242=1,FC$229=1,$GT144=1),FC144,0))</f>
        <v>x</v>
      </c>
      <c r="FD327" s="39" t="str">
        <f>IF(FD144=-1,"x",IF(OR(FD242=1,FD$229=1,$GU144=1),FD144,0))</f>
        <v>x</v>
      </c>
      <c r="FE327" s="41" t="str">
        <f>IF(FE144=-1,"x",IF(OR(FE242=1,FE$229=1,$GV144=1),FE144,0))</f>
        <v>x</v>
      </c>
      <c r="FF327" s="40" t="str">
        <f>IF(FF144=-1,"x",IF(OR(FF242=1,FF$229=1,$GT144=1),FF144,0))</f>
        <v>x</v>
      </c>
      <c r="FG327" s="39" t="str">
        <f>IF(FG144=-1,"x",IF(OR(FG242=1,FG$229=1,$GU144=1),FG144,0))</f>
        <v>x</v>
      </c>
      <c r="FH327" s="41" t="str">
        <f>IF(FH144=-1,"x",IF(OR(FH242=1,FH$229=1,$GV144=1),FH144,0))</f>
        <v>x</v>
      </c>
      <c r="FI327" s="40" t="str">
        <f>IF(FI144=-1,"x",IF(OR(FI242=1,FI$229=1,$GT144=1),FI144,0))</f>
        <v>x</v>
      </c>
      <c r="FJ327" s="39" t="str">
        <f>IF(FJ144=-1,"x",IF(OR(FJ242=1,FJ$229=1,$GU144=1),FJ144,0))</f>
        <v>x</v>
      </c>
      <c r="FK327" s="95" t="str">
        <f>IF(FK144=-1,"x",IF(OR(FK242=1,FK$229=1,$GV144=1),FK144,0))</f>
        <v>x</v>
      </c>
      <c r="FL327" s="94" t="str">
        <f>IF(FL144=-1,"x",IF(OR(FL242=1,FL$229=1,$GT144=1),FL144,0))</f>
        <v>x</v>
      </c>
      <c r="FM327" s="39" t="str">
        <f>IF(FM144=-1,"x",IF(OR(FM242=1,FM$229=1,$GU144=1),FM144,0))</f>
        <v>x</v>
      </c>
      <c r="FN327" s="41" t="str">
        <f>IF(FN144=-1,"x",IF(OR(FN242=1,FN$229=1,$GV144=1),FN144,0))</f>
        <v>x</v>
      </c>
      <c r="FO327" s="40" t="str">
        <f>IF(FO144=-1,"x",IF(OR(FO242=1,FO$229=1,$GT144=1),FO144,0))</f>
        <v>x</v>
      </c>
      <c r="FP327" s="39" t="str">
        <f>IF(FP144=-1,"x",IF(OR(FP242=1,FP$229=1,$GU144=1),FP144,0))</f>
        <v>x</v>
      </c>
      <c r="FQ327" s="41" t="str">
        <f>IF(FQ144=-1,"x",IF(OR(FQ242=1,FQ$229=1,$GV144=1),FQ144,0))</f>
        <v>x</v>
      </c>
      <c r="FR327" s="40" t="str">
        <f>IF(FR144=-1,"x",IF(OR(FR242=1,FR$229=1,$GT144=1),FR144,0))</f>
        <v>x</v>
      </c>
      <c r="FS327" s="39" t="str">
        <f>IF(FS144=-1,"x",IF(OR(FS242=1,FS$229=1,$GU144=1),FS144,0))</f>
        <v>x</v>
      </c>
      <c r="FT327" s="42" t="str">
        <f>IF(FT144=-1,"x",IF(OR(FT242=1,FT$229=1,$GV144=1),FT144,0))</f>
        <v>x</v>
      </c>
      <c r="FU327" s="43" t="str">
        <f>IF(FU144=-1,"x",IF(OR(FU242=1,FU$229=1,$GT144=1),FU144,0))</f>
        <v>x</v>
      </c>
      <c r="FV327" s="39" t="str">
        <f>IF(FV144=-1,"x",IF(OR(FV242=1,FV$229=1,$GU144=1),FV144,0))</f>
        <v>x</v>
      </c>
      <c r="FW327" s="41" t="str">
        <f>IF(FW144=-1,"x",IF(OR(FW242=1,FW$229=1,$GV144=1),FW144,0))</f>
        <v>x</v>
      </c>
      <c r="FX327" s="40" t="str">
        <f>IF(FX144=-1,"x",IF(OR(FX242=1,FX$229=1,$GT144=1),FX144,0))</f>
        <v>x</v>
      </c>
      <c r="FY327" s="39" t="str">
        <f>IF(FY144=-1,"x",IF(OR(FY242=1,FY$229=1,$GU144=1),FY144,0))</f>
        <v>x</v>
      </c>
      <c r="FZ327" s="41" t="str">
        <f>IF(FZ144=-1,"x",IF(OR(FZ242=1,FZ$229=1,$GV144=1),FZ144,0))</f>
        <v>x</v>
      </c>
      <c r="GA327" s="40" t="str">
        <f>IF(GA144=-1,"x",IF(OR(GA242=1,GA$229=1,$GT144=1),GA144,0))</f>
        <v>x</v>
      </c>
      <c r="GB327" s="39" t="str">
        <f>IF(GB144=-1,"x",IF(OR(GB242=1,GB$229=1,$GU144=1),GB144,0))</f>
        <v>x</v>
      </c>
      <c r="GC327" s="42" t="str">
        <f>IF(GC144=-1,"x",IF(OR(GC242=1,GC$229=1,$GV144=1),GC144,0))</f>
        <v>x</v>
      </c>
      <c r="GD327" s="43" t="str">
        <f>IF(GD144=-1,"x",IF(OR(GD242=1,GD$229=1,$GT144=1),GD144,0))</f>
        <v>x</v>
      </c>
      <c r="GE327" s="39" t="str">
        <f>IF(GE144=-1,"x",IF(OR(GE242=1,GE$229=1,$GU144=1),GE144,0))</f>
        <v>x</v>
      </c>
      <c r="GF327" s="41" t="str">
        <f>IF(GF144=-1,"x",IF(OR(GF242=1,GF$229=1,$GV144=1),GF144,0))</f>
        <v>x</v>
      </c>
      <c r="GG327" s="40" t="str">
        <f>IF(GG144=-1,"x",IF(OR(GG242=1,GG$229=1,$GT144=1),GG144,0))</f>
        <v>x</v>
      </c>
      <c r="GH327" s="39" t="str">
        <f>IF(GH144=-1,"x",IF(OR(GH242=1,GH$229=1,$GU144=1),GH144,0))</f>
        <v>x</v>
      </c>
      <c r="GI327" s="41" t="str">
        <f>IF(GI144=-1,"x",IF(OR(GI242=1,GI$229=1,$GV144=1),GI144,0))</f>
        <v>x</v>
      </c>
      <c r="GJ327" s="40">
        <f>IF(GJ144=-1,"x",IF(OR(GJ242=1,GJ$229=1,$GT144=1),GJ144,0))</f>
        <v>0</v>
      </c>
      <c r="GK327" s="39">
        <f>IF(GK144=-1,"x",IF(OR(GK242=1,GK$229=1,$GU144=1),GK144,0))</f>
        <v>0</v>
      </c>
      <c r="GL327" s="95">
        <f>IF(GL144=-1,"x",IF(OR(GL242=1,GL$229=1,$GV144=1),GL144,0))</f>
        <v>0</v>
      </c>
    </row>
    <row r="328" spans="14:194" ht="15" customHeight="1">
      <c r="N328" s="99" t="str">
        <f>IF(N145=-1,"x",IF(OR(N243=1,N$197=1,$CX145=1),N145,0))</f>
        <v>x</v>
      </c>
      <c r="O328" s="45" t="str">
        <f>IF(O145=-1,"x",IF(OR(O243=1,O$197=1,$CY145=1),O145,0))</f>
        <v>x</v>
      </c>
      <c r="P328" s="47" t="str">
        <f>IF(P145=-1,"x",IF(OR(P243=1,P$197=1,$CZ145=1),P145,0))</f>
        <v>x</v>
      </c>
      <c r="Q328" s="46" t="str">
        <f>IF(Q145=-1,"x",IF(OR(Q243=1,Q$197=1,$CX145=1),Q145,0))</f>
        <v>x</v>
      </c>
      <c r="R328" s="45" t="str">
        <f>IF(R145=-1,"x",IF(OR(R243=1,R$197=1,$CY145=1),R145,0))</f>
        <v>x</v>
      </c>
      <c r="S328" s="47" t="str">
        <f>IF(S145=-1,"x",IF(OR(S243=1,S$197=1,$CZ145=1),S145,0))</f>
        <v>x</v>
      </c>
      <c r="T328" s="46" t="str">
        <f>IF(T145=-1,"x",IF(OR(T243=1,T$197=1,$CX145=1),T145,0))</f>
        <v>x</v>
      </c>
      <c r="U328" s="45" t="str">
        <f>IF(U145=-1,"x",IF(OR(U243=1,U$197=1,$CY145=1),U145,0))</f>
        <v>x</v>
      </c>
      <c r="V328" s="48" t="str">
        <f>IF(V145=-1,"x",IF(OR(V243=1,V$197=1,$CZ145=1),V145,0))</f>
        <v>x</v>
      </c>
      <c r="W328" s="44" t="str">
        <f>IF(W145=-1,"x",IF(OR(W243=1,W$197=1,$CX145=1),W145,0))</f>
        <v>x</v>
      </c>
      <c r="X328" s="45" t="str">
        <f>IF(X145=-1,"x",IF(OR(X243=1,X$197=1,$CY145=1),X145,0))</f>
        <v>x</v>
      </c>
      <c r="Y328" s="47" t="str">
        <f>IF(Y145=-1,"x",IF(OR(Y243=1,Y$197=1,$CZ145=1),Y145,0))</f>
        <v>x</v>
      </c>
      <c r="Z328" s="46" t="str">
        <f>IF(Z145=-1,"x",IF(OR(Z243=1,Z$197=1,$CX145=1),Z145,0))</f>
        <v>x</v>
      </c>
      <c r="AA328" s="45" t="str">
        <f>IF(AA145=-1,"x",IF(OR(AA243=1,AA$197=1,$CY145=1),AA145,0))</f>
        <v>x</v>
      </c>
      <c r="AB328" s="47" t="str">
        <f>IF(AB145=-1,"x",IF(OR(AB243=1,AB$197=1,$CZ145=1),AB145,0))</f>
        <v>x</v>
      </c>
      <c r="AC328" s="46" t="str">
        <f>IF(AC145=-1,"x",IF(OR(AC243=1,AC$197=1,$CX145=1),AC145,0))</f>
        <v>x</v>
      </c>
      <c r="AD328" s="45" t="str">
        <f>IF(AD145=-1,"x",IF(OR(AD243=1,AD$197=1,$CY145=1),AD145,0))</f>
        <v>x</v>
      </c>
      <c r="AE328" s="48" t="str">
        <f>IF(AE145=-1,"x",IF(OR(AE243=1,AE$197=1,$CZ145=1),AE145,0))</f>
        <v>x</v>
      </c>
      <c r="AF328" s="44" t="str">
        <f>IF(AF145=-1,"x",IF(OR(AF243=1,AF$197=1,$CX145=1),AF145,0))</f>
        <v>x</v>
      </c>
      <c r="AG328" s="45" t="str">
        <f>IF(AG145=-1,"x",IF(OR(AG243=1,AG$197=1,$CY145=1),AG145,0))</f>
        <v>x</v>
      </c>
      <c r="AH328" s="47" t="str">
        <f>IF(AH145=-1,"x",IF(OR(AH243=1,AH$197=1,$CZ145=1),AH145,0))</f>
        <v>x</v>
      </c>
      <c r="AI328" s="46" t="str">
        <f>IF(AI145=-1,"x",IF(OR(AI243=1,AI$197=1,$CX145=1),AI145,0))</f>
        <v>x</v>
      </c>
      <c r="AJ328" s="45" t="str">
        <f>IF(AJ145=-1,"x",IF(OR(AJ243=1,AJ$197=1,$CY145=1),AJ145,0))</f>
        <v>x</v>
      </c>
      <c r="AK328" s="47" t="str">
        <f>IF(AK145=-1,"x",IF(OR(AK243=1,AK$197=1,$CZ145=1),AK145,0))</f>
        <v>x</v>
      </c>
      <c r="AL328" s="46" t="str">
        <f>IF(AL145=-1,"x",IF(OR(AL243=1,AL$197=1,$CX145=1),AL145,0))</f>
        <v>x</v>
      </c>
      <c r="AM328" s="45" t="str">
        <f>IF(AM145=-1,"x",IF(OR(AM243=1,AM$197=1,$CY145=1),AM145,0))</f>
        <v>x</v>
      </c>
      <c r="AN328" s="100" t="str">
        <f>IF(AN145=-1,"x",IF(OR(AN243=1,AN$197=1,$CZ145=1),AN145,0))</f>
        <v>x</v>
      </c>
      <c r="AO328" s="99" t="str">
        <f>IF(AO145=-1,"x",IF(OR(AO243=1,AO$197=1,$CX145=1),AO145,0))</f>
        <v>x</v>
      </c>
      <c r="AP328" s="45" t="str">
        <f>IF(AP145=-1,"x",IF(OR(AP243=1,AP$197=1,$CY145=1),AP145,0))</f>
        <v>x</v>
      </c>
      <c r="AQ328" s="47" t="str">
        <f>IF(AQ145=-1,"x",IF(OR(AQ243=1,AQ$197=1,$CZ145=1),AQ145,0))</f>
        <v>x</v>
      </c>
      <c r="AR328" s="46" t="str">
        <f>IF(AR145=-1,"x",IF(OR(AR243=1,AR$197=1,$CX145=1),AR145,0))</f>
        <v>x</v>
      </c>
      <c r="AS328" s="45" t="str">
        <f>IF(AS145=-1,"x",IF(OR(AS243=1,AS$197=1,$CY145=1),AS145,0))</f>
        <v>x</v>
      </c>
      <c r="AT328" s="47" t="str">
        <f>IF(AT145=-1,"x",IF(OR(AT243=1,AT$197=1,$CZ145=1),AT145,0))</f>
        <v>x</v>
      </c>
      <c r="AU328" s="46">
        <f>IF(AU145=-1,"x",IF(OR(AU243=1,AU$197=1,$CX145=1),AU145,0))</f>
        <v>0</v>
      </c>
      <c r="AV328" s="45">
        <f>IF(AV145=-1,"x",IF(OR(AV243=1,AV$197=1,$CY145=1),AV145,0))</f>
        <v>0</v>
      </c>
      <c r="AW328" s="48">
        <f>IF(AW145=-1,"x",IF(OR(AW243=1,AW$197=1,$CZ145=1),AW145,0))</f>
        <v>0</v>
      </c>
      <c r="AX328" s="44" t="str">
        <f>IF(AX145=-1,"x",IF(OR(AX243=1,AX$197=1,$CX145=1),AX145,0))</f>
        <v>x</v>
      </c>
      <c r="AY328" s="45" t="str">
        <f>IF(AY145=-1,"x",IF(OR(AY243=1,AY$197=1,$CY145=1),AY145,0))</f>
        <v>x</v>
      </c>
      <c r="AZ328" s="47" t="str">
        <f>IF(AZ145=-1,"x",IF(OR(AZ243=1,AZ$197=1,$CZ145=1),AZ145,0))</f>
        <v>x</v>
      </c>
      <c r="BA328" s="46" t="str">
        <f>IF(BA145=-1,"x",IF(OR(BA243=1,BA$197=1,$CX145=1),BA145,0))</f>
        <v>x</v>
      </c>
      <c r="BB328" s="45" t="str">
        <f>IF(BB145=-1,"x",IF(OR(BB243=1,BB$197=1,$CY145=1),BB145,0))</f>
        <v>x</v>
      </c>
      <c r="BC328" s="47" t="str">
        <f>IF(BC145=-1,"x",IF(OR(BC243=1,BC$197=1,$CZ145=1),BC145,0))</f>
        <v>x</v>
      </c>
      <c r="BD328" s="46">
        <f>IF(BD145=-1,"x",IF(OR(BD243=1,BD$197=1,$CX145=1),BD145,0))</f>
        <v>0</v>
      </c>
      <c r="BE328" s="45">
        <f>IF(BE145=-1,"x",IF(OR(BE243=1,BE$197=1,$CY145=1),BE145,0))</f>
        <v>0</v>
      </c>
      <c r="BF328" s="48">
        <f>IF(BF145=-1,"x",IF(OR(BF243=1,BF$197=1,$CZ145=1),BF145,0))</f>
        <v>0</v>
      </c>
      <c r="BG328" s="44" t="str">
        <f>IF(BG145=-1,"x",IF(OR(BG243=1,BG$197=1,$CX145=1),BG145,0))</f>
        <v>x</v>
      </c>
      <c r="BH328" s="45" t="str">
        <f>IF(BH145=-1,"x",IF(OR(BH243=1,BH$197=1,$CY145=1),BH145,0))</f>
        <v>x</v>
      </c>
      <c r="BI328" s="47" t="str">
        <f>IF(BI145=-1,"x",IF(OR(BI243=1,BI$197=1,$CZ145=1),BI145,0))</f>
        <v>x</v>
      </c>
      <c r="BJ328" s="46" t="str">
        <f>IF(BJ145=-1,"x",IF(OR(BJ243=1,BJ$197=1,$CX145=1),BJ145,0))</f>
        <v>x</v>
      </c>
      <c r="BK328" s="45" t="str">
        <f>IF(BK145=-1,"x",IF(OR(BK243=1,BK$197=1,$CY145=1),BK145,0))</f>
        <v>x</v>
      </c>
      <c r="BL328" s="47" t="str">
        <f>IF(BL145=-1,"x",IF(OR(BL243=1,BL$197=1,$CZ145=1),BL145,0))</f>
        <v>x</v>
      </c>
      <c r="BM328" s="46" t="str">
        <f>IF(BM145=-1,"x",IF(OR(BM243=1,BM$197=1,$CX145=1),BM145,0))</f>
        <v>x</v>
      </c>
      <c r="BN328" s="45" t="str">
        <f>IF(BN145=-1,"x",IF(OR(BN243=1,BN$197=1,$CY145=1),BN145,0))</f>
        <v>x</v>
      </c>
      <c r="BO328" s="100" t="str">
        <f>IF(BO145=-1,"x",IF(OR(BO243=1,BO$197=1,$CZ145=1),BO145,0))</f>
        <v>x</v>
      </c>
      <c r="BP328" s="99" t="str">
        <f>IF(BP145=-1,"x",IF(OR(BP243=1,BP$197=1,$CX145=1),BP145,0))</f>
        <v>x</v>
      </c>
      <c r="BQ328" s="45" t="str">
        <f>IF(BQ145=-1,"x",IF(OR(BQ243=1,BQ$197=1,$CY145=1),BQ145,0))</f>
        <v>x</v>
      </c>
      <c r="BR328" s="47" t="str">
        <f>IF(BR145=-1,"x",IF(OR(BR243=1,BR$197=1,$CZ145=1),BR145,0))</f>
        <v>x</v>
      </c>
      <c r="BS328" s="46" t="str">
        <f>IF(BS145=-1,"x",IF(OR(BS243=1,BS$197=1,$CX145=1),BS145,0))</f>
        <v>x</v>
      </c>
      <c r="BT328" s="45" t="str">
        <f>IF(BT145=-1,"x",IF(OR(BT243=1,BT$197=1,$CY145=1),BT145,0))</f>
        <v>x</v>
      </c>
      <c r="BU328" s="47" t="str">
        <f>IF(BU145=-1,"x",IF(OR(BU243=1,BU$197=1,$CZ145=1),BU145,0))</f>
        <v>x</v>
      </c>
      <c r="BV328" s="46" t="str">
        <f>IF(BV145=-1,"x",IF(OR(BV243=1,BV$197=1,$CX145=1),BV145,0))</f>
        <v>x</v>
      </c>
      <c r="BW328" s="45" t="str">
        <f>IF(BW145=-1,"x",IF(OR(BW243=1,BW$197=1,$CY145=1),BW145,0))</f>
        <v>x</v>
      </c>
      <c r="BX328" s="48" t="str">
        <f>IF(BX145=-1,"x",IF(OR(BX243=1,BX$197=1,$CZ145=1),BX145,0))</f>
        <v>x</v>
      </c>
      <c r="BY328" s="44" t="str">
        <f>IF(BY145=-1,"x",IF(OR(BY243=1,BY$197=1,$CX145=1),BY145,0))</f>
        <v>x</v>
      </c>
      <c r="BZ328" s="45" t="str">
        <f>IF(BZ145=-1,"x",IF(OR(BZ243=1,BZ$197=1,$CY145=1),BZ145,0))</f>
        <v>x</v>
      </c>
      <c r="CA328" s="47" t="str">
        <f>IF(CA145=-1,"x",IF(OR(CA243=1,CA$197=1,$CZ145=1),CA145,0))</f>
        <v>x</v>
      </c>
      <c r="CB328" s="46" t="str">
        <f>IF(CB145=-1,"x",IF(OR(CB243=1,CB$197=1,$CX145=1),CB145,0))</f>
        <v>x</v>
      </c>
      <c r="CC328" s="45" t="str">
        <f>IF(CC145=-1,"x",IF(OR(CC243=1,CC$197=1,$CY145=1),CC145,0))</f>
        <v>x</v>
      </c>
      <c r="CD328" s="47" t="str">
        <f>IF(CD145=-1,"x",IF(OR(CD243=1,CD$197=1,$CZ145=1),CD145,0))</f>
        <v>x</v>
      </c>
      <c r="CE328" s="46" t="str">
        <f>IF(CE145=-1,"x",IF(OR(CE243=1,CE$197=1,$CX145=1),CE145,0))</f>
        <v>x</v>
      </c>
      <c r="CF328" s="45" t="str">
        <f>IF(CF145=-1,"x",IF(OR(CF243=1,CF$197=1,$CY145=1),CF145,0))</f>
        <v>x</v>
      </c>
      <c r="CG328" s="48" t="str">
        <f>IF(CG145=-1,"x",IF(OR(CG243=1,CG$197=1,$CZ145=1),CG145,0))</f>
        <v>x</v>
      </c>
      <c r="CH328" s="44">
        <f>IF(CH145=-1,"x",IF(OR(CH243=1,CH$197=1,$CX145=1),CH145,0))</f>
        <v>0</v>
      </c>
      <c r="CI328" s="45">
        <f>IF(CI145=-1,"x",IF(OR(CI243=1,CI$197=1,$CY145=1),CI145,0))</f>
        <v>0</v>
      </c>
      <c r="CJ328" s="47">
        <f>IF(CJ145=-1,"x",IF(OR(CJ243=1,CJ$197=1,$CZ145=1),CJ145,0))</f>
        <v>0</v>
      </c>
      <c r="CK328" s="46" t="str">
        <f>IF(CK145=-1,"x",IF(OR(CK243=1,CK$197=1,$CX145=1),CK145,0))</f>
        <v>x</v>
      </c>
      <c r="CL328" s="45" t="str">
        <f>IF(CL145=-1,"x",IF(OR(CL243=1,CL$197=1,$CY145=1),CL145,0))</f>
        <v>x</v>
      </c>
      <c r="CM328" s="47" t="str">
        <f>IF(CM145=-1,"x",IF(OR(CM243=1,CM$197=1,$CZ145=1),CM145,0))</f>
        <v>x</v>
      </c>
      <c r="CN328" s="46" t="str">
        <f>IF(CN145=-1,"x",IF(OR(CN243=1,CN$197=1,$CX145=1),CN145,0))</f>
        <v>x</v>
      </c>
      <c r="CO328" s="45" t="str">
        <f>IF(CO145=-1,"x",IF(OR(CO243=1,CO$197=1,$CY145=1),CO145,0))</f>
        <v>x</v>
      </c>
      <c r="CP328" s="100" t="str">
        <f>IF(CP145=-1,"x",IF(OR(CP243=1,CP$197=1,$CZ145=1),CP145,0))</f>
        <v>x</v>
      </c>
      <c r="DJ328" s="99">
        <f>IF(DJ145=-1,"x",IF(OR(DJ243=1,DJ$230=1,$GT145=1),DJ145,0))</f>
        <v>0</v>
      </c>
      <c r="DK328" s="45">
        <f>IF(DK145=-1,"x",IF(OR(DK243=1,DK$230=1,$GU145=1),DK145,0))</f>
        <v>0</v>
      </c>
      <c r="DL328" s="47">
        <f>IF(DL145=-1,"x",IF(OR(DL243=1,DL$230=1,$GV145=1),DL145,0))</f>
        <v>0</v>
      </c>
      <c r="DM328" s="46" t="str">
        <f>IF(DM145=-1,"x",IF(OR(DM243=1,DM$230=1,$GT145=1),DM145,0))</f>
        <v>x</v>
      </c>
      <c r="DN328" s="45" t="str">
        <f>IF(DN145=-1,"x",IF(OR(DN243=1,DN$230=1,$GU145=1),DN145,0))</f>
        <v>x</v>
      </c>
      <c r="DO328" s="47" t="str">
        <f>IF(DO145=-1,"x",IF(OR(DO243=1,DO$230=1,$GV145=1),DO145,0))</f>
        <v>x</v>
      </c>
      <c r="DP328" s="46" t="str">
        <f>IF(DP145=-1,"x",IF(OR(DP243=1,DP$230=1,$GT145=1),DP145,0))</f>
        <v>x</v>
      </c>
      <c r="DQ328" s="45" t="str">
        <f>IF(DQ145=-1,"x",IF(OR(DQ243=1,DQ$230=1,$GU145=1),DQ145,0))</f>
        <v>x</v>
      </c>
      <c r="DR328" s="48" t="str">
        <f>IF(DR145=-1,"x",IF(OR(DR243=1,DR$230=1,$GV145=1),DR145,0))</f>
        <v>x</v>
      </c>
      <c r="DS328" s="44" t="str">
        <f>IF(DS145=-1,"x",IF(OR(DS243=1,DS$230=1,$GT145=1),DS145,0))</f>
        <v>x</v>
      </c>
      <c r="DT328" s="45" t="str">
        <f>IF(DT145=-1,"x",IF(OR(DT243=1,DT$230=1,$GU145=1),DT145,0))</f>
        <v>x</v>
      </c>
      <c r="DU328" s="47" t="str">
        <f>IF(DU145=-1,"x",IF(OR(DU243=1,DU$230=1,$GV145=1),DU145,0))</f>
        <v>x</v>
      </c>
      <c r="DV328" s="46" t="str">
        <f>IF(DV145=-1,"x",IF(OR(DV243=1,DV$230=1,$GT145=1),DV145,0))</f>
        <v>x</v>
      </c>
      <c r="DW328" s="45" t="str">
        <f>IF(DW145=-1,"x",IF(OR(DW243=1,DW$230=1,$GU145=1),DW145,0))</f>
        <v>x</v>
      </c>
      <c r="DX328" s="47" t="str">
        <f>IF(DX145=-1,"x",IF(OR(DX243=1,DX$230=1,$GV145=1),DX145,0))</f>
        <v>x</v>
      </c>
      <c r="DY328" s="46" t="str">
        <f>IF(DY145=-1,"x",IF(OR(DY243=1,DY$230=1,$GT145=1),DY145,0))</f>
        <v>x</v>
      </c>
      <c r="DZ328" s="45" t="str">
        <f>IF(DZ145=-1,"x",IF(OR(DZ243=1,DZ$230=1,$GU145=1),DZ145,0))</f>
        <v>x</v>
      </c>
      <c r="EA328" s="48" t="str">
        <f>IF(EA145=-1,"x",IF(OR(EA243=1,EA$230=1,$GV145=1),EA145,0))</f>
        <v>x</v>
      </c>
      <c r="EB328" s="44" t="str">
        <f>IF(EB145=-1,"x",IF(OR(EB243=1,EB$230=1,$GT145=1),EB145,0))</f>
        <v>x</v>
      </c>
      <c r="EC328" s="45" t="str">
        <f>IF(EC145=-1,"x",IF(OR(EC243=1,EC$230=1,$GU145=1),EC145,0))</f>
        <v>x</v>
      </c>
      <c r="ED328" s="47" t="str">
        <f>IF(ED145=-1,"x",IF(OR(ED243=1,ED$230=1,$GV145=1),ED145,0))</f>
        <v>x</v>
      </c>
      <c r="EE328" s="46" t="str">
        <f>IF(EE145=-1,"x",IF(OR(EE243=1,EE$230=1,$GT145=1),EE145,0))</f>
        <v>x</v>
      </c>
      <c r="EF328" s="45" t="str">
        <f>IF(EF145=-1,"x",IF(OR(EF243=1,EF$230=1,$GU145=1),EF145,0))</f>
        <v>x</v>
      </c>
      <c r="EG328" s="47" t="str">
        <f>IF(EG145=-1,"x",IF(OR(EG243=1,EG$230=1,$GV145=1),EG145,0))</f>
        <v>x</v>
      </c>
      <c r="EH328" s="46" t="str">
        <f>IF(EH145=-1,"x",IF(OR(EH243=1,EH$230=1,$GT145=1),EH145,0))</f>
        <v>x</v>
      </c>
      <c r="EI328" s="45" t="str">
        <f>IF(EI145=-1,"x",IF(OR(EI243=1,EI$230=1,$GU145=1),EI145,0))</f>
        <v>x</v>
      </c>
      <c r="EJ328" s="100" t="str">
        <f>IF(EJ145=-1,"x",IF(OR(EJ243=1,EJ$230=1,$GV145=1),EJ145,0))</f>
        <v>x</v>
      </c>
      <c r="EK328" s="99" t="str">
        <f>IF(EK145=-1,"x",IF(OR(EK243=1,EK$230=1,$GT145=1),EK145,0))</f>
        <v>x</v>
      </c>
      <c r="EL328" s="45" t="str">
        <f>IF(EL145=-1,"x",IF(OR(EL243=1,EL$230=1,$GU145=1),EL145,0))</f>
        <v>x</v>
      </c>
      <c r="EM328" s="47" t="str">
        <f>IF(EM145=-1,"x",IF(OR(EM243=1,EM$230=1,$GV145=1),EM145,0))</f>
        <v>x</v>
      </c>
      <c r="EN328" s="46" t="str">
        <f>IF(EN145=-1,"x",IF(OR(EN243=1,EN$230=1,$GT145=1),EN145,0))</f>
        <v>x</v>
      </c>
      <c r="EO328" s="45" t="str">
        <f>IF(EO145=-1,"x",IF(OR(EO243=1,EO$230=1,$GU145=1),EO145,0))</f>
        <v>x</v>
      </c>
      <c r="EP328" s="47" t="str">
        <f>IF(EP145=-1,"x",IF(OR(EP243=1,EP$230=1,$GV145=1),EP145,0))</f>
        <v>x</v>
      </c>
      <c r="EQ328" s="46" t="str">
        <f>IF(EQ145=-1,"x",IF(OR(EQ243=1,EQ$230=1,$GT145=1),EQ145,0))</f>
        <v>x</v>
      </c>
      <c r="ER328" s="45" t="str">
        <f>IF(ER145=-1,"x",IF(OR(ER243=1,ER$230=1,$GU145=1),ER145,0))</f>
        <v>x</v>
      </c>
      <c r="ES328" s="48" t="str">
        <f>IF(ES145=-1,"x",IF(OR(ES243=1,ES$230=1,$GV145=1),ES145,0))</f>
        <v>x</v>
      </c>
      <c r="ET328" s="44">
        <f>IF(ET145=-1,"x",IF(OR(ET243=1,ET$230=1,$GT145=1),ET145,0))</f>
        <v>0</v>
      </c>
      <c r="EU328" s="45">
        <f>IF(EU145=-1,"x",IF(OR(EU243=1,EU$230=1,$GU145=1),EU145,0))</f>
        <v>0</v>
      </c>
      <c r="EV328" s="47">
        <f>IF(EV145=-1,"x",IF(OR(EV243=1,EV$230=1,$GV145=1),EV145,0))</f>
        <v>0</v>
      </c>
      <c r="EW328" s="46">
        <f>IF(EW145=-1,"x",IF(OR(EW243=1,EW$230=1,$GT145=1),EW145,0))</f>
        <v>0</v>
      </c>
      <c r="EX328" s="45">
        <f>IF(EX145=-1,"x",IF(OR(EX243=1,EX$230=1,$GU145=1),EX145,0))</f>
        <v>0</v>
      </c>
      <c r="EY328" s="47">
        <f>IF(EY145=-1,"x",IF(OR(EY243=1,EY$230=1,$GV145=1),EY145,0))</f>
        <v>0</v>
      </c>
      <c r="EZ328" s="46" t="str">
        <f>IF(EZ145=-1,"x",IF(OR(EZ243=1,EZ$230=1,$GT145=1),EZ145,0))</f>
        <v>x</v>
      </c>
      <c r="FA328" s="45" t="str">
        <f>IF(FA145=-1,"x",IF(OR(FA243=1,FA$230=1,$GU145=1),FA145,0))</f>
        <v>x</v>
      </c>
      <c r="FB328" s="48" t="str">
        <f>IF(FB145=-1,"x",IF(OR(FB243=1,FB$230=1,$GV145=1),FB145,0))</f>
        <v>x</v>
      </c>
      <c r="FC328" s="44" t="str">
        <f>IF(FC145=-1,"x",IF(OR(FC243=1,FC$230=1,$GT145=1),FC145,0))</f>
        <v>x</v>
      </c>
      <c r="FD328" s="45" t="str">
        <f>IF(FD145=-1,"x",IF(OR(FD243=1,FD$230=1,$GU145=1),FD145,0))</f>
        <v>x</v>
      </c>
      <c r="FE328" s="47" t="str">
        <f>IF(FE145=-1,"x",IF(OR(FE243=1,FE$230=1,$GV145=1),FE145,0))</f>
        <v>x</v>
      </c>
      <c r="FF328" s="46" t="str">
        <f>IF(FF145=-1,"x",IF(OR(FF243=1,FF$230=1,$GT145=1),FF145,0))</f>
        <v>x</v>
      </c>
      <c r="FG328" s="45" t="str">
        <f>IF(FG145=-1,"x",IF(OR(FG243=1,FG$230=1,$GU145=1),FG145,0))</f>
        <v>x</v>
      </c>
      <c r="FH328" s="47" t="str">
        <f>IF(FH145=-1,"x",IF(OR(FH243=1,FH$230=1,$GV145=1),FH145,0))</f>
        <v>x</v>
      </c>
      <c r="FI328" s="46" t="str">
        <f>IF(FI145=-1,"x",IF(OR(FI243=1,FI$230=1,$GT145=1),FI145,0))</f>
        <v>x</v>
      </c>
      <c r="FJ328" s="45" t="str">
        <f>IF(FJ145=-1,"x",IF(OR(FJ243=1,FJ$230=1,$GU145=1),FJ145,0))</f>
        <v>x</v>
      </c>
      <c r="FK328" s="100" t="str">
        <f>IF(FK145=-1,"x",IF(OR(FK243=1,FK$230=1,$GV145=1),FK145,0))</f>
        <v>x</v>
      </c>
      <c r="FL328" s="99" t="str">
        <f>IF(FL145=-1,"x",IF(OR(FL243=1,FL$230=1,$GT145=1),FL145,0))</f>
        <v>x</v>
      </c>
      <c r="FM328" s="45" t="str">
        <f>IF(FM145=-1,"x",IF(OR(FM243=1,FM$230=1,$GU145=1),FM145,0))</f>
        <v>x</v>
      </c>
      <c r="FN328" s="47" t="str">
        <f>IF(FN145=-1,"x",IF(OR(FN243=1,FN$230=1,$GV145=1),FN145,0))</f>
        <v>x</v>
      </c>
      <c r="FO328" s="46" t="str">
        <f>IF(FO145=-1,"x",IF(OR(FO243=1,FO$230=1,$GT145=1),FO145,0))</f>
        <v>x</v>
      </c>
      <c r="FP328" s="45" t="str">
        <f>IF(FP145=-1,"x",IF(OR(FP243=1,FP$230=1,$GU145=1),FP145,0))</f>
        <v>x</v>
      </c>
      <c r="FQ328" s="47" t="str">
        <f>IF(FQ145=-1,"x",IF(OR(FQ243=1,FQ$230=1,$GV145=1),FQ145,0))</f>
        <v>x</v>
      </c>
      <c r="FR328" s="46" t="str">
        <f>IF(FR145=-1,"x",IF(OR(FR243=1,FR$230=1,$GT145=1),FR145,0))</f>
        <v>x</v>
      </c>
      <c r="FS328" s="45" t="str">
        <f>IF(FS145=-1,"x",IF(OR(FS243=1,FS$230=1,$GU145=1),FS145,0))</f>
        <v>x</v>
      </c>
      <c r="FT328" s="48" t="str">
        <f>IF(FT145=-1,"x",IF(OR(FT243=1,FT$230=1,$GV145=1),FT145,0))</f>
        <v>x</v>
      </c>
      <c r="FU328" s="44" t="str">
        <f>IF(FU145=-1,"x",IF(OR(FU243=1,FU$230=1,$GT145=1),FU145,0))</f>
        <v>x</v>
      </c>
      <c r="FV328" s="45" t="str">
        <f>IF(FV145=-1,"x",IF(OR(FV243=1,FV$230=1,$GU145=1),FV145,0))</f>
        <v>x</v>
      </c>
      <c r="FW328" s="47" t="str">
        <f>IF(FW145=-1,"x",IF(OR(FW243=1,FW$230=1,$GV145=1),FW145,0))</f>
        <v>x</v>
      </c>
      <c r="FX328" s="46" t="str">
        <f>IF(FX145=-1,"x",IF(OR(FX243=1,FX$230=1,$GT145=1),FX145,0))</f>
        <v>x</v>
      </c>
      <c r="FY328" s="45" t="str">
        <f>IF(FY145=-1,"x",IF(OR(FY243=1,FY$230=1,$GU145=1),FY145,0))</f>
        <v>x</v>
      </c>
      <c r="FZ328" s="47" t="str">
        <f>IF(FZ145=-1,"x",IF(OR(FZ243=1,FZ$230=1,$GV145=1),FZ145,0))</f>
        <v>x</v>
      </c>
      <c r="GA328" s="46" t="str">
        <f>IF(GA145=-1,"x",IF(OR(GA243=1,GA$230=1,$GT145=1),GA145,0))</f>
        <v>x</v>
      </c>
      <c r="GB328" s="45" t="str">
        <f>IF(GB145=-1,"x",IF(OR(GB243=1,GB$230=1,$GU145=1),GB145,0))</f>
        <v>x</v>
      </c>
      <c r="GC328" s="48" t="str">
        <f>IF(GC145=-1,"x",IF(OR(GC243=1,GC$230=1,$GV145=1),GC145,0))</f>
        <v>x</v>
      </c>
      <c r="GD328" s="44" t="str">
        <f>IF(GD145=-1,"x",IF(OR(GD243=1,GD$230=1,$GT145=1),GD145,0))</f>
        <v>x</v>
      </c>
      <c r="GE328" s="45" t="str">
        <f>IF(GE145=-1,"x",IF(OR(GE243=1,GE$230=1,$GU145=1),GE145,0))</f>
        <v>x</v>
      </c>
      <c r="GF328" s="47" t="str">
        <f>IF(GF145=-1,"x",IF(OR(GF243=1,GF$230=1,$GV145=1),GF145,0))</f>
        <v>x</v>
      </c>
      <c r="GG328" s="46" t="str">
        <f>IF(GG145=-1,"x",IF(OR(GG243=1,GG$230=1,$GT145=1),GG145,0))</f>
        <v>x</v>
      </c>
      <c r="GH328" s="45" t="str">
        <f>IF(GH145=-1,"x",IF(OR(GH243=1,GH$230=1,$GU145=1),GH145,0))</f>
        <v>x</v>
      </c>
      <c r="GI328" s="47" t="str">
        <f>IF(GI145=-1,"x",IF(OR(GI243=1,GI$230=1,$GV145=1),GI145,0))</f>
        <v>x</v>
      </c>
      <c r="GJ328" s="46">
        <f>IF(GJ145=-1,"x",IF(OR(GJ243=1,GJ$230=1,$GT145=1),GJ145,0))</f>
        <v>0</v>
      </c>
      <c r="GK328" s="45">
        <f>IF(GK145=-1,"x",IF(OR(GK243=1,GK$230=1,$GU145=1),GK145,0))</f>
        <v>0</v>
      </c>
      <c r="GL328" s="100">
        <f>IF(GL145=-1,"x",IF(OR(GL243=1,GL$230=1,$GV145=1),GL145,0))</f>
        <v>0</v>
      </c>
    </row>
    <row r="329" spans="14:194" ht="15" customHeight="1">
      <c r="N329" s="104" t="str">
        <f>IF(N146=-1,"x",IF(OR(N244=1,N$195=1,$CX146=1),N146,0))</f>
        <v>x</v>
      </c>
      <c r="O329" s="50" t="str">
        <f>IF(O146=-1,"x",IF(OR(O244=1,O$195=1,$CY146=1),O146,0))</f>
        <v>x</v>
      </c>
      <c r="P329" s="51" t="str">
        <f>IF(P146=-1,"x",IF(OR(P244=1,P$195=1,$CZ146=1),P146,0))</f>
        <v>x</v>
      </c>
      <c r="Q329" s="52" t="str">
        <f>IF(Q146=-1,"x",IF(OR(Q244=1,Q$195=1,$CX146=1),Q146,0))</f>
        <v>x</v>
      </c>
      <c r="R329" s="50" t="str">
        <f>IF(R146=-1,"x",IF(OR(R244=1,R$195=1,$CY146=1),R146,0))</f>
        <v>x</v>
      </c>
      <c r="S329" s="51" t="str">
        <f>IF(S146=-1,"x",IF(OR(S244=1,S$195=1,$CZ146=1),S146,0))</f>
        <v>x</v>
      </c>
      <c r="T329" s="52">
        <f>IF(T146=-1,"x",IF(OR(T244=1,T$195=1,$CX146=1),T146,0))</f>
        <v>0</v>
      </c>
      <c r="U329" s="50">
        <f>IF(U146=-1,"x",IF(OR(U244=1,U$195=1,$CY146=1),U146,0))</f>
        <v>0</v>
      </c>
      <c r="V329" s="53">
        <f>IF(V146=-1,"x",IF(OR(V244=1,V$195=1,$CZ146=1),V146,0))</f>
        <v>0</v>
      </c>
      <c r="W329" s="49" t="str">
        <f>IF(W146=-1,"x",IF(OR(W244=1,W$195=1,$CX146=1),W146,0))</f>
        <v>x</v>
      </c>
      <c r="X329" s="50" t="str">
        <f>IF(X146=-1,"x",IF(OR(X244=1,X$195=1,$CY146=1),X146,0))</f>
        <v>x</v>
      </c>
      <c r="Y329" s="51" t="str">
        <f>IF(Y146=-1,"x",IF(OR(Y244=1,Y$195=1,$CZ146=1),Y146,0))</f>
        <v>x</v>
      </c>
      <c r="Z329" s="52" t="str">
        <f>IF(Z146=-1,"x",IF(OR(Z244=1,Z$195=1,$CX146=1),Z146,0))</f>
        <v>x</v>
      </c>
      <c r="AA329" s="50" t="str">
        <f>IF(AA146=-1,"x",IF(OR(AA244=1,AA$195=1,$CY146=1),AA146,0))</f>
        <v>x</v>
      </c>
      <c r="AB329" s="51" t="str">
        <f>IF(AB146=-1,"x",IF(OR(AB244=1,AB$195=1,$CZ146=1),AB146,0))</f>
        <v>x</v>
      </c>
      <c r="AC329" s="52" t="str">
        <f>IF(AC146=-1,"x",IF(OR(AC244=1,AC$195=1,$CX146=1),AC146,0))</f>
        <v>x</v>
      </c>
      <c r="AD329" s="50" t="str">
        <f>IF(AD146=-1,"x",IF(OR(AD244=1,AD$195=1,$CY146=1),AD146,0))</f>
        <v>x</v>
      </c>
      <c r="AE329" s="53" t="str">
        <f>IF(AE146=-1,"x",IF(OR(AE244=1,AE$195=1,$CZ146=1),AE146,0))</f>
        <v>x</v>
      </c>
      <c r="AF329" s="49" t="str">
        <f>IF(AF146=-1,"x",IF(OR(AF244=1,AF$195=1,$CX146=1),AF146,0))</f>
        <v>x</v>
      </c>
      <c r="AG329" s="50" t="str">
        <f>IF(AG146=-1,"x",IF(OR(AG244=1,AG$195=1,$CY146=1),AG146,0))</f>
        <v>x</v>
      </c>
      <c r="AH329" s="51" t="str">
        <f>IF(AH146=-1,"x",IF(OR(AH244=1,AH$195=1,$CZ146=1),AH146,0))</f>
        <v>x</v>
      </c>
      <c r="AI329" s="52" t="str">
        <f>IF(AI146=-1,"x",IF(OR(AI244=1,AI$195=1,$CX146=1),AI146,0))</f>
        <v>x</v>
      </c>
      <c r="AJ329" s="50" t="str">
        <f>IF(AJ146=-1,"x",IF(OR(AJ244=1,AJ$195=1,$CY146=1),AJ146,0))</f>
        <v>x</v>
      </c>
      <c r="AK329" s="51" t="str">
        <f>IF(AK146=-1,"x",IF(OR(AK244=1,AK$195=1,$CZ146=1),AK146,0))</f>
        <v>x</v>
      </c>
      <c r="AL329" s="52" t="str">
        <f>IF(AL146=-1,"x",IF(OR(AL244=1,AL$195=1,$CX146=1),AL146,0))</f>
        <v>x</v>
      </c>
      <c r="AM329" s="50" t="str">
        <f>IF(AM146=-1,"x",IF(OR(AM244=1,AM$195=1,$CY146=1),AM146,0))</f>
        <v>x</v>
      </c>
      <c r="AN329" s="105" t="str">
        <f>IF(AN146=-1,"x",IF(OR(AN244=1,AN$195=1,$CZ146=1),AN146,0))</f>
        <v>x</v>
      </c>
      <c r="AO329" s="104" t="str">
        <f>IF(AO146=-1,"x",IF(OR(AO244=1,AO$195=1,$CX146=1),AO146,0))</f>
        <v>x</v>
      </c>
      <c r="AP329" s="50" t="str">
        <f>IF(AP146=-1,"x",IF(OR(AP244=1,AP$195=1,$CY146=1),AP146,0))</f>
        <v>x</v>
      </c>
      <c r="AQ329" s="51" t="str">
        <f>IF(AQ146=-1,"x",IF(OR(AQ244=1,AQ$195=1,$CZ146=1),AQ146,0))</f>
        <v>x</v>
      </c>
      <c r="AR329" s="52" t="str">
        <f>IF(AR146=-1,"x",IF(OR(AR244=1,AR$195=1,$CX146=1),AR146,0))</f>
        <v>x</v>
      </c>
      <c r="AS329" s="50" t="str">
        <f>IF(AS146=-1,"x",IF(OR(AS244=1,AS$195=1,$CY146=1),AS146,0))</f>
        <v>x</v>
      </c>
      <c r="AT329" s="51" t="str">
        <f>IF(AT146=-1,"x",IF(OR(AT244=1,AT$195=1,$CZ146=1),AT146,0))</f>
        <v>x</v>
      </c>
      <c r="AU329" s="52" t="str">
        <f>IF(AU146=-1,"x",IF(OR(AU244=1,AU$195=1,$CX146=1),AU146,0))</f>
        <v>x</v>
      </c>
      <c r="AV329" s="50" t="str">
        <f>IF(AV146=-1,"x",IF(OR(AV244=1,AV$195=1,$CY146=1),AV146,0))</f>
        <v>x</v>
      </c>
      <c r="AW329" s="53" t="str">
        <f>IF(AW146=-1,"x",IF(OR(AW244=1,AW$195=1,$CZ146=1),AW146,0))</f>
        <v>x</v>
      </c>
      <c r="AX329" s="49" t="str">
        <f>IF(AX146=-1,"x",IF(OR(AX244=1,AX$195=1,$CX146=1),AX146,0))</f>
        <v>x</v>
      </c>
      <c r="AY329" s="50" t="str">
        <f>IF(AY146=-1,"x",IF(OR(AY244=1,AY$195=1,$CY146=1),AY146,0))</f>
        <v>x</v>
      </c>
      <c r="AZ329" s="51" t="str">
        <f>IF(AZ146=-1,"x",IF(OR(AZ244=1,AZ$195=1,$CZ146=1),AZ146,0))</f>
        <v>x</v>
      </c>
      <c r="BA329" s="52" t="str">
        <f>IF(BA146=-1,"x",IF(OR(BA244=1,BA$195=1,$CX146=1),BA146,0))</f>
        <v>x</v>
      </c>
      <c r="BB329" s="50" t="str">
        <f>IF(BB146=-1,"x",IF(OR(BB244=1,BB$195=1,$CY146=1),BB146,0))</f>
        <v>x</v>
      </c>
      <c r="BC329" s="51" t="str">
        <f>IF(BC146=-1,"x",IF(OR(BC244=1,BC$195=1,$CZ146=1),BC146,0))</f>
        <v>x</v>
      </c>
      <c r="BD329" s="52" t="str">
        <f>IF(BD146=-1,"x",IF(OR(BD244=1,BD$195=1,$CX146=1),BD146,0))</f>
        <v>x</v>
      </c>
      <c r="BE329" s="50" t="str">
        <f>IF(BE146=-1,"x",IF(OR(BE244=1,BE$195=1,$CY146=1),BE146,0))</f>
        <v>x</v>
      </c>
      <c r="BF329" s="53" t="str">
        <f>IF(BF146=-1,"x",IF(OR(BF244=1,BF$195=1,$CZ146=1),BF146,0))</f>
        <v>x</v>
      </c>
      <c r="BG329" s="49" t="str">
        <f>IF(BG146=-1,"x",IF(OR(BG244=1,BG$195=1,$CX146=1),BG146,0))</f>
        <v>x</v>
      </c>
      <c r="BH329" s="50" t="str">
        <f>IF(BH146=-1,"x",IF(OR(BH244=1,BH$195=1,$CY146=1),BH146,0))</f>
        <v>x</v>
      </c>
      <c r="BI329" s="51" t="str">
        <f>IF(BI146=-1,"x",IF(OR(BI244=1,BI$195=1,$CZ146=1),BI146,0))</f>
        <v>x</v>
      </c>
      <c r="BJ329" s="52" t="str">
        <f>IF(BJ146=-1,"x",IF(OR(BJ244=1,BJ$195=1,$CX146=1),BJ146,0))</f>
        <v>x</v>
      </c>
      <c r="BK329" s="50" t="str">
        <f>IF(BK146=-1,"x",IF(OR(BK244=1,BK$195=1,$CY146=1),BK146,0))</f>
        <v>x</v>
      </c>
      <c r="BL329" s="51" t="str">
        <f>IF(BL146=-1,"x",IF(OR(BL244=1,BL$195=1,$CZ146=1),BL146,0))</f>
        <v>x</v>
      </c>
      <c r="BM329" s="52" t="str">
        <f>IF(BM146=-1,"x",IF(OR(BM244=1,BM$195=1,$CX146=1),BM146,0))</f>
        <v>x</v>
      </c>
      <c r="BN329" s="50" t="str">
        <f>IF(BN146=-1,"x",IF(OR(BN244=1,BN$195=1,$CY146=1),BN146,0))</f>
        <v>x</v>
      </c>
      <c r="BO329" s="105" t="str">
        <f>IF(BO146=-1,"x",IF(OR(BO244=1,BO$195=1,$CZ146=1),BO146,0))</f>
        <v>x</v>
      </c>
      <c r="BP329" s="104" t="str">
        <f>IF(BP146=-1,"x",IF(OR(BP244=1,BP$195=1,$CX146=1),BP146,0))</f>
        <v>x</v>
      </c>
      <c r="BQ329" s="50" t="str">
        <f>IF(BQ146=-1,"x",IF(OR(BQ244=1,BQ$195=1,$CY146=1),BQ146,0))</f>
        <v>x</v>
      </c>
      <c r="BR329" s="51" t="str">
        <f>IF(BR146=-1,"x",IF(OR(BR244=1,BR$195=1,$CZ146=1),BR146,0))</f>
        <v>x</v>
      </c>
      <c r="BS329" s="52" t="str">
        <f>IF(BS146=-1,"x",IF(OR(BS244=1,BS$195=1,$CX146=1),BS146,0))</f>
        <v>x</v>
      </c>
      <c r="BT329" s="50" t="str">
        <f>IF(BT146=-1,"x",IF(OR(BT244=1,BT$195=1,$CY146=1),BT146,0))</f>
        <v>x</v>
      </c>
      <c r="BU329" s="51" t="str">
        <f>IF(BU146=-1,"x",IF(OR(BU244=1,BU$195=1,$CZ146=1),BU146,0))</f>
        <v>x</v>
      </c>
      <c r="BV329" s="52" t="str">
        <f>IF(BV146=-1,"x",IF(OR(BV244=1,BV$195=1,$CX146=1),BV146,0))</f>
        <v>x</v>
      </c>
      <c r="BW329" s="50" t="str">
        <f>IF(BW146=-1,"x",IF(OR(BW244=1,BW$195=1,$CY146=1),BW146,0))</f>
        <v>x</v>
      </c>
      <c r="BX329" s="53" t="str">
        <f>IF(BX146=-1,"x",IF(OR(BX244=1,BX$195=1,$CZ146=1),BX146,0))</f>
        <v>x</v>
      </c>
      <c r="BY329" s="49" t="str">
        <f>IF(BY146=-1,"x",IF(OR(BY244=1,BY$195=1,$CX146=1),BY146,0))</f>
        <v>x</v>
      </c>
      <c r="BZ329" s="50" t="str">
        <f>IF(BZ146=-1,"x",IF(OR(BZ244=1,BZ$195=1,$CY146=1),BZ146,0))</f>
        <v>x</v>
      </c>
      <c r="CA329" s="51" t="str">
        <f>IF(CA146=-1,"x",IF(OR(CA244=1,CA$195=1,$CZ146=1),CA146,0))</f>
        <v>x</v>
      </c>
      <c r="CB329" s="52" t="str">
        <f>IF(CB146=-1,"x",IF(OR(CB244=1,CB$195=1,$CX146=1),CB146,0))</f>
        <v>x</v>
      </c>
      <c r="CC329" s="50" t="str">
        <f>IF(CC146=-1,"x",IF(OR(CC244=1,CC$195=1,$CY146=1),CC146,0))</f>
        <v>x</v>
      </c>
      <c r="CD329" s="51" t="str">
        <f>IF(CD146=-1,"x",IF(OR(CD244=1,CD$195=1,$CZ146=1),CD146,0))</f>
        <v>x</v>
      </c>
      <c r="CE329" s="52" t="str">
        <f>IF(CE146=-1,"x",IF(OR(CE244=1,CE$195=1,$CX146=1),CE146,0))</f>
        <v>x</v>
      </c>
      <c r="CF329" s="50" t="str">
        <f>IF(CF146=-1,"x",IF(OR(CF244=1,CF$195=1,$CY146=1),CF146,0))</f>
        <v>x</v>
      </c>
      <c r="CG329" s="53" t="str">
        <f>IF(CG146=-1,"x",IF(OR(CG244=1,CG$195=1,$CZ146=1),CG146,0))</f>
        <v>x</v>
      </c>
      <c r="CH329" s="49">
        <f>IF(CH146=-1,"x",IF(OR(CH244=1,CH$195=1,$CX146=1),CH146,0))</f>
        <v>0</v>
      </c>
      <c r="CI329" s="50">
        <f>IF(CI146=-1,"x",IF(OR(CI244=1,CI$195=1,$CY146=1),CI146,0))</f>
        <v>0</v>
      </c>
      <c r="CJ329" s="51">
        <f>IF(CJ146=-1,"x",IF(OR(CJ244=1,CJ$195=1,$CZ146=1),CJ146,0))</f>
        <v>0</v>
      </c>
      <c r="CK329" s="52">
        <f>IF(CK146=-1,"x",IF(OR(CK244=1,CK$195=1,$CX146=1),CK146,0))</f>
        <v>0</v>
      </c>
      <c r="CL329" s="50">
        <f>IF(CL146=-1,"x",IF(OR(CL244=1,CL$195=1,$CY146=1),CL146,0))</f>
        <v>0</v>
      </c>
      <c r="CM329" s="51">
        <f>IF(CM146=-1,"x",IF(OR(CM244=1,CM$195=1,$CZ146=1),CM146,0))</f>
        <v>0</v>
      </c>
      <c r="CN329" s="52" t="str">
        <f>IF(CN146=-1,"x",IF(OR(CN244=1,CN$195=1,$CX146=1),CN146,0))</f>
        <v>x</v>
      </c>
      <c r="CO329" s="50" t="str">
        <f>IF(CO146=-1,"x",IF(OR(CO244=1,CO$195=1,$CY146=1),CO146,0))</f>
        <v>x</v>
      </c>
      <c r="CP329" s="105" t="str">
        <f>IF(CP146=-1,"x",IF(OR(CP244=1,CP$195=1,$CZ146=1),CP146,0))</f>
        <v>x</v>
      </c>
      <c r="DJ329" s="104">
        <f>IF(DJ146=-1,"x",IF(OR(DJ244=1,DJ$228=1,$GT146=1),DJ146,0))</f>
        <v>0</v>
      </c>
      <c r="DK329" s="50">
        <f>IF(DK146=-1,"x",IF(OR(DK244=1,DK$228=1,$GU146=1),DK146,0))</f>
        <v>0</v>
      </c>
      <c r="DL329" s="51">
        <f>IF(DL146=-1,"x",IF(OR(DL244=1,DL$228=1,$GV146=1),DL146,0))</f>
        <v>0</v>
      </c>
      <c r="DM329" s="52" t="str">
        <f>IF(DM146=-1,"x",IF(OR(DM244=1,DM$228=1,$GT146=1),DM146,0))</f>
        <v>x</v>
      </c>
      <c r="DN329" s="50" t="str">
        <f>IF(DN146=-1,"x",IF(OR(DN244=1,DN$228=1,$GU146=1),DN146,0))</f>
        <v>x</v>
      </c>
      <c r="DO329" s="51" t="str">
        <f>IF(DO146=-1,"x",IF(OR(DO244=1,DO$228=1,$GV146=1),DO146,0))</f>
        <v>x</v>
      </c>
      <c r="DP329" s="52" t="str">
        <f>IF(DP146=-1,"x",IF(OR(DP244=1,DP$228=1,$GT146=1),DP146,0))</f>
        <v>x</v>
      </c>
      <c r="DQ329" s="50" t="str">
        <f>IF(DQ146=-1,"x",IF(OR(DQ244=1,DQ$228=1,$GU146=1),DQ146,0))</f>
        <v>x</v>
      </c>
      <c r="DR329" s="53" t="str">
        <f>IF(DR146=-1,"x",IF(OR(DR244=1,DR$228=1,$GV146=1),DR146,0))</f>
        <v>x</v>
      </c>
      <c r="DS329" s="49" t="str">
        <f>IF(DS146=-1,"x",IF(OR(DS244=1,DS$228=1,$GT146=1),DS146,0))</f>
        <v>x</v>
      </c>
      <c r="DT329" s="50" t="str">
        <f>IF(DT146=-1,"x",IF(OR(DT244=1,DT$228=1,$GU146=1),DT146,0))</f>
        <v>x</v>
      </c>
      <c r="DU329" s="51" t="str">
        <f>IF(DU146=-1,"x",IF(OR(DU244=1,DU$228=1,$GV146=1),DU146,0))</f>
        <v>x</v>
      </c>
      <c r="DV329" s="52" t="str">
        <f>IF(DV146=-1,"x",IF(OR(DV244=1,DV$228=1,$GT146=1),DV146,0))</f>
        <v>x</v>
      </c>
      <c r="DW329" s="50" t="str">
        <f>IF(DW146=-1,"x",IF(OR(DW244=1,DW$228=1,$GU146=1),DW146,0))</f>
        <v>x</v>
      </c>
      <c r="DX329" s="51" t="str">
        <f>IF(DX146=-1,"x",IF(OR(DX244=1,DX$228=1,$GV146=1),DX146,0))</f>
        <v>x</v>
      </c>
      <c r="DY329" s="52" t="str">
        <f>IF(DY146=-1,"x",IF(OR(DY244=1,DY$228=1,$GT146=1),DY146,0))</f>
        <v>x</v>
      </c>
      <c r="DZ329" s="50" t="str">
        <f>IF(DZ146=-1,"x",IF(OR(DZ244=1,DZ$228=1,$GU146=1),DZ146,0))</f>
        <v>x</v>
      </c>
      <c r="EA329" s="53" t="str">
        <f>IF(EA146=-1,"x",IF(OR(EA244=1,EA$228=1,$GV146=1),EA146,0))</f>
        <v>x</v>
      </c>
      <c r="EB329" s="49" t="str">
        <f>IF(EB146=-1,"x",IF(OR(EB244=1,EB$228=1,$GT146=1),EB146,0))</f>
        <v>x</v>
      </c>
      <c r="EC329" s="50" t="str">
        <f>IF(EC146=-1,"x",IF(OR(EC244=1,EC$228=1,$GU146=1),EC146,0))</f>
        <v>x</v>
      </c>
      <c r="ED329" s="51" t="str">
        <f>IF(ED146=-1,"x",IF(OR(ED244=1,ED$228=1,$GV146=1),ED146,0))</f>
        <v>x</v>
      </c>
      <c r="EE329" s="52" t="str">
        <f>IF(EE146=-1,"x",IF(OR(EE244=1,EE$228=1,$GT146=1),EE146,0))</f>
        <v>x</v>
      </c>
      <c r="EF329" s="50" t="str">
        <f>IF(EF146=-1,"x",IF(OR(EF244=1,EF$228=1,$GU146=1),EF146,0))</f>
        <v>x</v>
      </c>
      <c r="EG329" s="51" t="str">
        <f>IF(EG146=-1,"x",IF(OR(EG244=1,EG$228=1,$GV146=1),EG146,0))</f>
        <v>x</v>
      </c>
      <c r="EH329" s="52" t="str">
        <f>IF(EH146=-1,"x",IF(OR(EH244=1,EH$228=1,$GT146=1),EH146,0))</f>
        <v>x</v>
      </c>
      <c r="EI329" s="50" t="str">
        <f>IF(EI146=-1,"x",IF(OR(EI244=1,EI$228=1,$GU146=1),EI146,0))</f>
        <v>x</v>
      </c>
      <c r="EJ329" s="105" t="str">
        <f>IF(EJ146=-1,"x",IF(OR(EJ244=1,EJ$228=1,$GV146=1),EJ146,0))</f>
        <v>x</v>
      </c>
      <c r="EK329" s="104" t="str">
        <f>IF(EK146=-1,"x",IF(OR(EK244=1,EK$228=1,$GT146=1),EK146,0))</f>
        <v>x</v>
      </c>
      <c r="EL329" s="50" t="str">
        <f>IF(EL146=-1,"x",IF(OR(EL244=1,EL$228=1,$GU146=1),EL146,0))</f>
        <v>x</v>
      </c>
      <c r="EM329" s="51" t="str">
        <f>IF(EM146=-1,"x",IF(OR(EM244=1,EM$228=1,$GV146=1),EM146,0))</f>
        <v>x</v>
      </c>
      <c r="EN329" s="52" t="str">
        <f>IF(EN146=-1,"x",IF(OR(EN244=1,EN$228=1,$GT146=1),EN146,0))</f>
        <v>x</v>
      </c>
      <c r="EO329" s="50" t="str">
        <f>IF(EO146=-1,"x",IF(OR(EO244=1,EO$228=1,$GU146=1),EO146,0))</f>
        <v>x</v>
      </c>
      <c r="EP329" s="51" t="str">
        <f>IF(EP146=-1,"x",IF(OR(EP244=1,EP$228=1,$GV146=1),EP146,0))</f>
        <v>x</v>
      </c>
      <c r="EQ329" s="52">
        <f>IF(EQ146=-1,"x",IF(OR(EQ244=1,EQ$228=1,$GT146=1),EQ146,0))</f>
        <v>0</v>
      </c>
      <c r="ER329" s="50">
        <f>IF(ER146=-1,"x",IF(OR(ER244=1,ER$228=1,$GU146=1),ER146,0))</f>
        <v>0</v>
      </c>
      <c r="ES329" s="53">
        <f>IF(ES146=-1,"x",IF(OR(ES244=1,ES$228=1,$GV146=1),ES146,0))</f>
        <v>0</v>
      </c>
      <c r="ET329" s="49" t="str">
        <f>IF(ET146=-1,"x",IF(OR(ET244=1,ET$228=1,$GT146=1),ET146,0))</f>
        <v>x</v>
      </c>
      <c r="EU329" s="50" t="str">
        <f>IF(EU146=-1,"x",IF(OR(EU244=1,EU$228=1,$GU146=1),EU146,0))</f>
        <v>x</v>
      </c>
      <c r="EV329" s="51" t="str">
        <f>IF(EV146=-1,"x",IF(OR(EV244=1,EV$228=1,$GV146=1),EV146,0))</f>
        <v>x</v>
      </c>
      <c r="EW329" s="52" t="str">
        <f>IF(EW146=-1,"x",IF(OR(EW244=1,EW$228=1,$GT146=1),EW146,0))</f>
        <v>x</v>
      </c>
      <c r="EX329" s="50" t="str">
        <f>IF(EX146=-1,"x",IF(OR(EX244=1,EX$228=1,$GU146=1),EX146,0))</f>
        <v>x</v>
      </c>
      <c r="EY329" s="51" t="str">
        <f>IF(EY146=-1,"x",IF(OR(EY244=1,EY$228=1,$GV146=1),EY146,0))</f>
        <v>x</v>
      </c>
      <c r="EZ329" s="52" t="str">
        <f>IF(EZ146=-1,"x",IF(OR(EZ244=1,EZ$228=1,$GT146=1),EZ146,0))</f>
        <v>x</v>
      </c>
      <c r="FA329" s="50" t="str">
        <f>IF(FA146=-1,"x",IF(OR(FA244=1,FA$228=1,$GU146=1),FA146,0))</f>
        <v>x</v>
      </c>
      <c r="FB329" s="53" t="str">
        <f>IF(FB146=-1,"x",IF(OR(FB244=1,FB$228=1,$GV146=1),FB146,0))</f>
        <v>x</v>
      </c>
      <c r="FC329" s="49" t="str">
        <f>IF(FC146=-1,"x",IF(OR(FC244=1,FC$228=1,$GT146=1),FC146,0))</f>
        <v>x</v>
      </c>
      <c r="FD329" s="50" t="str">
        <f>IF(FD146=-1,"x",IF(OR(FD244=1,FD$228=1,$GU146=1),FD146,0))</f>
        <v>x</v>
      </c>
      <c r="FE329" s="51" t="str">
        <f>IF(FE146=-1,"x",IF(OR(FE244=1,FE$228=1,$GV146=1),FE146,0))</f>
        <v>x</v>
      </c>
      <c r="FF329" s="52" t="str">
        <f>IF(FF146=-1,"x",IF(OR(FF244=1,FF$228=1,$GT146=1),FF146,0))</f>
        <v>x</v>
      </c>
      <c r="FG329" s="50" t="str">
        <f>IF(FG146=-1,"x",IF(OR(FG244=1,FG$228=1,$GU146=1),FG146,0))</f>
        <v>x</v>
      </c>
      <c r="FH329" s="51" t="str">
        <f>IF(FH146=-1,"x",IF(OR(FH244=1,FH$228=1,$GV146=1),FH146,0))</f>
        <v>x</v>
      </c>
      <c r="FI329" s="52" t="str">
        <f>IF(FI146=-1,"x",IF(OR(FI244=1,FI$228=1,$GT146=1),FI146,0))</f>
        <v>x</v>
      </c>
      <c r="FJ329" s="50" t="str">
        <f>IF(FJ146=-1,"x",IF(OR(FJ244=1,FJ$228=1,$GU146=1),FJ146,0))</f>
        <v>x</v>
      </c>
      <c r="FK329" s="105" t="str">
        <f>IF(FK146=-1,"x",IF(OR(FK244=1,FK$228=1,$GV146=1),FK146,0))</f>
        <v>x</v>
      </c>
      <c r="FL329" s="104" t="str">
        <f>IF(FL146=-1,"x",IF(OR(FL244=1,FL$228=1,$GT146=1),FL146,0))</f>
        <v>x</v>
      </c>
      <c r="FM329" s="50" t="str">
        <f>IF(FM146=-1,"x",IF(OR(FM244=1,FM$228=1,$GU146=1),FM146,0))</f>
        <v>x</v>
      </c>
      <c r="FN329" s="51" t="str">
        <f>IF(FN146=-1,"x",IF(OR(FN244=1,FN$228=1,$GV146=1),FN146,0))</f>
        <v>x</v>
      </c>
      <c r="FO329" s="52" t="str">
        <f>IF(FO146=-1,"x",IF(OR(FO244=1,FO$228=1,$GT146=1),FO146,0))</f>
        <v>x</v>
      </c>
      <c r="FP329" s="50" t="str">
        <f>IF(FP146=-1,"x",IF(OR(FP244=1,FP$228=1,$GU146=1),FP146,0))</f>
        <v>x</v>
      </c>
      <c r="FQ329" s="51" t="str">
        <f>IF(FQ146=-1,"x",IF(OR(FQ244=1,FQ$228=1,$GV146=1),FQ146,0))</f>
        <v>x</v>
      </c>
      <c r="FR329" s="52" t="str">
        <f>IF(FR146=-1,"x",IF(OR(FR244=1,FR$228=1,$GT146=1),FR146,0))</f>
        <v>x</v>
      </c>
      <c r="FS329" s="50" t="str">
        <f>IF(FS146=-1,"x",IF(OR(FS244=1,FS$228=1,$GU146=1),FS146,0))</f>
        <v>x</v>
      </c>
      <c r="FT329" s="53" t="str">
        <f>IF(FT146=-1,"x",IF(OR(FT244=1,FT$228=1,$GV146=1),FT146,0))</f>
        <v>x</v>
      </c>
      <c r="FU329" s="49" t="str">
        <f>IF(FU146=-1,"x",IF(OR(FU244=1,FU$228=1,$GT146=1),FU146,0))</f>
        <v>x</v>
      </c>
      <c r="FV329" s="50" t="str">
        <f>IF(FV146=-1,"x",IF(OR(FV244=1,FV$228=1,$GU146=1),FV146,0))</f>
        <v>x</v>
      </c>
      <c r="FW329" s="51" t="str">
        <f>IF(FW146=-1,"x",IF(OR(FW244=1,FW$228=1,$GV146=1),FW146,0))</f>
        <v>x</v>
      </c>
      <c r="FX329" s="52" t="str">
        <f>IF(FX146=-1,"x",IF(OR(FX244=1,FX$228=1,$GT146=1),FX146,0))</f>
        <v>x</v>
      </c>
      <c r="FY329" s="50" t="str">
        <f>IF(FY146=-1,"x",IF(OR(FY244=1,FY$228=1,$GU146=1),FY146,0))</f>
        <v>x</v>
      </c>
      <c r="FZ329" s="51" t="str">
        <f>IF(FZ146=-1,"x",IF(OR(FZ244=1,FZ$228=1,$GV146=1),FZ146,0))</f>
        <v>x</v>
      </c>
      <c r="GA329" s="52" t="str">
        <f>IF(GA146=-1,"x",IF(OR(GA244=1,GA$228=1,$GT146=1),GA146,0))</f>
        <v>x</v>
      </c>
      <c r="GB329" s="50" t="str">
        <f>IF(GB146=-1,"x",IF(OR(GB244=1,GB$228=1,$GU146=1),GB146,0))</f>
        <v>x</v>
      </c>
      <c r="GC329" s="53" t="str">
        <f>IF(GC146=-1,"x",IF(OR(GC244=1,GC$228=1,$GV146=1),GC146,0))</f>
        <v>x</v>
      </c>
      <c r="GD329" s="49" t="str">
        <f>IF(GD146=-1,"x",IF(OR(GD244=1,GD$228=1,$GT146=1),GD146,0))</f>
        <v>x</v>
      </c>
      <c r="GE329" s="50" t="str">
        <f>IF(GE146=-1,"x",IF(OR(GE244=1,GE$228=1,$GU146=1),GE146,0))</f>
        <v>x</v>
      </c>
      <c r="GF329" s="51" t="str">
        <f>IF(GF146=-1,"x",IF(OR(GF244=1,GF$228=1,$GV146=1),GF146,0))</f>
        <v>x</v>
      </c>
      <c r="GG329" s="52">
        <f>IF(GG146=-1,"x",IF(OR(GG244=1,GG$228=1,$GT146=1),GG146,0))</f>
        <v>0</v>
      </c>
      <c r="GH329" s="50">
        <f>IF(GH146=-1,"x",IF(OR(GH244=1,GH$228=1,$GU146=1),GH146,0))</f>
        <v>0</v>
      </c>
      <c r="GI329" s="51">
        <f>IF(GI146=-1,"x",IF(OR(GI244=1,GI$228=1,$GV146=1),GI146,0))</f>
        <v>0</v>
      </c>
      <c r="GJ329" s="52">
        <f>IF(GJ146=-1,"x",IF(OR(GJ244=1,GJ$228=1,$GT146=1),GJ146,0))</f>
        <v>0</v>
      </c>
      <c r="GK329" s="50">
        <f>IF(GK146=-1,"x",IF(OR(GK244=1,GK$228=1,$GU146=1),GK146,0))</f>
        <v>0</v>
      </c>
      <c r="GL329" s="105">
        <f>IF(GL146=-1,"x",IF(OR(GL244=1,GL$228=1,$GV146=1),GL146,0))</f>
        <v>0</v>
      </c>
    </row>
    <row r="330" spans="14:194" ht="15" customHeight="1">
      <c r="N330" s="94" t="str">
        <f>IF(N147=-1,"x",IF(OR(N245=1,N$196=1,$CX147=1),N147,0))</f>
        <v>x</v>
      </c>
      <c r="O330" s="39" t="str">
        <f>IF(O147=-1,"x",IF(OR(O245=1,O$196=1,$CY147=1),O147,0))</f>
        <v>x</v>
      </c>
      <c r="P330" s="41" t="str">
        <f>IF(P147=-1,"x",IF(OR(P245=1,P$196=1,$CZ147=1),P147,0))</f>
        <v>x</v>
      </c>
      <c r="Q330" s="40" t="str">
        <f>IF(Q147=-1,"x",IF(OR(Q245=1,Q$196=1,$CX147=1),Q147,0))</f>
        <v>x</v>
      </c>
      <c r="R330" s="39" t="str">
        <f>IF(R147=-1,"x",IF(OR(R245=1,R$196=1,$CY147=1),R147,0))</f>
        <v>x</v>
      </c>
      <c r="S330" s="41" t="str">
        <f>IF(S147=-1,"x",IF(OR(S245=1,S$196=1,$CZ147=1),S147,0))</f>
        <v>x</v>
      </c>
      <c r="T330" s="40">
        <f>IF(T147=-1,"x",IF(OR(T245=1,T$196=1,$CX147=1),T147,0))</f>
        <v>0</v>
      </c>
      <c r="U330" s="39">
        <f>IF(U147=-1,"x",IF(OR(U245=1,U$196=1,$CY147=1),U147,0))</f>
        <v>0</v>
      </c>
      <c r="V330" s="42">
        <f>IF(V147=-1,"x",IF(OR(V245=1,V$196=1,$CZ147=1),V147,0))</f>
        <v>0</v>
      </c>
      <c r="W330" s="43" t="str">
        <f>IF(W147=-1,"x",IF(OR(W245=1,W$196=1,$CX147=1),W147,0))</f>
        <v>x</v>
      </c>
      <c r="X330" s="39" t="str">
        <f>IF(X147=-1,"x",IF(OR(X245=1,X$196=1,$CY147=1),X147,0))</f>
        <v>x</v>
      </c>
      <c r="Y330" s="41" t="str">
        <f>IF(Y147=-1,"x",IF(OR(Y245=1,Y$196=1,$CZ147=1),Y147,0))</f>
        <v>x</v>
      </c>
      <c r="Z330" s="40" t="str">
        <f>IF(Z147=-1,"x",IF(OR(Z245=1,Z$196=1,$CX147=1),Z147,0))</f>
        <v>x</v>
      </c>
      <c r="AA330" s="39" t="str">
        <f>IF(AA147=-1,"x",IF(OR(AA245=1,AA$196=1,$CY147=1),AA147,0))</f>
        <v>x</v>
      </c>
      <c r="AB330" s="41" t="str">
        <f>IF(AB147=-1,"x",IF(OR(AB245=1,AB$196=1,$CZ147=1),AB147,0))</f>
        <v>x</v>
      </c>
      <c r="AC330" s="40" t="str">
        <f>IF(AC147=-1,"x",IF(OR(AC245=1,AC$196=1,$CX147=1),AC147,0))</f>
        <v>x</v>
      </c>
      <c r="AD330" s="39" t="str">
        <f>IF(AD147=-1,"x",IF(OR(AD245=1,AD$196=1,$CY147=1),AD147,0))</f>
        <v>x</v>
      </c>
      <c r="AE330" s="42" t="str">
        <f>IF(AE147=-1,"x",IF(OR(AE245=1,AE$196=1,$CZ147=1),AE147,0))</f>
        <v>x</v>
      </c>
      <c r="AF330" s="43" t="str">
        <f>IF(AF147=-1,"x",IF(OR(AF245=1,AF$196=1,$CX147=1),AF147,0))</f>
        <v>x</v>
      </c>
      <c r="AG330" s="39" t="str">
        <f>IF(AG147=-1,"x",IF(OR(AG245=1,AG$196=1,$CY147=1),AG147,0))</f>
        <v>x</v>
      </c>
      <c r="AH330" s="41" t="str">
        <f>IF(AH147=-1,"x",IF(OR(AH245=1,AH$196=1,$CZ147=1),AH147,0))</f>
        <v>x</v>
      </c>
      <c r="AI330" s="40" t="str">
        <f>IF(AI147=-1,"x",IF(OR(AI245=1,AI$196=1,$CX147=1),AI147,0))</f>
        <v>x</v>
      </c>
      <c r="AJ330" s="39" t="str">
        <f>IF(AJ147=-1,"x",IF(OR(AJ245=1,AJ$196=1,$CY147=1),AJ147,0))</f>
        <v>x</v>
      </c>
      <c r="AK330" s="41" t="str">
        <f>IF(AK147=-1,"x",IF(OR(AK245=1,AK$196=1,$CZ147=1),AK147,0))</f>
        <v>x</v>
      </c>
      <c r="AL330" s="40" t="str">
        <f>IF(AL147=-1,"x",IF(OR(AL245=1,AL$196=1,$CX147=1),AL147,0))</f>
        <v>x</v>
      </c>
      <c r="AM330" s="39" t="str">
        <f>IF(AM147=-1,"x",IF(OR(AM245=1,AM$196=1,$CY147=1),AM147,0))</f>
        <v>x</v>
      </c>
      <c r="AN330" s="95" t="str">
        <f>IF(AN147=-1,"x",IF(OR(AN245=1,AN$196=1,$CZ147=1),AN147,0))</f>
        <v>x</v>
      </c>
      <c r="AO330" s="94" t="str">
        <f>IF(AO147=-1,"x",IF(OR(AO245=1,AO$196=1,$CX147=1),AO147,0))</f>
        <v>x</v>
      </c>
      <c r="AP330" s="39" t="str">
        <f>IF(AP147=-1,"x",IF(OR(AP245=1,AP$196=1,$CY147=1),AP147,0))</f>
        <v>x</v>
      </c>
      <c r="AQ330" s="41" t="str">
        <f>IF(AQ147=-1,"x",IF(OR(AQ245=1,AQ$196=1,$CZ147=1),AQ147,0))</f>
        <v>x</v>
      </c>
      <c r="AR330" s="40" t="str">
        <f>IF(AR147=-1,"x",IF(OR(AR245=1,AR$196=1,$CX147=1),AR147,0))</f>
        <v>x</v>
      </c>
      <c r="AS330" s="39" t="str">
        <f>IF(AS147=-1,"x",IF(OR(AS245=1,AS$196=1,$CY147=1),AS147,0))</f>
        <v>x</v>
      </c>
      <c r="AT330" s="41" t="str">
        <f>IF(AT147=-1,"x",IF(OR(AT245=1,AT$196=1,$CZ147=1),AT147,0))</f>
        <v>x</v>
      </c>
      <c r="AU330" s="40" t="str">
        <f>IF(AU147=-1,"x",IF(OR(AU245=1,AU$196=1,$CX147=1),AU147,0))</f>
        <v>x</v>
      </c>
      <c r="AV330" s="39" t="str">
        <f>IF(AV147=-1,"x",IF(OR(AV245=1,AV$196=1,$CY147=1),AV147,0))</f>
        <v>x</v>
      </c>
      <c r="AW330" s="42" t="str">
        <f>IF(AW147=-1,"x",IF(OR(AW245=1,AW$196=1,$CZ147=1),AW147,0))</f>
        <v>x</v>
      </c>
      <c r="AX330" s="43" t="str">
        <f>IF(AX147=-1,"x",IF(OR(AX245=1,AX$196=1,$CX147=1),AX147,0))</f>
        <v>x</v>
      </c>
      <c r="AY330" s="39" t="str">
        <f>IF(AY147=-1,"x",IF(OR(AY245=1,AY$196=1,$CY147=1),AY147,0))</f>
        <v>x</v>
      </c>
      <c r="AZ330" s="41" t="str">
        <f>IF(AZ147=-1,"x",IF(OR(AZ245=1,AZ$196=1,$CZ147=1),AZ147,0))</f>
        <v>x</v>
      </c>
      <c r="BA330" s="40" t="str">
        <f>IF(BA147=-1,"x",IF(OR(BA245=1,BA$196=1,$CX147=1),BA147,0))</f>
        <v>x</v>
      </c>
      <c r="BB330" s="39" t="str">
        <f>IF(BB147=-1,"x",IF(OR(BB245=1,BB$196=1,$CY147=1),BB147,0))</f>
        <v>x</v>
      </c>
      <c r="BC330" s="41" t="str">
        <f>IF(BC147=-1,"x",IF(OR(BC245=1,BC$196=1,$CZ147=1),BC147,0))</f>
        <v>x</v>
      </c>
      <c r="BD330" s="40" t="str">
        <f>IF(BD147=-1,"x",IF(OR(BD245=1,BD$196=1,$CX147=1),BD147,0))</f>
        <v>x</v>
      </c>
      <c r="BE330" s="39" t="str">
        <f>IF(BE147=-1,"x",IF(OR(BE245=1,BE$196=1,$CY147=1),BE147,0))</f>
        <v>x</v>
      </c>
      <c r="BF330" s="42" t="str">
        <f>IF(BF147=-1,"x",IF(OR(BF245=1,BF$196=1,$CZ147=1),BF147,0))</f>
        <v>x</v>
      </c>
      <c r="BG330" s="43" t="str">
        <f>IF(BG147=-1,"x",IF(OR(BG245=1,BG$196=1,$CX147=1),BG147,0))</f>
        <v>x</v>
      </c>
      <c r="BH330" s="39" t="str">
        <f>IF(BH147=-1,"x",IF(OR(BH245=1,BH$196=1,$CY147=1),BH147,0))</f>
        <v>x</v>
      </c>
      <c r="BI330" s="41" t="str">
        <f>IF(BI147=-1,"x",IF(OR(BI245=1,BI$196=1,$CZ147=1),BI147,0))</f>
        <v>x</v>
      </c>
      <c r="BJ330" s="40" t="str">
        <f>IF(BJ147=-1,"x",IF(OR(BJ245=1,BJ$196=1,$CX147=1),BJ147,0))</f>
        <v>x</v>
      </c>
      <c r="BK330" s="39" t="str">
        <f>IF(BK147=-1,"x",IF(OR(BK245=1,BK$196=1,$CY147=1),BK147,0))</f>
        <v>x</v>
      </c>
      <c r="BL330" s="41" t="str">
        <f>IF(BL147=-1,"x",IF(OR(BL245=1,BL$196=1,$CZ147=1),BL147,0))</f>
        <v>x</v>
      </c>
      <c r="BM330" s="40" t="str">
        <f>IF(BM147=-1,"x",IF(OR(BM245=1,BM$196=1,$CX147=1),BM147,0))</f>
        <v>x</v>
      </c>
      <c r="BN330" s="39" t="str">
        <f>IF(BN147=-1,"x",IF(OR(BN245=1,BN$196=1,$CY147=1),BN147,0))</f>
        <v>x</v>
      </c>
      <c r="BO330" s="95" t="str">
        <f>IF(BO147=-1,"x",IF(OR(BO245=1,BO$196=1,$CZ147=1),BO147,0))</f>
        <v>x</v>
      </c>
      <c r="BP330" s="94" t="str">
        <f>IF(BP147=-1,"x",IF(OR(BP245=1,BP$196=1,$CX147=1),BP147,0))</f>
        <v>x</v>
      </c>
      <c r="BQ330" s="39" t="str">
        <f>IF(BQ147=-1,"x",IF(OR(BQ245=1,BQ$196=1,$CY147=1),BQ147,0))</f>
        <v>x</v>
      </c>
      <c r="BR330" s="41" t="str">
        <f>IF(BR147=-1,"x",IF(OR(BR245=1,BR$196=1,$CZ147=1),BR147,0))</f>
        <v>x</v>
      </c>
      <c r="BS330" s="40" t="str">
        <f>IF(BS147=-1,"x",IF(OR(BS245=1,BS$196=1,$CX147=1),BS147,0))</f>
        <v>x</v>
      </c>
      <c r="BT330" s="39" t="str">
        <f>IF(BT147=-1,"x",IF(OR(BT245=1,BT$196=1,$CY147=1),BT147,0))</f>
        <v>x</v>
      </c>
      <c r="BU330" s="41" t="str">
        <f>IF(BU147=-1,"x",IF(OR(BU245=1,BU$196=1,$CZ147=1),BU147,0))</f>
        <v>x</v>
      </c>
      <c r="BV330" s="40" t="str">
        <f>IF(BV147=-1,"x",IF(OR(BV245=1,BV$196=1,$CX147=1),BV147,0))</f>
        <v>x</v>
      </c>
      <c r="BW330" s="39" t="str">
        <f>IF(BW147=-1,"x",IF(OR(BW245=1,BW$196=1,$CY147=1),BW147,0))</f>
        <v>x</v>
      </c>
      <c r="BX330" s="42" t="str">
        <f>IF(BX147=-1,"x",IF(OR(BX245=1,BX$196=1,$CZ147=1),BX147,0))</f>
        <v>x</v>
      </c>
      <c r="BY330" s="43" t="str">
        <f>IF(BY147=-1,"x",IF(OR(BY245=1,BY$196=1,$CX147=1),BY147,0))</f>
        <v>x</v>
      </c>
      <c r="BZ330" s="39" t="str">
        <f>IF(BZ147=-1,"x",IF(OR(BZ245=1,BZ$196=1,$CY147=1),BZ147,0))</f>
        <v>x</v>
      </c>
      <c r="CA330" s="41" t="str">
        <f>IF(CA147=-1,"x",IF(OR(CA245=1,CA$196=1,$CZ147=1),CA147,0))</f>
        <v>x</v>
      </c>
      <c r="CB330" s="40" t="str">
        <f>IF(CB147=-1,"x",IF(OR(CB245=1,CB$196=1,$CX147=1),CB147,0))</f>
        <v>x</v>
      </c>
      <c r="CC330" s="39" t="str">
        <f>IF(CC147=-1,"x",IF(OR(CC245=1,CC$196=1,$CY147=1),CC147,0))</f>
        <v>x</v>
      </c>
      <c r="CD330" s="41" t="str">
        <f>IF(CD147=-1,"x",IF(OR(CD245=1,CD$196=1,$CZ147=1),CD147,0))</f>
        <v>x</v>
      </c>
      <c r="CE330" s="40" t="str">
        <f>IF(CE147=-1,"x",IF(OR(CE245=1,CE$196=1,$CX147=1),CE147,0))</f>
        <v>x</v>
      </c>
      <c r="CF330" s="39" t="str">
        <f>IF(CF147=-1,"x",IF(OR(CF245=1,CF$196=1,$CY147=1),CF147,0))</f>
        <v>x</v>
      </c>
      <c r="CG330" s="42" t="str">
        <f>IF(CG147=-1,"x",IF(OR(CG245=1,CG$196=1,$CZ147=1),CG147,0))</f>
        <v>x</v>
      </c>
      <c r="CH330" s="43">
        <f>IF(CH147=-1,"x",IF(OR(CH245=1,CH$196=1,$CX147=1),CH147,0))</f>
        <v>0</v>
      </c>
      <c r="CI330" s="39">
        <f>IF(CI147=-1,"x",IF(OR(CI245=1,CI$196=1,$CY147=1),CI147,0))</f>
        <v>0</v>
      </c>
      <c r="CJ330" s="41">
        <f>IF(CJ147=-1,"x",IF(OR(CJ245=1,CJ$196=1,$CZ147=1),CJ147,0))</f>
        <v>0</v>
      </c>
      <c r="CK330" s="40">
        <f>IF(CK147=-1,"x",IF(OR(CK245=1,CK$196=1,$CX147=1),CK147,0))</f>
        <v>0</v>
      </c>
      <c r="CL330" s="39">
        <f>IF(CL147=-1,"x",IF(OR(CL245=1,CL$196=1,$CY147=1),CL147,0))</f>
        <v>0</v>
      </c>
      <c r="CM330" s="41">
        <f>IF(CM147=-1,"x",IF(OR(CM245=1,CM$196=1,$CZ147=1),CM147,0))</f>
        <v>0</v>
      </c>
      <c r="CN330" s="40" t="str">
        <f>IF(CN147=-1,"x",IF(OR(CN245=1,CN$196=1,$CX147=1),CN147,0))</f>
        <v>x</v>
      </c>
      <c r="CO330" s="39" t="str">
        <f>IF(CO147=-1,"x",IF(OR(CO245=1,CO$196=1,$CY147=1),CO147,0))</f>
        <v>x</v>
      </c>
      <c r="CP330" s="95" t="str">
        <f>IF(CP147=-1,"x",IF(OR(CP245=1,CP$196=1,$CZ147=1),CP147,0))</f>
        <v>x</v>
      </c>
      <c r="DJ330" s="94">
        <f>IF(DJ147=-1,"x",IF(OR(DJ245=1,DJ$229=1,$GT147=1),DJ147,0))</f>
        <v>0</v>
      </c>
      <c r="DK330" s="39">
        <f>IF(DK147=-1,"x",IF(OR(DK245=1,DK$229=1,$GU147=1),DK147,0))</f>
        <v>0</v>
      </c>
      <c r="DL330" s="41">
        <f>IF(DL147=-1,"x",IF(OR(DL245=1,DL$229=1,$GV147=1),DL147,0))</f>
        <v>0</v>
      </c>
      <c r="DM330" s="40" t="str">
        <f>IF(DM147=-1,"x",IF(OR(DM245=1,DM$229=1,$GT147=1),DM147,0))</f>
        <v>x</v>
      </c>
      <c r="DN330" s="39" t="str">
        <f>IF(DN147=-1,"x",IF(OR(DN245=1,DN$229=1,$GU147=1),DN147,0))</f>
        <v>x</v>
      </c>
      <c r="DO330" s="41" t="str">
        <f>IF(DO147=-1,"x",IF(OR(DO245=1,DO$229=1,$GV147=1),DO147,0))</f>
        <v>x</v>
      </c>
      <c r="DP330" s="40" t="str">
        <f>IF(DP147=-1,"x",IF(OR(DP245=1,DP$229=1,$GT147=1),DP147,0))</f>
        <v>x</v>
      </c>
      <c r="DQ330" s="39" t="str">
        <f>IF(DQ147=-1,"x",IF(OR(DQ245=1,DQ$229=1,$GU147=1),DQ147,0))</f>
        <v>x</v>
      </c>
      <c r="DR330" s="42" t="str">
        <f>IF(DR147=-1,"x",IF(OR(DR245=1,DR$229=1,$GV147=1),DR147,0))</f>
        <v>x</v>
      </c>
      <c r="DS330" s="43" t="str">
        <f>IF(DS147=-1,"x",IF(OR(DS245=1,DS$229=1,$GT147=1),DS147,0))</f>
        <v>x</v>
      </c>
      <c r="DT330" s="39" t="str">
        <f>IF(DT147=-1,"x",IF(OR(DT245=1,DT$229=1,$GU147=1),DT147,0))</f>
        <v>x</v>
      </c>
      <c r="DU330" s="41" t="str">
        <f>IF(DU147=-1,"x",IF(OR(DU245=1,DU$229=1,$GV147=1),DU147,0))</f>
        <v>x</v>
      </c>
      <c r="DV330" s="40" t="str">
        <f>IF(DV147=-1,"x",IF(OR(DV245=1,DV$229=1,$GT147=1),DV147,0))</f>
        <v>x</v>
      </c>
      <c r="DW330" s="39" t="str">
        <f>IF(DW147=-1,"x",IF(OR(DW245=1,DW$229=1,$GU147=1),DW147,0))</f>
        <v>x</v>
      </c>
      <c r="DX330" s="41" t="str">
        <f>IF(DX147=-1,"x",IF(OR(DX245=1,DX$229=1,$GV147=1),DX147,0))</f>
        <v>x</v>
      </c>
      <c r="DY330" s="40" t="str">
        <f>IF(DY147=-1,"x",IF(OR(DY245=1,DY$229=1,$GT147=1),DY147,0))</f>
        <v>x</v>
      </c>
      <c r="DZ330" s="39" t="str">
        <f>IF(DZ147=-1,"x",IF(OR(DZ245=1,DZ$229=1,$GU147=1),DZ147,0))</f>
        <v>x</v>
      </c>
      <c r="EA330" s="42" t="str">
        <f>IF(EA147=-1,"x",IF(OR(EA245=1,EA$229=1,$GV147=1),EA147,0))</f>
        <v>x</v>
      </c>
      <c r="EB330" s="43" t="str">
        <f>IF(EB147=-1,"x",IF(OR(EB245=1,EB$229=1,$GT147=1),EB147,0))</f>
        <v>x</v>
      </c>
      <c r="EC330" s="39" t="str">
        <f>IF(EC147=-1,"x",IF(OR(EC245=1,EC$229=1,$GU147=1),EC147,0))</f>
        <v>x</v>
      </c>
      <c r="ED330" s="41" t="str">
        <f>IF(ED147=-1,"x",IF(OR(ED245=1,ED$229=1,$GV147=1),ED147,0))</f>
        <v>x</v>
      </c>
      <c r="EE330" s="40" t="str">
        <f>IF(EE147=-1,"x",IF(OR(EE245=1,EE$229=1,$GT147=1),EE147,0))</f>
        <v>x</v>
      </c>
      <c r="EF330" s="39" t="str">
        <f>IF(EF147=-1,"x",IF(OR(EF245=1,EF$229=1,$GU147=1),EF147,0))</f>
        <v>x</v>
      </c>
      <c r="EG330" s="41" t="str">
        <f>IF(EG147=-1,"x",IF(OR(EG245=1,EG$229=1,$GV147=1),EG147,0))</f>
        <v>x</v>
      </c>
      <c r="EH330" s="40" t="str">
        <f>IF(EH147=-1,"x",IF(OR(EH245=1,EH$229=1,$GT147=1),EH147,0))</f>
        <v>x</v>
      </c>
      <c r="EI330" s="39" t="str">
        <f>IF(EI147=-1,"x",IF(OR(EI245=1,EI$229=1,$GU147=1),EI147,0))</f>
        <v>x</v>
      </c>
      <c r="EJ330" s="95" t="str">
        <f>IF(EJ147=-1,"x",IF(OR(EJ245=1,EJ$229=1,$GV147=1),EJ147,0))</f>
        <v>x</v>
      </c>
      <c r="EK330" s="94" t="str">
        <f>IF(EK147=-1,"x",IF(OR(EK245=1,EK$229=1,$GT147=1),EK147,0))</f>
        <v>x</v>
      </c>
      <c r="EL330" s="39" t="str">
        <f>IF(EL147=-1,"x",IF(OR(EL245=1,EL$229=1,$GU147=1),EL147,0))</f>
        <v>x</v>
      </c>
      <c r="EM330" s="41" t="str">
        <f>IF(EM147=-1,"x",IF(OR(EM245=1,EM$229=1,$GV147=1),EM147,0))</f>
        <v>x</v>
      </c>
      <c r="EN330" s="40" t="str">
        <f>IF(EN147=-1,"x",IF(OR(EN245=1,EN$229=1,$GT147=1),EN147,0))</f>
        <v>x</v>
      </c>
      <c r="EO330" s="39" t="str">
        <f>IF(EO147=-1,"x",IF(OR(EO245=1,EO$229=1,$GU147=1),EO147,0))</f>
        <v>x</v>
      </c>
      <c r="EP330" s="41" t="str">
        <f>IF(EP147=-1,"x",IF(OR(EP245=1,EP$229=1,$GV147=1),EP147,0))</f>
        <v>x</v>
      </c>
      <c r="EQ330" s="40">
        <f>IF(EQ147=-1,"x",IF(OR(EQ245=1,EQ$229=1,$GT147=1),EQ147,0))</f>
        <v>0</v>
      </c>
      <c r="ER330" s="39">
        <f>IF(ER147=-1,"x",IF(OR(ER245=1,ER$229=1,$GU147=1),ER147,0))</f>
        <v>0</v>
      </c>
      <c r="ES330" s="42">
        <f>IF(ES147=-1,"x",IF(OR(ES245=1,ES$229=1,$GV147=1),ES147,0))</f>
        <v>0</v>
      </c>
      <c r="ET330" s="43" t="str">
        <f>IF(ET147=-1,"x",IF(OR(ET245=1,ET$229=1,$GT147=1),ET147,0))</f>
        <v>x</v>
      </c>
      <c r="EU330" s="39" t="str">
        <f>IF(EU147=-1,"x",IF(OR(EU245=1,EU$229=1,$GU147=1),EU147,0))</f>
        <v>x</v>
      </c>
      <c r="EV330" s="41" t="str">
        <f>IF(EV147=-1,"x",IF(OR(EV245=1,EV$229=1,$GV147=1),EV147,0))</f>
        <v>x</v>
      </c>
      <c r="EW330" s="40" t="str">
        <f>IF(EW147=-1,"x",IF(OR(EW245=1,EW$229=1,$GT147=1),EW147,0))</f>
        <v>x</v>
      </c>
      <c r="EX330" s="39" t="str">
        <f>IF(EX147=-1,"x",IF(OR(EX245=1,EX$229=1,$GU147=1),EX147,0))</f>
        <v>x</v>
      </c>
      <c r="EY330" s="41" t="str">
        <f>IF(EY147=-1,"x",IF(OR(EY245=1,EY$229=1,$GV147=1),EY147,0))</f>
        <v>x</v>
      </c>
      <c r="EZ330" s="40" t="str">
        <f>IF(EZ147=-1,"x",IF(OR(EZ245=1,EZ$229=1,$GT147=1),EZ147,0))</f>
        <v>x</v>
      </c>
      <c r="FA330" s="39" t="str">
        <f>IF(FA147=-1,"x",IF(OR(FA245=1,FA$229=1,$GU147=1),FA147,0))</f>
        <v>x</v>
      </c>
      <c r="FB330" s="42" t="str">
        <f>IF(FB147=-1,"x",IF(OR(FB245=1,FB$229=1,$GV147=1),FB147,0))</f>
        <v>x</v>
      </c>
      <c r="FC330" s="43" t="str">
        <f>IF(FC147=-1,"x",IF(OR(FC245=1,FC$229=1,$GT147=1),FC147,0))</f>
        <v>x</v>
      </c>
      <c r="FD330" s="39" t="str">
        <f>IF(FD147=-1,"x",IF(OR(FD245=1,FD$229=1,$GU147=1),FD147,0))</f>
        <v>x</v>
      </c>
      <c r="FE330" s="41" t="str">
        <f>IF(FE147=-1,"x",IF(OR(FE245=1,FE$229=1,$GV147=1),FE147,0))</f>
        <v>x</v>
      </c>
      <c r="FF330" s="40" t="str">
        <f>IF(FF147=-1,"x",IF(OR(FF245=1,FF$229=1,$GT147=1),FF147,0))</f>
        <v>x</v>
      </c>
      <c r="FG330" s="39" t="str">
        <f>IF(FG147=-1,"x",IF(OR(FG245=1,FG$229=1,$GU147=1),FG147,0))</f>
        <v>x</v>
      </c>
      <c r="FH330" s="41" t="str">
        <f>IF(FH147=-1,"x",IF(OR(FH245=1,FH$229=1,$GV147=1),FH147,0))</f>
        <v>x</v>
      </c>
      <c r="FI330" s="40" t="str">
        <f>IF(FI147=-1,"x",IF(OR(FI245=1,FI$229=1,$GT147=1),FI147,0))</f>
        <v>x</v>
      </c>
      <c r="FJ330" s="39" t="str">
        <f>IF(FJ147=-1,"x",IF(OR(FJ245=1,FJ$229=1,$GU147=1),FJ147,0))</f>
        <v>x</v>
      </c>
      <c r="FK330" s="95" t="str">
        <f>IF(FK147=-1,"x",IF(OR(FK245=1,FK$229=1,$GV147=1),FK147,0))</f>
        <v>x</v>
      </c>
      <c r="FL330" s="94" t="str">
        <f>IF(FL147=-1,"x",IF(OR(FL245=1,FL$229=1,$GT147=1),FL147,0))</f>
        <v>x</v>
      </c>
      <c r="FM330" s="39" t="str">
        <f>IF(FM147=-1,"x",IF(OR(FM245=1,FM$229=1,$GU147=1),FM147,0))</f>
        <v>x</v>
      </c>
      <c r="FN330" s="41" t="str">
        <f>IF(FN147=-1,"x",IF(OR(FN245=1,FN$229=1,$GV147=1),FN147,0))</f>
        <v>x</v>
      </c>
      <c r="FO330" s="40" t="str">
        <f>IF(FO147=-1,"x",IF(OR(FO245=1,FO$229=1,$GT147=1),FO147,0))</f>
        <v>x</v>
      </c>
      <c r="FP330" s="39" t="str">
        <f>IF(FP147=-1,"x",IF(OR(FP245=1,FP$229=1,$GU147=1),FP147,0))</f>
        <v>x</v>
      </c>
      <c r="FQ330" s="41" t="str">
        <f>IF(FQ147=-1,"x",IF(OR(FQ245=1,FQ$229=1,$GV147=1),FQ147,0))</f>
        <v>x</v>
      </c>
      <c r="FR330" s="40" t="str">
        <f>IF(FR147=-1,"x",IF(OR(FR245=1,FR$229=1,$GT147=1),FR147,0))</f>
        <v>x</v>
      </c>
      <c r="FS330" s="39" t="str">
        <f>IF(FS147=-1,"x",IF(OR(FS245=1,FS$229=1,$GU147=1),FS147,0))</f>
        <v>x</v>
      </c>
      <c r="FT330" s="42" t="str">
        <f>IF(FT147=-1,"x",IF(OR(FT245=1,FT$229=1,$GV147=1),FT147,0))</f>
        <v>x</v>
      </c>
      <c r="FU330" s="43" t="str">
        <f>IF(FU147=-1,"x",IF(OR(FU245=1,FU$229=1,$GT147=1),FU147,0))</f>
        <v>x</v>
      </c>
      <c r="FV330" s="39" t="str">
        <f>IF(FV147=-1,"x",IF(OR(FV245=1,FV$229=1,$GU147=1),FV147,0))</f>
        <v>x</v>
      </c>
      <c r="FW330" s="41" t="str">
        <f>IF(FW147=-1,"x",IF(OR(FW245=1,FW$229=1,$GV147=1),FW147,0))</f>
        <v>x</v>
      </c>
      <c r="FX330" s="40" t="str">
        <f>IF(FX147=-1,"x",IF(OR(FX245=1,FX$229=1,$GT147=1),FX147,0))</f>
        <v>x</v>
      </c>
      <c r="FY330" s="39" t="str">
        <f>IF(FY147=-1,"x",IF(OR(FY245=1,FY$229=1,$GU147=1),FY147,0))</f>
        <v>x</v>
      </c>
      <c r="FZ330" s="41" t="str">
        <f>IF(FZ147=-1,"x",IF(OR(FZ245=1,FZ$229=1,$GV147=1),FZ147,0))</f>
        <v>x</v>
      </c>
      <c r="GA330" s="40" t="str">
        <f>IF(GA147=-1,"x",IF(OR(GA245=1,GA$229=1,$GT147=1),GA147,0))</f>
        <v>x</v>
      </c>
      <c r="GB330" s="39" t="str">
        <f>IF(GB147=-1,"x",IF(OR(GB245=1,GB$229=1,$GU147=1),GB147,0))</f>
        <v>x</v>
      </c>
      <c r="GC330" s="42" t="str">
        <f>IF(GC147=-1,"x",IF(OR(GC245=1,GC$229=1,$GV147=1),GC147,0))</f>
        <v>x</v>
      </c>
      <c r="GD330" s="43" t="str">
        <f>IF(GD147=-1,"x",IF(OR(GD245=1,GD$229=1,$GT147=1),GD147,0))</f>
        <v>x</v>
      </c>
      <c r="GE330" s="39" t="str">
        <f>IF(GE147=-1,"x",IF(OR(GE245=1,GE$229=1,$GU147=1),GE147,0))</f>
        <v>x</v>
      </c>
      <c r="GF330" s="41" t="str">
        <f>IF(GF147=-1,"x",IF(OR(GF245=1,GF$229=1,$GV147=1),GF147,0))</f>
        <v>x</v>
      </c>
      <c r="GG330" s="40">
        <f>IF(GG147=-1,"x",IF(OR(GG245=1,GG$229=1,$GT147=1),GG147,0))</f>
        <v>0</v>
      </c>
      <c r="GH330" s="39">
        <f>IF(GH147=-1,"x",IF(OR(GH245=1,GH$229=1,$GU147=1),GH147,0))</f>
        <v>5</v>
      </c>
      <c r="GI330" s="41">
        <f>IF(GI147=-1,"x",IF(OR(GI245=1,GI$229=1,$GV147=1),GI147,0))</f>
        <v>0</v>
      </c>
      <c r="GJ330" s="40">
        <f>IF(GJ147=-1,"x",IF(OR(GJ245=1,GJ$229=1,$GT147=1),GJ147,0))</f>
        <v>0</v>
      </c>
      <c r="GK330" s="39">
        <f>IF(GK147=-1,"x",IF(OR(GK245=1,GK$229=1,$GU147=1),GK147,0))</f>
        <v>0</v>
      </c>
      <c r="GL330" s="95">
        <f>IF(GL147=-1,"x",IF(OR(GL245=1,GL$229=1,$GV147=1),GL147,0))</f>
        <v>0</v>
      </c>
    </row>
    <row r="331" spans="14:194" ht="15" customHeight="1" thickBot="1">
      <c r="N331" s="99" t="str">
        <f>IF(N148=-1,"x",IF(OR(N246=1,N$197=1,$CX148=1),N148,0))</f>
        <v>x</v>
      </c>
      <c r="O331" s="45" t="str">
        <f>IF(O148=-1,"x",IF(OR(O246=1,O$197=1,$CY148=1),O148,0))</f>
        <v>x</v>
      </c>
      <c r="P331" s="47" t="str">
        <f>IF(P148=-1,"x",IF(OR(P246=1,P$197=1,$CZ148=1),P148,0))</f>
        <v>x</v>
      </c>
      <c r="Q331" s="46" t="str">
        <f>IF(Q148=-1,"x",IF(OR(Q246=1,Q$197=1,$CX148=1),Q148,0))</f>
        <v>x</v>
      </c>
      <c r="R331" s="45" t="str">
        <f>IF(R148=-1,"x",IF(OR(R246=1,R$197=1,$CY148=1),R148,0))</f>
        <v>x</v>
      </c>
      <c r="S331" s="47" t="str">
        <f>IF(S148=-1,"x",IF(OR(S246=1,S$197=1,$CZ148=1),S148,0))</f>
        <v>x</v>
      </c>
      <c r="T331" s="46">
        <f>IF(T148=-1,"x",IF(OR(T246=1,T$197=1,$CX148=1),T148,0))</f>
        <v>0</v>
      </c>
      <c r="U331" s="45">
        <f>IF(U148=-1,"x",IF(OR(U246=1,U$197=1,$CY148=1),U148,0))</f>
        <v>0</v>
      </c>
      <c r="V331" s="48">
        <f>IF(V148=-1,"x",IF(OR(V246=1,V$197=1,$CZ148=1),V148,0))</f>
        <v>0</v>
      </c>
      <c r="W331" s="44" t="str">
        <f>IF(W148=-1,"x",IF(OR(W246=1,W$197=1,$CX148=1),W148,0))</f>
        <v>x</v>
      </c>
      <c r="X331" s="45" t="str">
        <f>IF(X148=-1,"x",IF(OR(X246=1,X$197=1,$CY148=1),X148,0))</f>
        <v>x</v>
      </c>
      <c r="Y331" s="47" t="str">
        <f>IF(Y148=-1,"x",IF(OR(Y246=1,Y$197=1,$CZ148=1),Y148,0))</f>
        <v>x</v>
      </c>
      <c r="Z331" s="46" t="str">
        <f>IF(Z148=-1,"x",IF(OR(Z246=1,Z$197=1,$CX148=1),Z148,0))</f>
        <v>x</v>
      </c>
      <c r="AA331" s="45" t="str">
        <f>IF(AA148=-1,"x",IF(OR(AA246=1,AA$197=1,$CY148=1),AA148,0))</f>
        <v>x</v>
      </c>
      <c r="AB331" s="47" t="str">
        <f>IF(AB148=-1,"x",IF(OR(AB246=1,AB$197=1,$CZ148=1),AB148,0))</f>
        <v>x</v>
      </c>
      <c r="AC331" s="46" t="str">
        <f>IF(AC148=-1,"x",IF(OR(AC246=1,AC$197=1,$CX148=1),AC148,0))</f>
        <v>x</v>
      </c>
      <c r="AD331" s="45" t="str">
        <f>IF(AD148=-1,"x",IF(OR(AD246=1,AD$197=1,$CY148=1),AD148,0))</f>
        <v>x</v>
      </c>
      <c r="AE331" s="48" t="str">
        <f>IF(AE148=-1,"x",IF(OR(AE246=1,AE$197=1,$CZ148=1),AE148,0))</f>
        <v>x</v>
      </c>
      <c r="AF331" s="44" t="str">
        <f>IF(AF148=-1,"x",IF(OR(AF246=1,AF$197=1,$CX148=1),AF148,0))</f>
        <v>x</v>
      </c>
      <c r="AG331" s="45" t="str">
        <f>IF(AG148=-1,"x",IF(OR(AG246=1,AG$197=1,$CY148=1),AG148,0))</f>
        <v>x</v>
      </c>
      <c r="AH331" s="47" t="str">
        <f>IF(AH148=-1,"x",IF(OR(AH246=1,AH$197=1,$CZ148=1),AH148,0))</f>
        <v>x</v>
      </c>
      <c r="AI331" s="46" t="str">
        <f>IF(AI148=-1,"x",IF(OR(AI246=1,AI$197=1,$CX148=1),AI148,0))</f>
        <v>x</v>
      </c>
      <c r="AJ331" s="45" t="str">
        <f>IF(AJ148=-1,"x",IF(OR(AJ246=1,AJ$197=1,$CY148=1),AJ148,0))</f>
        <v>x</v>
      </c>
      <c r="AK331" s="47" t="str">
        <f>IF(AK148=-1,"x",IF(OR(AK246=1,AK$197=1,$CZ148=1),AK148,0))</f>
        <v>x</v>
      </c>
      <c r="AL331" s="46" t="str">
        <f>IF(AL148=-1,"x",IF(OR(AL246=1,AL$197=1,$CX148=1),AL148,0))</f>
        <v>x</v>
      </c>
      <c r="AM331" s="45" t="str">
        <f>IF(AM148=-1,"x",IF(OR(AM246=1,AM$197=1,$CY148=1),AM148,0))</f>
        <v>x</v>
      </c>
      <c r="AN331" s="100" t="str">
        <f>IF(AN148=-1,"x",IF(OR(AN246=1,AN$197=1,$CZ148=1),AN148,0))</f>
        <v>x</v>
      </c>
      <c r="AO331" s="99" t="str">
        <f>IF(AO148=-1,"x",IF(OR(AO246=1,AO$197=1,$CX148=1),AO148,0))</f>
        <v>x</v>
      </c>
      <c r="AP331" s="45" t="str">
        <f>IF(AP148=-1,"x",IF(OR(AP246=1,AP$197=1,$CY148=1),AP148,0))</f>
        <v>x</v>
      </c>
      <c r="AQ331" s="47" t="str">
        <f>IF(AQ148=-1,"x",IF(OR(AQ246=1,AQ$197=1,$CZ148=1),AQ148,0))</f>
        <v>x</v>
      </c>
      <c r="AR331" s="46" t="str">
        <f>IF(AR148=-1,"x",IF(OR(AR246=1,AR$197=1,$CX148=1),AR148,0))</f>
        <v>x</v>
      </c>
      <c r="AS331" s="45" t="str">
        <f>IF(AS148=-1,"x",IF(OR(AS246=1,AS$197=1,$CY148=1),AS148,0))</f>
        <v>x</v>
      </c>
      <c r="AT331" s="47" t="str">
        <f>IF(AT148=-1,"x",IF(OR(AT246=1,AT$197=1,$CZ148=1),AT148,0))</f>
        <v>x</v>
      </c>
      <c r="AU331" s="46" t="str">
        <f>IF(AU148=-1,"x",IF(OR(AU246=1,AU$197=1,$CX148=1),AU148,0))</f>
        <v>x</v>
      </c>
      <c r="AV331" s="45" t="str">
        <f>IF(AV148=-1,"x",IF(OR(AV246=1,AV$197=1,$CY148=1),AV148,0))</f>
        <v>x</v>
      </c>
      <c r="AW331" s="48" t="str">
        <f>IF(AW148=-1,"x",IF(OR(AW246=1,AW$197=1,$CZ148=1),AW148,0))</f>
        <v>x</v>
      </c>
      <c r="AX331" s="44" t="str">
        <f>IF(AX148=-1,"x",IF(OR(AX246=1,AX$197=1,$CX148=1),AX148,0))</f>
        <v>x</v>
      </c>
      <c r="AY331" s="45" t="str">
        <f>IF(AY148=-1,"x",IF(OR(AY246=1,AY$197=1,$CY148=1),AY148,0))</f>
        <v>x</v>
      </c>
      <c r="AZ331" s="47" t="str">
        <f>IF(AZ148=-1,"x",IF(OR(AZ246=1,AZ$197=1,$CZ148=1),AZ148,0))</f>
        <v>x</v>
      </c>
      <c r="BA331" s="46" t="str">
        <f>IF(BA148=-1,"x",IF(OR(BA246=1,BA$197=1,$CX148=1),BA148,0))</f>
        <v>x</v>
      </c>
      <c r="BB331" s="45" t="str">
        <f>IF(BB148=-1,"x",IF(OR(BB246=1,BB$197=1,$CY148=1),BB148,0))</f>
        <v>x</v>
      </c>
      <c r="BC331" s="47" t="str">
        <f>IF(BC148=-1,"x",IF(OR(BC246=1,BC$197=1,$CZ148=1),BC148,0))</f>
        <v>x</v>
      </c>
      <c r="BD331" s="46" t="str">
        <f>IF(BD148=-1,"x",IF(OR(BD246=1,BD$197=1,$CX148=1),BD148,0))</f>
        <v>x</v>
      </c>
      <c r="BE331" s="45" t="str">
        <f>IF(BE148=-1,"x",IF(OR(BE246=1,BE$197=1,$CY148=1),BE148,0))</f>
        <v>x</v>
      </c>
      <c r="BF331" s="48" t="str">
        <f>IF(BF148=-1,"x",IF(OR(BF246=1,BF$197=1,$CZ148=1),BF148,0))</f>
        <v>x</v>
      </c>
      <c r="BG331" s="44" t="str">
        <f>IF(BG148=-1,"x",IF(OR(BG246=1,BG$197=1,$CX148=1),BG148,0))</f>
        <v>x</v>
      </c>
      <c r="BH331" s="45" t="str">
        <f>IF(BH148=-1,"x",IF(OR(BH246=1,BH$197=1,$CY148=1),BH148,0))</f>
        <v>x</v>
      </c>
      <c r="BI331" s="47" t="str">
        <f>IF(BI148=-1,"x",IF(OR(BI246=1,BI$197=1,$CZ148=1),BI148,0))</f>
        <v>x</v>
      </c>
      <c r="BJ331" s="46" t="str">
        <f>IF(BJ148=-1,"x",IF(OR(BJ246=1,BJ$197=1,$CX148=1),BJ148,0))</f>
        <v>x</v>
      </c>
      <c r="BK331" s="45" t="str">
        <f>IF(BK148=-1,"x",IF(OR(BK246=1,BK$197=1,$CY148=1),BK148,0))</f>
        <v>x</v>
      </c>
      <c r="BL331" s="47" t="str">
        <f>IF(BL148=-1,"x",IF(OR(BL246=1,BL$197=1,$CZ148=1),BL148,0))</f>
        <v>x</v>
      </c>
      <c r="BM331" s="46" t="str">
        <f>IF(BM148=-1,"x",IF(OR(BM246=1,BM$197=1,$CX148=1),BM148,0))</f>
        <v>x</v>
      </c>
      <c r="BN331" s="45" t="str">
        <f>IF(BN148=-1,"x",IF(OR(BN246=1,BN$197=1,$CY148=1),BN148,0))</f>
        <v>x</v>
      </c>
      <c r="BO331" s="100" t="str">
        <f>IF(BO148=-1,"x",IF(OR(BO246=1,BO$197=1,$CZ148=1),BO148,0))</f>
        <v>x</v>
      </c>
      <c r="BP331" s="99" t="str">
        <f>IF(BP148=-1,"x",IF(OR(BP246=1,BP$197=1,$CX148=1),BP148,0))</f>
        <v>x</v>
      </c>
      <c r="BQ331" s="45" t="str">
        <f>IF(BQ148=-1,"x",IF(OR(BQ246=1,BQ$197=1,$CY148=1),BQ148,0))</f>
        <v>x</v>
      </c>
      <c r="BR331" s="47" t="str">
        <f>IF(BR148=-1,"x",IF(OR(BR246=1,BR$197=1,$CZ148=1),BR148,0))</f>
        <v>x</v>
      </c>
      <c r="BS331" s="46" t="str">
        <f>IF(BS148=-1,"x",IF(OR(BS246=1,BS$197=1,$CX148=1),BS148,0))</f>
        <v>x</v>
      </c>
      <c r="BT331" s="45" t="str">
        <f>IF(BT148=-1,"x",IF(OR(BT246=1,BT$197=1,$CY148=1),BT148,0))</f>
        <v>x</v>
      </c>
      <c r="BU331" s="47" t="str">
        <f>IF(BU148=-1,"x",IF(OR(BU246=1,BU$197=1,$CZ148=1),BU148,0))</f>
        <v>x</v>
      </c>
      <c r="BV331" s="46" t="str">
        <f>IF(BV148=-1,"x",IF(OR(BV246=1,BV$197=1,$CX148=1),BV148,0))</f>
        <v>x</v>
      </c>
      <c r="BW331" s="45" t="str">
        <f>IF(BW148=-1,"x",IF(OR(BW246=1,BW$197=1,$CY148=1),BW148,0))</f>
        <v>x</v>
      </c>
      <c r="BX331" s="48" t="str">
        <f>IF(BX148=-1,"x",IF(OR(BX246=1,BX$197=1,$CZ148=1),BX148,0))</f>
        <v>x</v>
      </c>
      <c r="BY331" s="44" t="str">
        <f>IF(BY148=-1,"x",IF(OR(BY246=1,BY$197=1,$CX148=1),BY148,0))</f>
        <v>x</v>
      </c>
      <c r="BZ331" s="45" t="str">
        <f>IF(BZ148=-1,"x",IF(OR(BZ246=1,BZ$197=1,$CY148=1),BZ148,0))</f>
        <v>x</v>
      </c>
      <c r="CA331" s="47" t="str">
        <f>IF(CA148=-1,"x",IF(OR(CA246=1,CA$197=1,$CZ148=1),CA148,0))</f>
        <v>x</v>
      </c>
      <c r="CB331" s="46" t="str">
        <f>IF(CB148=-1,"x",IF(OR(CB246=1,CB$197=1,$CX148=1),CB148,0))</f>
        <v>x</v>
      </c>
      <c r="CC331" s="45" t="str">
        <f>IF(CC148=-1,"x",IF(OR(CC246=1,CC$197=1,$CY148=1),CC148,0))</f>
        <v>x</v>
      </c>
      <c r="CD331" s="47" t="str">
        <f>IF(CD148=-1,"x",IF(OR(CD246=1,CD$197=1,$CZ148=1),CD148,0))</f>
        <v>x</v>
      </c>
      <c r="CE331" s="46" t="str">
        <f>IF(CE148=-1,"x",IF(OR(CE246=1,CE$197=1,$CX148=1),CE148,0))</f>
        <v>x</v>
      </c>
      <c r="CF331" s="45" t="str">
        <f>IF(CF148=-1,"x",IF(OR(CF246=1,CF$197=1,$CY148=1),CF148,0))</f>
        <v>x</v>
      </c>
      <c r="CG331" s="48" t="str">
        <f>IF(CG148=-1,"x",IF(OR(CG246=1,CG$197=1,$CZ148=1),CG148,0))</f>
        <v>x</v>
      </c>
      <c r="CH331" s="44">
        <f>IF(CH148=-1,"x",IF(OR(CH246=1,CH$197=1,$CX148=1),CH148,0))</f>
        <v>0</v>
      </c>
      <c r="CI331" s="45">
        <f>IF(CI148=-1,"x",IF(OR(CI246=1,CI$197=1,$CY148=1),CI148,0))</f>
        <v>0</v>
      </c>
      <c r="CJ331" s="47">
        <f>IF(CJ148=-1,"x",IF(OR(CJ246=1,CJ$197=1,$CZ148=1),CJ148,0))</f>
        <v>0</v>
      </c>
      <c r="CK331" s="46">
        <f>IF(CK148=-1,"x",IF(OR(CK246=1,CK$197=1,$CX148=1),CK148,0))</f>
        <v>0</v>
      </c>
      <c r="CL331" s="45">
        <f>IF(CL148=-1,"x",IF(OR(CL246=1,CL$197=1,$CY148=1),CL148,0))</f>
        <v>0</v>
      </c>
      <c r="CM331" s="47">
        <f>IF(CM148=-1,"x",IF(OR(CM246=1,CM$197=1,$CZ148=1),CM148,0))</f>
        <v>0</v>
      </c>
      <c r="CN331" s="46" t="str">
        <f>IF(CN148=-1,"x",IF(OR(CN246=1,CN$197=1,$CX148=1),CN148,0))</f>
        <v>x</v>
      </c>
      <c r="CO331" s="45" t="str">
        <f>IF(CO148=-1,"x",IF(OR(CO246=1,CO$197=1,$CY148=1),CO148,0))</f>
        <v>x</v>
      </c>
      <c r="CP331" s="100" t="str">
        <f>IF(CP148=-1,"x",IF(OR(CP246=1,CP$197=1,$CZ148=1),CP148,0))</f>
        <v>x</v>
      </c>
      <c r="DJ331" s="106">
        <f>IF(DJ148=-1,"x",IF(OR(DJ246=1,DJ$230=1,$GT148=1),DJ148,0))</f>
        <v>0</v>
      </c>
      <c r="DK331" s="55">
        <f>IF(DK148=-1,"x",IF(OR(DK246=1,DK$230=1,$GU148=1),DK148,0))</f>
        <v>0</v>
      </c>
      <c r="DL331" s="56">
        <f>IF(DL148=-1,"x",IF(OR(DL246=1,DL$230=1,$GV148=1),DL148,0))</f>
        <v>0</v>
      </c>
      <c r="DM331" s="57" t="str">
        <f>IF(DM148=-1,"x",IF(OR(DM246=1,DM$230=1,$GT148=1),DM148,0))</f>
        <v>x</v>
      </c>
      <c r="DN331" s="55" t="str">
        <f>IF(DN148=-1,"x",IF(OR(DN246=1,DN$230=1,$GU148=1),DN148,0))</f>
        <v>x</v>
      </c>
      <c r="DO331" s="56" t="str">
        <f>IF(DO148=-1,"x",IF(OR(DO246=1,DO$230=1,$GV148=1),DO148,0))</f>
        <v>x</v>
      </c>
      <c r="DP331" s="57" t="str">
        <f>IF(DP148=-1,"x",IF(OR(DP246=1,DP$230=1,$GT148=1),DP148,0))</f>
        <v>x</v>
      </c>
      <c r="DQ331" s="55" t="str">
        <f>IF(DQ148=-1,"x",IF(OR(DQ246=1,DQ$230=1,$GU148=1),DQ148,0))</f>
        <v>x</v>
      </c>
      <c r="DR331" s="58" t="str">
        <f>IF(DR148=-1,"x",IF(OR(DR246=1,DR$230=1,$GV148=1),DR148,0))</f>
        <v>x</v>
      </c>
      <c r="DS331" s="54" t="str">
        <f>IF(DS148=-1,"x",IF(OR(DS246=1,DS$230=1,$GT148=1),DS148,0))</f>
        <v>x</v>
      </c>
      <c r="DT331" s="55" t="str">
        <f>IF(DT148=-1,"x",IF(OR(DT246=1,DT$230=1,$GU148=1),DT148,0))</f>
        <v>x</v>
      </c>
      <c r="DU331" s="56" t="str">
        <f>IF(DU148=-1,"x",IF(OR(DU246=1,DU$230=1,$GV148=1),DU148,0))</f>
        <v>x</v>
      </c>
      <c r="DV331" s="57" t="str">
        <f>IF(DV148=-1,"x",IF(OR(DV246=1,DV$230=1,$GT148=1),DV148,0))</f>
        <v>x</v>
      </c>
      <c r="DW331" s="55" t="str">
        <f>IF(DW148=-1,"x",IF(OR(DW246=1,DW$230=1,$GU148=1),DW148,0))</f>
        <v>x</v>
      </c>
      <c r="DX331" s="56" t="str">
        <f>IF(DX148=-1,"x",IF(OR(DX246=1,DX$230=1,$GV148=1),DX148,0))</f>
        <v>x</v>
      </c>
      <c r="DY331" s="57" t="str">
        <f>IF(DY148=-1,"x",IF(OR(DY246=1,DY$230=1,$GT148=1),DY148,0))</f>
        <v>x</v>
      </c>
      <c r="DZ331" s="55" t="str">
        <f>IF(DZ148=-1,"x",IF(OR(DZ246=1,DZ$230=1,$GU148=1),DZ148,0))</f>
        <v>x</v>
      </c>
      <c r="EA331" s="58" t="str">
        <f>IF(EA148=-1,"x",IF(OR(EA246=1,EA$230=1,$GV148=1),EA148,0))</f>
        <v>x</v>
      </c>
      <c r="EB331" s="54" t="str">
        <f>IF(EB148=-1,"x",IF(OR(EB246=1,EB$230=1,$GT148=1),EB148,0))</f>
        <v>x</v>
      </c>
      <c r="EC331" s="55" t="str">
        <f>IF(EC148=-1,"x",IF(OR(EC246=1,EC$230=1,$GU148=1),EC148,0))</f>
        <v>x</v>
      </c>
      <c r="ED331" s="56" t="str">
        <f>IF(ED148=-1,"x",IF(OR(ED246=1,ED$230=1,$GV148=1),ED148,0))</f>
        <v>x</v>
      </c>
      <c r="EE331" s="57" t="str">
        <f>IF(EE148=-1,"x",IF(OR(EE246=1,EE$230=1,$GT148=1),EE148,0))</f>
        <v>x</v>
      </c>
      <c r="EF331" s="55" t="str">
        <f>IF(EF148=-1,"x",IF(OR(EF246=1,EF$230=1,$GU148=1),EF148,0))</f>
        <v>x</v>
      </c>
      <c r="EG331" s="56" t="str">
        <f>IF(EG148=-1,"x",IF(OR(EG246=1,EG$230=1,$GV148=1),EG148,0))</f>
        <v>x</v>
      </c>
      <c r="EH331" s="57" t="str">
        <f>IF(EH148=-1,"x",IF(OR(EH246=1,EH$230=1,$GT148=1),EH148,0))</f>
        <v>x</v>
      </c>
      <c r="EI331" s="55" t="str">
        <f>IF(EI148=-1,"x",IF(OR(EI246=1,EI$230=1,$GU148=1),EI148,0))</f>
        <v>x</v>
      </c>
      <c r="EJ331" s="107" t="str">
        <f>IF(EJ148=-1,"x",IF(OR(EJ246=1,EJ$230=1,$GV148=1),EJ148,0))</f>
        <v>x</v>
      </c>
      <c r="EK331" s="106" t="str">
        <f>IF(EK148=-1,"x",IF(OR(EK246=1,EK$230=1,$GT148=1),EK148,0))</f>
        <v>x</v>
      </c>
      <c r="EL331" s="55" t="str">
        <f>IF(EL148=-1,"x",IF(OR(EL246=1,EL$230=1,$GU148=1),EL148,0))</f>
        <v>x</v>
      </c>
      <c r="EM331" s="56" t="str">
        <f>IF(EM148=-1,"x",IF(OR(EM246=1,EM$230=1,$GV148=1),EM148,0))</f>
        <v>x</v>
      </c>
      <c r="EN331" s="57" t="str">
        <f>IF(EN148=-1,"x",IF(OR(EN246=1,EN$230=1,$GT148=1),EN148,0))</f>
        <v>x</v>
      </c>
      <c r="EO331" s="55" t="str">
        <f>IF(EO148=-1,"x",IF(OR(EO246=1,EO$230=1,$GU148=1),EO148,0))</f>
        <v>x</v>
      </c>
      <c r="EP331" s="56" t="str">
        <f>IF(EP148=-1,"x",IF(OR(EP246=1,EP$230=1,$GV148=1),EP148,0))</f>
        <v>x</v>
      </c>
      <c r="EQ331" s="57">
        <f>IF(EQ148=-1,"x",IF(OR(EQ246=1,EQ$230=1,$GT148=1),EQ148,0))</f>
        <v>0</v>
      </c>
      <c r="ER331" s="55">
        <f>IF(ER148=-1,"x",IF(OR(ER246=1,ER$230=1,$GU148=1),ER148,0))</f>
        <v>0</v>
      </c>
      <c r="ES331" s="58">
        <f>IF(ES148=-1,"x",IF(OR(ES246=1,ES$230=1,$GV148=1),ES148,0))</f>
        <v>0</v>
      </c>
      <c r="ET331" s="54" t="str">
        <f>IF(ET148=-1,"x",IF(OR(ET246=1,ET$230=1,$GT148=1),ET148,0))</f>
        <v>x</v>
      </c>
      <c r="EU331" s="55" t="str">
        <f>IF(EU148=-1,"x",IF(OR(EU246=1,EU$230=1,$GU148=1),EU148,0))</f>
        <v>x</v>
      </c>
      <c r="EV331" s="56" t="str">
        <f>IF(EV148=-1,"x",IF(OR(EV246=1,EV$230=1,$GV148=1),EV148,0))</f>
        <v>x</v>
      </c>
      <c r="EW331" s="57" t="str">
        <f>IF(EW148=-1,"x",IF(OR(EW246=1,EW$230=1,$GT148=1),EW148,0))</f>
        <v>x</v>
      </c>
      <c r="EX331" s="55" t="str">
        <f>IF(EX148=-1,"x",IF(OR(EX246=1,EX$230=1,$GU148=1),EX148,0))</f>
        <v>x</v>
      </c>
      <c r="EY331" s="56" t="str">
        <f>IF(EY148=-1,"x",IF(OR(EY246=1,EY$230=1,$GV148=1),EY148,0))</f>
        <v>x</v>
      </c>
      <c r="EZ331" s="57" t="str">
        <f>IF(EZ148=-1,"x",IF(OR(EZ246=1,EZ$230=1,$GT148=1),EZ148,0))</f>
        <v>x</v>
      </c>
      <c r="FA331" s="55" t="str">
        <f>IF(FA148=-1,"x",IF(OR(FA246=1,FA$230=1,$GU148=1),FA148,0))</f>
        <v>x</v>
      </c>
      <c r="FB331" s="58" t="str">
        <f>IF(FB148=-1,"x",IF(OR(FB246=1,FB$230=1,$GV148=1),FB148,0))</f>
        <v>x</v>
      </c>
      <c r="FC331" s="54" t="str">
        <f>IF(FC148=-1,"x",IF(OR(FC246=1,FC$230=1,$GT148=1),FC148,0))</f>
        <v>x</v>
      </c>
      <c r="FD331" s="55" t="str">
        <f>IF(FD148=-1,"x",IF(OR(FD246=1,FD$230=1,$GU148=1),FD148,0))</f>
        <v>x</v>
      </c>
      <c r="FE331" s="56" t="str">
        <f>IF(FE148=-1,"x",IF(OR(FE246=1,FE$230=1,$GV148=1),FE148,0))</f>
        <v>x</v>
      </c>
      <c r="FF331" s="57" t="str">
        <f>IF(FF148=-1,"x",IF(OR(FF246=1,FF$230=1,$GT148=1),FF148,0))</f>
        <v>x</v>
      </c>
      <c r="FG331" s="55" t="str">
        <f>IF(FG148=-1,"x",IF(OR(FG246=1,FG$230=1,$GU148=1),FG148,0))</f>
        <v>x</v>
      </c>
      <c r="FH331" s="56" t="str">
        <f>IF(FH148=-1,"x",IF(OR(FH246=1,FH$230=1,$GV148=1),FH148,0))</f>
        <v>x</v>
      </c>
      <c r="FI331" s="57" t="str">
        <f>IF(FI148=-1,"x",IF(OR(FI246=1,FI$230=1,$GT148=1),FI148,0))</f>
        <v>x</v>
      </c>
      <c r="FJ331" s="55" t="str">
        <f>IF(FJ148=-1,"x",IF(OR(FJ246=1,FJ$230=1,$GU148=1),FJ148,0))</f>
        <v>x</v>
      </c>
      <c r="FK331" s="107" t="str">
        <f>IF(FK148=-1,"x",IF(OR(FK246=1,FK$230=1,$GV148=1),FK148,0))</f>
        <v>x</v>
      </c>
      <c r="FL331" s="106" t="str">
        <f>IF(FL148=-1,"x",IF(OR(FL246=1,FL$230=1,$GT148=1),FL148,0))</f>
        <v>x</v>
      </c>
      <c r="FM331" s="55" t="str">
        <f>IF(FM148=-1,"x",IF(OR(FM246=1,FM$230=1,$GU148=1),FM148,0))</f>
        <v>x</v>
      </c>
      <c r="FN331" s="56" t="str">
        <f>IF(FN148=-1,"x",IF(OR(FN246=1,FN$230=1,$GV148=1),FN148,0))</f>
        <v>x</v>
      </c>
      <c r="FO331" s="57" t="str">
        <f>IF(FO148=-1,"x",IF(OR(FO246=1,FO$230=1,$GT148=1),FO148,0))</f>
        <v>x</v>
      </c>
      <c r="FP331" s="55" t="str">
        <f>IF(FP148=-1,"x",IF(OR(FP246=1,FP$230=1,$GU148=1),FP148,0))</f>
        <v>x</v>
      </c>
      <c r="FQ331" s="56" t="str">
        <f>IF(FQ148=-1,"x",IF(OR(FQ246=1,FQ$230=1,$GV148=1),FQ148,0))</f>
        <v>x</v>
      </c>
      <c r="FR331" s="57" t="str">
        <f>IF(FR148=-1,"x",IF(OR(FR246=1,FR$230=1,$GT148=1),FR148,0))</f>
        <v>x</v>
      </c>
      <c r="FS331" s="55" t="str">
        <f>IF(FS148=-1,"x",IF(OR(FS246=1,FS$230=1,$GU148=1),FS148,0))</f>
        <v>x</v>
      </c>
      <c r="FT331" s="58" t="str">
        <f>IF(FT148=-1,"x",IF(OR(FT246=1,FT$230=1,$GV148=1),FT148,0))</f>
        <v>x</v>
      </c>
      <c r="FU331" s="54" t="str">
        <f>IF(FU148=-1,"x",IF(OR(FU246=1,FU$230=1,$GT148=1),FU148,0))</f>
        <v>x</v>
      </c>
      <c r="FV331" s="55" t="str">
        <f>IF(FV148=-1,"x",IF(OR(FV246=1,FV$230=1,$GU148=1),FV148,0))</f>
        <v>x</v>
      </c>
      <c r="FW331" s="56" t="str">
        <f>IF(FW148=-1,"x",IF(OR(FW246=1,FW$230=1,$GV148=1),FW148,0))</f>
        <v>x</v>
      </c>
      <c r="FX331" s="57" t="str">
        <f>IF(FX148=-1,"x",IF(OR(FX246=1,FX$230=1,$GT148=1),FX148,0))</f>
        <v>x</v>
      </c>
      <c r="FY331" s="55" t="str">
        <f>IF(FY148=-1,"x",IF(OR(FY246=1,FY$230=1,$GU148=1),FY148,0))</f>
        <v>x</v>
      </c>
      <c r="FZ331" s="56" t="str">
        <f>IF(FZ148=-1,"x",IF(OR(FZ246=1,FZ$230=1,$GV148=1),FZ148,0))</f>
        <v>x</v>
      </c>
      <c r="GA331" s="57" t="str">
        <f>IF(GA148=-1,"x",IF(OR(GA246=1,GA$230=1,$GT148=1),GA148,0))</f>
        <v>x</v>
      </c>
      <c r="GB331" s="55" t="str">
        <f>IF(GB148=-1,"x",IF(OR(GB246=1,GB$230=1,$GU148=1),GB148,0))</f>
        <v>x</v>
      </c>
      <c r="GC331" s="58" t="str">
        <f>IF(GC148=-1,"x",IF(OR(GC246=1,GC$230=1,$GV148=1),GC148,0))</f>
        <v>x</v>
      </c>
      <c r="GD331" s="54" t="str">
        <f>IF(GD148=-1,"x",IF(OR(GD246=1,GD$230=1,$GT148=1),GD148,0))</f>
        <v>x</v>
      </c>
      <c r="GE331" s="55" t="str">
        <f>IF(GE148=-1,"x",IF(OR(GE246=1,GE$230=1,$GU148=1),GE148,0))</f>
        <v>x</v>
      </c>
      <c r="GF331" s="56" t="str">
        <f>IF(GF148=-1,"x",IF(OR(GF246=1,GF$230=1,$GV148=1),GF148,0))</f>
        <v>x</v>
      </c>
      <c r="GG331" s="57">
        <f>IF(GG148=-1,"x",IF(OR(GG246=1,GG$230=1,$GT148=1),GG148,0))</f>
        <v>0</v>
      </c>
      <c r="GH331" s="55">
        <f>IF(GH148=-1,"x",IF(OR(GH246=1,GH$230=1,$GU148=1),GH148,0))</f>
        <v>0</v>
      </c>
      <c r="GI331" s="56">
        <f>IF(GI148=-1,"x",IF(OR(GI246=1,GI$230=1,$GV148=1),GI148,0))</f>
        <v>0</v>
      </c>
      <c r="GJ331" s="57">
        <f>IF(GJ148=-1,"x",IF(OR(GJ246=1,GJ$230=1,$GT148=1),GJ148,0))</f>
        <v>0</v>
      </c>
      <c r="GK331" s="55">
        <f>IF(GK148=-1,"x",IF(OR(GK246=1,GK$230=1,$GU148=1),GK148,0))</f>
        <v>0</v>
      </c>
      <c r="GL331" s="107">
        <f>IF(GL148=-1,"x",IF(OR(GL246=1,GL$230=1,$GV148=1),GL148,0))</f>
        <v>0</v>
      </c>
    </row>
    <row r="332" spans="14:194" ht="15" customHeight="1">
      <c r="N332" s="104">
        <f>IF(N149=-1,"x",IF(OR(N247=1,N$195=1,$CX149=1),N149,0))</f>
        <v>0</v>
      </c>
      <c r="O332" s="50">
        <f>IF(O149=-1,"x",IF(OR(O247=1,O$195=1,$CY149=1),O149,0))</f>
        <v>0</v>
      </c>
      <c r="P332" s="51">
        <f>IF(P149=-1,"x",IF(OR(P247=1,P$195=1,$CZ149=1),P149,0))</f>
        <v>0</v>
      </c>
      <c r="Q332" s="52">
        <f>IF(Q149=-1,"x",IF(OR(Q247=1,Q$195=1,$CX149=1),Q149,0))</f>
        <v>0</v>
      </c>
      <c r="R332" s="50">
        <f>IF(R149=-1,"x",IF(OR(R247=1,R$195=1,$CY149=1),R149,0))</f>
        <v>0</v>
      </c>
      <c r="S332" s="51">
        <f>IF(S149=-1,"x",IF(OR(S247=1,S$195=1,$CZ149=1),S149,0))</f>
        <v>0</v>
      </c>
      <c r="T332" s="52">
        <f>IF(T149=-1,"x",IF(OR(T247=1,T$195=1,$CX149=1),T149,0))</f>
        <v>0</v>
      </c>
      <c r="U332" s="50">
        <f>IF(U149=-1,"x",IF(OR(U247=1,U$195=1,$CY149=1),U149,0))</f>
        <v>0</v>
      </c>
      <c r="V332" s="53">
        <f>IF(V149=-1,"x",IF(OR(V247=1,V$195=1,$CZ149=1),V149,0))</f>
        <v>0</v>
      </c>
      <c r="W332" s="49">
        <f>IF(W149=-1,"x",IF(OR(W247=1,W$195=1,$CX149=1),W149,0))</f>
        <v>0</v>
      </c>
      <c r="X332" s="50">
        <f>IF(X149=-1,"x",IF(OR(X247=1,X$195=1,$CY149=1),X149,0))</f>
        <v>0</v>
      </c>
      <c r="Y332" s="51">
        <f>IF(Y149=-1,"x",IF(OR(Y247=1,Y$195=1,$CZ149=1),Y149,0))</f>
        <v>0</v>
      </c>
      <c r="Z332" s="52" t="str">
        <f>IF(Z149=-1,"x",IF(OR(Z247=1,Z$195=1,$CX149=1),Z149,0))</f>
        <v>x</v>
      </c>
      <c r="AA332" s="50" t="str">
        <f>IF(AA149=-1,"x",IF(OR(AA247=1,AA$195=1,$CY149=1),AA149,0))</f>
        <v>x</v>
      </c>
      <c r="AB332" s="51" t="str">
        <f>IF(AB149=-1,"x",IF(OR(AB247=1,AB$195=1,$CZ149=1),AB149,0))</f>
        <v>x</v>
      </c>
      <c r="AC332" s="52" t="str">
        <f>IF(AC149=-1,"x",IF(OR(AC247=1,AC$195=1,$CX149=1),AC149,0))</f>
        <v>x</v>
      </c>
      <c r="AD332" s="50" t="str">
        <f>IF(AD149=-1,"x",IF(OR(AD247=1,AD$195=1,$CY149=1),AD149,0))</f>
        <v>x</v>
      </c>
      <c r="AE332" s="53" t="str">
        <f>IF(AE149=-1,"x",IF(OR(AE247=1,AE$195=1,$CZ149=1),AE149,0))</f>
        <v>x</v>
      </c>
      <c r="AF332" s="49" t="str">
        <f>IF(AF149=-1,"x",IF(OR(AF247=1,AF$195=1,$CX149=1),AF149,0))</f>
        <v>x</v>
      </c>
      <c r="AG332" s="50" t="str">
        <f>IF(AG149=-1,"x",IF(OR(AG247=1,AG$195=1,$CY149=1),AG149,0))</f>
        <v>x</v>
      </c>
      <c r="AH332" s="51" t="str">
        <f>IF(AH149=-1,"x",IF(OR(AH247=1,AH$195=1,$CZ149=1),AH149,0))</f>
        <v>x</v>
      </c>
      <c r="AI332" s="52" t="str">
        <f>IF(AI149=-1,"x",IF(OR(AI247=1,AI$195=1,$CX149=1),AI149,0))</f>
        <v>x</v>
      </c>
      <c r="AJ332" s="50" t="str">
        <f>IF(AJ149=-1,"x",IF(OR(AJ247=1,AJ$195=1,$CY149=1),AJ149,0))</f>
        <v>x</v>
      </c>
      <c r="AK332" s="51" t="str">
        <f>IF(AK149=-1,"x",IF(OR(AK247=1,AK$195=1,$CZ149=1),AK149,0))</f>
        <v>x</v>
      </c>
      <c r="AL332" s="52" t="str">
        <f>IF(AL149=-1,"x",IF(OR(AL247=1,AL$195=1,$CX149=1),AL149,0))</f>
        <v>x</v>
      </c>
      <c r="AM332" s="50" t="str">
        <f>IF(AM149=-1,"x",IF(OR(AM247=1,AM$195=1,$CY149=1),AM149,0))</f>
        <v>x</v>
      </c>
      <c r="AN332" s="105" t="str">
        <f>IF(AN149=-1,"x",IF(OR(AN247=1,AN$195=1,$CZ149=1),AN149,0))</f>
        <v>x</v>
      </c>
      <c r="AO332" s="104" t="str">
        <f>IF(AO149=-1,"x",IF(OR(AO247=1,AO$195=1,$CX149=1),AO149,0))</f>
        <v>x</v>
      </c>
      <c r="AP332" s="50" t="str">
        <f>IF(AP149=-1,"x",IF(OR(AP247=1,AP$195=1,$CY149=1),AP149,0))</f>
        <v>x</v>
      </c>
      <c r="AQ332" s="51" t="str">
        <f>IF(AQ149=-1,"x",IF(OR(AQ247=1,AQ$195=1,$CZ149=1),AQ149,0))</f>
        <v>x</v>
      </c>
      <c r="AR332" s="52" t="str">
        <f>IF(AR149=-1,"x",IF(OR(AR247=1,AR$195=1,$CX149=1),AR149,0))</f>
        <v>x</v>
      </c>
      <c r="AS332" s="50" t="str">
        <f>IF(AS149=-1,"x",IF(OR(AS247=1,AS$195=1,$CY149=1),AS149,0))</f>
        <v>x</v>
      </c>
      <c r="AT332" s="51" t="str">
        <f>IF(AT149=-1,"x",IF(OR(AT247=1,AT$195=1,$CZ149=1),AT149,0))</f>
        <v>x</v>
      </c>
      <c r="AU332" s="52" t="str">
        <f>IF(AU149=-1,"x",IF(OR(AU247=1,AU$195=1,$CX149=1),AU149,0))</f>
        <v>x</v>
      </c>
      <c r="AV332" s="50" t="str">
        <f>IF(AV149=-1,"x",IF(OR(AV247=1,AV$195=1,$CY149=1),AV149,0))</f>
        <v>x</v>
      </c>
      <c r="AW332" s="53" t="str">
        <f>IF(AW149=-1,"x",IF(OR(AW247=1,AW$195=1,$CZ149=1),AW149,0))</f>
        <v>x</v>
      </c>
      <c r="AX332" s="49" t="str">
        <f>IF(AX149=-1,"x",IF(OR(AX247=1,AX$195=1,$CX149=1),AX149,0))</f>
        <v>x</v>
      </c>
      <c r="AY332" s="50" t="str">
        <f>IF(AY149=-1,"x",IF(OR(AY247=1,AY$195=1,$CY149=1),AY149,0))</f>
        <v>x</v>
      </c>
      <c r="AZ332" s="51" t="str">
        <f>IF(AZ149=-1,"x",IF(OR(AZ247=1,AZ$195=1,$CZ149=1),AZ149,0))</f>
        <v>x</v>
      </c>
      <c r="BA332" s="52" t="str">
        <f>IF(BA149=-1,"x",IF(OR(BA247=1,BA$195=1,$CX149=1),BA149,0))</f>
        <v>x</v>
      </c>
      <c r="BB332" s="50" t="str">
        <f>IF(BB149=-1,"x",IF(OR(BB247=1,BB$195=1,$CY149=1),BB149,0))</f>
        <v>x</v>
      </c>
      <c r="BC332" s="51" t="str">
        <f>IF(BC149=-1,"x",IF(OR(BC247=1,BC$195=1,$CZ149=1),BC149,0))</f>
        <v>x</v>
      </c>
      <c r="BD332" s="52" t="str">
        <f>IF(BD149=-1,"x",IF(OR(BD247=1,BD$195=1,$CX149=1),BD149,0))</f>
        <v>x</v>
      </c>
      <c r="BE332" s="50" t="str">
        <f>IF(BE149=-1,"x",IF(OR(BE247=1,BE$195=1,$CY149=1),BE149,0))</f>
        <v>x</v>
      </c>
      <c r="BF332" s="53" t="str">
        <f>IF(BF149=-1,"x",IF(OR(BF247=1,BF$195=1,$CZ149=1),BF149,0))</f>
        <v>x</v>
      </c>
      <c r="BG332" s="49" t="str">
        <f>IF(BG149=-1,"x",IF(OR(BG247=1,BG$195=1,$CX149=1),BG149,0))</f>
        <v>x</v>
      </c>
      <c r="BH332" s="50" t="str">
        <f>IF(BH149=-1,"x",IF(OR(BH247=1,BH$195=1,$CY149=1),BH149,0))</f>
        <v>x</v>
      </c>
      <c r="BI332" s="51" t="str">
        <f>IF(BI149=-1,"x",IF(OR(BI247=1,BI$195=1,$CZ149=1),BI149,0))</f>
        <v>x</v>
      </c>
      <c r="BJ332" s="52" t="str">
        <f>IF(BJ149=-1,"x",IF(OR(BJ247=1,BJ$195=1,$CX149=1),BJ149,0))</f>
        <v>x</v>
      </c>
      <c r="BK332" s="50" t="str">
        <f>IF(BK149=-1,"x",IF(OR(BK247=1,BK$195=1,$CY149=1),BK149,0))</f>
        <v>x</v>
      </c>
      <c r="BL332" s="51" t="str">
        <f>IF(BL149=-1,"x",IF(OR(BL247=1,BL$195=1,$CZ149=1),BL149,0))</f>
        <v>x</v>
      </c>
      <c r="BM332" s="52" t="str">
        <f>IF(BM149=-1,"x",IF(OR(BM247=1,BM$195=1,$CX149=1),BM149,0))</f>
        <v>x</v>
      </c>
      <c r="BN332" s="50" t="str">
        <f>IF(BN149=-1,"x",IF(OR(BN247=1,BN$195=1,$CY149=1),BN149,0))</f>
        <v>x</v>
      </c>
      <c r="BO332" s="105" t="str">
        <f>IF(BO149=-1,"x",IF(OR(BO247=1,BO$195=1,$CZ149=1),BO149,0))</f>
        <v>x</v>
      </c>
      <c r="BP332" s="104" t="str">
        <f>IF(BP149=-1,"x",IF(OR(BP247=1,BP$195=1,$CX149=1),BP149,0))</f>
        <v>x</v>
      </c>
      <c r="BQ332" s="50" t="str">
        <f>IF(BQ149=-1,"x",IF(OR(BQ247=1,BQ$195=1,$CY149=1),BQ149,0))</f>
        <v>x</v>
      </c>
      <c r="BR332" s="51" t="str">
        <f>IF(BR149=-1,"x",IF(OR(BR247=1,BR$195=1,$CZ149=1),BR149,0))</f>
        <v>x</v>
      </c>
      <c r="BS332" s="52" t="str">
        <f>IF(BS149=-1,"x",IF(OR(BS247=1,BS$195=1,$CX149=1),BS149,0))</f>
        <v>x</v>
      </c>
      <c r="BT332" s="50" t="str">
        <f>IF(BT149=-1,"x",IF(OR(BT247=1,BT$195=1,$CY149=1),BT149,0))</f>
        <v>x</v>
      </c>
      <c r="BU332" s="51" t="str">
        <f>IF(BU149=-1,"x",IF(OR(BU247=1,BU$195=1,$CZ149=1),BU149,0))</f>
        <v>x</v>
      </c>
      <c r="BV332" s="52" t="str">
        <f>IF(BV149=-1,"x",IF(OR(BV247=1,BV$195=1,$CX149=1),BV149,0))</f>
        <v>x</v>
      </c>
      <c r="BW332" s="50" t="str">
        <f>IF(BW149=-1,"x",IF(OR(BW247=1,BW$195=1,$CY149=1),BW149,0))</f>
        <v>x</v>
      </c>
      <c r="BX332" s="53" t="str">
        <f>IF(BX149=-1,"x",IF(OR(BX247=1,BX$195=1,$CZ149=1),BX149,0))</f>
        <v>x</v>
      </c>
      <c r="BY332" s="49" t="str">
        <f>IF(BY149=-1,"x",IF(OR(BY247=1,BY$195=1,$CX149=1),BY149,0))</f>
        <v>x</v>
      </c>
      <c r="BZ332" s="50" t="str">
        <f>IF(BZ149=-1,"x",IF(OR(BZ247=1,BZ$195=1,$CY149=1),BZ149,0))</f>
        <v>x</v>
      </c>
      <c r="CA332" s="51" t="str">
        <f>IF(CA149=-1,"x",IF(OR(CA247=1,CA$195=1,$CZ149=1),CA149,0))</f>
        <v>x</v>
      </c>
      <c r="CB332" s="52" t="str">
        <f>IF(CB149=-1,"x",IF(OR(CB247=1,CB$195=1,$CX149=1),CB149,0))</f>
        <v>x</v>
      </c>
      <c r="CC332" s="50" t="str">
        <f>IF(CC149=-1,"x",IF(OR(CC247=1,CC$195=1,$CY149=1),CC149,0))</f>
        <v>x</v>
      </c>
      <c r="CD332" s="51" t="str">
        <f>IF(CD149=-1,"x",IF(OR(CD247=1,CD$195=1,$CZ149=1),CD149,0))</f>
        <v>x</v>
      </c>
      <c r="CE332" s="52" t="str">
        <f>IF(CE149=-1,"x",IF(OR(CE247=1,CE$195=1,$CX149=1),CE149,0))</f>
        <v>x</v>
      </c>
      <c r="CF332" s="50" t="str">
        <f>IF(CF149=-1,"x",IF(OR(CF247=1,CF$195=1,$CY149=1),CF149,0))</f>
        <v>x</v>
      </c>
      <c r="CG332" s="53" t="str">
        <f>IF(CG149=-1,"x",IF(OR(CG247=1,CG$195=1,$CZ149=1),CG149,0))</f>
        <v>x</v>
      </c>
      <c r="CH332" s="49" t="str">
        <f>IF(CH149=-1,"x",IF(OR(CH247=1,CH$195=1,$CX149=1),CH149,0))</f>
        <v>x</v>
      </c>
      <c r="CI332" s="50" t="str">
        <f>IF(CI149=-1,"x",IF(OR(CI247=1,CI$195=1,$CY149=1),CI149,0))</f>
        <v>x</v>
      </c>
      <c r="CJ332" s="51" t="str">
        <f>IF(CJ149=-1,"x",IF(OR(CJ247=1,CJ$195=1,$CZ149=1),CJ149,0))</f>
        <v>x</v>
      </c>
      <c r="CK332" s="52">
        <f>IF(CK149=-1,"x",IF(OR(CK247=1,CK$195=1,$CX149=1),CK149,0))</f>
        <v>0</v>
      </c>
      <c r="CL332" s="50">
        <f>IF(CL149=-1,"x",IF(OR(CL247=1,CL$195=1,$CY149=1),CL149,0))</f>
        <v>0</v>
      </c>
      <c r="CM332" s="51">
        <f>IF(CM149=-1,"x",IF(OR(CM247=1,CM$195=1,$CZ149=1),CM149,0))</f>
        <v>0</v>
      </c>
      <c r="CN332" s="52" t="str">
        <f>IF(CN149=-1,"x",IF(OR(CN247=1,CN$195=1,$CX149=1),CN149,0))</f>
        <v>x</v>
      </c>
      <c r="CO332" s="50" t="str">
        <f>IF(CO149=-1,"x",IF(OR(CO247=1,CO$195=1,$CY149=1),CO149,0))</f>
        <v>x</v>
      </c>
      <c r="CP332" s="105" t="str">
        <f>IF(CP149=-1,"x",IF(OR(CP247=1,CP$195=1,$CZ149=1),CP149,0))</f>
        <v>x</v>
      </c>
      <c r="DJ332" s="108">
        <f>IF(DJ149=-1,"x",IF(OR(DJ247=1,DJ$228=1,$GT149=1),DJ149,0))</f>
        <v>0</v>
      </c>
      <c r="DK332" s="37">
        <f>IF(DK149=-1,"x",IF(OR(DK247=1,DK$228=1,$GU149=1),DK149,0))</f>
        <v>0</v>
      </c>
      <c r="DL332" s="35">
        <f>IF(DL149=-1,"x",IF(OR(DL247=1,DL$228=1,$GV149=1),DL149,0))</f>
        <v>0</v>
      </c>
      <c r="DM332" s="36">
        <f>IF(DM149=-1,"x",IF(OR(DM247=1,DM$228=1,$GT149=1),DM149,0))</f>
        <v>0</v>
      </c>
      <c r="DN332" s="37">
        <f>IF(DN149=-1,"x",IF(OR(DN247=1,DN$228=1,$GU149=1),DN149,0))</f>
        <v>0</v>
      </c>
      <c r="DO332" s="35">
        <f>IF(DO149=-1,"x",IF(OR(DO247=1,DO$228=1,$GV149=1),DO149,0))</f>
        <v>0</v>
      </c>
      <c r="DP332" s="36" t="str">
        <f>IF(DP149=-1,"x",IF(OR(DP247=1,DP$228=1,$GT149=1),DP149,0))</f>
        <v>x</v>
      </c>
      <c r="DQ332" s="37" t="str">
        <f>IF(DQ149=-1,"x",IF(OR(DQ247=1,DQ$228=1,$GU149=1),DQ149,0))</f>
        <v>x</v>
      </c>
      <c r="DR332" s="38" t="str">
        <f>IF(DR149=-1,"x",IF(OR(DR247=1,DR$228=1,$GV149=1),DR149,0))</f>
        <v>x</v>
      </c>
      <c r="DS332" s="416" t="str">
        <f>IF(DS149=-1,"x",IF(OR(DS247=1,DS$228=1,$GT149=1),DS149,0))</f>
        <v>x</v>
      </c>
      <c r="DT332" s="37" t="str">
        <f>IF(DT149=-1,"x",IF(OR(DT247=1,DT$228=1,$GU149=1),DT149,0))</f>
        <v>x</v>
      </c>
      <c r="DU332" s="35" t="str">
        <f>IF(DU149=-1,"x",IF(OR(DU247=1,DU$228=1,$GV149=1),DU149,0))</f>
        <v>x</v>
      </c>
      <c r="DV332" s="36" t="str">
        <f>IF(DV149=-1,"x",IF(OR(DV247=1,DV$228=1,$GT149=1),DV149,0))</f>
        <v>x</v>
      </c>
      <c r="DW332" s="37" t="str">
        <f>IF(DW149=-1,"x",IF(OR(DW247=1,DW$228=1,$GU149=1),DW149,0))</f>
        <v>x</v>
      </c>
      <c r="DX332" s="35" t="str">
        <f>IF(DX149=-1,"x",IF(OR(DX247=1,DX$228=1,$GV149=1),DX149,0))</f>
        <v>x</v>
      </c>
      <c r="DY332" s="36" t="str">
        <f>IF(DY149=-1,"x",IF(OR(DY247=1,DY$228=1,$GT149=1),DY149,0))</f>
        <v>x</v>
      </c>
      <c r="DZ332" s="37" t="str">
        <f>IF(DZ149=-1,"x",IF(OR(DZ247=1,DZ$228=1,$GU149=1),DZ149,0))</f>
        <v>x</v>
      </c>
      <c r="EA332" s="38" t="str">
        <f>IF(EA149=-1,"x",IF(OR(EA247=1,EA$228=1,$GV149=1),EA149,0))</f>
        <v>x</v>
      </c>
      <c r="EB332" s="416" t="str">
        <f>IF(EB149=-1,"x",IF(OR(EB247=1,EB$228=1,$GT149=1),EB149,0))</f>
        <v>x</v>
      </c>
      <c r="EC332" s="37" t="str">
        <f>IF(EC149=-1,"x",IF(OR(EC247=1,EC$228=1,$GU149=1),EC149,0))</f>
        <v>x</v>
      </c>
      <c r="ED332" s="35" t="str">
        <f>IF(ED149=-1,"x",IF(OR(ED247=1,ED$228=1,$GV149=1),ED149,0))</f>
        <v>x</v>
      </c>
      <c r="EE332" s="36" t="str">
        <f>IF(EE149=-1,"x",IF(OR(EE247=1,EE$228=1,$GT149=1),EE149,0))</f>
        <v>x</v>
      </c>
      <c r="EF332" s="37" t="str">
        <f>IF(EF149=-1,"x",IF(OR(EF247=1,EF$228=1,$GU149=1),EF149,0))</f>
        <v>x</v>
      </c>
      <c r="EG332" s="35" t="str">
        <f>IF(EG149=-1,"x",IF(OR(EG247=1,EG$228=1,$GV149=1),EG149,0))</f>
        <v>x</v>
      </c>
      <c r="EH332" s="36" t="str">
        <f>IF(EH149=-1,"x",IF(OR(EH247=1,EH$228=1,$GT149=1),EH149,0))</f>
        <v>x</v>
      </c>
      <c r="EI332" s="37" t="str">
        <f>IF(EI149=-1,"x",IF(OR(EI247=1,EI$228=1,$GU149=1),EI149,0))</f>
        <v>x</v>
      </c>
      <c r="EJ332" s="109" t="str">
        <f>IF(EJ149=-1,"x",IF(OR(EJ247=1,EJ$228=1,$GV149=1),EJ149,0))</f>
        <v>x</v>
      </c>
      <c r="EK332" s="108" t="str">
        <f>IF(EK149=-1,"x",IF(OR(EK247=1,EK$228=1,$GT149=1),EK149,0))</f>
        <v>x</v>
      </c>
      <c r="EL332" s="37" t="str">
        <f>IF(EL149=-1,"x",IF(OR(EL247=1,EL$228=1,$GU149=1),EL149,0))</f>
        <v>x</v>
      </c>
      <c r="EM332" s="35" t="str">
        <f>IF(EM149=-1,"x",IF(OR(EM247=1,EM$228=1,$GV149=1),EM149,0))</f>
        <v>x</v>
      </c>
      <c r="EN332" s="36" t="str">
        <f>IF(EN149=-1,"x",IF(OR(EN247=1,EN$228=1,$GT149=1),EN149,0))</f>
        <v>x</v>
      </c>
      <c r="EO332" s="37" t="str">
        <f>IF(EO149=-1,"x",IF(OR(EO247=1,EO$228=1,$GU149=1),EO149,0))</f>
        <v>x</v>
      </c>
      <c r="EP332" s="35" t="str">
        <f>IF(EP149=-1,"x",IF(OR(EP247=1,EP$228=1,$GV149=1),EP149,0))</f>
        <v>x</v>
      </c>
      <c r="EQ332" s="36" t="str">
        <f>IF(EQ149=-1,"x",IF(OR(EQ247=1,EQ$228=1,$GT149=1),EQ149,0))</f>
        <v>x</v>
      </c>
      <c r="ER332" s="37" t="str">
        <f>IF(ER149=-1,"x",IF(OR(ER247=1,ER$228=1,$GU149=1),ER149,0))</f>
        <v>x</v>
      </c>
      <c r="ES332" s="38" t="str">
        <f>IF(ES149=-1,"x",IF(OR(ES247=1,ES$228=1,$GV149=1),ES149,0))</f>
        <v>x</v>
      </c>
      <c r="ET332" s="416">
        <f>IF(ET149=-1,"x",IF(OR(ET247=1,ET$228=1,$GT149=1),ET149,0))</f>
        <v>0</v>
      </c>
      <c r="EU332" s="37">
        <f>IF(EU149=-1,"x",IF(OR(EU247=1,EU$228=1,$GU149=1),EU149,0))</f>
        <v>0</v>
      </c>
      <c r="EV332" s="35">
        <f>IF(EV149=-1,"x",IF(OR(EV247=1,EV$228=1,$GV149=1),EV149,0))</f>
        <v>0</v>
      </c>
      <c r="EW332" s="36" t="str">
        <f>IF(EW149=-1,"x",IF(OR(EW247=1,EW$228=1,$GT149=1),EW149,0))</f>
        <v>x</v>
      </c>
      <c r="EX332" s="37" t="str">
        <f>IF(EX149=-1,"x",IF(OR(EX247=1,EX$228=1,$GU149=1),EX149,0))</f>
        <v>x</v>
      </c>
      <c r="EY332" s="35" t="str">
        <f>IF(EY149=-1,"x",IF(OR(EY247=1,EY$228=1,$GV149=1),EY149,0))</f>
        <v>x</v>
      </c>
      <c r="EZ332" s="36" t="str">
        <f>IF(EZ149=-1,"x",IF(OR(EZ247=1,EZ$228=1,$GT149=1),EZ149,0))</f>
        <v>x</v>
      </c>
      <c r="FA332" s="37" t="str">
        <f>IF(FA149=-1,"x",IF(OR(FA247=1,FA$228=1,$GU149=1),FA149,0))</f>
        <v>x</v>
      </c>
      <c r="FB332" s="38" t="str">
        <f>IF(FB149=-1,"x",IF(OR(FB247=1,FB$228=1,$GV149=1),FB149,0))</f>
        <v>x</v>
      </c>
      <c r="FC332" s="416" t="str">
        <f>IF(FC149=-1,"x",IF(OR(FC247=1,FC$228=1,$GT149=1),FC149,0))</f>
        <v>x</v>
      </c>
      <c r="FD332" s="37" t="str">
        <f>IF(FD149=-1,"x",IF(OR(FD247=1,FD$228=1,$GU149=1),FD149,0))</f>
        <v>x</v>
      </c>
      <c r="FE332" s="35" t="str">
        <f>IF(FE149=-1,"x",IF(OR(FE247=1,FE$228=1,$GV149=1),FE149,0))</f>
        <v>x</v>
      </c>
      <c r="FF332" s="36" t="str">
        <f>IF(FF149=-1,"x",IF(OR(FF247=1,FF$228=1,$GT149=1),FF149,0))</f>
        <v>x</v>
      </c>
      <c r="FG332" s="37" t="str">
        <f>IF(FG149=-1,"x",IF(OR(FG247=1,FG$228=1,$GU149=1),FG149,0))</f>
        <v>x</v>
      </c>
      <c r="FH332" s="35" t="str">
        <f>IF(FH149=-1,"x",IF(OR(FH247=1,FH$228=1,$GV149=1),FH149,0))</f>
        <v>x</v>
      </c>
      <c r="FI332" s="36" t="str">
        <f>IF(FI149=-1,"x",IF(OR(FI247=1,FI$228=1,$GT149=1),FI149,0))</f>
        <v>x</v>
      </c>
      <c r="FJ332" s="37" t="str">
        <f>IF(FJ149=-1,"x",IF(OR(FJ247=1,FJ$228=1,$GU149=1),FJ149,0))</f>
        <v>x</v>
      </c>
      <c r="FK332" s="109" t="str">
        <f>IF(FK149=-1,"x",IF(OR(FK247=1,FK$228=1,$GV149=1),FK149,0))</f>
        <v>x</v>
      </c>
      <c r="FL332" s="108" t="str">
        <f>IF(FL149=-1,"x",IF(OR(FL247=1,FL$228=1,$GT149=1),FL149,0))</f>
        <v>x</v>
      </c>
      <c r="FM332" s="37" t="str">
        <f>IF(FM149=-1,"x",IF(OR(FM247=1,FM$228=1,$GU149=1),FM149,0))</f>
        <v>x</v>
      </c>
      <c r="FN332" s="35" t="str">
        <f>IF(FN149=-1,"x",IF(OR(FN247=1,FN$228=1,$GV149=1),FN149,0))</f>
        <v>x</v>
      </c>
      <c r="FO332" s="36" t="str">
        <f>IF(FO149=-1,"x",IF(OR(FO247=1,FO$228=1,$GT149=1),FO149,0))</f>
        <v>x</v>
      </c>
      <c r="FP332" s="37" t="str">
        <f>IF(FP149=-1,"x",IF(OR(FP247=1,FP$228=1,$GU149=1),FP149,0))</f>
        <v>x</v>
      </c>
      <c r="FQ332" s="35" t="str">
        <f>IF(FQ149=-1,"x",IF(OR(FQ247=1,FQ$228=1,$GV149=1),FQ149,0))</f>
        <v>x</v>
      </c>
      <c r="FR332" s="36" t="str">
        <f>IF(FR149=-1,"x",IF(OR(FR247=1,FR$228=1,$GT149=1),FR149,0))</f>
        <v>x</v>
      </c>
      <c r="FS332" s="37" t="str">
        <f>IF(FS149=-1,"x",IF(OR(FS247=1,FS$228=1,$GU149=1),FS149,0))</f>
        <v>x</v>
      </c>
      <c r="FT332" s="38" t="str">
        <f>IF(FT149=-1,"x",IF(OR(FT247=1,FT$228=1,$GV149=1),FT149,0))</f>
        <v>x</v>
      </c>
      <c r="FU332" s="416" t="str">
        <f>IF(FU149=-1,"x",IF(OR(FU247=1,FU$228=1,$GT149=1),FU149,0))</f>
        <v>x</v>
      </c>
      <c r="FV332" s="37" t="str">
        <f>IF(FV149=-1,"x",IF(OR(FV247=1,FV$228=1,$GU149=1),FV149,0))</f>
        <v>x</v>
      </c>
      <c r="FW332" s="35" t="str">
        <f>IF(FW149=-1,"x",IF(OR(FW247=1,FW$228=1,$GV149=1),FW149,0))</f>
        <v>x</v>
      </c>
      <c r="FX332" s="36" t="str">
        <f>IF(FX149=-1,"x",IF(OR(FX247=1,FX$228=1,$GT149=1),FX149,0))</f>
        <v>x</v>
      </c>
      <c r="FY332" s="37" t="str">
        <f>IF(FY149=-1,"x",IF(OR(FY247=1,FY$228=1,$GU149=1),FY149,0))</f>
        <v>x</v>
      </c>
      <c r="FZ332" s="35" t="str">
        <f>IF(FZ149=-1,"x",IF(OR(FZ247=1,FZ$228=1,$GV149=1),FZ149,0))</f>
        <v>x</v>
      </c>
      <c r="GA332" s="36" t="str">
        <f>IF(GA149=-1,"x",IF(OR(GA247=1,GA$228=1,$GT149=1),GA149,0))</f>
        <v>x</v>
      </c>
      <c r="GB332" s="37" t="str">
        <f>IF(GB149=-1,"x",IF(OR(GB247=1,GB$228=1,$GU149=1),GB149,0))</f>
        <v>x</v>
      </c>
      <c r="GC332" s="38" t="str">
        <f>IF(GC149=-1,"x",IF(OR(GC247=1,GC$228=1,$GV149=1),GC149,0))</f>
        <v>x</v>
      </c>
      <c r="GD332" s="416" t="str">
        <f>IF(GD149=-1,"x",IF(OR(GD247=1,GD$228=1,$GT149=1),GD149,0))</f>
        <v>x</v>
      </c>
      <c r="GE332" s="37" t="str">
        <f>IF(GE149=-1,"x",IF(OR(GE247=1,GE$228=1,$GU149=1),GE149,0))</f>
        <v>x</v>
      </c>
      <c r="GF332" s="35" t="str">
        <f>IF(GF149=-1,"x",IF(OR(GF247=1,GF$228=1,$GV149=1),GF149,0))</f>
        <v>x</v>
      </c>
      <c r="GG332" s="36">
        <f>IF(GG149=-1,"x",IF(OR(GG247=1,GG$228=1,$GT149=1),GG149,0))</f>
        <v>0</v>
      </c>
      <c r="GH332" s="37">
        <f>IF(GH149=-1,"x",IF(OR(GH247=1,GH$228=1,$GU149=1),GH149,0))</f>
        <v>0</v>
      </c>
      <c r="GI332" s="35">
        <f>IF(GI149=-1,"x",IF(OR(GI247=1,GI$228=1,$GV149=1),GI149,0))</f>
        <v>0</v>
      </c>
      <c r="GJ332" s="36">
        <f>IF(GJ149=-1,"x",IF(OR(GJ247=1,GJ$228=1,$GT149=1),GJ149,0))</f>
        <v>0</v>
      </c>
      <c r="GK332" s="37">
        <f>IF(GK149=-1,"x",IF(OR(GK247=1,GK$228=1,$GU149=1),GK149,0))</f>
        <v>0</v>
      </c>
      <c r="GL332" s="109">
        <f>IF(GL149=-1,"x",IF(OR(GL247=1,GL$228=1,$GV149=1),GL149,0))</f>
        <v>0</v>
      </c>
    </row>
    <row r="333" spans="14:194" ht="15" customHeight="1">
      <c r="N333" s="94">
        <f>IF(N150=-1,"x",IF(OR(N248=1,N$196=1,$CX150=1),N150,0))</f>
        <v>0</v>
      </c>
      <c r="O333" s="39">
        <f>IF(O150=-1,"x",IF(OR(O248=1,O$196=1,$CY150=1),O150,0))</f>
        <v>0</v>
      </c>
      <c r="P333" s="41">
        <f>IF(P150=-1,"x",IF(OR(P248=1,P$196=1,$CZ150=1),P150,0))</f>
        <v>0</v>
      </c>
      <c r="Q333" s="40">
        <f>IF(Q150=-1,"x",IF(OR(Q248=1,Q$196=1,$CX150=1),Q150,0))</f>
        <v>0</v>
      </c>
      <c r="R333" s="39">
        <f>IF(R150=-1,"x",IF(OR(R248=1,R$196=1,$CY150=1),R150,0))</f>
        <v>0</v>
      </c>
      <c r="S333" s="41">
        <f>IF(S150=-1,"x",IF(OR(S248=1,S$196=1,$CZ150=1),S150,0))</f>
        <v>0</v>
      </c>
      <c r="T333" s="40">
        <f>IF(T150=-1,"x",IF(OR(T248=1,T$196=1,$CX150=1),T150,0))</f>
        <v>0</v>
      </c>
      <c r="U333" s="39">
        <f>IF(U150=-1,"x",IF(OR(U248=1,U$196=1,$CY150=1),U150,0))</f>
        <v>0</v>
      </c>
      <c r="V333" s="42">
        <f>IF(V150=-1,"x",IF(OR(V248=1,V$196=1,$CZ150=1),V150,0))</f>
        <v>0</v>
      </c>
      <c r="W333" s="43">
        <f>IF(W150=-1,"x",IF(OR(W248=1,W$196=1,$CX150=1),W150,0))</f>
        <v>0</v>
      </c>
      <c r="X333" s="39">
        <f>IF(X150=-1,"x",IF(OR(X248=1,X$196=1,$CY150=1),X150,0))</f>
        <v>0</v>
      </c>
      <c r="Y333" s="41">
        <f>IF(Y150=-1,"x",IF(OR(Y248=1,Y$196=1,$CZ150=1),Y150,0))</f>
        <v>0</v>
      </c>
      <c r="Z333" s="40" t="str">
        <f>IF(Z150=-1,"x",IF(OR(Z248=1,Z$196=1,$CX150=1),Z150,0))</f>
        <v>x</v>
      </c>
      <c r="AA333" s="39" t="str">
        <f>IF(AA150=-1,"x",IF(OR(AA248=1,AA$196=1,$CY150=1),AA150,0))</f>
        <v>x</v>
      </c>
      <c r="AB333" s="41" t="str">
        <f>IF(AB150=-1,"x",IF(OR(AB248=1,AB$196=1,$CZ150=1),AB150,0))</f>
        <v>x</v>
      </c>
      <c r="AC333" s="40" t="str">
        <f>IF(AC150=-1,"x",IF(OR(AC248=1,AC$196=1,$CX150=1),AC150,0))</f>
        <v>x</v>
      </c>
      <c r="AD333" s="39" t="str">
        <f>IF(AD150=-1,"x",IF(OR(AD248=1,AD$196=1,$CY150=1),AD150,0))</f>
        <v>x</v>
      </c>
      <c r="AE333" s="42" t="str">
        <f>IF(AE150=-1,"x",IF(OR(AE248=1,AE$196=1,$CZ150=1),AE150,0))</f>
        <v>x</v>
      </c>
      <c r="AF333" s="43" t="str">
        <f>IF(AF150=-1,"x",IF(OR(AF248=1,AF$196=1,$CX150=1),AF150,0))</f>
        <v>x</v>
      </c>
      <c r="AG333" s="39" t="str">
        <f>IF(AG150=-1,"x",IF(OR(AG248=1,AG$196=1,$CY150=1),AG150,0))</f>
        <v>x</v>
      </c>
      <c r="AH333" s="41" t="str">
        <f>IF(AH150=-1,"x",IF(OR(AH248=1,AH$196=1,$CZ150=1),AH150,0))</f>
        <v>x</v>
      </c>
      <c r="AI333" s="40" t="str">
        <f>IF(AI150=-1,"x",IF(OR(AI248=1,AI$196=1,$CX150=1),AI150,0))</f>
        <v>x</v>
      </c>
      <c r="AJ333" s="39" t="str">
        <f>IF(AJ150=-1,"x",IF(OR(AJ248=1,AJ$196=1,$CY150=1),AJ150,0))</f>
        <v>x</v>
      </c>
      <c r="AK333" s="41" t="str">
        <f>IF(AK150=-1,"x",IF(OR(AK248=1,AK$196=1,$CZ150=1),AK150,0))</f>
        <v>x</v>
      </c>
      <c r="AL333" s="40" t="str">
        <f>IF(AL150=-1,"x",IF(OR(AL248=1,AL$196=1,$CX150=1),AL150,0))</f>
        <v>x</v>
      </c>
      <c r="AM333" s="39" t="str">
        <f>IF(AM150=-1,"x",IF(OR(AM248=1,AM$196=1,$CY150=1),AM150,0))</f>
        <v>x</v>
      </c>
      <c r="AN333" s="95" t="str">
        <f>IF(AN150=-1,"x",IF(OR(AN248=1,AN$196=1,$CZ150=1),AN150,0))</f>
        <v>x</v>
      </c>
      <c r="AO333" s="94" t="str">
        <f>IF(AO150=-1,"x",IF(OR(AO248=1,AO$196=1,$CX150=1),AO150,0))</f>
        <v>x</v>
      </c>
      <c r="AP333" s="39" t="str">
        <f>IF(AP150=-1,"x",IF(OR(AP248=1,AP$196=1,$CY150=1),AP150,0))</f>
        <v>x</v>
      </c>
      <c r="AQ333" s="41" t="str">
        <f>IF(AQ150=-1,"x",IF(OR(AQ248=1,AQ$196=1,$CZ150=1),AQ150,0))</f>
        <v>x</v>
      </c>
      <c r="AR333" s="40" t="str">
        <f>IF(AR150=-1,"x",IF(OR(AR248=1,AR$196=1,$CX150=1),AR150,0))</f>
        <v>x</v>
      </c>
      <c r="AS333" s="39" t="str">
        <f>IF(AS150=-1,"x",IF(OR(AS248=1,AS$196=1,$CY150=1),AS150,0))</f>
        <v>x</v>
      </c>
      <c r="AT333" s="41" t="str">
        <f>IF(AT150=-1,"x",IF(OR(AT248=1,AT$196=1,$CZ150=1),AT150,0))</f>
        <v>x</v>
      </c>
      <c r="AU333" s="40" t="str">
        <f>IF(AU150=-1,"x",IF(OR(AU248=1,AU$196=1,$CX150=1),AU150,0))</f>
        <v>x</v>
      </c>
      <c r="AV333" s="39" t="str">
        <f>IF(AV150=-1,"x",IF(OR(AV248=1,AV$196=1,$CY150=1),AV150,0))</f>
        <v>x</v>
      </c>
      <c r="AW333" s="42" t="str">
        <f>IF(AW150=-1,"x",IF(OR(AW248=1,AW$196=1,$CZ150=1),AW150,0))</f>
        <v>x</v>
      </c>
      <c r="AX333" s="43" t="str">
        <f>IF(AX150=-1,"x",IF(OR(AX248=1,AX$196=1,$CX150=1),AX150,0))</f>
        <v>x</v>
      </c>
      <c r="AY333" s="39" t="str">
        <f>IF(AY150=-1,"x",IF(OR(AY248=1,AY$196=1,$CY150=1),AY150,0))</f>
        <v>x</v>
      </c>
      <c r="AZ333" s="41" t="str">
        <f>IF(AZ150=-1,"x",IF(OR(AZ248=1,AZ$196=1,$CZ150=1),AZ150,0))</f>
        <v>x</v>
      </c>
      <c r="BA333" s="40" t="str">
        <f>IF(BA150=-1,"x",IF(OR(BA248=1,BA$196=1,$CX150=1),BA150,0))</f>
        <v>x</v>
      </c>
      <c r="BB333" s="39" t="str">
        <f>IF(BB150=-1,"x",IF(OR(BB248=1,BB$196=1,$CY150=1),BB150,0))</f>
        <v>x</v>
      </c>
      <c r="BC333" s="41" t="str">
        <f>IF(BC150=-1,"x",IF(OR(BC248=1,BC$196=1,$CZ150=1),BC150,0))</f>
        <v>x</v>
      </c>
      <c r="BD333" s="40" t="str">
        <f>IF(BD150=-1,"x",IF(OR(BD248=1,BD$196=1,$CX150=1),BD150,0))</f>
        <v>x</v>
      </c>
      <c r="BE333" s="39" t="str">
        <f>IF(BE150=-1,"x",IF(OR(BE248=1,BE$196=1,$CY150=1),BE150,0))</f>
        <v>x</v>
      </c>
      <c r="BF333" s="42" t="str">
        <f>IF(BF150=-1,"x",IF(OR(BF248=1,BF$196=1,$CZ150=1),BF150,0))</f>
        <v>x</v>
      </c>
      <c r="BG333" s="43" t="str">
        <f>IF(BG150=-1,"x",IF(OR(BG248=1,BG$196=1,$CX150=1),BG150,0))</f>
        <v>x</v>
      </c>
      <c r="BH333" s="39" t="str">
        <f>IF(BH150=-1,"x",IF(OR(BH248=1,BH$196=1,$CY150=1),BH150,0))</f>
        <v>x</v>
      </c>
      <c r="BI333" s="41" t="str">
        <f>IF(BI150=-1,"x",IF(OR(BI248=1,BI$196=1,$CZ150=1),BI150,0))</f>
        <v>x</v>
      </c>
      <c r="BJ333" s="40" t="str">
        <f>IF(BJ150=-1,"x",IF(OR(BJ248=1,BJ$196=1,$CX150=1),BJ150,0))</f>
        <v>x</v>
      </c>
      <c r="BK333" s="39" t="str">
        <f>IF(BK150=-1,"x",IF(OR(BK248=1,BK$196=1,$CY150=1),BK150,0))</f>
        <v>x</v>
      </c>
      <c r="BL333" s="41" t="str">
        <f>IF(BL150=-1,"x",IF(OR(BL248=1,BL$196=1,$CZ150=1),BL150,0))</f>
        <v>x</v>
      </c>
      <c r="BM333" s="40" t="str">
        <f>IF(BM150=-1,"x",IF(OR(BM248=1,BM$196=1,$CX150=1),BM150,0))</f>
        <v>x</v>
      </c>
      <c r="BN333" s="39" t="str">
        <f>IF(BN150=-1,"x",IF(OR(BN248=1,BN$196=1,$CY150=1),BN150,0))</f>
        <v>x</v>
      </c>
      <c r="BO333" s="95" t="str">
        <f>IF(BO150=-1,"x",IF(OR(BO248=1,BO$196=1,$CZ150=1),BO150,0))</f>
        <v>x</v>
      </c>
      <c r="BP333" s="94" t="str">
        <f>IF(BP150=-1,"x",IF(OR(BP248=1,BP$196=1,$CX150=1),BP150,0))</f>
        <v>x</v>
      </c>
      <c r="BQ333" s="39" t="str">
        <f>IF(BQ150=-1,"x",IF(OR(BQ248=1,BQ$196=1,$CY150=1),BQ150,0))</f>
        <v>x</v>
      </c>
      <c r="BR333" s="41" t="str">
        <f>IF(BR150=-1,"x",IF(OR(BR248=1,BR$196=1,$CZ150=1),BR150,0))</f>
        <v>x</v>
      </c>
      <c r="BS333" s="40" t="str">
        <f>IF(BS150=-1,"x",IF(OR(BS248=1,BS$196=1,$CX150=1),BS150,0))</f>
        <v>x</v>
      </c>
      <c r="BT333" s="39" t="str">
        <f>IF(BT150=-1,"x",IF(OR(BT248=1,BT$196=1,$CY150=1),BT150,0))</f>
        <v>x</v>
      </c>
      <c r="BU333" s="41" t="str">
        <f>IF(BU150=-1,"x",IF(OR(BU248=1,BU$196=1,$CZ150=1),BU150,0))</f>
        <v>x</v>
      </c>
      <c r="BV333" s="40" t="str">
        <f>IF(BV150=-1,"x",IF(OR(BV248=1,BV$196=1,$CX150=1),BV150,0))</f>
        <v>x</v>
      </c>
      <c r="BW333" s="39" t="str">
        <f>IF(BW150=-1,"x",IF(OR(BW248=1,BW$196=1,$CY150=1),BW150,0))</f>
        <v>x</v>
      </c>
      <c r="BX333" s="42" t="str">
        <f>IF(BX150=-1,"x",IF(OR(BX248=1,BX$196=1,$CZ150=1),BX150,0))</f>
        <v>x</v>
      </c>
      <c r="BY333" s="43" t="str">
        <f>IF(BY150=-1,"x",IF(OR(BY248=1,BY$196=1,$CX150=1),BY150,0))</f>
        <v>x</v>
      </c>
      <c r="BZ333" s="39" t="str">
        <f>IF(BZ150=-1,"x",IF(OR(BZ248=1,BZ$196=1,$CY150=1),BZ150,0))</f>
        <v>x</v>
      </c>
      <c r="CA333" s="41" t="str">
        <f>IF(CA150=-1,"x",IF(OR(CA248=1,CA$196=1,$CZ150=1),CA150,0))</f>
        <v>x</v>
      </c>
      <c r="CB333" s="40" t="str">
        <f>IF(CB150=-1,"x",IF(OR(CB248=1,CB$196=1,$CX150=1),CB150,0))</f>
        <v>x</v>
      </c>
      <c r="CC333" s="39" t="str">
        <f>IF(CC150=-1,"x",IF(OR(CC248=1,CC$196=1,$CY150=1),CC150,0))</f>
        <v>x</v>
      </c>
      <c r="CD333" s="41" t="str">
        <f>IF(CD150=-1,"x",IF(OR(CD248=1,CD$196=1,$CZ150=1),CD150,0))</f>
        <v>x</v>
      </c>
      <c r="CE333" s="40" t="str">
        <f>IF(CE150=-1,"x",IF(OR(CE248=1,CE$196=1,$CX150=1),CE150,0))</f>
        <v>x</v>
      </c>
      <c r="CF333" s="39" t="str">
        <f>IF(CF150=-1,"x",IF(OR(CF248=1,CF$196=1,$CY150=1),CF150,0))</f>
        <v>x</v>
      </c>
      <c r="CG333" s="42" t="str">
        <f>IF(CG150=-1,"x",IF(OR(CG248=1,CG$196=1,$CZ150=1),CG150,0))</f>
        <v>x</v>
      </c>
      <c r="CH333" s="43" t="str">
        <f>IF(CH150=-1,"x",IF(OR(CH248=1,CH$196=1,$CX150=1),CH150,0))</f>
        <v>x</v>
      </c>
      <c r="CI333" s="39" t="str">
        <f>IF(CI150=-1,"x",IF(OR(CI248=1,CI$196=1,$CY150=1),CI150,0))</f>
        <v>x</v>
      </c>
      <c r="CJ333" s="41" t="str">
        <f>IF(CJ150=-1,"x",IF(OR(CJ248=1,CJ$196=1,$CZ150=1),CJ150,0))</f>
        <v>x</v>
      </c>
      <c r="CK333" s="40">
        <f>IF(CK150=-1,"x",IF(OR(CK248=1,CK$196=1,$CX150=1),CK150,0))</f>
        <v>0</v>
      </c>
      <c r="CL333" s="39">
        <f>IF(CL150=-1,"x",IF(OR(CL248=1,CL$196=1,$CY150=1),CL150,0))</f>
        <v>0</v>
      </c>
      <c r="CM333" s="41">
        <f>IF(CM150=-1,"x",IF(OR(CM248=1,CM$196=1,$CZ150=1),CM150,0))</f>
        <v>0</v>
      </c>
      <c r="CN333" s="40" t="str">
        <f>IF(CN150=-1,"x",IF(OR(CN248=1,CN$196=1,$CX150=1),CN150,0))</f>
        <v>x</v>
      </c>
      <c r="CO333" s="39" t="str">
        <f>IF(CO150=-1,"x",IF(OR(CO248=1,CO$196=1,$CY150=1),CO150,0))</f>
        <v>x</v>
      </c>
      <c r="CP333" s="95" t="str">
        <f>IF(CP150=-1,"x",IF(OR(CP248=1,CP$196=1,$CZ150=1),CP150,0))</f>
        <v>x</v>
      </c>
      <c r="DJ333" s="94">
        <f>IF(DJ150=-1,"x",IF(OR(DJ248=1,DJ$229=1,$GT150=1),DJ150,0))</f>
        <v>0</v>
      </c>
      <c r="DK333" s="39">
        <f>IF(DK150=-1,"x",IF(OR(DK248=1,DK$229=1,$GU150=1),DK150,0))</f>
        <v>0</v>
      </c>
      <c r="DL333" s="41">
        <f>IF(DL150=-1,"x",IF(OR(DL248=1,DL$229=1,$GV150=1),DL150,0))</f>
        <v>0</v>
      </c>
      <c r="DM333" s="40">
        <f>IF(DM150=-1,"x",IF(OR(DM248=1,DM$229=1,$GT150=1),DM150,0))</f>
        <v>0</v>
      </c>
      <c r="DN333" s="39">
        <f>IF(DN150=-1,"x",IF(OR(DN248=1,DN$229=1,$GU150=1),DN150,0))</f>
        <v>5</v>
      </c>
      <c r="DO333" s="41">
        <f>IF(DO150=-1,"x",IF(OR(DO248=1,DO$229=1,$GV150=1),DO150,0))</f>
        <v>0</v>
      </c>
      <c r="DP333" s="40" t="str">
        <f>IF(DP150=-1,"x",IF(OR(DP248=1,DP$229=1,$GT150=1),DP150,0))</f>
        <v>x</v>
      </c>
      <c r="DQ333" s="39" t="str">
        <f>IF(DQ150=-1,"x",IF(OR(DQ248=1,DQ$229=1,$GU150=1),DQ150,0))</f>
        <v>x</v>
      </c>
      <c r="DR333" s="42" t="str">
        <f>IF(DR150=-1,"x",IF(OR(DR248=1,DR$229=1,$GV150=1),DR150,0))</f>
        <v>x</v>
      </c>
      <c r="DS333" s="43" t="str">
        <f>IF(DS150=-1,"x",IF(OR(DS248=1,DS$229=1,$GT150=1),DS150,0))</f>
        <v>x</v>
      </c>
      <c r="DT333" s="39" t="str">
        <f>IF(DT150=-1,"x",IF(OR(DT248=1,DT$229=1,$GU150=1),DT150,0))</f>
        <v>x</v>
      </c>
      <c r="DU333" s="41" t="str">
        <f>IF(DU150=-1,"x",IF(OR(DU248=1,DU$229=1,$GV150=1),DU150,0))</f>
        <v>x</v>
      </c>
      <c r="DV333" s="40" t="str">
        <f>IF(DV150=-1,"x",IF(OR(DV248=1,DV$229=1,$GT150=1),DV150,0))</f>
        <v>x</v>
      </c>
      <c r="DW333" s="39" t="str">
        <f>IF(DW150=-1,"x",IF(OR(DW248=1,DW$229=1,$GU150=1),DW150,0))</f>
        <v>x</v>
      </c>
      <c r="DX333" s="41" t="str">
        <f>IF(DX150=-1,"x",IF(OR(DX248=1,DX$229=1,$GV150=1),DX150,0))</f>
        <v>x</v>
      </c>
      <c r="DY333" s="40" t="str">
        <f>IF(DY150=-1,"x",IF(OR(DY248=1,DY$229=1,$GT150=1),DY150,0))</f>
        <v>x</v>
      </c>
      <c r="DZ333" s="39" t="str">
        <f>IF(DZ150=-1,"x",IF(OR(DZ248=1,DZ$229=1,$GU150=1),DZ150,0))</f>
        <v>x</v>
      </c>
      <c r="EA333" s="42" t="str">
        <f>IF(EA150=-1,"x",IF(OR(EA248=1,EA$229=1,$GV150=1),EA150,0))</f>
        <v>x</v>
      </c>
      <c r="EB333" s="43" t="str">
        <f>IF(EB150=-1,"x",IF(OR(EB248=1,EB$229=1,$GT150=1),EB150,0))</f>
        <v>x</v>
      </c>
      <c r="EC333" s="39" t="str">
        <f>IF(EC150=-1,"x",IF(OR(EC248=1,EC$229=1,$GU150=1),EC150,0))</f>
        <v>x</v>
      </c>
      <c r="ED333" s="41" t="str">
        <f>IF(ED150=-1,"x",IF(OR(ED248=1,ED$229=1,$GV150=1),ED150,0))</f>
        <v>x</v>
      </c>
      <c r="EE333" s="40" t="str">
        <f>IF(EE150=-1,"x",IF(OR(EE248=1,EE$229=1,$GT150=1),EE150,0))</f>
        <v>x</v>
      </c>
      <c r="EF333" s="39" t="str">
        <f>IF(EF150=-1,"x",IF(OR(EF248=1,EF$229=1,$GU150=1),EF150,0))</f>
        <v>x</v>
      </c>
      <c r="EG333" s="41" t="str">
        <f>IF(EG150=-1,"x",IF(OR(EG248=1,EG$229=1,$GV150=1),EG150,0))</f>
        <v>x</v>
      </c>
      <c r="EH333" s="40" t="str">
        <f>IF(EH150=-1,"x",IF(OR(EH248=1,EH$229=1,$GT150=1),EH150,0))</f>
        <v>x</v>
      </c>
      <c r="EI333" s="39" t="str">
        <f>IF(EI150=-1,"x",IF(OR(EI248=1,EI$229=1,$GU150=1),EI150,0))</f>
        <v>x</v>
      </c>
      <c r="EJ333" s="95" t="str">
        <f>IF(EJ150=-1,"x",IF(OR(EJ248=1,EJ$229=1,$GV150=1),EJ150,0))</f>
        <v>x</v>
      </c>
      <c r="EK333" s="94" t="str">
        <f>IF(EK150=-1,"x",IF(OR(EK248=1,EK$229=1,$GT150=1),EK150,0))</f>
        <v>x</v>
      </c>
      <c r="EL333" s="39" t="str">
        <f>IF(EL150=-1,"x",IF(OR(EL248=1,EL$229=1,$GU150=1),EL150,0))</f>
        <v>x</v>
      </c>
      <c r="EM333" s="41" t="str">
        <f>IF(EM150=-1,"x",IF(OR(EM248=1,EM$229=1,$GV150=1),EM150,0))</f>
        <v>x</v>
      </c>
      <c r="EN333" s="40" t="str">
        <f>IF(EN150=-1,"x",IF(OR(EN248=1,EN$229=1,$GT150=1),EN150,0))</f>
        <v>x</v>
      </c>
      <c r="EO333" s="39" t="str">
        <f>IF(EO150=-1,"x",IF(OR(EO248=1,EO$229=1,$GU150=1),EO150,0))</f>
        <v>x</v>
      </c>
      <c r="EP333" s="41" t="str">
        <f>IF(EP150=-1,"x",IF(OR(EP248=1,EP$229=1,$GV150=1),EP150,0))</f>
        <v>x</v>
      </c>
      <c r="EQ333" s="40" t="str">
        <f>IF(EQ150=-1,"x",IF(OR(EQ248=1,EQ$229=1,$GT150=1),EQ150,0))</f>
        <v>x</v>
      </c>
      <c r="ER333" s="39" t="str">
        <f>IF(ER150=-1,"x",IF(OR(ER248=1,ER$229=1,$GU150=1),ER150,0))</f>
        <v>x</v>
      </c>
      <c r="ES333" s="42" t="str">
        <f>IF(ES150=-1,"x",IF(OR(ES248=1,ES$229=1,$GV150=1),ES150,0))</f>
        <v>x</v>
      </c>
      <c r="ET333" s="43">
        <f>IF(ET150=-1,"x",IF(OR(ET248=1,ET$229=1,$GT150=1),ET150,0))</f>
        <v>0</v>
      </c>
      <c r="EU333" s="39">
        <f>IF(EU150=-1,"x",IF(OR(EU248=1,EU$229=1,$GU150=1),EU150,0))</f>
        <v>0</v>
      </c>
      <c r="EV333" s="41">
        <f>IF(EV150=-1,"x",IF(OR(EV248=1,EV$229=1,$GV150=1),EV150,0))</f>
        <v>0</v>
      </c>
      <c r="EW333" s="40" t="str">
        <f>IF(EW150=-1,"x",IF(OR(EW248=1,EW$229=1,$GT150=1),EW150,0))</f>
        <v>x</v>
      </c>
      <c r="EX333" s="39" t="str">
        <f>IF(EX150=-1,"x",IF(OR(EX248=1,EX$229=1,$GU150=1),EX150,0))</f>
        <v>x</v>
      </c>
      <c r="EY333" s="41" t="str">
        <f>IF(EY150=-1,"x",IF(OR(EY248=1,EY$229=1,$GV150=1),EY150,0))</f>
        <v>x</v>
      </c>
      <c r="EZ333" s="40" t="str">
        <f>IF(EZ150=-1,"x",IF(OR(EZ248=1,EZ$229=1,$GT150=1),EZ150,0))</f>
        <v>x</v>
      </c>
      <c r="FA333" s="39" t="str">
        <f>IF(FA150=-1,"x",IF(OR(FA248=1,FA$229=1,$GU150=1),FA150,0))</f>
        <v>x</v>
      </c>
      <c r="FB333" s="42" t="str">
        <f>IF(FB150=-1,"x",IF(OR(FB248=1,FB$229=1,$GV150=1),FB150,0))</f>
        <v>x</v>
      </c>
      <c r="FC333" s="43" t="str">
        <f>IF(FC150=-1,"x",IF(OR(FC248=1,FC$229=1,$GT150=1),FC150,0))</f>
        <v>x</v>
      </c>
      <c r="FD333" s="39" t="str">
        <f>IF(FD150=-1,"x",IF(OR(FD248=1,FD$229=1,$GU150=1),FD150,0))</f>
        <v>x</v>
      </c>
      <c r="FE333" s="41" t="str">
        <f>IF(FE150=-1,"x",IF(OR(FE248=1,FE$229=1,$GV150=1),FE150,0))</f>
        <v>x</v>
      </c>
      <c r="FF333" s="40" t="str">
        <f>IF(FF150=-1,"x",IF(OR(FF248=1,FF$229=1,$GT150=1),FF150,0))</f>
        <v>x</v>
      </c>
      <c r="FG333" s="39" t="str">
        <f>IF(FG150=-1,"x",IF(OR(FG248=1,FG$229=1,$GU150=1),FG150,0))</f>
        <v>x</v>
      </c>
      <c r="FH333" s="41" t="str">
        <f>IF(FH150=-1,"x",IF(OR(FH248=1,FH$229=1,$GV150=1),FH150,0))</f>
        <v>x</v>
      </c>
      <c r="FI333" s="40" t="str">
        <f>IF(FI150=-1,"x",IF(OR(FI248=1,FI$229=1,$GT150=1),FI150,0))</f>
        <v>x</v>
      </c>
      <c r="FJ333" s="39" t="str">
        <f>IF(FJ150=-1,"x",IF(OR(FJ248=1,FJ$229=1,$GU150=1),FJ150,0))</f>
        <v>x</v>
      </c>
      <c r="FK333" s="95" t="str">
        <f>IF(FK150=-1,"x",IF(OR(FK248=1,FK$229=1,$GV150=1),FK150,0))</f>
        <v>x</v>
      </c>
      <c r="FL333" s="94" t="str">
        <f>IF(FL150=-1,"x",IF(OR(FL248=1,FL$229=1,$GT150=1),FL150,0))</f>
        <v>x</v>
      </c>
      <c r="FM333" s="39" t="str">
        <f>IF(FM150=-1,"x",IF(OR(FM248=1,FM$229=1,$GU150=1),FM150,0))</f>
        <v>x</v>
      </c>
      <c r="FN333" s="41" t="str">
        <f>IF(FN150=-1,"x",IF(OR(FN248=1,FN$229=1,$GV150=1),FN150,0))</f>
        <v>x</v>
      </c>
      <c r="FO333" s="40" t="str">
        <f>IF(FO150=-1,"x",IF(OR(FO248=1,FO$229=1,$GT150=1),FO150,0))</f>
        <v>x</v>
      </c>
      <c r="FP333" s="39" t="str">
        <f>IF(FP150=-1,"x",IF(OR(FP248=1,FP$229=1,$GU150=1),FP150,0))</f>
        <v>x</v>
      </c>
      <c r="FQ333" s="41" t="str">
        <f>IF(FQ150=-1,"x",IF(OR(FQ248=1,FQ$229=1,$GV150=1),FQ150,0))</f>
        <v>x</v>
      </c>
      <c r="FR333" s="40" t="str">
        <f>IF(FR150=-1,"x",IF(OR(FR248=1,FR$229=1,$GT150=1),FR150,0))</f>
        <v>x</v>
      </c>
      <c r="FS333" s="39" t="str">
        <f>IF(FS150=-1,"x",IF(OR(FS248=1,FS$229=1,$GU150=1),FS150,0))</f>
        <v>x</v>
      </c>
      <c r="FT333" s="42" t="str">
        <f>IF(FT150=-1,"x",IF(OR(FT248=1,FT$229=1,$GV150=1),FT150,0))</f>
        <v>x</v>
      </c>
      <c r="FU333" s="43" t="str">
        <f>IF(FU150=-1,"x",IF(OR(FU248=1,FU$229=1,$GT150=1),FU150,0))</f>
        <v>x</v>
      </c>
      <c r="FV333" s="39" t="str">
        <f>IF(FV150=-1,"x",IF(OR(FV248=1,FV$229=1,$GU150=1),FV150,0))</f>
        <v>x</v>
      </c>
      <c r="FW333" s="41" t="str">
        <f>IF(FW150=-1,"x",IF(OR(FW248=1,FW$229=1,$GV150=1),FW150,0))</f>
        <v>x</v>
      </c>
      <c r="FX333" s="40" t="str">
        <f>IF(FX150=-1,"x",IF(OR(FX248=1,FX$229=1,$GT150=1),FX150,0))</f>
        <v>x</v>
      </c>
      <c r="FY333" s="39" t="str">
        <f>IF(FY150=-1,"x",IF(OR(FY248=1,FY$229=1,$GU150=1),FY150,0))</f>
        <v>x</v>
      </c>
      <c r="FZ333" s="41" t="str">
        <f>IF(FZ150=-1,"x",IF(OR(FZ248=1,FZ$229=1,$GV150=1),FZ150,0))</f>
        <v>x</v>
      </c>
      <c r="GA333" s="40" t="str">
        <f>IF(GA150=-1,"x",IF(OR(GA248=1,GA$229=1,$GT150=1),GA150,0))</f>
        <v>x</v>
      </c>
      <c r="GB333" s="39" t="str">
        <f>IF(GB150=-1,"x",IF(OR(GB248=1,GB$229=1,$GU150=1),GB150,0))</f>
        <v>x</v>
      </c>
      <c r="GC333" s="42" t="str">
        <f>IF(GC150=-1,"x",IF(OR(GC248=1,GC$229=1,$GV150=1),GC150,0))</f>
        <v>x</v>
      </c>
      <c r="GD333" s="43" t="str">
        <f>IF(GD150=-1,"x",IF(OR(GD248=1,GD$229=1,$GT150=1),GD150,0))</f>
        <v>x</v>
      </c>
      <c r="GE333" s="39" t="str">
        <f>IF(GE150=-1,"x",IF(OR(GE248=1,GE$229=1,$GU150=1),GE150,0))</f>
        <v>x</v>
      </c>
      <c r="GF333" s="41" t="str">
        <f>IF(GF150=-1,"x",IF(OR(GF248=1,GF$229=1,$GV150=1),GF150,0))</f>
        <v>x</v>
      </c>
      <c r="GG333" s="40">
        <f>IF(GG150=-1,"x",IF(OR(GG248=1,GG$229=1,$GT150=1),GG150,0))</f>
        <v>0</v>
      </c>
      <c r="GH333" s="39">
        <f>IF(GH150=-1,"x",IF(OR(GH248=1,GH$229=1,$GU150=1),GH150,0))</f>
        <v>0</v>
      </c>
      <c r="GI333" s="41">
        <f>IF(GI150=-1,"x",IF(OR(GI248=1,GI$229=1,$GV150=1),GI150,0))</f>
        <v>0</v>
      </c>
      <c r="GJ333" s="40">
        <f>IF(GJ150=-1,"x",IF(OR(GJ248=1,GJ$229=1,$GT150=1),GJ150,0))</f>
        <v>0</v>
      </c>
      <c r="GK333" s="39">
        <f>IF(GK150=-1,"x",IF(OR(GK248=1,GK$229=1,$GU150=1),GK150,0))</f>
        <v>0</v>
      </c>
      <c r="GL333" s="95">
        <f>IF(GL150=-1,"x",IF(OR(GL248=1,GL$229=1,$GV150=1),GL150,0))</f>
        <v>0</v>
      </c>
    </row>
    <row r="334" spans="14:194" ht="15" customHeight="1" thickBot="1">
      <c r="N334" s="106">
        <f>IF(N151=-1,"x",IF(OR(N249=1,N$197=1,$CX151=1),N151,0))</f>
        <v>0</v>
      </c>
      <c r="O334" s="55">
        <f>IF(O151=-1,"x",IF(OR(O249=1,O$197=1,$CY151=1),O151,0))</f>
        <v>0</v>
      </c>
      <c r="P334" s="56">
        <f>IF(P151=-1,"x",IF(OR(P249=1,P$197=1,$CZ151=1),P151,0))</f>
        <v>0</v>
      </c>
      <c r="Q334" s="57">
        <f>IF(Q151=-1,"x",IF(OR(Q249=1,Q$197=1,$CX151=1),Q151,0))</f>
        <v>0</v>
      </c>
      <c r="R334" s="55">
        <f>IF(R151=-1,"x",IF(OR(R249=1,R$197=1,$CY151=1),R151,0))</f>
        <v>0</v>
      </c>
      <c r="S334" s="56">
        <f>IF(S151=-1,"x",IF(OR(S249=1,S$197=1,$CZ151=1),S151,0))</f>
        <v>0</v>
      </c>
      <c r="T334" s="57">
        <f>IF(T151=-1,"x",IF(OR(T249=1,T$197=1,$CX151=1),T151,0))</f>
        <v>0</v>
      </c>
      <c r="U334" s="55">
        <f>IF(U151=-1,"x",IF(OR(U249=1,U$197=1,$CY151=1),U151,0))</f>
        <v>0</v>
      </c>
      <c r="V334" s="58">
        <f>IF(V151=-1,"x",IF(OR(V249=1,V$197=1,$CZ151=1),V151,0))</f>
        <v>0</v>
      </c>
      <c r="W334" s="54">
        <f>IF(W151=-1,"x",IF(OR(W249=1,W$197=1,$CX151=1),W151,0))</f>
        <v>0</v>
      </c>
      <c r="X334" s="55">
        <f>IF(X151=-1,"x",IF(OR(X249=1,X$197=1,$CY151=1),X151,0))</f>
        <v>0</v>
      </c>
      <c r="Y334" s="56">
        <f>IF(Y151=-1,"x",IF(OR(Y249=1,Y$197=1,$CZ151=1),Y151,0))</f>
        <v>0</v>
      </c>
      <c r="Z334" s="57" t="str">
        <f>IF(Z151=-1,"x",IF(OR(Z249=1,Z$197=1,$CX151=1),Z151,0))</f>
        <v>x</v>
      </c>
      <c r="AA334" s="55" t="str">
        <f>IF(AA151=-1,"x",IF(OR(AA249=1,AA$197=1,$CY151=1),AA151,0))</f>
        <v>x</v>
      </c>
      <c r="AB334" s="56" t="str">
        <f>IF(AB151=-1,"x",IF(OR(AB249=1,AB$197=1,$CZ151=1),AB151,0))</f>
        <v>x</v>
      </c>
      <c r="AC334" s="57" t="str">
        <f>IF(AC151=-1,"x",IF(OR(AC249=1,AC$197=1,$CX151=1),AC151,0))</f>
        <v>x</v>
      </c>
      <c r="AD334" s="55" t="str">
        <f>IF(AD151=-1,"x",IF(OR(AD249=1,AD$197=1,$CY151=1),AD151,0))</f>
        <v>x</v>
      </c>
      <c r="AE334" s="58" t="str">
        <f>IF(AE151=-1,"x",IF(OR(AE249=1,AE$197=1,$CZ151=1),AE151,0))</f>
        <v>x</v>
      </c>
      <c r="AF334" s="54" t="str">
        <f>IF(AF151=-1,"x",IF(OR(AF249=1,AF$197=1,$CX151=1),AF151,0))</f>
        <v>x</v>
      </c>
      <c r="AG334" s="55" t="str">
        <f>IF(AG151=-1,"x",IF(OR(AG249=1,AG$197=1,$CY151=1),AG151,0))</f>
        <v>x</v>
      </c>
      <c r="AH334" s="56" t="str">
        <f>IF(AH151=-1,"x",IF(OR(AH249=1,AH$197=1,$CZ151=1),AH151,0))</f>
        <v>x</v>
      </c>
      <c r="AI334" s="57" t="str">
        <f>IF(AI151=-1,"x",IF(OR(AI249=1,AI$197=1,$CX151=1),AI151,0))</f>
        <v>x</v>
      </c>
      <c r="AJ334" s="55" t="str">
        <f>IF(AJ151=-1,"x",IF(OR(AJ249=1,AJ$197=1,$CY151=1),AJ151,0))</f>
        <v>x</v>
      </c>
      <c r="AK334" s="56" t="str">
        <f>IF(AK151=-1,"x",IF(OR(AK249=1,AK$197=1,$CZ151=1),AK151,0))</f>
        <v>x</v>
      </c>
      <c r="AL334" s="57" t="str">
        <f>IF(AL151=-1,"x",IF(OR(AL249=1,AL$197=1,$CX151=1),AL151,0))</f>
        <v>x</v>
      </c>
      <c r="AM334" s="55" t="str">
        <f>IF(AM151=-1,"x",IF(OR(AM249=1,AM$197=1,$CY151=1),AM151,0))</f>
        <v>x</v>
      </c>
      <c r="AN334" s="107" t="str">
        <f>IF(AN151=-1,"x",IF(OR(AN249=1,AN$197=1,$CZ151=1),AN151,0))</f>
        <v>x</v>
      </c>
      <c r="AO334" s="106" t="str">
        <f>IF(AO151=-1,"x",IF(OR(AO249=1,AO$197=1,$CX151=1),AO151,0))</f>
        <v>x</v>
      </c>
      <c r="AP334" s="55" t="str">
        <f>IF(AP151=-1,"x",IF(OR(AP249=1,AP$197=1,$CY151=1),AP151,0))</f>
        <v>x</v>
      </c>
      <c r="AQ334" s="56" t="str">
        <f>IF(AQ151=-1,"x",IF(OR(AQ249=1,AQ$197=1,$CZ151=1),AQ151,0))</f>
        <v>x</v>
      </c>
      <c r="AR334" s="57" t="str">
        <f>IF(AR151=-1,"x",IF(OR(AR249=1,AR$197=1,$CX151=1),AR151,0))</f>
        <v>x</v>
      </c>
      <c r="AS334" s="55" t="str">
        <f>IF(AS151=-1,"x",IF(OR(AS249=1,AS$197=1,$CY151=1),AS151,0))</f>
        <v>x</v>
      </c>
      <c r="AT334" s="56" t="str">
        <f>IF(AT151=-1,"x",IF(OR(AT249=1,AT$197=1,$CZ151=1),AT151,0))</f>
        <v>x</v>
      </c>
      <c r="AU334" s="57" t="str">
        <f>IF(AU151=-1,"x",IF(OR(AU249=1,AU$197=1,$CX151=1),AU151,0))</f>
        <v>x</v>
      </c>
      <c r="AV334" s="55" t="str">
        <f>IF(AV151=-1,"x",IF(OR(AV249=1,AV$197=1,$CY151=1),AV151,0))</f>
        <v>x</v>
      </c>
      <c r="AW334" s="58" t="str">
        <f>IF(AW151=-1,"x",IF(OR(AW249=1,AW$197=1,$CZ151=1),AW151,0))</f>
        <v>x</v>
      </c>
      <c r="AX334" s="54" t="str">
        <f>IF(AX151=-1,"x",IF(OR(AX249=1,AX$197=1,$CX151=1),AX151,0))</f>
        <v>x</v>
      </c>
      <c r="AY334" s="55" t="str">
        <f>IF(AY151=-1,"x",IF(OR(AY249=1,AY$197=1,$CY151=1),AY151,0))</f>
        <v>x</v>
      </c>
      <c r="AZ334" s="56" t="str">
        <f>IF(AZ151=-1,"x",IF(OR(AZ249=1,AZ$197=1,$CZ151=1),AZ151,0))</f>
        <v>x</v>
      </c>
      <c r="BA334" s="57" t="str">
        <f>IF(BA151=-1,"x",IF(OR(BA249=1,BA$197=1,$CX151=1),BA151,0))</f>
        <v>x</v>
      </c>
      <c r="BB334" s="55" t="str">
        <f>IF(BB151=-1,"x",IF(OR(BB249=1,BB$197=1,$CY151=1),BB151,0))</f>
        <v>x</v>
      </c>
      <c r="BC334" s="56" t="str">
        <f>IF(BC151=-1,"x",IF(OR(BC249=1,BC$197=1,$CZ151=1),BC151,0))</f>
        <v>x</v>
      </c>
      <c r="BD334" s="57" t="str">
        <f>IF(BD151=-1,"x",IF(OR(BD249=1,BD$197=1,$CX151=1),BD151,0))</f>
        <v>x</v>
      </c>
      <c r="BE334" s="55" t="str">
        <f>IF(BE151=-1,"x",IF(OR(BE249=1,BE$197=1,$CY151=1),BE151,0))</f>
        <v>x</v>
      </c>
      <c r="BF334" s="58" t="str">
        <f>IF(BF151=-1,"x",IF(OR(BF249=1,BF$197=1,$CZ151=1),BF151,0))</f>
        <v>x</v>
      </c>
      <c r="BG334" s="54" t="str">
        <f>IF(BG151=-1,"x",IF(OR(BG249=1,BG$197=1,$CX151=1),BG151,0))</f>
        <v>x</v>
      </c>
      <c r="BH334" s="55" t="str">
        <f>IF(BH151=-1,"x",IF(OR(BH249=1,BH$197=1,$CY151=1),BH151,0))</f>
        <v>x</v>
      </c>
      <c r="BI334" s="56" t="str">
        <f>IF(BI151=-1,"x",IF(OR(BI249=1,BI$197=1,$CZ151=1),BI151,0))</f>
        <v>x</v>
      </c>
      <c r="BJ334" s="57" t="str">
        <f>IF(BJ151=-1,"x",IF(OR(BJ249=1,BJ$197=1,$CX151=1),BJ151,0))</f>
        <v>x</v>
      </c>
      <c r="BK334" s="55" t="str">
        <f>IF(BK151=-1,"x",IF(OR(BK249=1,BK$197=1,$CY151=1),BK151,0))</f>
        <v>x</v>
      </c>
      <c r="BL334" s="56" t="str">
        <f>IF(BL151=-1,"x",IF(OR(BL249=1,BL$197=1,$CZ151=1),BL151,0))</f>
        <v>x</v>
      </c>
      <c r="BM334" s="57" t="str">
        <f>IF(BM151=-1,"x",IF(OR(BM249=1,BM$197=1,$CX151=1),BM151,0))</f>
        <v>x</v>
      </c>
      <c r="BN334" s="55" t="str">
        <f>IF(BN151=-1,"x",IF(OR(BN249=1,BN$197=1,$CY151=1),BN151,0))</f>
        <v>x</v>
      </c>
      <c r="BO334" s="107" t="str">
        <f>IF(BO151=-1,"x",IF(OR(BO249=1,BO$197=1,$CZ151=1),BO151,0))</f>
        <v>x</v>
      </c>
      <c r="BP334" s="106" t="str">
        <f>IF(BP151=-1,"x",IF(OR(BP249=1,BP$197=1,$CX151=1),BP151,0))</f>
        <v>x</v>
      </c>
      <c r="BQ334" s="55" t="str">
        <f>IF(BQ151=-1,"x",IF(OR(BQ249=1,BQ$197=1,$CY151=1),BQ151,0))</f>
        <v>x</v>
      </c>
      <c r="BR334" s="56" t="str">
        <f>IF(BR151=-1,"x",IF(OR(BR249=1,BR$197=1,$CZ151=1),BR151,0))</f>
        <v>x</v>
      </c>
      <c r="BS334" s="57" t="str">
        <f>IF(BS151=-1,"x",IF(OR(BS249=1,BS$197=1,$CX151=1),BS151,0))</f>
        <v>x</v>
      </c>
      <c r="BT334" s="55" t="str">
        <f>IF(BT151=-1,"x",IF(OR(BT249=1,BT$197=1,$CY151=1),BT151,0))</f>
        <v>x</v>
      </c>
      <c r="BU334" s="56" t="str">
        <f>IF(BU151=-1,"x",IF(OR(BU249=1,BU$197=1,$CZ151=1),BU151,0))</f>
        <v>x</v>
      </c>
      <c r="BV334" s="57" t="str">
        <f>IF(BV151=-1,"x",IF(OR(BV249=1,BV$197=1,$CX151=1),BV151,0))</f>
        <v>x</v>
      </c>
      <c r="BW334" s="55" t="str">
        <f>IF(BW151=-1,"x",IF(OR(BW249=1,BW$197=1,$CY151=1),BW151,0))</f>
        <v>x</v>
      </c>
      <c r="BX334" s="58" t="str">
        <f>IF(BX151=-1,"x",IF(OR(BX249=1,BX$197=1,$CZ151=1),BX151,0))</f>
        <v>x</v>
      </c>
      <c r="BY334" s="54" t="str">
        <f>IF(BY151=-1,"x",IF(OR(BY249=1,BY$197=1,$CX151=1),BY151,0))</f>
        <v>x</v>
      </c>
      <c r="BZ334" s="55" t="str">
        <f>IF(BZ151=-1,"x",IF(OR(BZ249=1,BZ$197=1,$CY151=1),BZ151,0))</f>
        <v>x</v>
      </c>
      <c r="CA334" s="56" t="str">
        <f>IF(CA151=-1,"x",IF(OR(CA249=1,CA$197=1,$CZ151=1),CA151,0))</f>
        <v>x</v>
      </c>
      <c r="CB334" s="57" t="str">
        <f>IF(CB151=-1,"x",IF(OR(CB249=1,CB$197=1,$CX151=1),CB151,0))</f>
        <v>x</v>
      </c>
      <c r="CC334" s="55" t="str">
        <f>IF(CC151=-1,"x",IF(OR(CC249=1,CC$197=1,$CY151=1),CC151,0))</f>
        <v>x</v>
      </c>
      <c r="CD334" s="56" t="str">
        <f>IF(CD151=-1,"x",IF(OR(CD249=1,CD$197=1,$CZ151=1),CD151,0))</f>
        <v>x</v>
      </c>
      <c r="CE334" s="57" t="str">
        <f>IF(CE151=-1,"x",IF(OR(CE249=1,CE$197=1,$CX151=1),CE151,0))</f>
        <v>x</v>
      </c>
      <c r="CF334" s="55" t="str">
        <f>IF(CF151=-1,"x",IF(OR(CF249=1,CF$197=1,$CY151=1),CF151,0))</f>
        <v>x</v>
      </c>
      <c r="CG334" s="58" t="str">
        <f>IF(CG151=-1,"x",IF(OR(CG249=1,CG$197=1,$CZ151=1),CG151,0))</f>
        <v>x</v>
      </c>
      <c r="CH334" s="54" t="str">
        <f>IF(CH151=-1,"x",IF(OR(CH249=1,CH$197=1,$CX151=1),CH151,0))</f>
        <v>x</v>
      </c>
      <c r="CI334" s="55" t="str">
        <f>IF(CI151=-1,"x",IF(OR(CI249=1,CI$197=1,$CY151=1),CI151,0))</f>
        <v>x</v>
      </c>
      <c r="CJ334" s="56" t="str">
        <f>IF(CJ151=-1,"x",IF(OR(CJ249=1,CJ$197=1,$CZ151=1),CJ151,0))</f>
        <v>x</v>
      </c>
      <c r="CK334" s="57">
        <f>IF(CK151=-1,"x",IF(OR(CK249=1,CK$197=1,$CX151=1),CK151,0))</f>
        <v>0</v>
      </c>
      <c r="CL334" s="55">
        <f>IF(CL151=-1,"x",IF(OR(CL249=1,CL$197=1,$CY151=1),CL151,0))</f>
        <v>0</v>
      </c>
      <c r="CM334" s="56">
        <f>IF(CM151=-1,"x",IF(OR(CM249=1,CM$197=1,$CZ151=1),CM151,0))</f>
        <v>0</v>
      </c>
      <c r="CN334" s="57" t="str">
        <f>IF(CN151=-1,"x",IF(OR(CN249=1,CN$197=1,$CX151=1),CN151,0))</f>
        <v>x</v>
      </c>
      <c r="CO334" s="55" t="str">
        <f>IF(CO151=-1,"x",IF(OR(CO249=1,CO$197=1,$CY151=1),CO151,0))</f>
        <v>x</v>
      </c>
      <c r="CP334" s="107" t="str">
        <f>IF(CP151=-1,"x",IF(OR(CP249=1,CP$197=1,$CZ151=1),CP151,0))</f>
        <v>x</v>
      </c>
      <c r="DJ334" s="99">
        <f>IF(DJ151=-1,"x",IF(OR(DJ249=1,DJ$230=1,$GT151=1),DJ151,0))</f>
        <v>0</v>
      </c>
      <c r="DK334" s="45">
        <f>IF(DK151=-1,"x",IF(OR(DK249=1,DK$230=1,$GU151=1),DK151,0))</f>
        <v>0</v>
      </c>
      <c r="DL334" s="47">
        <f>IF(DL151=-1,"x",IF(OR(DL249=1,DL$230=1,$GV151=1),DL151,0))</f>
        <v>0</v>
      </c>
      <c r="DM334" s="46">
        <f>IF(DM151=-1,"x",IF(OR(DM249=1,DM$230=1,$GT151=1),DM151,0))</f>
        <v>0</v>
      </c>
      <c r="DN334" s="45">
        <f>IF(DN151=-1,"x",IF(OR(DN249=1,DN$230=1,$GU151=1),DN151,0))</f>
        <v>0</v>
      </c>
      <c r="DO334" s="47">
        <f>IF(DO151=-1,"x",IF(OR(DO249=1,DO$230=1,$GV151=1),DO151,0))</f>
        <v>0</v>
      </c>
      <c r="DP334" s="46" t="str">
        <f>IF(DP151=-1,"x",IF(OR(DP249=1,DP$230=1,$GT151=1),DP151,0))</f>
        <v>x</v>
      </c>
      <c r="DQ334" s="45" t="str">
        <f>IF(DQ151=-1,"x",IF(OR(DQ249=1,DQ$230=1,$GU151=1),DQ151,0))</f>
        <v>x</v>
      </c>
      <c r="DR334" s="48" t="str">
        <f>IF(DR151=-1,"x",IF(OR(DR249=1,DR$230=1,$GV151=1),DR151,0))</f>
        <v>x</v>
      </c>
      <c r="DS334" s="44" t="str">
        <f>IF(DS151=-1,"x",IF(OR(DS249=1,DS$230=1,$GT151=1),DS151,0))</f>
        <v>x</v>
      </c>
      <c r="DT334" s="45" t="str">
        <f>IF(DT151=-1,"x",IF(OR(DT249=1,DT$230=1,$GU151=1),DT151,0))</f>
        <v>x</v>
      </c>
      <c r="DU334" s="47" t="str">
        <f>IF(DU151=-1,"x",IF(OR(DU249=1,DU$230=1,$GV151=1),DU151,0))</f>
        <v>x</v>
      </c>
      <c r="DV334" s="46" t="str">
        <f>IF(DV151=-1,"x",IF(OR(DV249=1,DV$230=1,$GT151=1),DV151,0))</f>
        <v>x</v>
      </c>
      <c r="DW334" s="45" t="str">
        <f>IF(DW151=-1,"x",IF(OR(DW249=1,DW$230=1,$GU151=1),DW151,0))</f>
        <v>x</v>
      </c>
      <c r="DX334" s="47" t="str">
        <f>IF(DX151=-1,"x",IF(OR(DX249=1,DX$230=1,$GV151=1),DX151,0))</f>
        <v>x</v>
      </c>
      <c r="DY334" s="46" t="str">
        <f>IF(DY151=-1,"x",IF(OR(DY249=1,DY$230=1,$GT151=1),DY151,0))</f>
        <v>x</v>
      </c>
      <c r="DZ334" s="45" t="str">
        <f>IF(DZ151=-1,"x",IF(OR(DZ249=1,DZ$230=1,$GU151=1),DZ151,0))</f>
        <v>x</v>
      </c>
      <c r="EA334" s="48" t="str">
        <f>IF(EA151=-1,"x",IF(OR(EA249=1,EA$230=1,$GV151=1),EA151,0))</f>
        <v>x</v>
      </c>
      <c r="EB334" s="44" t="str">
        <f>IF(EB151=-1,"x",IF(OR(EB249=1,EB$230=1,$GT151=1),EB151,0))</f>
        <v>x</v>
      </c>
      <c r="EC334" s="45" t="str">
        <f>IF(EC151=-1,"x",IF(OR(EC249=1,EC$230=1,$GU151=1),EC151,0))</f>
        <v>x</v>
      </c>
      <c r="ED334" s="47" t="str">
        <f>IF(ED151=-1,"x",IF(OR(ED249=1,ED$230=1,$GV151=1),ED151,0))</f>
        <v>x</v>
      </c>
      <c r="EE334" s="46" t="str">
        <f>IF(EE151=-1,"x",IF(OR(EE249=1,EE$230=1,$GT151=1),EE151,0))</f>
        <v>x</v>
      </c>
      <c r="EF334" s="45" t="str">
        <f>IF(EF151=-1,"x",IF(OR(EF249=1,EF$230=1,$GU151=1),EF151,0))</f>
        <v>x</v>
      </c>
      <c r="EG334" s="47" t="str">
        <f>IF(EG151=-1,"x",IF(OR(EG249=1,EG$230=1,$GV151=1),EG151,0))</f>
        <v>x</v>
      </c>
      <c r="EH334" s="46" t="str">
        <f>IF(EH151=-1,"x",IF(OR(EH249=1,EH$230=1,$GT151=1),EH151,0))</f>
        <v>x</v>
      </c>
      <c r="EI334" s="45" t="str">
        <f>IF(EI151=-1,"x",IF(OR(EI249=1,EI$230=1,$GU151=1),EI151,0))</f>
        <v>x</v>
      </c>
      <c r="EJ334" s="100" t="str">
        <f>IF(EJ151=-1,"x",IF(OR(EJ249=1,EJ$230=1,$GV151=1),EJ151,0))</f>
        <v>x</v>
      </c>
      <c r="EK334" s="99" t="str">
        <f>IF(EK151=-1,"x",IF(OR(EK249=1,EK$230=1,$GT151=1),EK151,0))</f>
        <v>x</v>
      </c>
      <c r="EL334" s="45" t="str">
        <f>IF(EL151=-1,"x",IF(OR(EL249=1,EL$230=1,$GU151=1),EL151,0))</f>
        <v>x</v>
      </c>
      <c r="EM334" s="47" t="str">
        <f>IF(EM151=-1,"x",IF(OR(EM249=1,EM$230=1,$GV151=1),EM151,0))</f>
        <v>x</v>
      </c>
      <c r="EN334" s="46" t="str">
        <f>IF(EN151=-1,"x",IF(OR(EN249=1,EN$230=1,$GT151=1),EN151,0))</f>
        <v>x</v>
      </c>
      <c r="EO334" s="45" t="str">
        <f>IF(EO151=-1,"x",IF(OR(EO249=1,EO$230=1,$GU151=1),EO151,0))</f>
        <v>x</v>
      </c>
      <c r="EP334" s="47" t="str">
        <f>IF(EP151=-1,"x",IF(OR(EP249=1,EP$230=1,$GV151=1),EP151,0))</f>
        <v>x</v>
      </c>
      <c r="EQ334" s="46" t="str">
        <f>IF(EQ151=-1,"x",IF(OR(EQ249=1,EQ$230=1,$GT151=1),EQ151,0))</f>
        <v>x</v>
      </c>
      <c r="ER334" s="45" t="str">
        <f>IF(ER151=-1,"x",IF(OR(ER249=1,ER$230=1,$GU151=1),ER151,0))</f>
        <v>x</v>
      </c>
      <c r="ES334" s="48" t="str">
        <f>IF(ES151=-1,"x",IF(OR(ES249=1,ES$230=1,$GV151=1),ES151,0))</f>
        <v>x</v>
      </c>
      <c r="ET334" s="44">
        <f>IF(ET151=-1,"x",IF(OR(ET249=1,ET$230=1,$GT151=1),ET151,0))</f>
        <v>7</v>
      </c>
      <c r="EU334" s="45">
        <f>IF(EU151=-1,"x",IF(OR(EU249=1,EU$230=1,$GU151=1),EU151,0))</f>
        <v>0</v>
      </c>
      <c r="EV334" s="47">
        <f>IF(EV151=-1,"x",IF(OR(EV249=1,EV$230=1,$GV151=1),EV151,0))</f>
        <v>0</v>
      </c>
      <c r="EW334" s="46" t="str">
        <f>IF(EW151=-1,"x",IF(OR(EW249=1,EW$230=1,$GT151=1),EW151,0))</f>
        <v>x</v>
      </c>
      <c r="EX334" s="45" t="str">
        <f>IF(EX151=-1,"x",IF(OR(EX249=1,EX$230=1,$GU151=1),EX151,0))</f>
        <v>x</v>
      </c>
      <c r="EY334" s="47" t="str">
        <f>IF(EY151=-1,"x",IF(OR(EY249=1,EY$230=1,$GV151=1),EY151,0))</f>
        <v>x</v>
      </c>
      <c r="EZ334" s="46" t="str">
        <f>IF(EZ151=-1,"x",IF(OR(EZ249=1,EZ$230=1,$GT151=1),EZ151,0))</f>
        <v>x</v>
      </c>
      <c r="FA334" s="45" t="str">
        <f>IF(FA151=-1,"x",IF(OR(FA249=1,FA$230=1,$GU151=1),FA151,0))</f>
        <v>x</v>
      </c>
      <c r="FB334" s="48" t="str">
        <f>IF(FB151=-1,"x",IF(OR(FB249=1,FB$230=1,$GV151=1),FB151,0))</f>
        <v>x</v>
      </c>
      <c r="FC334" s="44" t="str">
        <f>IF(FC151=-1,"x",IF(OR(FC249=1,FC$230=1,$GT151=1),FC151,0))</f>
        <v>x</v>
      </c>
      <c r="FD334" s="45" t="str">
        <f>IF(FD151=-1,"x",IF(OR(FD249=1,FD$230=1,$GU151=1),FD151,0))</f>
        <v>x</v>
      </c>
      <c r="FE334" s="47" t="str">
        <f>IF(FE151=-1,"x",IF(OR(FE249=1,FE$230=1,$GV151=1),FE151,0))</f>
        <v>x</v>
      </c>
      <c r="FF334" s="46" t="str">
        <f>IF(FF151=-1,"x",IF(OR(FF249=1,FF$230=1,$GT151=1),FF151,0))</f>
        <v>x</v>
      </c>
      <c r="FG334" s="45" t="str">
        <f>IF(FG151=-1,"x",IF(OR(FG249=1,FG$230=1,$GU151=1),FG151,0))</f>
        <v>x</v>
      </c>
      <c r="FH334" s="47" t="str">
        <f>IF(FH151=-1,"x",IF(OR(FH249=1,FH$230=1,$GV151=1),FH151,0))</f>
        <v>x</v>
      </c>
      <c r="FI334" s="46" t="str">
        <f>IF(FI151=-1,"x",IF(OR(FI249=1,FI$230=1,$GT151=1),FI151,0))</f>
        <v>x</v>
      </c>
      <c r="FJ334" s="45" t="str">
        <f>IF(FJ151=-1,"x",IF(OR(FJ249=1,FJ$230=1,$GU151=1),FJ151,0))</f>
        <v>x</v>
      </c>
      <c r="FK334" s="100" t="str">
        <f>IF(FK151=-1,"x",IF(OR(FK249=1,FK$230=1,$GV151=1),FK151,0))</f>
        <v>x</v>
      </c>
      <c r="FL334" s="99" t="str">
        <f>IF(FL151=-1,"x",IF(OR(FL249=1,FL$230=1,$GT151=1),FL151,0))</f>
        <v>x</v>
      </c>
      <c r="FM334" s="45" t="str">
        <f>IF(FM151=-1,"x",IF(OR(FM249=1,FM$230=1,$GU151=1),FM151,0))</f>
        <v>x</v>
      </c>
      <c r="FN334" s="47" t="str">
        <f>IF(FN151=-1,"x",IF(OR(FN249=1,FN$230=1,$GV151=1),FN151,0))</f>
        <v>x</v>
      </c>
      <c r="FO334" s="46" t="str">
        <f>IF(FO151=-1,"x",IF(OR(FO249=1,FO$230=1,$GT151=1),FO151,0))</f>
        <v>x</v>
      </c>
      <c r="FP334" s="45" t="str">
        <f>IF(FP151=-1,"x",IF(OR(FP249=1,FP$230=1,$GU151=1),FP151,0))</f>
        <v>x</v>
      </c>
      <c r="FQ334" s="47" t="str">
        <f>IF(FQ151=-1,"x",IF(OR(FQ249=1,FQ$230=1,$GV151=1),FQ151,0))</f>
        <v>x</v>
      </c>
      <c r="FR334" s="46" t="str">
        <f>IF(FR151=-1,"x",IF(OR(FR249=1,FR$230=1,$GT151=1),FR151,0))</f>
        <v>x</v>
      </c>
      <c r="FS334" s="45" t="str">
        <f>IF(FS151=-1,"x",IF(OR(FS249=1,FS$230=1,$GU151=1),FS151,0))</f>
        <v>x</v>
      </c>
      <c r="FT334" s="48" t="str">
        <f>IF(FT151=-1,"x",IF(OR(FT249=1,FT$230=1,$GV151=1),FT151,0))</f>
        <v>x</v>
      </c>
      <c r="FU334" s="44" t="str">
        <f>IF(FU151=-1,"x",IF(OR(FU249=1,FU$230=1,$GT151=1),FU151,0))</f>
        <v>x</v>
      </c>
      <c r="FV334" s="45" t="str">
        <f>IF(FV151=-1,"x",IF(OR(FV249=1,FV$230=1,$GU151=1),FV151,0))</f>
        <v>x</v>
      </c>
      <c r="FW334" s="47" t="str">
        <f>IF(FW151=-1,"x",IF(OR(FW249=1,FW$230=1,$GV151=1),FW151,0))</f>
        <v>x</v>
      </c>
      <c r="FX334" s="46" t="str">
        <f>IF(FX151=-1,"x",IF(OR(FX249=1,FX$230=1,$GT151=1),FX151,0))</f>
        <v>x</v>
      </c>
      <c r="FY334" s="45" t="str">
        <f>IF(FY151=-1,"x",IF(OR(FY249=1,FY$230=1,$GU151=1),FY151,0))</f>
        <v>x</v>
      </c>
      <c r="FZ334" s="47" t="str">
        <f>IF(FZ151=-1,"x",IF(OR(FZ249=1,FZ$230=1,$GV151=1),FZ151,0))</f>
        <v>x</v>
      </c>
      <c r="GA334" s="46" t="str">
        <f>IF(GA151=-1,"x",IF(OR(GA249=1,GA$230=1,$GT151=1),GA151,0))</f>
        <v>x</v>
      </c>
      <c r="GB334" s="45" t="str">
        <f>IF(GB151=-1,"x",IF(OR(GB249=1,GB$230=1,$GU151=1),GB151,0))</f>
        <v>x</v>
      </c>
      <c r="GC334" s="48" t="str">
        <f>IF(GC151=-1,"x",IF(OR(GC249=1,GC$230=1,$GV151=1),GC151,0))</f>
        <v>x</v>
      </c>
      <c r="GD334" s="44" t="str">
        <f>IF(GD151=-1,"x",IF(OR(GD249=1,GD$230=1,$GT151=1),GD151,0))</f>
        <v>x</v>
      </c>
      <c r="GE334" s="45" t="str">
        <f>IF(GE151=-1,"x",IF(OR(GE249=1,GE$230=1,$GU151=1),GE151,0))</f>
        <v>x</v>
      </c>
      <c r="GF334" s="47" t="str">
        <f>IF(GF151=-1,"x",IF(OR(GF249=1,GF$230=1,$GV151=1),GF151,0))</f>
        <v>x</v>
      </c>
      <c r="GG334" s="46">
        <f>IF(GG151=-1,"x",IF(OR(GG249=1,GG$230=1,$GT151=1),GG151,0))</f>
        <v>0</v>
      </c>
      <c r="GH334" s="45">
        <f>IF(GH151=-1,"x",IF(OR(GH249=1,GH$230=1,$GU151=1),GH151,0))</f>
        <v>0</v>
      </c>
      <c r="GI334" s="47">
        <f>IF(GI151=-1,"x",IF(OR(GI249=1,GI$230=1,$GV151=1),GI151,0))</f>
        <v>0</v>
      </c>
      <c r="GJ334" s="46">
        <f>IF(GJ151=-1,"x",IF(OR(GJ249=1,GJ$230=1,$GT151=1),GJ151,0))</f>
        <v>0</v>
      </c>
      <c r="GK334" s="45">
        <f>IF(GK151=-1,"x",IF(OR(GK249=1,GK$230=1,$GU151=1),GK151,0))</f>
        <v>0</v>
      </c>
      <c r="GL334" s="100">
        <f>IF(GL151=-1,"x",IF(OR(GL249=1,GL$230=1,$GV151=1),GL151,0))</f>
        <v>0</v>
      </c>
    </row>
    <row r="335" spans="14:194" ht="15" customHeight="1">
      <c r="N335" s="108">
        <f>IF(N152=-1,"x",IF(OR(N250=1,N$195=1,$CX152=1),N152,0))</f>
        <v>0</v>
      </c>
      <c r="O335" s="37">
        <f>IF(O152=-1,"x",IF(OR(O250=1,O$195=1,$CY152=1),O152,0))</f>
        <v>0</v>
      </c>
      <c r="P335" s="35">
        <f>IF(P152=-1,"x",IF(OR(P250=1,P$195=1,$CZ152=1),P152,0))</f>
        <v>0</v>
      </c>
      <c r="Q335" s="36">
        <f>IF(Q152=-1,"x",IF(OR(Q250=1,Q$195=1,$CX152=1),Q152,0))</f>
        <v>0</v>
      </c>
      <c r="R335" s="37">
        <f>IF(R152=-1,"x",IF(OR(R250=1,R$195=1,$CY152=1),R152,0))</f>
        <v>0</v>
      </c>
      <c r="S335" s="35">
        <f>IF(S152=-1,"x",IF(OR(S250=1,S$195=1,$CZ152=1),S152,0))</f>
        <v>0</v>
      </c>
      <c r="T335" s="36">
        <f>IF(T152=-1,"x",IF(OR(T250=1,T$195=1,$CX152=1),T152,0))</f>
        <v>0</v>
      </c>
      <c r="U335" s="37">
        <f>IF(U152=-1,"x",IF(OR(U250=1,U$195=1,$CY152=1),U152,0))</f>
        <v>0</v>
      </c>
      <c r="V335" s="38">
        <f>IF(V152=-1,"x",IF(OR(V250=1,V$195=1,$CZ152=1),V152,0))</f>
        <v>0</v>
      </c>
      <c r="W335" s="34" t="str">
        <f>IF(W152=-1,"x",IF(OR(W250=1,W$195=1,$CX152=1),W152,0))</f>
        <v>x</v>
      </c>
      <c r="X335" s="37" t="str">
        <f>IF(X152=-1,"x",IF(OR(X250=1,X$195=1,$CY152=1),X152,0))</f>
        <v>x</v>
      </c>
      <c r="Y335" s="35" t="str">
        <f>IF(Y152=-1,"x",IF(OR(Y250=1,Y$195=1,$CZ152=1),Y152,0))</f>
        <v>x</v>
      </c>
      <c r="Z335" s="36" t="str">
        <f>IF(Z152=-1,"x",IF(OR(Z250=1,Z$195=1,$CX152=1),Z152,0))</f>
        <v>x</v>
      </c>
      <c r="AA335" s="37" t="str">
        <f>IF(AA152=-1,"x",IF(OR(AA250=1,AA$195=1,$CY152=1),AA152,0))</f>
        <v>x</v>
      </c>
      <c r="AB335" s="35" t="str">
        <f>IF(AB152=-1,"x",IF(OR(AB250=1,AB$195=1,$CZ152=1),AB152,0))</f>
        <v>x</v>
      </c>
      <c r="AC335" s="36" t="str">
        <f>IF(AC152=-1,"x",IF(OR(AC250=1,AC$195=1,$CX152=1),AC152,0))</f>
        <v>x</v>
      </c>
      <c r="AD335" s="37" t="str">
        <f>IF(AD152=-1,"x",IF(OR(AD250=1,AD$195=1,$CY152=1),AD152,0))</f>
        <v>x</v>
      </c>
      <c r="AE335" s="38" t="str">
        <f>IF(AE152=-1,"x",IF(OR(AE250=1,AE$195=1,$CZ152=1),AE152,0))</f>
        <v>x</v>
      </c>
      <c r="AF335" s="34" t="str">
        <f>IF(AF152=-1,"x",IF(OR(AF250=1,AF$195=1,$CX152=1),AF152,0))</f>
        <v>x</v>
      </c>
      <c r="AG335" s="37" t="str">
        <f>IF(AG152=-1,"x",IF(OR(AG250=1,AG$195=1,$CY152=1),AG152,0))</f>
        <v>x</v>
      </c>
      <c r="AH335" s="35" t="str">
        <f>IF(AH152=-1,"x",IF(OR(AH250=1,AH$195=1,$CZ152=1),AH152,0))</f>
        <v>x</v>
      </c>
      <c r="AI335" s="36" t="str">
        <f>IF(AI152=-1,"x",IF(OR(AI250=1,AI$195=1,$CX152=1),AI152,0))</f>
        <v>x</v>
      </c>
      <c r="AJ335" s="37" t="str">
        <f>IF(AJ152=-1,"x",IF(OR(AJ250=1,AJ$195=1,$CY152=1),AJ152,0))</f>
        <v>x</v>
      </c>
      <c r="AK335" s="35" t="str">
        <f>IF(AK152=-1,"x",IF(OR(AK250=1,AK$195=1,$CZ152=1),AK152,0))</f>
        <v>x</v>
      </c>
      <c r="AL335" s="36" t="str">
        <f>IF(AL152=-1,"x",IF(OR(AL250=1,AL$195=1,$CX152=1),AL152,0))</f>
        <v>x</v>
      </c>
      <c r="AM335" s="37" t="str">
        <f>IF(AM152=-1,"x",IF(OR(AM250=1,AM$195=1,$CY152=1),AM152,0))</f>
        <v>x</v>
      </c>
      <c r="AN335" s="109" t="str">
        <f>IF(AN152=-1,"x",IF(OR(AN250=1,AN$195=1,$CZ152=1),AN152,0))</f>
        <v>x</v>
      </c>
      <c r="AO335" s="108" t="str">
        <f>IF(AO152=-1,"x",IF(OR(AO250=1,AO$195=1,$CX152=1),AO152,0))</f>
        <v>x</v>
      </c>
      <c r="AP335" s="37" t="str">
        <f>IF(AP152=-1,"x",IF(OR(AP250=1,AP$195=1,$CY152=1),AP152,0))</f>
        <v>x</v>
      </c>
      <c r="AQ335" s="35" t="str">
        <f>IF(AQ152=-1,"x",IF(OR(AQ250=1,AQ$195=1,$CZ152=1),AQ152,0))</f>
        <v>x</v>
      </c>
      <c r="AR335" s="36" t="str">
        <f>IF(AR152=-1,"x",IF(OR(AR250=1,AR$195=1,$CX152=1),AR152,0))</f>
        <v>x</v>
      </c>
      <c r="AS335" s="37" t="str">
        <f>IF(AS152=-1,"x",IF(OR(AS250=1,AS$195=1,$CY152=1),AS152,0))</f>
        <v>x</v>
      </c>
      <c r="AT335" s="35" t="str">
        <f>IF(AT152=-1,"x",IF(OR(AT250=1,AT$195=1,$CZ152=1),AT152,0))</f>
        <v>x</v>
      </c>
      <c r="AU335" s="36" t="str">
        <f>IF(AU152=-1,"x",IF(OR(AU250=1,AU$195=1,$CX152=1),AU152,0))</f>
        <v>x</v>
      </c>
      <c r="AV335" s="37" t="str">
        <f>IF(AV152=-1,"x",IF(OR(AV250=1,AV$195=1,$CY152=1),AV152,0))</f>
        <v>x</v>
      </c>
      <c r="AW335" s="38" t="str">
        <f>IF(AW152=-1,"x",IF(OR(AW250=1,AW$195=1,$CZ152=1),AW152,0))</f>
        <v>x</v>
      </c>
      <c r="AX335" s="34" t="str">
        <f>IF(AX152=-1,"x",IF(OR(AX250=1,AX$195=1,$CX152=1),AX152,0))</f>
        <v>x</v>
      </c>
      <c r="AY335" s="37" t="str">
        <f>IF(AY152=-1,"x",IF(OR(AY250=1,AY$195=1,$CY152=1),AY152,0))</f>
        <v>x</v>
      </c>
      <c r="AZ335" s="35" t="str">
        <f>IF(AZ152=-1,"x",IF(OR(AZ250=1,AZ$195=1,$CZ152=1),AZ152,0))</f>
        <v>x</v>
      </c>
      <c r="BA335" s="36" t="str">
        <f>IF(BA152=-1,"x",IF(OR(BA250=1,BA$195=1,$CX152=1),BA152,0))</f>
        <v>x</v>
      </c>
      <c r="BB335" s="37" t="str">
        <f>IF(BB152=-1,"x",IF(OR(BB250=1,BB$195=1,$CY152=1),BB152,0))</f>
        <v>x</v>
      </c>
      <c r="BC335" s="35" t="str">
        <f>IF(BC152=-1,"x",IF(OR(BC250=1,BC$195=1,$CZ152=1),BC152,0))</f>
        <v>x</v>
      </c>
      <c r="BD335" s="36" t="str">
        <f>IF(BD152=-1,"x",IF(OR(BD250=1,BD$195=1,$CX152=1),BD152,0))</f>
        <v>x</v>
      </c>
      <c r="BE335" s="37" t="str">
        <f>IF(BE152=-1,"x",IF(OR(BE250=1,BE$195=1,$CY152=1),BE152,0))</f>
        <v>x</v>
      </c>
      <c r="BF335" s="38" t="str">
        <f>IF(BF152=-1,"x",IF(OR(BF250=1,BF$195=1,$CZ152=1),BF152,0))</f>
        <v>x</v>
      </c>
      <c r="BG335" s="34" t="str">
        <f>IF(BG152=-1,"x",IF(OR(BG250=1,BG$195=1,$CX152=1),BG152,0))</f>
        <v>x</v>
      </c>
      <c r="BH335" s="37" t="str">
        <f>IF(BH152=-1,"x",IF(OR(BH250=1,BH$195=1,$CY152=1),BH152,0))</f>
        <v>x</v>
      </c>
      <c r="BI335" s="35" t="str">
        <f>IF(BI152=-1,"x",IF(OR(BI250=1,BI$195=1,$CZ152=1),BI152,0))</f>
        <v>x</v>
      </c>
      <c r="BJ335" s="36" t="str">
        <f>IF(BJ152=-1,"x",IF(OR(BJ250=1,BJ$195=1,$CX152=1),BJ152,0))</f>
        <v>x</v>
      </c>
      <c r="BK335" s="37" t="str">
        <f>IF(BK152=-1,"x",IF(OR(BK250=1,BK$195=1,$CY152=1),BK152,0))</f>
        <v>x</v>
      </c>
      <c r="BL335" s="35" t="str">
        <f>IF(BL152=-1,"x",IF(OR(BL250=1,BL$195=1,$CZ152=1),BL152,0))</f>
        <v>x</v>
      </c>
      <c r="BM335" s="36" t="str">
        <f>IF(BM152=-1,"x",IF(OR(BM250=1,BM$195=1,$CX152=1),BM152,0))</f>
        <v>x</v>
      </c>
      <c r="BN335" s="37" t="str">
        <f>IF(BN152=-1,"x",IF(OR(BN250=1,BN$195=1,$CY152=1),BN152,0))</f>
        <v>x</v>
      </c>
      <c r="BO335" s="109" t="str">
        <f>IF(BO152=-1,"x",IF(OR(BO250=1,BO$195=1,$CZ152=1),BO152,0))</f>
        <v>x</v>
      </c>
      <c r="BP335" s="108" t="str">
        <f>IF(BP152=-1,"x",IF(OR(BP250=1,BP$195=1,$CX152=1),BP152,0))</f>
        <v>x</v>
      </c>
      <c r="BQ335" s="37" t="str">
        <f>IF(BQ152=-1,"x",IF(OR(BQ250=1,BQ$195=1,$CY152=1),BQ152,0))</f>
        <v>x</v>
      </c>
      <c r="BR335" s="35" t="str">
        <f>IF(BR152=-1,"x",IF(OR(BR250=1,BR$195=1,$CZ152=1),BR152,0))</f>
        <v>x</v>
      </c>
      <c r="BS335" s="36" t="str">
        <f>IF(BS152=-1,"x",IF(OR(BS250=1,BS$195=1,$CX152=1),BS152,0))</f>
        <v>x</v>
      </c>
      <c r="BT335" s="37" t="str">
        <f>IF(BT152=-1,"x",IF(OR(BT250=1,BT$195=1,$CY152=1),BT152,0))</f>
        <v>x</v>
      </c>
      <c r="BU335" s="35" t="str">
        <f>IF(BU152=-1,"x",IF(OR(BU250=1,BU$195=1,$CZ152=1),BU152,0))</f>
        <v>x</v>
      </c>
      <c r="BV335" s="36" t="str">
        <f>IF(BV152=-1,"x",IF(OR(BV250=1,BV$195=1,$CX152=1),BV152,0))</f>
        <v>x</v>
      </c>
      <c r="BW335" s="37" t="str">
        <f>IF(BW152=-1,"x",IF(OR(BW250=1,BW$195=1,$CY152=1),BW152,0))</f>
        <v>x</v>
      </c>
      <c r="BX335" s="38" t="str">
        <f>IF(BX152=-1,"x",IF(OR(BX250=1,BX$195=1,$CZ152=1),BX152,0))</f>
        <v>x</v>
      </c>
      <c r="BY335" s="34" t="str">
        <f>IF(BY152=-1,"x",IF(OR(BY250=1,BY$195=1,$CX152=1),BY152,0))</f>
        <v>x</v>
      </c>
      <c r="BZ335" s="37" t="str">
        <f>IF(BZ152=-1,"x",IF(OR(BZ250=1,BZ$195=1,$CY152=1),BZ152,0))</f>
        <v>x</v>
      </c>
      <c r="CA335" s="35" t="str">
        <f>IF(CA152=-1,"x",IF(OR(CA250=1,CA$195=1,$CZ152=1),CA152,0))</f>
        <v>x</v>
      </c>
      <c r="CB335" s="36" t="str">
        <f>IF(CB152=-1,"x",IF(OR(CB250=1,CB$195=1,$CX152=1),CB152,0))</f>
        <v>x</v>
      </c>
      <c r="CC335" s="37" t="str">
        <f>IF(CC152=-1,"x",IF(OR(CC250=1,CC$195=1,$CY152=1),CC152,0))</f>
        <v>x</v>
      </c>
      <c r="CD335" s="35" t="str">
        <f>IF(CD152=-1,"x",IF(OR(CD250=1,CD$195=1,$CZ152=1),CD152,0))</f>
        <v>x</v>
      </c>
      <c r="CE335" s="36" t="str">
        <f>IF(CE152=-1,"x",IF(OR(CE250=1,CE$195=1,$CX152=1),CE152,0))</f>
        <v>x</v>
      </c>
      <c r="CF335" s="37" t="str">
        <f>IF(CF152=-1,"x",IF(OR(CF250=1,CF$195=1,$CY152=1),CF152,0))</f>
        <v>x</v>
      </c>
      <c r="CG335" s="38" t="str">
        <f>IF(CG152=-1,"x",IF(OR(CG250=1,CG$195=1,$CZ152=1),CG152,0))</f>
        <v>x</v>
      </c>
      <c r="CH335" s="34">
        <f>IF(CH152=-1,"x",IF(OR(CH250=1,CH$195=1,$CX152=1),CH152,0))</f>
        <v>0</v>
      </c>
      <c r="CI335" s="37">
        <f>IF(CI152=-1,"x",IF(OR(CI250=1,CI$195=1,$CY152=1),CI152,0))</f>
        <v>0</v>
      </c>
      <c r="CJ335" s="35">
        <f>IF(CJ152=-1,"x",IF(OR(CJ250=1,CJ$195=1,$CZ152=1),CJ152,0))</f>
        <v>0</v>
      </c>
      <c r="CK335" s="36" t="str">
        <f>IF(CK152=-1,"x",IF(OR(CK250=1,CK$195=1,$CX152=1),CK152,0))</f>
        <v>x</v>
      </c>
      <c r="CL335" s="37" t="str">
        <f>IF(CL152=-1,"x",IF(OR(CL250=1,CL$195=1,$CY152=1),CL152,0))</f>
        <v>x</v>
      </c>
      <c r="CM335" s="35" t="str">
        <f>IF(CM152=-1,"x",IF(OR(CM250=1,CM$195=1,$CZ152=1),CM152,0))</f>
        <v>x</v>
      </c>
      <c r="CN335" s="36" t="str">
        <f>IF(CN152=-1,"x",IF(OR(CN250=1,CN$195=1,$CX152=1),CN152,0))</f>
        <v>x</v>
      </c>
      <c r="CO335" s="37" t="str">
        <f>IF(CO152=-1,"x",IF(OR(CO250=1,CO$195=1,$CY152=1),CO152,0))</f>
        <v>x</v>
      </c>
      <c r="CP335" s="109" t="str">
        <f>IF(CP152=-1,"x",IF(OR(CP250=1,CP$195=1,$CZ152=1),CP152,0))</f>
        <v>x</v>
      </c>
      <c r="DJ335" s="104">
        <f>IF(DJ152=-1,"x",IF(OR(DJ250=1,DJ$228=1,$GT152=1),DJ152,0))</f>
        <v>0</v>
      </c>
      <c r="DK335" s="50">
        <f>IF(DK152=-1,"x",IF(OR(DK250=1,DK$228=1,$GU152=1),DK152,0))</f>
        <v>0</v>
      </c>
      <c r="DL335" s="51">
        <f>IF(DL152=-1,"x",IF(OR(DL250=1,DL$228=1,$GV152=1),DL152,0))</f>
        <v>0</v>
      </c>
      <c r="DM335" s="52">
        <f>IF(DM152=-1,"x",IF(OR(DM250=1,DM$228=1,$GT152=1),DM152,0))</f>
        <v>0</v>
      </c>
      <c r="DN335" s="50">
        <f>IF(DN152=-1,"x",IF(OR(DN250=1,DN$228=1,$GU152=1),DN152,0))</f>
        <v>0</v>
      </c>
      <c r="DO335" s="51">
        <f>IF(DO152=-1,"x",IF(OR(DO250=1,DO$228=1,$GV152=1),DO152,0))</f>
        <v>0</v>
      </c>
      <c r="DP335" s="52" t="str">
        <f>IF(DP152=-1,"x",IF(OR(DP250=1,DP$228=1,$GT152=1),DP152,0))</f>
        <v>x</v>
      </c>
      <c r="DQ335" s="50" t="str">
        <f>IF(DQ152=-1,"x",IF(OR(DQ250=1,DQ$228=1,$GU152=1),DQ152,0))</f>
        <v>x</v>
      </c>
      <c r="DR335" s="53" t="str">
        <f>IF(DR152=-1,"x",IF(OR(DR250=1,DR$228=1,$GV152=1),DR152,0))</f>
        <v>x</v>
      </c>
      <c r="DS335" s="49" t="str">
        <f>IF(DS152=-1,"x",IF(OR(DS250=1,DS$228=1,$GT152=1),DS152,0))</f>
        <v>x</v>
      </c>
      <c r="DT335" s="50" t="str">
        <f>IF(DT152=-1,"x",IF(OR(DT250=1,DT$228=1,$GU152=1),DT152,0))</f>
        <v>x</v>
      </c>
      <c r="DU335" s="51" t="str">
        <f>IF(DU152=-1,"x",IF(OR(DU250=1,DU$228=1,$GV152=1),DU152,0))</f>
        <v>x</v>
      </c>
      <c r="DV335" s="52" t="str">
        <f>IF(DV152=-1,"x",IF(OR(DV250=1,DV$228=1,$GT152=1),DV152,0))</f>
        <v>x</v>
      </c>
      <c r="DW335" s="50" t="str">
        <f>IF(DW152=-1,"x",IF(OR(DW250=1,DW$228=1,$GU152=1),DW152,0))</f>
        <v>x</v>
      </c>
      <c r="DX335" s="51" t="str">
        <f>IF(DX152=-1,"x",IF(OR(DX250=1,DX$228=1,$GV152=1),DX152,0))</f>
        <v>x</v>
      </c>
      <c r="DY335" s="52" t="str">
        <f>IF(DY152=-1,"x",IF(OR(DY250=1,DY$228=1,$GT152=1),DY152,0))</f>
        <v>x</v>
      </c>
      <c r="DZ335" s="50" t="str">
        <f>IF(DZ152=-1,"x",IF(OR(DZ250=1,DZ$228=1,$GU152=1),DZ152,0))</f>
        <v>x</v>
      </c>
      <c r="EA335" s="53" t="str">
        <f>IF(EA152=-1,"x",IF(OR(EA250=1,EA$228=1,$GV152=1),EA152,0))</f>
        <v>x</v>
      </c>
      <c r="EB335" s="49" t="str">
        <f>IF(EB152=-1,"x",IF(OR(EB250=1,EB$228=1,$GT152=1),EB152,0))</f>
        <v>x</v>
      </c>
      <c r="EC335" s="50" t="str">
        <f>IF(EC152=-1,"x",IF(OR(EC250=1,EC$228=1,$GU152=1),EC152,0))</f>
        <v>x</v>
      </c>
      <c r="ED335" s="51" t="str">
        <f>IF(ED152=-1,"x",IF(OR(ED250=1,ED$228=1,$GV152=1),ED152,0))</f>
        <v>x</v>
      </c>
      <c r="EE335" s="52" t="str">
        <f>IF(EE152=-1,"x",IF(OR(EE250=1,EE$228=1,$GT152=1),EE152,0))</f>
        <v>x</v>
      </c>
      <c r="EF335" s="50" t="str">
        <f>IF(EF152=-1,"x",IF(OR(EF250=1,EF$228=1,$GU152=1),EF152,0))</f>
        <v>x</v>
      </c>
      <c r="EG335" s="51" t="str">
        <f>IF(EG152=-1,"x",IF(OR(EG250=1,EG$228=1,$GV152=1),EG152,0))</f>
        <v>x</v>
      </c>
      <c r="EH335" s="52" t="str">
        <f>IF(EH152=-1,"x",IF(OR(EH250=1,EH$228=1,$GT152=1),EH152,0))</f>
        <v>x</v>
      </c>
      <c r="EI335" s="50" t="str">
        <f>IF(EI152=-1,"x",IF(OR(EI250=1,EI$228=1,$GU152=1),EI152,0))</f>
        <v>x</v>
      </c>
      <c r="EJ335" s="105" t="str">
        <f>IF(EJ152=-1,"x",IF(OR(EJ250=1,EJ$228=1,$GV152=1),EJ152,0))</f>
        <v>x</v>
      </c>
      <c r="EK335" s="104" t="str">
        <f>IF(EK152=-1,"x",IF(OR(EK250=1,EK$228=1,$GT152=1),EK152,0))</f>
        <v>x</v>
      </c>
      <c r="EL335" s="50" t="str">
        <f>IF(EL152=-1,"x",IF(OR(EL250=1,EL$228=1,$GU152=1),EL152,0))</f>
        <v>x</v>
      </c>
      <c r="EM335" s="51" t="str">
        <f>IF(EM152=-1,"x",IF(OR(EM250=1,EM$228=1,$GV152=1),EM152,0))</f>
        <v>x</v>
      </c>
      <c r="EN335" s="52" t="str">
        <f>IF(EN152=-1,"x",IF(OR(EN250=1,EN$228=1,$GT152=1),EN152,0))</f>
        <v>x</v>
      </c>
      <c r="EO335" s="50" t="str">
        <f>IF(EO152=-1,"x",IF(OR(EO250=1,EO$228=1,$GU152=1),EO152,0))</f>
        <v>x</v>
      </c>
      <c r="EP335" s="51" t="str">
        <f>IF(EP152=-1,"x",IF(OR(EP250=1,EP$228=1,$GV152=1),EP152,0))</f>
        <v>x</v>
      </c>
      <c r="EQ335" s="52" t="str">
        <f>IF(EQ152=-1,"x",IF(OR(EQ250=1,EQ$228=1,$GT152=1),EQ152,0))</f>
        <v>x</v>
      </c>
      <c r="ER335" s="50" t="str">
        <f>IF(ER152=-1,"x",IF(OR(ER250=1,ER$228=1,$GU152=1),ER152,0))</f>
        <v>x</v>
      </c>
      <c r="ES335" s="53" t="str">
        <f>IF(ES152=-1,"x",IF(OR(ES250=1,ES$228=1,$GV152=1),ES152,0))</f>
        <v>x</v>
      </c>
      <c r="ET335" s="49" t="str">
        <f>IF(ET152=-1,"x",IF(OR(ET250=1,ET$228=1,$GT152=1),ET152,0))</f>
        <v>x</v>
      </c>
      <c r="EU335" s="50" t="str">
        <f>IF(EU152=-1,"x",IF(OR(EU250=1,EU$228=1,$GU152=1),EU152,0))</f>
        <v>x</v>
      </c>
      <c r="EV335" s="51" t="str">
        <f>IF(EV152=-1,"x",IF(OR(EV250=1,EV$228=1,$GV152=1),EV152,0))</f>
        <v>x</v>
      </c>
      <c r="EW335" s="52">
        <f>IF(EW152=-1,"x",IF(OR(EW250=1,EW$228=1,$GT152=1),EW152,0))</f>
        <v>0</v>
      </c>
      <c r="EX335" s="50">
        <f>IF(EX152=-1,"x",IF(OR(EX250=1,EX$228=1,$GU152=1),EX152,0))</f>
        <v>0</v>
      </c>
      <c r="EY335" s="51">
        <f>IF(EY152=-1,"x",IF(OR(EY250=1,EY$228=1,$GV152=1),EY152,0))</f>
        <v>0</v>
      </c>
      <c r="EZ335" s="52">
        <f>IF(EZ152=-1,"x",IF(OR(EZ250=1,EZ$228=1,$GT152=1),EZ152,0))</f>
        <v>0</v>
      </c>
      <c r="FA335" s="50">
        <f>IF(FA152=-1,"x",IF(OR(FA250=1,FA$228=1,$GU152=1),FA152,0))</f>
        <v>0</v>
      </c>
      <c r="FB335" s="53">
        <f>IF(FB152=-1,"x",IF(OR(FB250=1,FB$228=1,$GV152=1),FB152,0))</f>
        <v>0</v>
      </c>
      <c r="FC335" s="49" t="str">
        <f>IF(FC152=-1,"x",IF(OR(FC250=1,FC$228=1,$GT152=1),FC152,0))</f>
        <v>x</v>
      </c>
      <c r="FD335" s="50" t="str">
        <f>IF(FD152=-1,"x",IF(OR(FD250=1,FD$228=1,$GU152=1),FD152,0))</f>
        <v>x</v>
      </c>
      <c r="FE335" s="51" t="str">
        <f>IF(FE152=-1,"x",IF(OR(FE250=1,FE$228=1,$GV152=1),FE152,0))</f>
        <v>x</v>
      </c>
      <c r="FF335" s="52" t="str">
        <f>IF(FF152=-1,"x",IF(OR(FF250=1,FF$228=1,$GT152=1),FF152,0))</f>
        <v>x</v>
      </c>
      <c r="FG335" s="50" t="str">
        <f>IF(FG152=-1,"x",IF(OR(FG250=1,FG$228=1,$GU152=1),FG152,0))</f>
        <v>x</v>
      </c>
      <c r="FH335" s="51" t="str">
        <f>IF(FH152=-1,"x",IF(OR(FH250=1,FH$228=1,$GV152=1),FH152,0))</f>
        <v>x</v>
      </c>
      <c r="FI335" s="52" t="str">
        <f>IF(FI152=-1,"x",IF(OR(FI250=1,FI$228=1,$GT152=1),FI152,0))</f>
        <v>x</v>
      </c>
      <c r="FJ335" s="50" t="str">
        <f>IF(FJ152=-1,"x",IF(OR(FJ250=1,FJ$228=1,$GU152=1),FJ152,0))</f>
        <v>x</v>
      </c>
      <c r="FK335" s="105" t="str">
        <f>IF(FK152=-1,"x",IF(OR(FK250=1,FK$228=1,$GV152=1),FK152,0))</f>
        <v>x</v>
      </c>
      <c r="FL335" s="104" t="str">
        <f>IF(FL152=-1,"x",IF(OR(FL250=1,FL$228=1,$GT152=1),FL152,0))</f>
        <v>x</v>
      </c>
      <c r="FM335" s="50" t="str">
        <f>IF(FM152=-1,"x",IF(OR(FM250=1,FM$228=1,$GU152=1),FM152,0))</f>
        <v>x</v>
      </c>
      <c r="FN335" s="51" t="str">
        <f>IF(FN152=-1,"x",IF(OR(FN250=1,FN$228=1,$GV152=1),FN152,0))</f>
        <v>x</v>
      </c>
      <c r="FO335" s="52" t="str">
        <f>IF(FO152=-1,"x",IF(OR(FO250=1,FO$228=1,$GT152=1),FO152,0))</f>
        <v>x</v>
      </c>
      <c r="FP335" s="50" t="str">
        <f>IF(FP152=-1,"x",IF(OR(FP250=1,FP$228=1,$GU152=1),FP152,0))</f>
        <v>x</v>
      </c>
      <c r="FQ335" s="51" t="str">
        <f>IF(FQ152=-1,"x",IF(OR(FQ250=1,FQ$228=1,$GV152=1),FQ152,0))</f>
        <v>x</v>
      </c>
      <c r="FR335" s="52" t="str">
        <f>IF(FR152=-1,"x",IF(OR(FR250=1,FR$228=1,$GT152=1),FR152,0))</f>
        <v>x</v>
      </c>
      <c r="FS335" s="50" t="str">
        <f>IF(FS152=-1,"x",IF(OR(FS250=1,FS$228=1,$GU152=1),FS152,0))</f>
        <v>x</v>
      </c>
      <c r="FT335" s="53" t="str">
        <f>IF(FT152=-1,"x",IF(OR(FT250=1,FT$228=1,$GV152=1),FT152,0))</f>
        <v>x</v>
      </c>
      <c r="FU335" s="49" t="str">
        <f>IF(FU152=-1,"x",IF(OR(FU250=1,FU$228=1,$GT152=1),FU152,0))</f>
        <v>x</v>
      </c>
      <c r="FV335" s="50" t="str">
        <f>IF(FV152=-1,"x",IF(OR(FV250=1,FV$228=1,$GU152=1),FV152,0))</f>
        <v>x</v>
      </c>
      <c r="FW335" s="51" t="str">
        <f>IF(FW152=-1,"x",IF(OR(FW250=1,FW$228=1,$GV152=1),FW152,0))</f>
        <v>x</v>
      </c>
      <c r="FX335" s="52" t="str">
        <f>IF(FX152=-1,"x",IF(OR(FX250=1,FX$228=1,$GT152=1),FX152,0))</f>
        <v>x</v>
      </c>
      <c r="FY335" s="50" t="str">
        <f>IF(FY152=-1,"x",IF(OR(FY250=1,FY$228=1,$GU152=1),FY152,0))</f>
        <v>x</v>
      </c>
      <c r="FZ335" s="51" t="str">
        <f>IF(FZ152=-1,"x",IF(OR(FZ250=1,FZ$228=1,$GV152=1),FZ152,0))</f>
        <v>x</v>
      </c>
      <c r="GA335" s="52" t="str">
        <f>IF(GA152=-1,"x",IF(OR(GA250=1,GA$228=1,$GT152=1),GA152,0))</f>
        <v>x</v>
      </c>
      <c r="GB335" s="50" t="str">
        <f>IF(GB152=-1,"x",IF(OR(GB250=1,GB$228=1,$GU152=1),GB152,0))</f>
        <v>x</v>
      </c>
      <c r="GC335" s="53" t="str">
        <f>IF(GC152=-1,"x",IF(OR(GC250=1,GC$228=1,$GV152=1),GC152,0))</f>
        <v>x</v>
      </c>
      <c r="GD335" s="49" t="str">
        <f>IF(GD152=-1,"x",IF(OR(GD250=1,GD$228=1,$GT152=1),GD152,0))</f>
        <v>x</v>
      </c>
      <c r="GE335" s="50" t="str">
        <f>IF(GE152=-1,"x",IF(OR(GE250=1,GE$228=1,$GU152=1),GE152,0))</f>
        <v>x</v>
      </c>
      <c r="GF335" s="51" t="str">
        <f>IF(GF152=-1,"x",IF(OR(GF250=1,GF$228=1,$GV152=1),GF152,0))</f>
        <v>x</v>
      </c>
      <c r="GG335" s="52" t="str">
        <f>IF(GG152=-1,"x",IF(OR(GG250=1,GG$228=1,$GT152=1),GG152,0))</f>
        <v>x</v>
      </c>
      <c r="GH335" s="50" t="str">
        <f>IF(GH152=-1,"x",IF(OR(GH250=1,GH$228=1,$GU152=1),GH152,0))</f>
        <v>x</v>
      </c>
      <c r="GI335" s="51" t="str">
        <f>IF(GI152=-1,"x",IF(OR(GI250=1,GI$228=1,$GV152=1),GI152,0))</f>
        <v>x</v>
      </c>
      <c r="GJ335" s="52">
        <f>IF(GJ152=-1,"x",IF(OR(GJ250=1,GJ$228=1,$GT152=1),GJ152,0))</f>
        <v>0</v>
      </c>
      <c r="GK335" s="50">
        <f>IF(GK152=-1,"x",IF(OR(GK250=1,GK$228=1,$GU152=1),GK152,0))</f>
        <v>0</v>
      </c>
      <c r="GL335" s="105">
        <f>IF(GL152=-1,"x",IF(OR(GL250=1,GL$228=1,$GV152=1),GL152,0))</f>
        <v>0</v>
      </c>
    </row>
    <row r="336" spans="14:194" ht="15" customHeight="1">
      <c r="N336" s="94">
        <f>IF(N153=-1,"x",IF(OR(N251=1,N$196=1,$CX153=1),N153,0))</f>
        <v>0</v>
      </c>
      <c r="O336" s="39">
        <f>IF(O153=-1,"x",IF(OR(O251=1,O$196=1,$CY153=1),O153,0))</f>
        <v>0</v>
      </c>
      <c r="P336" s="41">
        <f>IF(P153=-1,"x",IF(OR(P251=1,P$196=1,$CZ153=1),P153,0))</f>
        <v>0</v>
      </c>
      <c r="Q336" s="40">
        <f>IF(Q153=-1,"x",IF(OR(Q251=1,Q$196=1,$CX153=1),Q153,0))</f>
        <v>0</v>
      </c>
      <c r="R336" s="39">
        <f>IF(R153=-1,"x",IF(OR(R251=1,R$196=1,$CY153=1),R153,0))</f>
        <v>0</v>
      </c>
      <c r="S336" s="41">
        <f>IF(S153=-1,"x",IF(OR(S251=1,S$196=1,$CZ153=1),S153,0))</f>
        <v>0</v>
      </c>
      <c r="T336" s="40">
        <f>IF(T153=-1,"x",IF(OR(T251=1,T$196=1,$CX153=1),T153,0))</f>
        <v>0</v>
      </c>
      <c r="U336" s="39">
        <f>IF(U153=-1,"x",IF(OR(U251=1,U$196=1,$CY153=1),U153,0))</f>
        <v>0</v>
      </c>
      <c r="V336" s="42">
        <f>IF(V153=-1,"x",IF(OR(V251=1,V$196=1,$CZ153=1),V153,0))</f>
        <v>0</v>
      </c>
      <c r="W336" s="43" t="str">
        <f>IF(W153=-1,"x",IF(OR(W251=1,W$196=1,$CX153=1),W153,0))</f>
        <v>x</v>
      </c>
      <c r="X336" s="39" t="str">
        <f>IF(X153=-1,"x",IF(OR(X251=1,X$196=1,$CY153=1),X153,0))</f>
        <v>x</v>
      </c>
      <c r="Y336" s="41" t="str">
        <f>IF(Y153=-1,"x",IF(OR(Y251=1,Y$196=1,$CZ153=1),Y153,0))</f>
        <v>x</v>
      </c>
      <c r="Z336" s="40" t="str">
        <f>IF(Z153=-1,"x",IF(OR(Z251=1,Z$196=1,$CX153=1),Z153,0))</f>
        <v>x</v>
      </c>
      <c r="AA336" s="39" t="str">
        <f>IF(AA153=-1,"x",IF(OR(AA251=1,AA$196=1,$CY153=1),AA153,0))</f>
        <v>x</v>
      </c>
      <c r="AB336" s="41" t="str">
        <f>IF(AB153=-1,"x",IF(OR(AB251=1,AB$196=1,$CZ153=1),AB153,0))</f>
        <v>x</v>
      </c>
      <c r="AC336" s="40" t="str">
        <f>IF(AC153=-1,"x",IF(OR(AC251=1,AC$196=1,$CX153=1),AC153,0))</f>
        <v>x</v>
      </c>
      <c r="AD336" s="39" t="str">
        <f>IF(AD153=-1,"x",IF(OR(AD251=1,AD$196=1,$CY153=1),AD153,0))</f>
        <v>x</v>
      </c>
      <c r="AE336" s="42" t="str">
        <f>IF(AE153=-1,"x",IF(OR(AE251=1,AE$196=1,$CZ153=1),AE153,0))</f>
        <v>x</v>
      </c>
      <c r="AF336" s="43" t="str">
        <f>IF(AF153=-1,"x",IF(OR(AF251=1,AF$196=1,$CX153=1),AF153,0))</f>
        <v>x</v>
      </c>
      <c r="AG336" s="39" t="str">
        <f>IF(AG153=-1,"x",IF(OR(AG251=1,AG$196=1,$CY153=1),AG153,0))</f>
        <v>x</v>
      </c>
      <c r="AH336" s="41" t="str">
        <f>IF(AH153=-1,"x",IF(OR(AH251=1,AH$196=1,$CZ153=1),AH153,0))</f>
        <v>x</v>
      </c>
      <c r="AI336" s="40" t="str">
        <f>IF(AI153=-1,"x",IF(OR(AI251=1,AI$196=1,$CX153=1),AI153,0))</f>
        <v>x</v>
      </c>
      <c r="AJ336" s="39" t="str">
        <f>IF(AJ153=-1,"x",IF(OR(AJ251=1,AJ$196=1,$CY153=1),AJ153,0))</f>
        <v>x</v>
      </c>
      <c r="AK336" s="41" t="str">
        <f>IF(AK153=-1,"x",IF(OR(AK251=1,AK$196=1,$CZ153=1),AK153,0))</f>
        <v>x</v>
      </c>
      <c r="AL336" s="40" t="str">
        <f>IF(AL153=-1,"x",IF(OR(AL251=1,AL$196=1,$CX153=1),AL153,0))</f>
        <v>x</v>
      </c>
      <c r="AM336" s="39" t="str">
        <f>IF(AM153=-1,"x",IF(OR(AM251=1,AM$196=1,$CY153=1),AM153,0))</f>
        <v>x</v>
      </c>
      <c r="AN336" s="95" t="str">
        <f>IF(AN153=-1,"x",IF(OR(AN251=1,AN$196=1,$CZ153=1),AN153,0))</f>
        <v>x</v>
      </c>
      <c r="AO336" s="94" t="str">
        <f>IF(AO153=-1,"x",IF(OR(AO251=1,AO$196=1,$CX153=1),AO153,0))</f>
        <v>x</v>
      </c>
      <c r="AP336" s="39" t="str">
        <f>IF(AP153=-1,"x",IF(OR(AP251=1,AP$196=1,$CY153=1),AP153,0))</f>
        <v>x</v>
      </c>
      <c r="AQ336" s="41" t="str">
        <f>IF(AQ153=-1,"x",IF(OR(AQ251=1,AQ$196=1,$CZ153=1),AQ153,0))</f>
        <v>x</v>
      </c>
      <c r="AR336" s="40" t="str">
        <f>IF(AR153=-1,"x",IF(OR(AR251=1,AR$196=1,$CX153=1),AR153,0))</f>
        <v>x</v>
      </c>
      <c r="AS336" s="39" t="str">
        <f>IF(AS153=-1,"x",IF(OR(AS251=1,AS$196=1,$CY153=1),AS153,0))</f>
        <v>x</v>
      </c>
      <c r="AT336" s="41" t="str">
        <f>IF(AT153=-1,"x",IF(OR(AT251=1,AT$196=1,$CZ153=1),AT153,0))</f>
        <v>x</v>
      </c>
      <c r="AU336" s="40" t="str">
        <f>IF(AU153=-1,"x",IF(OR(AU251=1,AU$196=1,$CX153=1),AU153,0))</f>
        <v>x</v>
      </c>
      <c r="AV336" s="39" t="str">
        <f>IF(AV153=-1,"x",IF(OR(AV251=1,AV$196=1,$CY153=1),AV153,0))</f>
        <v>x</v>
      </c>
      <c r="AW336" s="42" t="str">
        <f>IF(AW153=-1,"x",IF(OR(AW251=1,AW$196=1,$CZ153=1),AW153,0))</f>
        <v>x</v>
      </c>
      <c r="AX336" s="43" t="str">
        <f>IF(AX153=-1,"x",IF(OR(AX251=1,AX$196=1,$CX153=1),AX153,0))</f>
        <v>x</v>
      </c>
      <c r="AY336" s="39" t="str">
        <f>IF(AY153=-1,"x",IF(OR(AY251=1,AY$196=1,$CY153=1),AY153,0))</f>
        <v>x</v>
      </c>
      <c r="AZ336" s="41" t="str">
        <f>IF(AZ153=-1,"x",IF(OR(AZ251=1,AZ$196=1,$CZ153=1),AZ153,0))</f>
        <v>x</v>
      </c>
      <c r="BA336" s="40" t="str">
        <f>IF(BA153=-1,"x",IF(OR(BA251=1,BA$196=1,$CX153=1),BA153,0))</f>
        <v>x</v>
      </c>
      <c r="BB336" s="39" t="str">
        <f>IF(BB153=-1,"x",IF(OR(BB251=1,BB$196=1,$CY153=1),BB153,0))</f>
        <v>x</v>
      </c>
      <c r="BC336" s="41" t="str">
        <f>IF(BC153=-1,"x",IF(OR(BC251=1,BC$196=1,$CZ153=1),BC153,0))</f>
        <v>x</v>
      </c>
      <c r="BD336" s="40" t="str">
        <f>IF(BD153=-1,"x",IF(OR(BD251=1,BD$196=1,$CX153=1),BD153,0))</f>
        <v>x</v>
      </c>
      <c r="BE336" s="39" t="str">
        <f>IF(BE153=-1,"x",IF(OR(BE251=1,BE$196=1,$CY153=1),BE153,0))</f>
        <v>x</v>
      </c>
      <c r="BF336" s="42" t="str">
        <f>IF(BF153=-1,"x",IF(OR(BF251=1,BF$196=1,$CZ153=1),BF153,0))</f>
        <v>x</v>
      </c>
      <c r="BG336" s="43" t="str">
        <f>IF(BG153=-1,"x",IF(OR(BG251=1,BG$196=1,$CX153=1),BG153,0))</f>
        <v>x</v>
      </c>
      <c r="BH336" s="39" t="str">
        <f>IF(BH153=-1,"x",IF(OR(BH251=1,BH$196=1,$CY153=1),BH153,0))</f>
        <v>x</v>
      </c>
      <c r="BI336" s="41" t="str">
        <f>IF(BI153=-1,"x",IF(OR(BI251=1,BI$196=1,$CZ153=1),BI153,0))</f>
        <v>x</v>
      </c>
      <c r="BJ336" s="40" t="str">
        <f>IF(BJ153=-1,"x",IF(OR(BJ251=1,BJ$196=1,$CX153=1),BJ153,0))</f>
        <v>x</v>
      </c>
      <c r="BK336" s="39" t="str">
        <f>IF(BK153=-1,"x",IF(OR(BK251=1,BK$196=1,$CY153=1),BK153,0))</f>
        <v>x</v>
      </c>
      <c r="BL336" s="41" t="str">
        <f>IF(BL153=-1,"x",IF(OR(BL251=1,BL$196=1,$CZ153=1),BL153,0))</f>
        <v>x</v>
      </c>
      <c r="BM336" s="40" t="str">
        <f>IF(BM153=-1,"x",IF(OR(BM251=1,BM$196=1,$CX153=1),BM153,0))</f>
        <v>x</v>
      </c>
      <c r="BN336" s="39" t="str">
        <f>IF(BN153=-1,"x",IF(OR(BN251=1,BN$196=1,$CY153=1),BN153,0))</f>
        <v>x</v>
      </c>
      <c r="BO336" s="95" t="str">
        <f>IF(BO153=-1,"x",IF(OR(BO251=1,BO$196=1,$CZ153=1),BO153,0))</f>
        <v>x</v>
      </c>
      <c r="BP336" s="94" t="str">
        <f>IF(BP153=-1,"x",IF(OR(BP251=1,BP$196=1,$CX153=1),BP153,0))</f>
        <v>x</v>
      </c>
      <c r="BQ336" s="39" t="str">
        <f>IF(BQ153=-1,"x",IF(OR(BQ251=1,BQ$196=1,$CY153=1),BQ153,0))</f>
        <v>x</v>
      </c>
      <c r="BR336" s="41" t="str">
        <f>IF(BR153=-1,"x",IF(OR(BR251=1,BR$196=1,$CZ153=1),BR153,0))</f>
        <v>x</v>
      </c>
      <c r="BS336" s="40" t="str">
        <f>IF(BS153=-1,"x",IF(OR(BS251=1,BS$196=1,$CX153=1),BS153,0))</f>
        <v>x</v>
      </c>
      <c r="BT336" s="39" t="str">
        <f>IF(BT153=-1,"x",IF(OR(BT251=1,BT$196=1,$CY153=1),BT153,0))</f>
        <v>x</v>
      </c>
      <c r="BU336" s="41" t="str">
        <f>IF(BU153=-1,"x",IF(OR(BU251=1,BU$196=1,$CZ153=1),BU153,0))</f>
        <v>x</v>
      </c>
      <c r="BV336" s="40" t="str">
        <f>IF(BV153=-1,"x",IF(OR(BV251=1,BV$196=1,$CX153=1),BV153,0))</f>
        <v>x</v>
      </c>
      <c r="BW336" s="39" t="str">
        <f>IF(BW153=-1,"x",IF(OR(BW251=1,BW$196=1,$CY153=1),BW153,0))</f>
        <v>x</v>
      </c>
      <c r="BX336" s="42" t="str">
        <f>IF(BX153=-1,"x",IF(OR(BX251=1,BX$196=1,$CZ153=1),BX153,0))</f>
        <v>x</v>
      </c>
      <c r="BY336" s="43" t="str">
        <f>IF(BY153=-1,"x",IF(OR(BY251=1,BY$196=1,$CX153=1),BY153,0))</f>
        <v>x</v>
      </c>
      <c r="BZ336" s="39" t="str">
        <f>IF(BZ153=-1,"x",IF(OR(BZ251=1,BZ$196=1,$CY153=1),BZ153,0))</f>
        <v>x</v>
      </c>
      <c r="CA336" s="41" t="str">
        <f>IF(CA153=-1,"x",IF(OR(CA251=1,CA$196=1,$CZ153=1),CA153,0))</f>
        <v>x</v>
      </c>
      <c r="CB336" s="40" t="str">
        <f>IF(CB153=-1,"x",IF(OR(CB251=1,CB$196=1,$CX153=1),CB153,0))</f>
        <v>x</v>
      </c>
      <c r="CC336" s="39" t="str">
        <f>IF(CC153=-1,"x",IF(OR(CC251=1,CC$196=1,$CY153=1),CC153,0))</f>
        <v>x</v>
      </c>
      <c r="CD336" s="41" t="str">
        <f>IF(CD153=-1,"x",IF(OR(CD251=1,CD$196=1,$CZ153=1),CD153,0))</f>
        <v>x</v>
      </c>
      <c r="CE336" s="40" t="str">
        <f>IF(CE153=-1,"x",IF(OR(CE251=1,CE$196=1,$CX153=1),CE153,0))</f>
        <v>x</v>
      </c>
      <c r="CF336" s="39" t="str">
        <f>IF(CF153=-1,"x",IF(OR(CF251=1,CF$196=1,$CY153=1),CF153,0))</f>
        <v>x</v>
      </c>
      <c r="CG336" s="42" t="str">
        <f>IF(CG153=-1,"x",IF(OR(CG251=1,CG$196=1,$CZ153=1),CG153,0))</f>
        <v>x</v>
      </c>
      <c r="CH336" s="43">
        <f>IF(CH153=-1,"x",IF(OR(CH251=1,CH$196=1,$CX153=1),CH153,0))</f>
        <v>0</v>
      </c>
      <c r="CI336" s="39">
        <f>IF(CI153=-1,"x",IF(OR(CI251=1,CI$196=1,$CY153=1),CI153,0))</f>
        <v>0</v>
      </c>
      <c r="CJ336" s="41">
        <f>IF(CJ153=-1,"x",IF(OR(CJ251=1,CJ$196=1,$CZ153=1),CJ153,0))</f>
        <v>0</v>
      </c>
      <c r="CK336" s="40" t="str">
        <f>IF(CK153=-1,"x",IF(OR(CK251=1,CK$196=1,$CX153=1),CK153,0))</f>
        <v>x</v>
      </c>
      <c r="CL336" s="39" t="str">
        <f>IF(CL153=-1,"x",IF(OR(CL251=1,CL$196=1,$CY153=1),CL153,0))</f>
        <v>x</v>
      </c>
      <c r="CM336" s="41" t="str">
        <f>IF(CM153=-1,"x",IF(OR(CM251=1,CM$196=1,$CZ153=1),CM153,0))</f>
        <v>x</v>
      </c>
      <c r="CN336" s="40" t="str">
        <f>IF(CN153=-1,"x",IF(OR(CN251=1,CN$196=1,$CX153=1),CN153,0))</f>
        <v>x</v>
      </c>
      <c r="CO336" s="39" t="str">
        <f>IF(CO153=-1,"x",IF(OR(CO251=1,CO$196=1,$CY153=1),CO153,0))</f>
        <v>x</v>
      </c>
      <c r="CP336" s="95" t="str">
        <f>IF(CP153=-1,"x",IF(OR(CP251=1,CP$196=1,$CZ153=1),CP153,0))</f>
        <v>x</v>
      </c>
      <c r="DJ336" s="94">
        <f>IF(DJ153=-1,"x",IF(OR(DJ251=1,DJ$229=1,$GT153=1),DJ153,0))</f>
        <v>0</v>
      </c>
      <c r="DK336" s="39">
        <f>IF(DK153=-1,"x",IF(OR(DK251=1,DK$229=1,$GU153=1),DK153,0))</f>
        <v>0</v>
      </c>
      <c r="DL336" s="41">
        <f>IF(DL153=-1,"x",IF(OR(DL251=1,DL$229=1,$GV153=1),DL153,0))</f>
        <v>0</v>
      </c>
      <c r="DM336" s="40">
        <f>IF(DM153=-1,"x",IF(OR(DM251=1,DM$229=1,$GT153=1),DM153,0))</f>
        <v>0</v>
      </c>
      <c r="DN336" s="39">
        <f>IF(DN153=-1,"x",IF(OR(DN251=1,DN$229=1,$GU153=1),DN153,0))</f>
        <v>0</v>
      </c>
      <c r="DO336" s="41">
        <f>IF(DO153=-1,"x",IF(OR(DO251=1,DO$229=1,$GV153=1),DO153,0))</f>
        <v>0</v>
      </c>
      <c r="DP336" s="40" t="str">
        <f>IF(DP153=-1,"x",IF(OR(DP251=1,DP$229=1,$GT153=1),DP153,0))</f>
        <v>x</v>
      </c>
      <c r="DQ336" s="39" t="str">
        <f>IF(DQ153=-1,"x",IF(OR(DQ251=1,DQ$229=1,$GU153=1),DQ153,0))</f>
        <v>x</v>
      </c>
      <c r="DR336" s="42" t="str">
        <f>IF(DR153=-1,"x",IF(OR(DR251=1,DR$229=1,$GV153=1),DR153,0))</f>
        <v>x</v>
      </c>
      <c r="DS336" s="43" t="str">
        <f>IF(DS153=-1,"x",IF(OR(DS251=1,DS$229=1,$GT153=1),DS153,0))</f>
        <v>x</v>
      </c>
      <c r="DT336" s="39" t="str">
        <f>IF(DT153=-1,"x",IF(OR(DT251=1,DT$229=1,$GU153=1),DT153,0))</f>
        <v>x</v>
      </c>
      <c r="DU336" s="41" t="str">
        <f>IF(DU153=-1,"x",IF(OR(DU251=1,DU$229=1,$GV153=1),DU153,0))</f>
        <v>x</v>
      </c>
      <c r="DV336" s="40" t="str">
        <f>IF(DV153=-1,"x",IF(OR(DV251=1,DV$229=1,$GT153=1),DV153,0))</f>
        <v>x</v>
      </c>
      <c r="DW336" s="39" t="str">
        <f>IF(DW153=-1,"x",IF(OR(DW251=1,DW$229=1,$GU153=1),DW153,0))</f>
        <v>x</v>
      </c>
      <c r="DX336" s="41" t="str">
        <f>IF(DX153=-1,"x",IF(OR(DX251=1,DX$229=1,$GV153=1),DX153,0))</f>
        <v>x</v>
      </c>
      <c r="DY336" s="40" t="str">
        <f>IF(DY153=-1,"x",IF(OR(DY251=1,DY$229=1,$GT153=1),DY153,0))</f>
        <v>x</v>
      </c>
      <c r="DZ336" s="39" t="str">
        <f>IF(DZ153=-1,"x",IF(OR(DZ251=1,DZ$229=1,$GU153=1),DZ153,0))</f>
        <v>x</v>
      </c>
      <c r="EA336" s="42" t="str">
        <f>IF(EA153=-1,"x",IF(OR(EA251=1,EA$229=1,$GV153=1),EA153,0))</f>
        <v>x</v>
      </c>
      <c r="EB336" s="43" t="str">
        <f>IF(EB153=-1,"x",IF(OR(EB251=1,EB$229=1,$GT153=1),EB153,0))</f>
        <v>x</v>
      </c>
      <c r="EC336" s="39" t="str">
        <f>IF(EC153=-1,"x",IF(OR(EC251=1,EC$229=1,$GU153=1),EC153,0))</f>
        <v>x</v>
      </c>
      <c r="ED336" s="41" t="str">
        <f>IF(ED153=-1,"x",IF(OR(ED251=1,ED$229=1,$GV153=1),ED153,0))</f>
        <v>x</v>
      </c>
      <c r="EE336" s="40" t="str">
        <f>IF(EE153=-1,"x",IF(OR(EE251=1,EE$229=1,$GT153=1),EE153,0))</f>
        <v>x</v>
      </c>
      <c r="EF336" s="39" t="str">
        <f>IF(EF153=-1,"x",IF(OR(EF251=1,EF$229=1,$GU153=1),EF153,0))</f>
        <v>x</v>
      </c>
      <c r="EG336" s="41" t="str">
        <f>IF(EG153=-1,"x",IF(OR(EG251=1,EG$229=1,$GV153=1),EG153,0))</f>
        <v>x</v>
      </c>
      <c r="EH336" s="40" t="str">
        <f>IF(EH153=-1,"x",IF(OR(EH251=1,EH$229=1,$GT153=1),EH153,0))</f>
        <v>x</v>
      </c>
      <c r="EI336" s="39" t="str">
        <f>IF(EI153=-1,"x",IF(OR(EI251=1,EI$229=1,$GU153=1),EI153,0))</f>
        <v>x</v>
      </c>
      <c r="EJ336" s="95" t="str">
        <f>IF(EJ153=-1,"x",IF(OR(EJ251=1,EJ$229=1,$GV153=1),EJ153,0))</f>
        <v>x</v>
      </c>
      <c r="EK336" s="94" t="str">
        <f>IF(EK153=-1,"x",IF(OR(EK251=1,EK$229=1,$GT153=1),EK153,0))</f>
        <v>x</v>
      </c>
      <c r="EL336" s="39" t="str">
        <f>IF(EL153=-1,"x",IF(OR(EL251=1,EL$229=1,$GU153=1),EL153,0))</f>
        <v>x</v>
      </c>
      <c r="EM336" s="41" t="str">
        <f>IF(EM153=-1,"x",IF(OR(EM251=1,EM$229=1,$GV153=1),EM153,0))</f>
        <v>x</v>
      </c>
      <c r="EN336" s="40" t="str">
        <f>IF(EN153=-1,"x",IF(OR(EN251=1,EN$229=1,$GT153=1),EN153,0))</f>
        <v>x</v>
      </c>
      <c r="EO336" s="39" t="str">
        <f>IF(EO153=-1,"x",IF(OR(EO251=1,EO$229=1,$GU153=1),EO153,0))</f>
        <v>x</v>
      </c>
      <c r="EP336" s="41" t="str">
        <f>IF(EP153=-1,"x",IF(OR(EP251=1,EP$229=1,$GV153=1),EP153,0))</f>
        <v>x</v>
      </c>
      <c r="EQ336" s="40" t="str">
        <f>IF(EQ153=-1,"x",IF(OR(EQ251=1,EQ$229=1,$GT153=1),EQ153,0))</f>
        <v>x</v>
      </c>
      <c r="ER336" s="39" t="str">
        <f>IF(ER153=-1,"x",IF(OR(ER251=1,ER$229=1,$GU153=1),ER153,0))</f>
        <v>x</v>
      </c>
      <c r="ES336" s="42" t="str">
        <f>IF(ES153=-1,"x",IF(OR(ES251=1,ES$229=1,$GV153=1),ES153,0))</f>
        <v>x</v>
      </c>
      <c r="ET336" s="43" t="str">
        <f>IF(ET153=-1,"x",IF(OR(ET251=1,ET$229=1,$GT153=1),ET153,0))</f>
        <v>x</v>
      </c>
      <c r="EU336" s="39" t="str">
        <f>IF(EU153=-1,"x",IF(OR(EU251=1,EU$229=1,$GU153=1),EU153,0))</f>
        <v>x</v>
      </c>
      <c r="EV336" s="41" t="str">
        <f>IF(EV153=-1,"x",IF(OR(EV251=1,EV$229=1,$GV153=1),EV153,0))</f>
        <v>x</v>
      </c>
      <c r="EW336" s="40">
        <f>IF(EW153=-1,"x",IF(OR(EW251=1,EW$229=1,$GT153=1),EW153,0))</f>
        <v>0</v>
      </c>
      <c r="EX336" s="39">
        <f>IF(EX153=-1,"x",IF(OR(EX251=1,EX$229=1,$GU153=1),EX153,0))</f>
        <v>0</v>
      </c>
      <c r="EY336" s="41">
        <f>IF(EY153=-1,"x",IF(OR(EY251=1,EY$229=1,$GV153=1),EY153,0))</f>
        <v>0</v>
      </c>
      <c r="EZ336" s="40">
        <f>IF(EZ153=-1,"x",IF(OR(EZ251=1,EZ$229=1,$GT153=1),EZ153,0))</f>
        <v>0</v>
      </c>
      <c r="FA336" s="39">
        <f>IF(FA153=-1,"x",IF(OR(FA251=1,FA$229=1,$GU153=1),FA153,0))</f>
        <v>0</v>
      </c>
      <c r="FB336" s="42">
        <f>IF(FB153=-1,"x",IF(OR(FB251=1,FB$229=1,$GV153=1),FB153,0))</f>
        <v>0</v>
      </c>
      <c r="FC336" s="43" t="str">
        <f>IF(FC153=-1,"x",IF(OR(FC251=1,FC$229=1,$GT153=1),FC153,0))</f>
        <v>x</v>
      </c>
      <c r="FD336" s="39" t="str">
        <f>IF(FD153=-1,"x",IF(OR(FD251=1,FD$229=1,$GU153=1),FD153,0))</f>
        <v>x</v>
      </c>
      <c r="FE336" s="41" t="str">
        <f>IF(FE153=-1,"x",IF(OR(FE251=1,FE$229=1,$GV153=1),FE153,0))</f>
        <v>x</v>
      </c>
      <c r="FF336" s="40" t="str">
        <f>IF(FF153=-1,"x",IF(OR(FF251=1,FF$229=1,$GT153=1),FF153,0))</f>
        <v>x</v>
      </c>
      <c r="FG336" s="39" t="str">
        <f>IF(FG153=-1,"x",IF(OR(FG251=1,FG$229=1,$GU153=1),FG153,0))</f>
        <v>x</v>
      </c>
      <c r="FH336" s="41" t="str">
        <f>IF(FH153=-1,"x",IF(OR(FH251=1,FH$229=1,$GV153=1),FH153,0))</f>
        <v>x</v>
      </c>
      <c r="FI336" s="40" t="str">
        <f>IF(FI153=-1,"x",IF(OR(FI251=1,FI$229=1,$GT153=1),FI153,0))</f>
        <v>x</v>
      </c>
      <c r="FJ336" s="39" t="str">
        <f>IF(FJ153=-1,"x",IF(OR(FJ251=1,FJ$229=1,$GU153=1),FJ153,0))</f>
        <v>x</v>
      </c>
      <c r="FK336" s="95" t="str">
        <f>IF(FK153=-1,"x",IF(OR(FK251=1,FK$229=1,$GV153=1),FK153,0))</f>
        <v>x</v>
      </c>
      <c r="FL336" s="94" t="str">
        <f>IF(FL153=-1,"x",IF(OR(FL251=1,FL$229=1,$GT153=1),FL153,0))</f>
        <v>x</v>
      </c>
      <c r="FM336" s="39" t="str">
        <f>IF(FM153=-1,"x",IF(OR(FM251=1,FM$229=1,$GU153=1),FM153,0))</f>
        <v>x</v>
      </c>
      <c r="FN336" s="41" t="str">
        <f>IF(FN153=-1,"x",IF(OR(FN251=1,FN$229=1,$GV153=1),FN153,0))</f>
        <v>x</v>
      </c>
      <c r="FO336" s="40" t="str">
        <f>IF(FO153=-1,"x",IF(OR(FO251=1,FO$229=1,$GT153=1),FO153,0))</f>
        <v>x</v>
      </c>
      <c r="FP336" s="39" t="str">
        <f>IF(FP153=-1,"x",IF(OR(FP251=1,FP$229=1,$GU153=1),FP153,0))</f>
        <v>x</v>
      </c>
      <c r="FQ336" s="41" t="str">
        <f>IF(FQ153=-1,"x",IF(OR(FQ251=1,FQ$229=1,$GV153=1),FQ153,0))</f>
        <v>x</v>
      </c>
      <c r="FR336" s="40" t="str">
        <f>IF(FR153=-1,"x",IF(OR(FR251=1,FR$229=1,$GT153=1),FR153,0))</f>
        <v>x</v>
      </c>
      <c r="FS336" s="39" t="str">
        <f>IF(FS153=-1,"x",IF(OR(FS251=1,FS$229=1,$GU153=1),FS153,0))</f>
        <v>x</v>
      </c>
      <c r="FT336" s="42" t="str">
        <f>IF(FT153=-1,"x",IF(OR(FT251=1,FT$229=1,$GV153=1),FT153,0))</f>
        <v>x</v>
      </c>
      <c r="FU336" s="43" t="str">
        <f>IF(FU153=-1,"x",IF(OR(FU251=1,FU$229=1,$GT153=1),FU153,0))</f>
        <v>x</v>
      </c>
      <c r="FV336" s="39" t="str">
        <f>IF(FV153=-1,"x",IF(OR(FV251=1,FV$229=1,$GU153=1),FV153,0))</f>
        <v>x</v>
      </c>
      <c r="FW336" s="41" t="str">
        <f>IF(FW153=-1,"x",IF(OR(FW251=1,FW$229=1,$GV153=1),FW153,0))</f>
        <v>x</v>
      </c>
      <c r="FX336" s="40" t="str">
        <f>IF(FX153=-1,"x",IF(OR(FX251=1,FX$229=1,$GT153=1),FX153,0))</f>
        <v>x</v>
      </c>
      <c r="FY336" s="39" t="str">
        <f>IF(FY153=-1,"x",IF(OR(FY251=1,FY$229=1,$GU153=1),FY153,0))</f>
        <v>x</v>
      </c>
      <c r="FZ336" s="41" t="str">
        <f>IF(FZ153=-1,"x",IF(OR(FZ251=1,FZ$229=1,$GV153=1),FZ153,0))</f>
        <v>x</v>
      </c>
      <c r="GA336" s="40" t="str">
        <f>IF(GA153=-1,"x",IF(OR(GA251=1,GA$229=1,$GT153=1),GA153,0))</f>
        <v>x</v>
      </c>
      <c r="GB336" s="39" t="str">
        <f>IF(GB153=-1,"x",IF(OR(GB251=1,GB$229=1,$GU153=1),GB153,0))</f>
        <v>x</v>
      </c>
      <c r="GC336" s="42" t="str">
        <f>IF(GC153=-1,"x",IF(OR(GC251=1,GC$229=1,$GV153=1),GC153,0))</f>
        <v>x</v>
      </c>
      <c r="GD336" s="43" t="str">
        <f>IF(GD153=-1,"x",IF(OR(GD251=1,GD$229=1,$GT153=1),GD153,0))</f>
        <v>x</v>
      </c>
      <c r="GE336" s="39" t="str">
        <f>IF(GE153=-1,"x",IF(OR(GE251=1,GE$229=1,$GU153=1),GE153,0))</f>
        <v>x</v>
      </c>
      <c r="GF336" s="41" t="str">
        <f>IF(GF153=-1,"x",IF(OR(GF251=1,GF$229=1,$GV153=1),GF153,0))</f>
        <v>x</v>
      </c>
      <c r="GG336" s="40" t="str">
        <f>IF(GG153=-1,"x",IF(OR(GG251=1,GG$229=1,$GT153=1),GG153,0))</f>
        <v>x</v>
      </c>
      <c r="GH336" s="39" t="str">
        <f>IF(GH153=-1,"x",IF(OR(GH251=1,GH$229=1,$GU153=1),GH153,0))</f>
        <v>x</v>
      </c>
      <c r="GI336" s="41" t="str">
        <f>IF(GI153=-1,"x",IF(OR(GI251=1,GI$229=1,$GV153=1),GI153,0))</f>
        <v>x</v>
      </c>
      <c r="GJ336" s="40">
        <f>IF(GJ153=-1,"x",IF(OR(GJ251=1,GJ$229=1,$GT153=1),GJ153,0))</f>
        <v>0</v>
      </c>
      <c r="GK336" s="39">
        <f>IF(GK153=-1,"x",IF(OR(GK251=1,GK$229=1,$GU153=1),GK153,0))</f>
        <v>0</v>
      </c>
      <c r="GL336" s="95">
        <f>IF(GL153=-1,"x",IF(OR(GL251=1,GL$229=1,$GV153=1),GL153,0))</f>
        <v>0</v>
      </c>
    </row>
    <row r="337" spans="14:194" ht="15" customHeight="1">
      <c r="N337" s="99">
        <f>IF(N154=-1,"x",IF(OR(N252=1,N$197=1,$CX154=1),N154,0))</f>
        <v>0</v>
      </c>
      <c r="O337" s="45">
        <f>IF(O154=-1,"x",IF(OR(O252=1,O$197=1,$CY154=1),O154,0))</f>
        <v>0</v>
      </c>
      <c r="P337" s="47">
        <f>IF(P154=-1,"x",IF(OR(P252=1,P$197=1,$CZ154=1),P154,0))</f>
        <v>0</v>
      </c>
      <c r="Q337" s="46">
        <f>IF(Q154=-1,"x",IF(OR(Q252=1,Q$197=1,$CX154=1),Q154,0))</f>
        <v>0</v>
      </c>
      <c r="R337" s="45">
        <f>IF(R154=-1,"x",IF(OR(R252=1,R$197=1,$CY154=1),R154,0))</f>
        <v>0</v>
      </c>
      <c r="S337" s="47">
        <f>IF(S154=-1,"x",IF(OR(S252=1,S$197=1,$CZ154=1),S154,0))</f>
        <v>0</v>
      </c>
      <c r="T337" s="46">
        <f>IF(T154=-1,"x",IF(OR(T252=1,T$197=1,$CX154=1),T154,0))</f>
        <v>0</v>
      </c>
      <c r="U337" s="45">
        <f>IF(U154=-1,"x",IF(OR(U252=1,U$197=1,$CY154=1),U154,0))</f>
        <v>0</v>
      </c>
      <c r="V337" s="48">
        <f>IF(V154=-1,"x",IF(OR(V252=1,V$197=1,$CZ154=1),V154,0))</f>
        <v>0</v>
      </c>
      <c r="W337" s="44" t="str">
        <f>IF(W154=-1,"x",IF(OR(W252=1,W$197=1,$CX154=1),W154,0))</f>
        <v>x</v>
      </c>
      <c r="X337" s="45" t="str">
        <f>IF(X154=-1,"x",IF(OR(X252=1,X$197=1,$CY154=1),X154,0))</f>
        <v>x</v>
      </c>
      <c r="Y337" s="47" t="str">
        <f>IF(Y154=-1,"x",IF(OR(Y252=1,Y$197=1,$CZ154=1),Y154,0))</f>
        <v>x</v>
      </c>
      <c r="Z337" s="46" t="str">
        <f>IF(Z154=-1,"x",IF(OR(Z252=1,Z$197=1,$CX154=1),Z154,0))</f>
        <v>x</v>
      </c>
      <c r="AA337" s="45" t="str">
        <f>IF(AA154=-1,"x",IF(OR(AA252=1,AA$197=1,$CY154=1),AA154,0))</f>
        <v>x</v>
      </c>
      <c r="AB337" s="47" t="str">
        <f>IF(AB154=-1,"x",IF(OR(AB252=1,AB$197=1,$CZ154=1),AB154,0))</f>
        <v>x</v>
      </c>
      <c r="AC337" s="46" t="str">
        <f>IF(AC154=-1,"x",IF(OR(AC252=1,AC$197=1,$CX154=1),AC154,0))</f>
        <v>x</v>
      </c>
      <c r="AD337" s="45" t="str">
        <f>IF(AD154=-1,"x",IF(OR(AD252=1,AD$197=1,$CY154=1),AD154,0))</f>
        <v>x</v>
      </c>
      <c r="AE337" s="48" t="str">
        <f>IF(AE154=-1,"x",IF(OR(AE252=1,AE$197=1,$CZ154=1),AE154,0))</f>
        <v>x</v>
      </c>
      <c r="AF337" s="44" t="str">
        <f>IF(AF154=-1,"x",IF(OR(AF252=1,AF$197=1,$CX154=1),AF154,0))</f>
        <v>x</v>
      </c>
      <c r="AG337" s="45" t="str">
        <f>IF(AG154=-1,"x",IF(OR(AG252=1,AG$197=1,$CY154=1),AG154,0))</f>
        <v>x</v>
      </c>
      <c r="AH337" s="47" t="str">
        <f>IF(AH154=-1,"x",IF(OR(AH252=1,AH$197=1,$CZ154=1),AH154,0))</f>
        <v>x</v>
      </c>
      <c r="AI337" s="46" t="str">
        <f>IF(AI154=-1,"x",IF(OR(AI252=1,AI$197=1,$CX154=1),AI154,0))</f>
        <v>x</v>
      </c>
      <c r="AJ337" s="45" t="str">
        <f>IF(AJ154=-1,"x",IF(OR(AJ252=1,AJ$197=1,$CY154=1),AJ154,0))</f>
        <v>x</v>
      </c>
      <c r="AK337" s="47" t="str">
        <f>IF(AK154=-1,"x",IF(OR(AK252=1,AK$197=1,$CZ154=1),AK154,0))</f>
        <v>x</v>
      </c>
      <c r="AL337" s="46" t="str">
        <f>IF(AL154=-1,"x",IF(OR(AL252=1,AL$197=1,$CX154=1),AL154,0))</f>
        <v>x</v>
      </c>
      <c r="AM337" s="45" t="str">
        <f>IF(AM154=-1,"x",IF(OR(AM252=1,AM$197=1,$CY154=1),AM154,0))</f>
        <v>x</v>
      </c>
      <c r="AN337" s="100" t="str">
        <f>IF(AN154=-1,"x",IF(OR(AN252=1,AN$197=1,$CZ154=1),AN154,0))</f>
        <v>x</v>
      </c>
      <c r="AO337" s="99" t="str">
        <f>IF(AO154=-1,"x",IF(OR(AO252=1,AO$197=1,$CX154=1),AO154,0))</f>
        <v>x</v>
      </c>
      <c r="AP337" s="45" t="str">
        <f>IF(AP154=-1,"x",IF(OR(AP252=1,AP$197=1,$CY154=1),AP154,0))</f>
        <v>x</v>
      </c>
      <c r="AQ337" s="47" t="str">
        <f>IF(AQ154=-1,"x",IF(OR(AQ252=1,AQ$197=1,$CZ154=1),AQ154,0))</f>
        <v>x</v>
      </c>
      <c r="AR337" s="46" t="str">
        <f>IF(AR154=-1,"x",IF(OR(AR252=1,AR$197=1,$CX154=1),AR154,0))</f>
        <v>x</v>
      </c>
      <c r="AS337" s="45" t="str">
        <f>IF(AS154=-1,"x",IF(OR(AS252=1,AS$197=1,$CY154=1),AS154,0))</f>
        <v>x</v>
      </c>
      <c r="AT337" s="47" t="str">
        <f>IF(AT154=-1,"x",IF(OR(AT252=1,AT$197=1,$CZ154=1),AT154,0))</f>
        <v>x</v>
      </c>
      <c r="AU337" s="46" t="str">
        <f>IF(AU154=-1,"x",IF(OR(AU252=1,AU$197=1,$CX154=1),AU154,0))</f>
        <v>x</v>
      </c>
      <c r="AV337" s="45" t="str">
        <f>IF(AV154=-1,"x",IF(OR(AV252=1,AV$197=1,$CY154=1),AV154,0))</f>
        <v>x</v>
      </c>
      <c r="AW337" s="48" t="str">
        <f>IF(AW154=-1,"x",IF(OR(AW252=1,AW$197=1,$CZ154=1),AW154,0))</f>
        <v>x</v>
      </c>
      <c r="AX337" s="44" t="str">
        <f>IF(AX154=-1,"x",IF(OR(AX252=1,AX$197=1,$CX154=1),AX154,0))</f>
        <v>x</v>
      </c>
      <c r="AY337" s="45" t="str">
        <f>IF(AY154=-1,"x",IF(OR(AY252=1,AY$197=1,$CY154=1),AY154,0))</f>
        <v>x</v>
      </c>
      <c r="AZ337" s="47" t="str">
        <f>IF(AZ154=-1,"x",IF(OR(AZ252=1,AZ$197=1,$CZ154=1),AZ154,0))</f>
        <v>x</v>
      </c>
      <c r="BA337" s="46" t="str">
        <f>IF(BA154=-1,"x",IF(OR(BA252=1,BA$197=1,$CX154=1),BA154,0))</f>
        <v>x</v>
      </c>
      <c r="BB337" s="45" t="str">
        <f>IF(BB154=-1,"x",IF(OR(BB252=1,BB$197=1,$CY154=1),BB154,0))</f>
        <v>x</v>
      </c>
      <c r="BC337" s="47" t="str">
        <f>IF(BC154=-1,"x",IF(OR(BC252=1,BC$197=1,$CZ154=1),BC154,0))</f>
        <v>x</v>
      </c>
      <c r="BD337" s="46" t="str">
        <f>IF(BD154=-1,"x",IF(OR(BD252=1,BD$197=1,$CX154=1),BD154,0))</f>
        <v>x</v>
      </c>
      <c r="BE337" s="45" t="str">
        <f>IF(BE154=-1,"x",IF(OR(BE252=1,BE$197=1,$CY154=1),BE154,0))</f>
        <v>x</v>
      </c>
      <c r="BF337" s="48" t="str">
        <f>IF(BF154=-1,"x",IF(OR(BF252=1,BF$197=1,$CZ154=1),BF154,0))</f>
        <v>x</v>
      </c>
      <c r="BG337" s="44" t="str">
        <f>IF(BG154=-1,"x",IF(OR(BG252=1,BG$197=1,$CX154=1),BG154,0))</f>
        <v>x</v>
      </c>
      <c r="BH337" s="45" t="str">
        <f>IF(BH154=-1,"x",IF(OR(BH252=1,BH$197=1,$CY154=1),BH154,0))</f>
        <v>x</v>
      </c>
      <c r="BI337" s="47" t="str">
        <f>IF(BI154=-1,"x",IF(OR(BI252=1,BI$197=1,$CZ154=1),BI154,0))</f>
        <v>x</v>
      </c>
      <c r="BJ337" s="46" t="str">
        <f>IF(BJ154=-1,"x",IF(OR(BJ252=1,BJ$197=1,$CX154=1),BJ154,0))</f>
        <v>x</v>
      </c>
      <c r="BK337" s="45" t="str">
        <f>IF(BK154=-1,"x",IF(OR(BK252=1,BK$197=1,$CY154=1),BK154,0))</f>
        <v>x</v>
      </c>
      <c r="BL337" s="47" t="str">
        <f>IF(BL154=-1,"x",IF(OR(BL252=1,BL$197=1,$CZ154=1),BL154,0))</f>
        <v>x</v>
      </c>
      <c r="BM337" s="46" t="str">
        <f>IF(BM154=-1,"x",IF(OR(BM252=1,BM$197=1,$CX154=1),BM154,0))</f>
        <v>x</v>
      </c>
      <c r="BN337" s="45" t="str">
        <f>IF(BN154=-1,"x",IF(OR(BN252=1,BN$197=1,$CY154=1),BN154,0))</f>
        <v>x</v>
      </c>
      <c r="BO337" s="100" t="str">
        <f>IF(BO154=-1,"x",IF(OR(BO252=1,BO$197=1,$CZ154=1),BO154,0))</f>
        <v>x</v>
      </c>
      <c r="BP337" s="99" t="str">
        <f>IF(BP154=-1,"x",IF(OR(BP252=1,BP$197=1,$CX154=1),BP154,0))</f>
        <v>x</v>
      </c>
      <c r="BQ337" s="45" t="str">
        <f>IF(BQ154=-1,"x",IF(OR(BQ252=1,BQ$197=1,$CY154=1),BQ154,0))</f>
        <v>x</v>
      </c>
      <c r="BR337" s="47" t="str">
        <f>IF(BR154=-1,"x",IF(OR(BR252=1,BR$197=1,$CZ154=1),BR154,0))</f>
        <v>x</v>
      </c>
      <c r="BS337" s="46" t="str">
        <f>IF(BS154=-1,"x",IF(OR(BS252=1,BS$197=1,$CX154=1),BS154,0))</f>
        <v>x</v>
      </c>
      <c r="BT337" s="45" t="str">
        <f>IF(BT154=-1,"x",IF(OR(BT252=1,BT$197=1,$CY154=1),BT154,0))</f>
        <v>x</v>
      </c>
      <c r="BU337" s="47" t="str">
        <f>IF(BU154=-1,"x",IF(OR(BU252=1,BU$197=1,$CZ154=1),BU154,0))</f>
        <v>x</v>
      </c>
      <c r="BV337" s="46" t="str">
        <f>IF(BV154=-1,"x",IF(OR(BV252=1,BV$197=1,$CX154=1),BV154,0))</f>
        <v>x</v>
      </c>
      <c r="BW337" s="45" t="str">
        <f>IF(BW154=-1,"x",IF(OR(BW252=1,BW$197=1,$CY154=1),BW154,0))</f>
        <v>x</v>
      </c>
      <c r="BX337" s="48" t="str">
        <f>IF(BX154=-1,"x",IF(OR(BX252=1,BX$197=1,$CZ154=1),BX154,0))</f>
        <v>x</v>
      </c>
      <c r="BY337" s="44" t="str">
        <f>IF(BY154=-1,"x",IF(OR(BY252=1,BY$197=1,$CX154=1),BY154,0))</f>
        <v>x</v>
      </c>
      <c r="BZ337" s="45" t="str">
        <f>IF(BZ154=-1,"x",IF(OR(BZ252=1,BZ$197=1,$CY154=1),BZ154,0))</f>
        <v>x</v>
      </c>
      <c r="CA337" s="47" t="str">
        <f>IF(CA154=-1,"x",IF(OR(CA252=1,CA$197=1,$CZ154=1),CA154,0))</f>
        <v>x</v>
      </c>
      <c r="CB337" s="46" t="str">
        <f>IF(CB154=-1,"x",IF(OR(CB252=1,CB$197=1,$CX154=1),CB154,0))</f>
        <v>x</v>
      </c>
      <c r="CC337" s="45" t="str">
        <f>IF(CC154=-1,"x",IF(OR(CC252=1,CC$197=1,$CY154=1),CC154,0))</f>
        <v>x</v>
      </c>
      <c r="CD337" s="47" t="str">
        <f>IF(CD154=-1,"x",IF(OR(CD252=1,CD$197=1,$CZ154=1),CD154,0))</f>
        <v>x</v>
      </c>
      <c r="CE337" s="46" t="str">
        <f>IF(CE154=-1,"x",IF(OR(CE252=1,CE$197=1,$CX154=1),CE154,0))</f>
        <v>x</v>
      </c>
      <c r="CF337" s="45" t="str">
        <f>IF(CF154=-1,"x",IF(OR(CF252=1,CF$197=1,$CY154=1),CF154,0))</f>
        <v>x</v>
      </c>
      <c r="CG337" s="48" t="str">
        <f>IF(CG154=-1,"x",IF(OR(CG252=1,CG$197=1,$CZ154=1),CG154,0))</f>
        <v>x</v>
      </c>
      <c r="CH337" s="44">
        <f>IF(CH154=-1,"x",IF(OR(CH252=1,CH$197=1,$CX154=1),CH154,0))</f>
        <v>0</v>
      </c>
      <c r="CI337" s="45">
        <f>IF(CI154=-1,"x",IF(OR(CI252=1,CI$197=1,$CY154=1),CI154,0))</f>
        <v>0</v>
      </c>
      <c r="CJ337" s="47">
        <f>IF(CJ154=-1,"x",IF(OR(CJ252=1,CJ$197=1,$CZ154=1),CJ154,0))</f>
        <v>0</v>
      </c>
      <c r="CK337" s="46" t="str">
        <f>IF(CK154=-1,"x",IF(OR(CK252=1,CK$197=1,$CX154=1),CK154,0))</f>
        <v>x</v>
      </c>
      <c r="CL337" s="45" t="str">
        <f>IF(CL154=-1,"x",IF(OR(CL252=1,CL$197=1,$CY154=1),CL154,0))</f>
        <v>x</v>
      </c>
      <c r="CM337" s="47" t="str">
        <f>IF(CM154=-1,"x",IF(OR(CM252=1,CM$197=1,$CZ154=1),CM154,0))</f>
        <v>x</v>
      </c>
      <c r="CN337" s="46" t="str">
        <f>IF(CN154=-1,"x",IF(OR(CN252=1,CN$197=1,$CX154=1),CN154,0))</f>
        <v>x</v>
      </c>
      <c r="CO337" s="45" t="str">
        <f>IF(CO154=-1,"x",IF(OR(CO252=1,CO$197=1,$CY154=1),CO154,0))</f>
        <v>x</v>
      </c>
      <c r="CP337" s="100" t="str">
        <f>IF(CP154=-1,"x",IF(OR(CP252=1,CP$197=1,$CZ154=1),CP154,0))</f>
        <v>x</v>
      </c>
      <c r="DJ337" s="99">
        <f>IF(DJ154=-1,"x",IF(OR(DJ252=1,DJ$230=1,$GT154=1),DJ154,0))</f>
        <v>0</v>
      </c>
      <c r="DK337" s="45">
        <f>IF(DK154=-1,"x",IF(OR(DK252=1,DK$230=1,$GU154=1),DK154,0))</f>
        <v>0</v>
      </c>
      <c r="DL337" s="47">
        <f>IF(DL154=-1,"x",IF(OR(DL252=1,DL$230=1,$GV154=1),DL154,0))</f>
        <v>0</v>
      </c>
      <c r="DM337" s="46">
        <f>IF(DM154=-1,"x",IF(OR(DM252=1,DM$230=1,$GT154=1),DM154,0))</f>
        <v>0</v>
      </c>
      <c r="DN337" s="45">
        <f>IF(DN154=-1,"x",IF(OR(DN252=1,DN$230=1,$GU154=1),DN154,0))</f>
        <v>0</v>
      </c>
      <c r="DO337" s="47">
        <f>IF(DO154=-1,"x",IF(OR(DO252=1,DO$230=1,$GV154=1),DO154,0))</f>
        <v>0</v>
      </c>
      <c r="DP337" s="46" t="str">
        <f>IF(DP154=-1,"x",IF(OR(DP252=1,DP$230=1,$GT154=1),DP154,0))</f>
        <v>x</v>
      </c>
      <c r="DQ337" s="45" t="str">
        <f>IF(DQ154=-1,"x",IF(OR(DQ252=1,DQ$230=1,$GU154=1),DQ154,0))</f>
        <v>x</v>
      </c>
      <c r="DR337" s="48" t="str">
        <f>IF(DR154=-1,"x",IF(OR(DR252=1,DR$230=1,$GV154=1),DR154,0))</f>
        <v>x</v>
      </c>
      <c r="DS337" s="44" t="str">
        <f>IF(DS154=-1,"x",IF(OR(DS252=1,DS$230=1,$GT154=1),DS154,0))</f>
        <v>x</v>
      </c>
      <c r="DT337" s="45" t="str">
        <f>IF(DT154=-1,"x",IF(OR(DT252=1,DT$230=1,$GU154=1),DT154,0))</f>
        <v>x</v>
      </c>
      <c r="DU337" s="47" t="str">
        <f>IF(DU154=-1,"x",IF(OR(DU252=1,DU$230=1,$GV154=1),DU154,0))</f>
        <v>x</v>
      </c>
      <c r="DV337" s="46" t="str">
        <f>IF(DV154=-1,"x",IF(OR(DV252=1,DV$230=1,$GT154=1),DV154,0))</f>
        <v>x</v>
      </c>
      <c r="DW337" s="45" t="str">
        <f>IF(DW154=-1,"x",IF(OR(DW252=1,DW$230=1,$GU154=1),DW154,0))</f>
        <v>x</v>
      </c>
      <c r="DX337" s="47" t="str">
        <f>IF(DX154=-1,"x",IF(OR(DX252=1,DX$230=1,$GV154=1),DX154,0))</f>
        <v>x</v>
      </c>
      <c r="DY337" s="46" t="str">
        <f>IF(DY154=-1,"x",IF(OR(DY252=1,DY$230=1,$GT154=1),DY154,0))</f>
        <v>x</v>
      </c>
      <c r="DZ337" s="45" t="str">
        <f>IF(DZ154=-1,"x",IF(OR(DZ252=1,DZ$230=1,$GU154=1),DZ154,0))</f>
        <v>x</v>
      </c>
      <c r="EA337" s="48" t="str">
        <f>IF(EA154=-1,"x",IF(OR(EA252=1,EA$230=1,$GV154=1),EA154,0))</f>
        <v>x</v>
      </c>
      <c r="EB337" s="44" t="str">
        <f>IF(EB154=-1,"x",IF(OR(EB252=1,EB$230=1,$GT154=1),EB154,0))</f>
        <v>x</v>
      </c>
      <c r="EC337" s="45" t="str">
        <f>IF(EC154=-1,"x",IF(OR(EC252=1,EC$230=1,$GU154=1),EC154,0))</f>
        <v>x</v>
      </c>
      <c r="ED337" s="47" t="str">
        <f>IF(ED154=-1,"x",IF(OR(ED252=1,ED$230=1,$GV154=1),ED154,0))</f>
        <v>x</v>
      </c>
      <c r="EE337" s="46" t="str">
        <f>IF(EE154=-1,"x",IF(OR(EE252=1,EE$230=1,$GT154=1),EE154,0))</f>
        <v>x</v>
      </c>
      <c r="EF337" s="45" t="str">
        <f>IF(EF154=-1,"x",IF(OR(EF252=1,EF$230=1,$GU154=1),EF154,0))</f>
        <v>x</v>
      </c>
      <c r="EG337" s="47" t="str">
        <f>IF(EG154=-1,"x",IF(OR(EG252=1,EG$230=1,$GV154=1),EG154,0))</f>
        <v>x</v>
      </c>
      <c r="EH337" s="46" t="str">
        <f>IF(EH154=-1,"x",IF(OR(EH252=1,EH$230=1,$GT154=1),EH154,0))</f>
        <v>x</v>
      </c>
      <c r="EI337" s="45" t="str">
        <f>IF(EI154=-1,"x",IF(OR(EI252=1,EI$230=1,$GU154=1),EI154,0))</f>
        <v>x</v>
      </c>
      <c r="EJ337" s="100" t="str">
        <f>IF(EJ154=-1,"x",IF(OR(EJ252=1,EJ$230=1,$GV154=1),EJ154,0))</f>
        <v>x</v>
      </c>
      <c r="EK337" s="99" t="str">
        <f>IF(EK154=-1,"x",IF(OR(EK252=1,EK$230=1,$GT154=1),EK154,0))</f>
        <v>x</v>
      </c>
      <c r="EL337" s="45" t="str">
        <f>IF(EL154=-1,"x",IF(OR(EL252=1,EL$230=1,$GU154=1),EL154,0))</f>
        <v>x</v>
      </c>
      <c r="EM337" s="47" t="str">
        <f>IF(EM154=-1,"x",IF(OR(EM252=1,EM$230=1,$GV154=1),EM154,0))</f>
        <v>x</v>
      </c>
      <c r="EN337" s="46" t="str">
        <f>IF(EN154=-1,"x",IF(OR(EN252=1,EN$230=1,$GT154=1),EN154,0))</f>
        <v>x</v>
      </c>
      <c r="EO337" s="45" t="str">
        <f>IF(EO154=-1,"x",IF(OR(EO252=1,EO$230=1,$GU154=1),EO154,0))</f>
        <v>x</v>
      </c>
      <c r="EP337" s="47" t="str">
        <f>IF(EP154=-1,"x",IF(OR(EP252=1,EP$230=1,$GV154=1),EP154,0))</f>
        <v>x</v>
      </c>
      <c r="EQ337" s="46" t="str">
        <f>IF(EQ154=-1,"x",IF(OR(EQ252=1,EQ$230=1,$GT154=1),EQ154,0))</f>
        <v>x</v>
      </c>
      <c r="ER337" s="45" t="str">
        <f>IF(ER154=-1,"x",IF(OR(ER252=1,ER$230=1,$GU154=1),ER154,0))</f>
        <v>x</v>
      </c>
      <c r="ES337" s="48" t="str">
        <f>IF(ES154=-1,"x",IF(OR(ES252=1,ES$230=1,$GV154=1),ES154,0))</f>
        <v>x</v>
      </c>
      <c r="ET337" s="44" t="str">
        <f>IF(ET154=-1,"x",IF(OR(ET252=1,ET$230=1,$GT154=1),ET154,0))</f>
        <v>x</v>
      </c>
      <c r="EU337" s="45" t="str">
        <f>IF(EU154=-1,"x",IF(OR(EU252=1,EU$230=1,$GU154=1),EU154,0))</f>
        <v>x</v>
      </c>
      <c r="EV337" s="47" t="str">
        <f>IF(EV154=-1,"x",IF(OR(EV252=1,EV$230=1,$GV154=1),EV154,0))</f>
        <v>x</v>
      </c>
      <c r="EW337" s="46">
        <f>IF(EW154=-1,"x",IF(OR(EW252=1,EW$230=1,$GT154=1),EW154,0))</f>
        <v>0</v>
      </c>
      <c r="EX337" s="45">
        <f>IF(EX154=-1,"x",IF(OR(EX252=1,EX$230=1,$GU154=1),EX154,0))</f>
        <v>0</v>
      </c>
      <c r="EY337" s="47">
        <f>IF(EY154=-1,"x",IF(OR(EY252=1,EY$230=1,$GV154=1),EY154,0))</f>
        <v>0</v>
      </c>
      <c r="EZ337" s="46">
        <f>IF(EZ154=-1,"x",IF(OR(EZ252=1,EZ$230=1,$GT154=1),EZ154,0))</f>
        <v>0</v>
      </c>
      <c r="FA337" s="45">
        <f>IF(FA154=-1,"x",IF(OR(FA252=1,FA$230=1,$GU154=1),FA154,0))</f>
        <v>0</v>
      </c>
      <c r="FB337" s="48">
        <f>IF(FB154=-1,"x",IF(OR(FB252=1,FB$230=1,$GV154=1),FB154,0))</f>
        <v>0</v>
      </c>
      <c r="FC337" s="44" t="str">
        <f>IF(FC154=-1,"x",IF(OR(FC252=1,FC$230=1,$GT154=1),FC154,0))</f>
        <v>x</v>
      </c>
      <c r="FD337" s="45" t="str">
        <f>IF(FD154=-1,"x",IF(OR(FD252=1,FD$230=1,$GU154=1),FD154,0))</f>
        <v>x</v>
      </c>
      <c r="FE337" s="47" t="str">
        <f>IF(FE154=-1,"x",IF(OR(FE252=1,FE$230=1,$GV154=1),FE154,0))</f>
        <v>x</v>
      </c>
      <c r="FF337" s="46" t="str">
        <f>IF(FF154=-1,"x",IF(OR(FF252=1,FF$230=1,$GT154=1),FF154,0))</f>
        <v>x</v>
      </c>
      <c r="FG337" s="45" t="str">
        <f>IF(FG154=-1,"x",IF(OR(FG252=1,FG$230=1,$GU154=1),FG154,0))</f>
        <v>x</v>
      </c>
      <c r="FH337" s="47" t="str">
        <f>IF(FH154=-1,"x",IF(OR(FH252=1,FH$230=1,$GV154=1),FH154,0))</f>
        <v>x</v>
      </c>
      <c r="FI337" s="46" t="str">
        <f>IF(FI154=-1,"x",IF(OR(FI252=1,FI$230=1,$GT154=1),FI154,0))</f>
        <v>x</v>
      </c>
      <c r="FJ337" s="45" t="str">
        <f>IF(FJ154=-1,"x",IF(OR(FJ252=1,FJ$230=1,$GU154=1),FJ154,0))</f>
        <v>x</v>
      </c>
      <c r="FK337" s="100" t="str">
        <f>IF(FK154=-1,"x",IF(OR(FK252=1,FK$230=1,$GV154=1),FK154,0))</f>
        <v>x</v>
      </c>
      <c r="FL337" s="99" t="str">
        <f>IF(FL154=-1,"x",IF(OR(FL252=1,FL$230=1,$GT154=1),FL154,0))</f>
        <v>x</v>
      </c>
      <c r="FM337" s="45" t="str">
        <f>IF(FM154=-1,"x",IF(OR(FM252=1,FM$230=1,$GU154=1),FM154,0))</f>
        <v>x</v>
      </c>
      <c r="FN337" s="47" t="str">
        <f>IF(FN154=-1,"x",IF(OR(FN252=1,FN$230=1,$GV154=1),FN154,0))</f>
        <v>x</v>
      </c>
      <c r="FO337" s="46" t="str">
        <f>IF(FO154=-1,"x",IF(OR(FO252=1,FO$230=1,$GT154=1),FO154,0))</f>
        <v>x</v>
      </c>
      <c r="FP337" s="45" t="str">
        <f>IF(FP154=-1,"x",IF(OR(FP252=1,FP$230=1,$GU154=1),FP154,0))</f>
        <v>x</v>
      </c>
      <c r="FQ337" s="47" t="str">
        <f>IF(FQ154=-1,"x",IF(OR(FQ252=1,FQ$230=1,$GV154=1),FQ154,0))</f>
        <v>x</v>
      </c>
      <c r="FR337" s="46" t="str">
        <f>IF(FR154=-1,"x",IF(OR(FR252=1,FR$230=1,$GT154=1),FR154,0))</f>
        <v>x</v>
      </c>
      <c r="FS337" s="45" t="str">
        <f>IF(FS154=-1,"x",IF(OR(FS252=1,FS$230=1,$GU154=1),FS154,0))</f>
        <v>x</v>
      </c>
      <c r="FT337" s="48" t="str">
        <f>IF(FT154=-1,"x",IF(OR(FT252=1,FT$230=1,$GV154=1),FT154,0))</f>
        <v>x</v>
      </c>
      <c r="FU337" s="44" t="str">
        <f>IF(FU154=-1,"x",IF(OR(FU252=1,FU$230=1,$GT154=1),FU154,0))</f>
        <v>x</v>
      </c>
      <c r="FV337" s="45" t="str">
        <f>IF(FV154=-1,"x",IF(OR(FV252=1,FV$230=1,$GU154=1),FV154,0))</f>
        <v>x</v>
      </c>
      <c r="FW337" s="47" t="str">
        <f>IF(FW154=-1,"x",IF(OR(FW252=1,FW$230=1,$GV154=1),FW154,0))</f>
        <v>x</v>
      </c>
      <c r="FX337" s="46" t="str">
        <f>IF(FX154=-1,"x",IF(OR(FX252=1,FX$230=1,$GT154=1),FX154,0))</f>
        <v>x</v>
      </c>
      <c r="FY337" s="45" t="str">
        <f>IF(FY154=-1,"x",IF(OR(FY252=1,FY$230=1,$GU154=1),FY154,0))</f>
        <v>x</v>
      </c>
      <c r="FZ337" s="47" t="str">
        <f>IF(FZ154=-1,"x",IF(OR(FZ252=1,FZ$230=1,$GV154=1),FZ154,0))</f>
        <v>x</v>
      </c>
      <c r="GA337" s="46" t="str">
        <f>IF(GA154=-1,"x",IF(OR(GA252=1,GA$230=1,$GT154=1),GA154,0))</f>
        <v>x</v>
      </c>
      <c r="GB337" s="45" t="str">
        <f>IF(GB154=-1,"x",IF(OR(GB252=1,GB$230=1,$GU154=1),GB154,0))</f>
        <v>x</v>
      </c>
      <c r="GC337" s="48" t="str">
        <f>IF(GC154=-1,"x",IF(OR(GC252=1,GC$230=1,$GV154=1),GC154,0))</f>
        <v>x</v>
      </c>
      <c r="GD337" s="44" t="str">
        <f>IF(GD154=-1,"x",IF(OR(GD252=1,GD$230=1,$GT154=1),GD154,0))</f>
        <v>x</v>
      </c>
      <c r="GE337" s="45" t="str">
        <f>IF(GE154=-1,"x",IF(OR(GE252=1,GE$230=1,$GU154=1),GE154,0))</f>
        <v>x</v>
      </c>
      <c r="GF337" s="47" t="str">
        <f>IF(GF154=-1,"x",IF(OR(GF252=1,GF$230=1,$GV154=1),GF154,0))</f>
        <v>x</v>
      </c>
      <c r="GG337" s="46" t="str">
        <f>IF(GG154=-1,"x",IF(OR(GG252=1,GG$230=1,$GT154=1),GG154,0))</f>
        <v>x</v>
      </c>
      <c r="GH337" s="45" t="str">
        <f>IF(GH154=-1,"x",IF(OR(GH252=1,GH$230=1,$GU154=1),GH154,0))</f>
        <v>x</v>
      </c>
      <c r="GI337" s="47" t="str">
        <f>IF(GI154=-1,"x",IF(OR(GI252=1,GI$230=1,$GV154=1),GI154,0))</f>
        <v>x</v>
      </c>
      <c r="GJ337" s="46">
        <f>IF(GJ154=-1,"x",IF(OR(GJ252=1,GJ$230=1,$GT154=1),GJ154,0))</f>
        <v>0</v>
      </c>
      <c r="GK337" s="45">
        <f>IF(GK154=-1,"x",IF(OR(GK252=1,GK$230=1,$GU154=1),GK154,0))</f>
        <v>0</v>
      </c>
      <c r="GL337" s="100">
        <f>IF(GL154=-1,"x",IF(OR(GL252=1,GL$230=1,$GV154=1),GL154,0))</f>
        <v>0</v>
      </c>
    </row>
    <row r="338" spans="14:194" ht="15" customHeight="1">
      <c r="N338" s="104" t="str">
        <f>IF(N155=-1,"x",IF(OR(N253=1,N$195=1,$CX155=1),N155,0))</f>
        <v>x</v>
      </c>
      <c r="O338" s="50" t="str">
        <f>IF(O155=-1,"x",IF(OR(O253=1,O$195=1,$CY155=1),O155,0))</f>
        <v>x</v>
      </c>
      <c r="P338" s="51" t="str">
        <f>IF(P155=-1,"x",IF(OR(P253=1,P$195=1,$CZ155=1),P155,0))</f>
        <v>x</v>
      </c>
      <c r="Q338" s="52" t="str">
        <f>IF(Q155=-1,"x",IF(OR(Q253=1,Q$195=1,$CX155=1),Q155,0))</f>
        <v>x</v>
      </c>
      <c r="R338" s="50" t="str">
        <f>IF(R155=-1,"x",IF(OR(R253=1,R$195=1,$CY155=1),R155,0))</f>
        <v>x</v>
      </c>
      <c r="S338" s="51" t="str">
        <f>IF(S155=-1,"x",IF(OR(S253=1,S$195=1,$CZ155=1),S155,0))</f>
        <v>x</v>
      </c>
      <c r="T338" s="52">
        <f>IF(T155=-1,"x",IF(OR(T253=1,T$195=1,$CX155=1),T155,0))</f>
        <v>0</v>
      </c>
      <c r="U338" s="50">
        <f>IF(U155=-1,"x",IF(OR(U253=1,U$195=1,$CY155=1),U155,0))</f>
        <v>0</v>
      </c>
      <c r="V338" s="53">
        <f>IF(V155=-1,"x",IF(OR(V253=1,V$195=1,$CZ155=1),V155,0))</f>
        <v>0</v>
      </c>
      <c r="W338" s="49" t="str">
        <f>IF(W155=-1,"x",IF(OR(W253=1,W$195=1,$CX155=1),W155,0))</f>
        <v>x</v>
      </c>
      <c r="X338" s="50" t="str">
        <f>IF(X155=-1,"x",IF(OR(X253=1,X$195=1,$CY155=1),X155,0))</f>
        <v>x</v>
      </c>
      <c r="Y338" s="51" t="str">
        <f>IF(Y155=-1,"x",IF(OR(Y253=1,Y$195=1,$CZ155=1),Y155,0))</f>
        <v>x</v>
      </c>
      <c r="Z338" s="52" t="str">
        <f>IF(Z155=-1,"x",IF(OR(Z253=1,Z$195=1,$CX155=1),Z155,0))</f>
        <v>x</v>
      </c>
      <c r="AA338" s="50" t="str">
        <f>IF(AA155=-1,"x",IF(OR(AA253=1,AA$195=1,$CY155=1),AA155,0))</f>
        <v>x</v>
      </c>
      <c r="AB338" s="51" t="str">
        <f>IF(AB155=-1,"x",IF(OR(AB253=1,AB$195=1,$CZ155=1),AB155,0))</f>
        <v>x</v>
      </c>
      <c r="AC338" s="52" t="str">
        <f>IF(AC155=-1,"x",IF(OR(AC253=1,AC$195=1,$CX155=1),AC155,0))</f>
        <v>x</v>
      </c>
      <c r="AD338" s="50" t="str">
        <f>IF(AD155=-1,"x",IF(OR(AD253=1,AD$195=1,$CY155=1),AD155,0))</f>
        <v>x</v>
      </c>
      <c r="AE338" s="53" t="str">
        <f>IF(AE155=-1,"x",IF(OR(AE253=1,AE$195=1,$CZ155=1),AE155,0))</f>
        <v>x</v>
      </c>
      <c r="AF338" s="49" t="str">
        <f>IF(AF155=-1,"x",IF(OR(AF253=1,AF$195=1,$CX155=1),AF155,0))</f>
        <v>x</v>
      </c>
      <c r="AG338" s="50" t="str">
        <f>IF(AG155=-1,"x",IF(OR(AG253=1,AG$195=1,$CY155=1),AG155,0))</f>
        <v>x</v>
      </c>
      <c r="AH338" s="51" t="str">
        <f>IF(AH155=-1,"x",IF(OR(AH253=1,AH$195=1,$CZ155=1),AH155,0))</f>
        <v>x</v>
      </c>
      <c r="AI338" s="52" t="str">
        <f>IF(AI155=-1,"x",IF(OR(AI253=1,AI$195=1,$CX155=1),AI155,0))</f>
        <v>x</v>
      </c>
      <c r="AJ338" s="50" t="str">
        <f>IF(AJ155=-1,"x",IF(OR(AJ253=1,AJ$195=1,$CY155=1),AJ155,0))</f>
        <v>x</v>
      </c>
      <c r="AK338" s="51" t="str">
        <f>IF(AK155=-1,"x",IF(OR(AK253=1,AK$195=1,$CZ155=1),AK155,0))</f>
        <v>x</v>
      </c>
      <c r="AL338" s="52" t="str">
        <f>IF(AL155=-1,"x",IF(OR(AL253=1,AL$195=1,$CX155=1),AL155,0))</f>
        <v>x</v>
      </c>
      <c r="AM338" s="50" t="str">
        <f>IF(AM155=-1,"x",IF(OR(AM253=1,AM$195=1,$CY155=1),AM155,0))</f>
        <v>x</v>
      </c>
      <c r="AN338" s="105" t="str">
        <f>IF(AN155=-1,"x",IF(OR(AN253=1,AN$195=1,$CZ155=1),AN155,0))</f>
        <v>x</v>
      </c>
      <c r="AO338" s="104" t="str">
        <f>IF(AO155=-1,"x",IF(OR(AO253=1,AO$195=1,$CX155=1),AO155,0))</f>
        <v>x</v>
      </c>
      <c r="AP338" s="50" t="str">
        <f>IF(AP155=-1,"x",IF(OR(AP253=1,AP$195=1,$CY155=1),AP155,0))</f>
        <v>x</v>
      </c>
      <c r="AQ338" s="51" t="str">
        <f>IF(AQ155=-1,"x",IF(OR(AQ253=1,AQ$195=1,$CZ155=1),AQ155,0))</f>
        <v>x</v>
      </c>
      <c r="AR338" s="52" t="str">
        <f>IF(AR155=-1,"x",IF(OR(AR253=1,AR$195=1,$CX155=1),AR155,0))</f>
        <v>x</v>
      </c>
      <c r="AS338" s="50" t="str">
        <f>IF(AS155=-1,"x",IF(OR(AS253=1,AS$195=1,$CY155=1),AS155,0))</f>
        <v>x</v>
      </c>
      <c r="AT338" s="51" t="str">
        <f>IF(AT155=-1,"x",IF(OR(AT253=1,AT$195=1,$CZ155=1),AT155,0))</f>
        <v>x</v>
      </c>
      <c r="AU338" s="52" t="str">
        <f>IF(AU155=-1,"x",IF(OR(AU253=1,AU$195=1,$CX155=1),AU155,0))</f>
        <v>x</v>
      </c>
      <c r="AV338" s="50" t="str">
        <f>IF(AV155=-1,"x",IF(OR(AV253=1,AV$195=1,$CY155=1),AV155,0))</f>
        <v>x</v>
      </c>
      <c r="AW338" s="53" t="str">
        <f>IF(AW155=-1,"x",IF(OR(AW253=1,AW$195=1,$CZ155=1),AW155,0))</f>
        <v>x</v>
      </c>
      <c r="AX338" s="49" t="str">
        <f>IF(AX155=-1,"x",IF(OR(AX253=1,AX$195=1,$CX155=1),AX155,0))</f>
        <v>x</v>
      </c>
      <c r="AY338" s="50" t="str">
        <f>IF(AY155=-1,"x",IF(OR(AY253=1,AY$195=1,$CY155=1),AY155,0))</f>
        <v>x</v>
      </c>
      <c r="AZ338" s="51" t="str">
        <f>IF(AZ155=-1,"x",IF(OR(AZ253=1,AZ$195=1,$CZ155=1),AZ155,0))</f>
        <v>x</v>
      </c>
      <c r="BA338" s="52" t="str">
        <f>IF(BA155=-1,"x",IF(OR(BA253=1,BA$195=1,$CX155=1),BA155,0))</f>
        <v>x</v>
      </c>
      <c r="BB338" s="50" t="str">
        <f>IF(BB155=-1,"x",IF(OR(BB253=1,BB$195=1,$CY155=1),BB155,0))</f>
        <v>x</v>
      </c>
      <c r="BC338" s="51" t="str">
        <f>IF(BC155=-1,"x",IF(OR(BC253=1,BC$195=1,$CZ155=1),BC155,0))</f>
        <v>x</v>
      </c>
      <c r="BD338" s="52" t="str">
        <f>IF(BD155=-1,"x",IF(OR(BD253=1,BD$195=1,$CX155=1),BD155,0))</f>
        <v>x</v>
      </c>
      <c r="BE338" s="50" t="str">
        <f>IF(BE155=-1,"x",IF(OR(BE253=1,BE$195=1,$CY155=1),BE155,0))</f>
        <v>x</v>
      </c>
      <c r="BF338" s="53" t="str">
        <f>IF(BF155=-1,"x",IF(OR(BF253=1,BF$195=1,$CZ155=1),BF155,0))</f>
        <v>x</v>
      </c>
      <c r="BG338" s="49" t="str">
        <f>IF(BG155=-1,"x",IF(OR(BG253=1,BG$195=1,$CX155=1),BG155,0))</f>
        <v>x</v>
      </c>
      <c r="BH338" s="50" t="str">
        <f>IF(BH155=-1,"x",IF(OR(BH253=1,BH$195=1,$CY155=1),BH155,0))</f>
        <v>x</v>
      </c>
      <c r="BI338" s="51" t="str">
        <f>IF(BI155=-1,"x",IF(OR(BI253=1,BI$195=1,$CZ155=1),BI155,0))</f>
        <v>x</v>
      </c>
      <c r="BJ338" s="52" t="str">
        <f>IF(BJ155=-1,"x",IF(OR(BJ253=1,BJ$195=1,$CX155=1),BJ155,0))</f>
        <v>x</v>
      </c>
      <c r="BK338" s="50" t="str">
        <f>IF(BK155=-1,"x",IF(OR(BK253=1,BK$195=1,$CY155=1),BK155,0))</f>
        <v>x</v>
      </c>
      <c r="BL338" s="51" t="str">
        <f>IF(BL155=-1,"x",IF(OR(BL253=1,BL$195=1,$CZ155=1),BL155,0))</f>
        <v>x</v>
      </c>
      <c r="BM338" s="52" t="str">
        <f>IF(BM155=-1,"x",IF(OR(BM253=1,BM$195=1,$CX155=1),BM155,0))</f>
        <v>x</v>
      </c>
      <c r="BN338" s="50" t="str">
        <f>IF(BN155=-1,"x",IF(OR(BN253=1,BN$195=1,$CY155=1),BN155,0))</f>
        <v>x</v>
      </c>
      <c r="BO338" s="105" t="str">
        <f>IF(BO155=-1,"x",IF(OR(BO253=1,BO$195=1,$CZ155=1),BO155,0))</f>
        <v>x</v>
      </c>
      <c r="BP338" s="104" t="str">
        <f>IF(BP155=-1,"x",IF(OR(BP253=1,BP$195=1,$CX155=1),BP155,0))</f>
        <v>x</v>
      </c>
      <c r="BQ338" s="50" t="str">
        <f>IF(BQ155=-1,"x",IF(OR(BQ253=1,BQ$195=1,$CY155=1),BQ155,0))</f>
        <v>x</v>
      </c>
      <c r="BR338" s="51" t="str">
        <f>IF(BR155=-1,"x",IF(OR(BR253=1,BR$195=1,$CZ155=1),BR155,0))</f>
        <v>x</v>
      </c>
      <c r="BS338" s="52" t="str">
        <f>IF(BS155=-1,"x",IF(OR(BS253=1,BS$195=1,$CX155=1),BS155,0))</f>
        <v>x</v>
      </c>
      <c r="BT338" s="50" t="str">
        <f>IF(BT155=-1,"x",IF(OR(BT253=1,BT$195=1,$CY155=1),BT155,0))</f>
        <v>x</v>
      </c>
      <c r="BU338" s="51" t="str">
        <f>IF(BU155=-1,"x",IF(OR(BU253=1,BU$195=1,$CZ155=1),BU155,0))</f>
        <v>x</v>
      </c>
      <c r="BV338" s="52" t="str">
        <f>IF(BV155=-1,"x",IF(OR(BV253=1,BV$195=1,$CX155=1),BV155,0))</f>
        <v>x</v>
      </c>
      <c r="BW338" s="50" t="str">
        <f>IF(BW155=-1,"x",IF(OR(BW253=1,BW$195=1,$CY155=1),BW155,0))</f>
        <v>x</v>
      </c>
      <c r="BX338" s="53" t="str">
        <f>IF(BX155=-1,"x",IF(OR(BX253=1,BX$195=1,$CZ155=1),BX155,0))</f>
        <v>x</v>
      </c>
      <c r="BY338" s="49" t="str">
        <f>IF(BY155=-1,"x",IF(OR(BY253=1,BY$195=1,$CX155=1),BY155,0))</f>
        <v>x</v>
      </c>
      <c r="BZ338" s="50" t="str">
        <f>IF(BZ155=-1,"x",IF(OR(BZ253=1,BZ$195=1,$CY155=1),BZ155,0))</f>
        <v>x</v>
      </c>
      <c r="CA338" s="51" t="str">
        <f>IF(CA155=-1,"x",IF(OR(CA253=1,CA$195=1,$CZ155=1),CA155,0))</f>
        <v>x</v>
      </c>
      <c r="CB338" s="52" t="str">
        <f>IF(CB155=-1,"x",IF(OR(CB253=1,CB$195=1,$CX155=1),CB155,0))</f>
        <v>x</v>
      </c>
      <c r="CC338" s="50" t="str">
        <f>IF(CC155=-1,"x",IF(OR(CC253=1,CC$195=1,$CY155=1),CC155,0))</f>
        <v>x</v>
      </c>
      <c r="CD338" s="51" t="str">
        <f>IF(CD155=-1,"x",IF(OR(CD253=1,CD$195=1,$CZ155=1),CD155,0))</f>
        <v>x</v>
      </c>
      <c r="CE338" s="52" t="str">
        <f>IF(CE155=-1,"x",IF(OR(CE253=1,CE$195=1,$CX155=1),CE155,0))</f>
        <v>x</v>
      </c>
      <c r="CF338" s="50" t="str">
        <f>IF(CF155=-1,"x",IF(OR(CF253=1,CF$195=1,$CY155=1),CF155,0))</f>
        <v>x</v>
      </c>
      <c r="CG338" s="53" t="str">
        <f>IF(CG155=-1,"x",IF(OR(CG253=1,CG$195=1,$CZ155=1),CG155,0))</f>
        <v>x</v>
      </c>
      <c r="CH338" s="49" t="str">
        <f>IF(CH155=-1,"x",IF(OR(CH253=1,CH$195=1,$CX155=1),CH155,0))</f>
        <v>x</v>
      </c>
      <c r="CI338" s="50" t="str">
        <f>IF(CI155=-1,"x",IF(OR(CI253=1,CI$195=1,$CY155=1),CI155,0))</f>
        <v>x</v>
      </c>
      <c r="CJ338" s="51" t="str">
        <f>IF(CJ155=-1,"x",IF(OR(CJ253=1,CJ$195=1,$CZ155=1),CJ155,0))</f>
        <v>x</v>
      </c>
      <c r="CK338" s="52" t="str">
        <f>IF(CK155=-1,"x",IF(OR(CK253=1,CK$195=1,$CX155=1),CK155,0))</f>
        <v>x</v>
      </c>
      <c r="CL338" s="50" t="str">
        <f>IF(CL155=-1,"x",IF(OR(CL253=1,CL$195=1,$CY155=1),CL155,0))</f>
        <v>x</v>
      </c>
      <c r="CM338" s="51" t="str">
        <f>IF(CM155=-1,"x",IF(OR(CM253=1,CM$195=1,$CZ155=1),CM155,0))</f>
        <v>x</v>
      </c>
      <c r="CN338" s="52" t="str">
        <f>IF(CN155=-1,"x",IF(OR(CN253=1,CN$195=1,$CX155=1),CN155,0))</f>
        <v>x</v>
      </c>
      <c r="CO338" s="50" t="str">
        <f>IF(CO155=-1,"x",IF(OR(CO253=1,CO$195=1,$CY155=1),CO155,0))</f>
        <v>x</v>
      </c>
      <c r="CP338" s="105" t="str">
        <f>IF(CP155=-1,"x",IF(OR(CP253=1,CP$195=1,$CZ155=1),CP155,0))</f>
        <v>x</v>
      </c>
      <c r="DJ338" s="104" t="str">
        <f>IF(DJ155=-1,"x",IF(OR(DJ253=1,DJ$228=1,$GT155=1),DJ155,0))</f>
        <v>x</v>
      </c>
      <c r="DK338" s="50" t="str">
        <f>IF(DK155=-1,"x",IF(OR(DK253=1,DK$228=1,$GU155=1),DK155,0))</f>
        <v>x</v>
      </c>
      <c r="DL338" s="51" t="str">
        <f>IF(DL155=-1,"x",IF(OR(DL253=1,DL$228=1,$GV155=1),DL155,0))</f>
        <v>x</v>
      </c>
      <c r="DM338" s="52" t="str">
        <f>IF(DM155=-1,"x",IF(OR(DM253=1,DM$228=1,$GT155=1),DM155,0))</f>
        <v>x</v>
      </c>
      <c r="DN338" s="50" t="str">
        <f>IF(DN155=-1,"x",IF(OR(DN253=1,DN$228=1,$GU155=1),DN155,0))</f>
        <v>x</v>
      </c>
      <c r="DO338" s="51" t="str">
        <f>IF(DO155=-1,"x",IF(OR(DO253=1,DO$228=1,$GV155=1),DO155,0))</f>
        <v>x</v>
      </c>
      <c r="DP338" s="52" t="str">
        <f>IF(DP155=-1,"x",IF(OR(DP253=1,DP$228=1,$GT155=1),DP155,0))</f>
        <v>x</v>
      </c>
      <c r="DQ338" s="50" t="str">
        <f>IF(DQ155=-1,"x",IF(OR(DQ253=1,DQ$228=1,$GU155=1),DQ155,0))</f>
        <v>x</v>
      </c>
      <c r="DR338" s="53" t="str">
        <f>IF(DR155=-1,"x",IF(OR(DR253=1,DR$228=1,$GV155=1),DR155,0))</f>
        <v>x</v>
      </c>
      <c r="DS338" s="49" t="str">
        <f>IF(DS155=-1,"x",IF(OR(DS253=1,DS$228=1,$GT155=1),DS155,0))</f>
        <v>x</v>
      </c>
      <c r="DT338" s="50" t="str">
        <f>IF(DT155=-1,"x",IF(OR(DT253=1,DT$228=1,$GU155=1),DT155,0))</f>
        <v>x</v>
      </c>
      <c r="DU338" s="51" t="str">
        <f>IF(DU155=-1,"x",IF(OR(DU253=1,DU$228=1,$GV155=1),DU155,0))</f>
        <v>x</v>
      </c>
      <c r="DV338" s="52" t="str">
        <f>IF(DV155=-1,"x",IF(OR(DV253=1,DV$228=1,$GT155=1),DV155,0))</f>
        <v>x</v>
      </c>
      <c r="DW338" s="50" t="str">
        <f>IF(DW155=-1,"x",IF(OR(DW253=1,DW$228=1,$GU155=1),DW155,0))</f>
        <v>x</v>
      </c>
      <c r="DX338" s="51" t="str">
        <f>IF(DX155=-1,"x",IF(OR(DX253=1,DX$228=1,$GV155=1),DX155,0))</f>
        <v>x</v>
      </c>
      <c r="DY338" s="52" t="str">
        <f>IF(DY155=-1,"x",IF(OR(DY253=1,DY$228=1,$GT155=1),DY155,0))</f>
        <v>x</v>
      </c>
      <c r="DZ338" s="50" t="str">
        <f>IF(DZ155=-1,"x",IF(OR(DZ253=1,DZ$228=1,$GU155=1),DZ155,0))</f>
        <v>x</v>
      </c>
      <c r="EA338" s="53" t="str">
        <f>IF(EA155=-1,"x",IF(OR(EA253=1,EA$228=1,$GV155=1),EA155,0))</f>
        <v>x</v>
      </c>
      <c r="EB338" s="49" t="str">
        <f>IF(EB155=-1,"x",IF(OR(EB253=1,EB$228=1,$GT155=1),EB155,0))</f>
        <v>x</v>
      </c>
      <c r="EC338" s="50" t="str">
        <f>IF(EC155=-1,"x",IF(OR(EC253=1,EC$228=1,$GU155=1),EC155,0))</f>
        <v>x</v>
      </c>
      <c r="ED338" s="51" t="str">
        <f>IF(ED155=-1,"x",IF(OR(ED253=1,ED$228=1,$GV155=1),ED155,0))</f>
        <v>x</v>
      </c>
      <c r="EE338" s="52" t="str">
        <f>IF(EE155=-1,"x",IF(OR(EE253=1,EE$228=1,$GT155=1),EE155,0))</f>
        <v>x</v>
      </c>
      <c r="EF338" s="50" t="str">
        <f>IF(EF155=-1,"x",IF(OR(EF253=1,EF$228=1,$GU155=1),EF155,0))</f>
        <v>x</v>
      </c>
      <c r="EG338" s="51" t="str">
        <f>IF(EG155=-1,"x",IF(OR(EG253=1,EG$228=1,$GV155=1),EG155,0))</f>
        <v>x</v>
      </c>
      <c r="EH338" s="52" t="str">
        <f>IF(EH155=-1,"x",IF(OR(EH253=1,EH$228=1,$GT155=1),EH155,0))</f>
        <v>x</v>
      </c>
      <c r="EI338" s="50" t="str">
        <f>IF(EI155=-1,"x",IF(OR(EI253=1,EI$228=1,$GU155=1),EI155,0))</f>
        <v>x</v>
      </c>
      <c r="EJ338" s="105" t="str">
        <f>IF(EJ155=-1,"x",IF(OR(EJ253=1,EJ$228=1,$GV155=1),EJ155,0))</f>
        <v>x</v>
      </c>
      <c r="EK338" s="104" t="str">
        <f>IF(EK155=-1,"x",IF(OR(EK253=1,EK$228=1,$GT155=1),EK155,0))</f>
        <v>x</v>
      </c>
      <c r="EL338" s="50" t="str">
        <f>IF(EL155=-1,"x",IF(OR(EL253=1,EL$228=1,$GU155=1),EL155,0))</f>
        <v>x</v>
      </c>
      <c r="EM338" s="51" t="str">
        <f>IF(EM155=-1,"x",IF(OR(EM253=1,EM$228=1,$GV155=1),EM155,0))</f>
        <v>x</v>
      </c>
      <c r="EN338" s="52" t="str">
        <f>IF(EN155=-1,"x",IF(OR(EN253=1,EN$228=1,$GT155=1),EN155,0))</f>
        <v>x</v>
      </c>
      <c r="EO338" s="50" t="str">
        <f>IF(EO155=-1,"x",IF(OR(EO253=1,EO$228=1,$GU155=1),EO155,0))</f>
        <v>x</v>
      </c>
      <c r="EP338" s="51" t="str">
        <f>IF(EP155=-1,"x",IF(OR(EP253=1,EP$228=1,$GV155=1),EP155,0))</f>
        <v>x</v>
      </c>
      <c r="EQ338" s="52" t="str">
        <f>IF(EQ155=-1,"x",IF(OR(EQ253=1,EQ$228=1,$GT155=1),EQ155,0))</f>
        <v>x</v>
      </c>
      <c r="ER338" s="50" t="str">
        <f>IF(ER155=-1,"x",IF(OR(ER253=1,ER$228=1,$GU155=1),ER155,0))</f>
        <v>x</v>
      </c>
      <c r="ES338" s="53" t="str">
        <f>IF(ES155=-1,"x",IF(OR(ES253=1,ES$228=1,$GV155=1),ES155,0))</f>
        <v>x</v>
      </c>
      <c r="ET338" s="49" t="str">
        <f>IF(ET155=-1,"x",IF(OR(ET253=1,ET$228=1,$GT155=1),ET155,0))</f>
        <v>x</v>
      </c>
      <c r="EU338" s="50" t="str">
        <f>IF(EU155=-1,"x",IF(OR(EU253=1,EU$228=1,$GU155=1),EU155,0))</f>
        <v>x</v>
      </c>
      <c r="EV338" s="51" t="str">
        <f>IF(EV155=-1,"x",IF(OR(EV253=1,EV$228=1,$GV155=1),EV155,0))</f>
        <v>x</v>
      </c>
      <c r="EW338" s="52" t="str">
        <f>IF(EW155=-1,"x",IF(OR(EW253=1,EW$228=1,$GT155=1),EW155,0))</f>
        <v>x</v>
      </c>
      <c r="EX338" s="50" t="str">
        <f>IF(EX155=-1,"x",IF(OR(EX253=1,EX$228=1,$GU155=1),EX155,0))</f>
        <v>x</v>
      </c>
      <c r="EY338" s="51" t="str">
        <f>IF(EY155=-1,"x",IF(OR(EY253=1,EY$228=1,$GV155=1),EY155,0))</f>
        <v>x</v>
      </c>
      <c r="EZ338" s="52" t="str">
        <f>IF(EZ155=-1,"x",IF(OR(EZ253=1,EZ$228=1,$GT155=1),EZ155,0))</f>
        <v>x</v>
      </c>
      <c r="FA338" s="50" t="str">
        <f>IF(FA155=-1,"x",IF(OR(FA253=1,FA$228=1,$GU155=1),FA155,0))</f>
        <v>x</v>
      </c>
      <c r="FB338" s="53" t="str">
        <f>IF(FB155=-1,"x",IF(OR(FB253=1,FB$228=1,$GV155=1),FB155,0))</f>
        <v>x</v>
      </c>
      <c r="FC338" s="49" t="str">
        <f>IF(FC155=-1,"x",IF(OR(FC253=1,FC$228=1,$GT155=1),FC155,0))</f>
        <v>x</v>
      </c>
      <c r="FD338" s="50" t="str">
        <f>IF(FD155=-1,"x",IF(OR(FD253=1,FD$228=1,$GU155=1),FD155,0))</f>
        <v>x</v>
      </c>
      <c r="FE338" s="51" t="str">
        <f>IF(FE155=-1,"x",IF(OR(FE253=1,FE$228=1,$GV155=1),FE155,0))</f>
        <v>x</v>
      </c>
      <c r="FF338" s="52" t="str">
        <f>IF(FF155=-1,"x",IF(OR(FF253=1,FF$228=1,$GT155=1),FF155,0))</f>
        <v>x</v>
      </c>
      <c r="FG338" s="50" t="str">
        <f>IF(FG155=-1,"x",IF(OR(FG253=1,FG$228=1,$GU155=1),FG155,0))</f>
        <v>x</v>
      </c>
      <c r="FH338" s="51" t="str">
        <f>IF(FH155=-1,"x",IF(OR(FH253=1,FH$228=1,$GV155=1),FH155,0))</f>
        <v>x</v>
      </c>
      <c r="FI338" s="52" t="str">
        <f>IF(FI155=-1,"x",IF(OR(FI253=1,FI$228=1,$GT155=1),FI155,0))</f>
        <v>x</v>
      </c>
      <c r="FJ338" s="50" t="str">
        <f>IF(FJ155=-1,"x",IF(OR(FJ253=1,FJ$228=1,$GU155=1),FJ155,0))</f>
        <v>x</v>
      </c>
      <c r="FK338" s="105" t="str">
        <f>IF(FK155=-1,"x",IF(OR(FK253=1,FK$228=1,$GV155=1),FK155,0))</f>
        <v>x</v>
      </c>
      <c r="FL338" s="104" t="str">
        <f>IF(FL155=-1,"x",IF(OR(FL253=1,FL$228=1,$GT155=1),FL155,0))</f>
        <v>x</v>
      </c>
      <c r="FM338" s="50" t="str">
        <f>IF(FM155=-1,"x",IF(OR(FM253=1,FM$228=1,$GU155=1),FM155,0))</f>
        <v>x</v>
      </c>
      <c r="FN338" s="51" t="str">
        <f>IF(FN155=-1,"x",IF(OR(FN253=1,FN$228=1,$GV155=1),FN155,0))</f>
        <v>x</v>
      </c>
      <c r="FO338" s="52" t="str">
        <f>IF(FO155=-1,"x",IF(OR(FO253=1,FO$228=1,$GT155=1),FO155,0))</f>
        <v>x</v>
      </c>
      <c r="FP338" s="50" t="str">
        <f>IF(FP155=-1,"x",IF(OR(FP253=1,FP$228=1,$GU155=1),FP155,0))</f>
        <v>x</v>
      </c>
      <c r="FQ338" s="51" t="str">
        <f>IF(FQ155=-1,"x",IF(OR(FQ253=1,FQ$228=1,$GV155=1),FQ155,0))</f>
        <v>x</v>
      </c>
      <c r="FR338" s="52" t="str">
        <f>IF(FR155=-1,"x",IF(OR(FR253=1,FR$228=1,$GT155=1),FR155,0))</f>
        <v>x</v>
      </c>
      <c r="FS338" s="50" t="str">
        <f>IF(FS155=-1,"x",IF(OR(FS253=1,FS$228=1,$GU155=1),FS155,0))</f>
        <v>x</v>
      </c>
      <c r="FT338" s="53" t="str">
        <f>IF(FT155=-1,"x",IF(OR(FT253=1,FT$228=1,$GV155=1),FT155,0))</f>
        <v>x</v>
      </c>
      <c r="FU338" s="49" t="str">
        <f>IF(FU155=-1,"x",IF(OR(FU253=1,FU$228=1,$GT155=1),FU155,0))</f>
        <v>x</v>
      </c>
      <c r="FV338" s="50" t="str">
        <f>IF(FV155=-1,"x",IF(OR(FV253=1,FV$228=1,$GU155=1),FV155,0))</f>
        <v>x</v>
      </c>
      <c r="FW338" s="51" t="str">
        <f>IF(FW155=-1,"x",IF(OR(FW253=1,FW$228=1,$GV155=1),FW155,0))</f>
        <v>x</v>
      </c>
      <c r="FX338" s="52" t="str">
        <f>IF(FX155=-1,"x",IF(OR(FX253=1,FX$228=1,$GT155=1),FX155,0))</f>
        <v>x</v>
      </c>
      <c r="FY338" s="50" t="str">
        <f>IF(FY155=-1,"x",IF(OR(FY253=1,FY$228=1,$GU155=1),FY155,0))</f>
        <v>x</v>
      </c>
      <c r="FZ338" s="51" t="str">
        <f>IF(FZ155=-1,"x",IF(OR(FZ253=1,FZ$228=1,$GV155=1),FZ155,0))</f>
        <v>x</v>
      </c>
      <c r="GA338" s="52" t="str">
        <f>IF(GA155=-1,"x",IF(OR(GA253=1,GA$228=1,$GT155=1),GA155,0))</f>
        <v>x</v>
      </c>
      <c r="GB338" s="50" t="str">
        <f>IF(GB155=-1,"x",IF(OR(GB253=1,GB$228=1,$GU155=1),GB155,0))</f>
        <v>x</v>
      </c>
      <c r="GC338" s="53" t="str">
        <f>IF(GC155=-1,"x",IF(OR(GC253=1,GC$228=1,$GV155=1),GC155,0))</f>
        <v>x</v>
      </c>
      <c r="GD338" s="49" t="str">
        <f>IF(GD155=-1,"x",IF(OR(GD253=1,GD$228=1,$GT155=1),GD155,0))</f>
        <v>x</v>
      </c>
      <c r="GE338" s="50" t="str">
        <f>IF(GE155=-1,"x",IF(OR(GE253=1,GE$228=1,$GU155=1),GE155,0))</f>
        <v>x</v>
      </c>
      <c r="GF338" s="51" t="str">
        <f>IF(GF155=-1,"x",IF(OR(GF253=1,GF$228=1,$GV155=1),GF155,0))</f>
        <v>x</v>
      </c>
      <c r="GG338" s="52" t="str">
        <f>IF(GG155=-1,"x",IF(OR(GG253=1,GG$228=1,$GT155=1),GG155,0))</f>
        <v>x</v>
      </c>
      <c r="GH338" s="50" t="str">
        <f>IF(GH155=-1,"x",IF(OR(GH253=1,GH$228=1,$GU155=1),GH155,0))</f>
        <v>x</v>
      </c>
      <c r="GI338" s="51" t="str">
        <f>IF(GI155=-1,"x",IF(OR(GI253=1,GI$228=1,$GV155=1),GI155,0))</f>
        <v>x</v>
      </c>
      <c r="GJ338" s="52">
        <f>IF(GJ155=-1,"x",IF(OR(GJ253=1,GJ$228=1,$GT155=1),GJ155,0))</f>
        <v>0</v>
      </c>
      <c r="GK338" s="50">
        <f>IF(GK155=-1,"x",IF(OR(GK253=1,GK$228=1,$GU155=1),GK155,0))</f>
        <v>0</v>
      </c>
      <c r="GL338" s="105">
        <f>IF(GL155=-1,"x",IF(OR(GL253=1,GL$228=1,$GV155=1),GL155,0))</f>
        <v>0</v>
      </c>
    </row>
    <row r="339" spans="14:194" ht="15" customHeight="1">
      <c r="N339" s="94" t="str">
        <f>IF(N156=-1,"x",IF(OR(N254=1,N$196=1,$CX156=1),N156,0))</f>
        <v>x</v>
      </c>
      <c r="O339" s="39" t="str">
        <f>IF(O156=-1,"x",IF(OR(O254=1,O$196=1,$CY156=1),O156,0))</f>
        <v>x</v>
      </c>
      <c r="P339" s="41" t="str">
        <f>IF(P156=-1,"x",IF(OR(P254=1,P$196=1,$CZ156=1),P156,0))</f>
        <v>x</v>
      </c>
      <c r="Q339" s="40" t="str">
        <f>IF(Q156=-1,"x",IF(OR(Q254=1,Q$196=1,$CX156=1),Q156,0))</f>
        <v>x</v>
      </c>
      <c r="R339" s="39" t="str">
        <f>IF(R156=-1,"x",IF(OR(R254=1,R$196=1,$CY156=1),R156,0))</f>
        <v>x</v>
      </c>
      <c r="S339" s="41" t="str">
        <f>IF(S156=-1,"x",IF(OR(S254=1,S$196=1,$CZ156=1),S156,0))</f>
        <v>x</v>
      </c>
      <c r="T339" s="40">
        <f>IF(T156=-1,"x",IF(OR(T254=1,T$196=1,$CX156=1),T156,0))</f>
        <v>0</v>
      </c>
      <c r="U339" s="39">
        <f>IF(U156=-1,"x",IF(OR(U254=1,U$196=1,$CY156=1),U156,0))</f>
        <v>0</v>
      </c>
      <c r="V339" s="42">
        <f>IF(V156=-1,"x",IF(OR(V254=1,V$196=1,$CZ156=1),V156,0))</f>
        <v>0</v>
      </c>
      <c r="W339" s="43" t="str">
        <f>IF(W156=-1,"x",IF(OR(W254=1,W$196=1,$CX156=1),W156,0))</f>
        <v>x</v>
      </c>
      <c r="X339" s="39" t="str">
        <f>IF(X156=-1,"x",IF(OR(X254=1,X$196=1,$CY156=1),X156,0))</f>
        <v>x</v>
      </c>
      <c r="Y339" s="41" t="str">
        <f>IF(Y156=-1,"x",IF(OR(Y254=1,Y$196=1,$CZ156=1),Y156,0))</f>
        <v>x</v>
      </c>
      <c r="Z339" s="40" t="str">
        <f>IF(Z156=-1,"x",IF(OR(Z254=1,Z$196=1,$CX156=1),Z156,0))</f>
        <v>x</v>
      </c>
      <c r="AA339" s="39" t="str">
        <f>IF(AA156=-1,"x",IF(OR(AA254=1,AA$196=1,$CY156=1),AA156,0))</f>
        <v>x</v>
      </c>
      <c r="AB339" s="41" t="str">
        <f>IF(AB156=-1,"x",IF(OR(AB254=1,AB$196=1,$CZ156=1),AB156,0))</f>
        <v>x</v>
      </c>
      <c r="AC339" s="40" t="str">
        <f>IF(AC156=-1,"x",IF(OR(AC254=1,AC$196=1,$CX156=1),AC156,0))</f>
        <v>x</v>
      </c>
      <c r="AD339" s="39" t="str">
        <f>IF(AD156=-1,"x",IF(OR(AD254=1,AD$196=1,$CY156=1),AD156,0))</f>
        <v>x</v>
      </c>
      <c r="AE339" s="42" t="str">
        <f>IF(AE156=-1,"x",IF(OR(AE254=1,AE$196=1,$CZ156=1),AE156,0))</f>
        <v>x</v>
      </c>
      <c r="AF339" s="43" t="str">
        <f>IF(AF156=-1,"x",IF(OR(AF254=1,AF$196=1,$CX156=1),AF156,0))</f>
        <v>x</v>
      </c>
      <c r="AG339" s="39" t="str">
        <f>IF(AG156=-1,"x",IF(OR(AG254=1,AG$196=1,$CY156=1),AG156,0))</f>
        <v>x</v>
      </c>
      <c r="AH339" s="41" t="str">
        <f>IF(AH156=-1,"x",IF(OR(AH254=1,AH$196=1,$CZ156=1),AH156,0))</f>
        <v>x</v>
      </c>
      <c r="AI339" s="40" t="str">
        <f>IF(AI156=-1,"x",IF(OR(AI254=1,AI$196=1,$CX156=1),AI156,0))</f>
        <v>x</v>
      </c>
      <c r="AJ339" s="39" t="str">
        <f>IF(AJ156=-1,"x",IF(OR(AJ254=1,AJ$196=1,$CY156=1),AJ156,0))</f>
        <v>x</v>
      </c>
      <c r="AK339" s="41" t="str">
        <f>IF(AK156=-1,"x",IF(OR(AK254=1,AK$196=1,$CZ156=1),AK156,0))</f>
        <v>x</v>
      </c>
      <c r="AL339" s="40" t="str">
        <f>IF(AL156=-1,"x",IF(OR(AL254=1,AL$196=1,$CX156=1),AL156,0))</f>
        <v>x</v>
      </c>
      <c r="AM339" s="39" t="str">
        <f>IF(AM156=-1,"x",IF(OR(AM254=1,AM$196=1,$CY156=1),AM156,0))</f>
        <v>x</v>
      </c>
      <c r="AN339" s="95" t="str">
        <f>IF(AN156=-1,"x",IF(OR(AN254=1,AN$196=1,$CZ156=1),AN156,0))</f>
        <v>x</v>
      </c>
      <c r="AO339" s="94" t="str">
        <f>IF(AO156=-1,"x",IF(OR(AO254=1,AO$196=1,$CX156=1),AO156,0))</f>
        <v>x</v>
      </c>
      <c r="AP339" s="39" t="str">
        <f>IF(AP156=-1,"x",IF(OR(AP254=1,AP$196=1,$CY156=1),AP156,0))</f>
        <v>x</v>
      </c>
      <c r="AQ339" s="41" t="str">
        <f>IF(AQ156=-1,"x",IF(OR(AQ254=1,AQ$196=1,$CZ156=1),AQ156,0))</f>
        <v>x</v>
      </c>
      <c r="AR339" s="40" t="str">
        <f>IF(AR156=-1,"x",IF(OR(AR254=1,AR$196=1,$CX156=1),AR156,0))</f>
        <v>x</v>
      </c>
      <c r="AS339" s="39" t="str">
        <f>IF(AS156=-1,"x",IF(OR(AS254=1,AS$196=1,$CY156=1),AS156,0))</f>
        <v>x</v>
      </c>
      <c r="AT339" s="41" t="str">
        <f>IF(AT156=-1,"x",IF(OR(AT254=1,AT$196=1,$CZ156=1),AT156,0))</f>
        <v>x</v>
      </c>
      <c r="AU339" s="40" t="str">
        <f>IF(AU156=-1,"x",IF(OR(AU254=1,AU$196=1,$CX156=1),AU156,0))</f>
        <v>x</v>
      </c>
      <c r="AV339" s="39" t="str">
        <f>IF(AV156=-1,"x",IF(OR(AV254=1,AV$196=1,$CY156=1),AV156,0))</f>
        <v>x</v>
      </c>
      <c r="AW339" s="42" t="str">
        <f>IF(AW156=-1,"x",IF(OR(AW254=1,AW$196=1,$CZ156=1),AW156,0))</f>
        <v>x</v>
      </c>
      <c r="AX339" s="43" t="str">
        <f>IF(AX156=-1,"x",IF(OR(AX254=1,AX$196=1,$CX156=1),AX156,0))</f>
        <v>x</v>
      </c>
      <c r="AY339" s="39" t="str">
        <f>IF(AY156=-1,"x",IF(OR(AY254=1,AY$196=1,$CY156=1),AY156,0))</f>
        <v>x</v>
      </c>
      <c r="AZ339" s="41" t="str">
        <f>IF(AZ156=-1,"x",IF(OR(AZ254=1,AZ$196=1,$CZ156=1),AZ156,0))</f>
        <v>x</v>
      </c>
      <c r="BA339" s="40" t="str">
        <f>IF(BA156=-1,"x",IF(OR(BA254=1,BA$196=1,$CX156=1),BA156,0))</f>
        <v>x</v>
      </c>
      <c r="BB339" s="39" t="str">
        <f>IF(BB156=-1,"x",IF(OR(BB254=1,BB$196=1,$CY156=1),BB156,0))</f>
        <v>x</v>
      </c>
      <c r="BC339" s="41" t="str">
        <f>IF(BC156=-1,"x",IF(OR(BC254=1,BC$196=1,$CZ156=1),BC156,0))</f>
        <v>x</v>
      </c>
      <c r="BD339" s="40" t="str">
        <f>IF(BD156=-1,"x",IF(OR(BD254=1,BD$196=1,$CX156=1),BD156,0))</f>
        <v>x</v>
      </c>
      <c r="BE339" s="39" t="str">
        <f>IF(BE156=-1,"x",IF(OR(BE254=1,BE$196=1,$CY156=1),BE156,0))</f>
        <v>x</v>
      </c>
      <c r="BF339" s="42" t="str">
        <f>IF(BF156=-1,"x",IF(OR(BF254=1,BF$196=1,$CZ156=1),BF156,0))</f>
        <v>x</v>
      </c>
      <c r="BG339" s="43" t="str">
        <f>IF(BG156=-1,"x",IF(OR(BG254=1,BG$196=1,$CX156=1),BG156,0))</f>
        <v>x</v>
      </c>
      <c r="BH339" s="39" t="str">
        <f>IF(BH156=-1,"x",IF(OR(BH254=1,BH$196=1,$CY156=1),BH156,0))</f>
        <v>x</v>
      </c>
      <c r="BI339" s="41" t="str">
        <f>IF(BI156=-1,"x",IF(OR(BI254=1,BI$196=1,$CZ156=1),BI156,0))</f>
        <v>x</v>
      </c>
      <c r="BJ339" s="40" t="str">
        <f>IF(BJ156=-1,"x",IF(OR(BJ254=1,BJ$196=1,$CX156=1),BJ156,0))</f>
        <v>x</v>
      </c>
      <c r="BK339" s="39" t="str">
        <f>IF(BK156=-1,"x",IF(OR(BK254=1,BK$196=1,$CY156=1),BK156,0))</f>
        <v>x</v>
      </c>
      <c r="BL339" s="41" t="str">
        <f>IF(BL156=-1,"x",IF(OR(BL254=1,BL$196=1,$CZ156=1),BL156,0))</f>
        <v>x</v>
      </c>
      <c r="BM339" s="40" t="str">
        <f>IF(BM156=-1,"x",IF(OR(BM254=1,BM$196=1,$CX156=1),BM156,0))</f>
        <v>x</v>
      </c>
      <c r="BN339" s="39" t="str">
        <f>IF(BN156=-1,"x",IF(OR(BN254=1,BN$196=1,$CY156=1),BN156,0))</f>
        <v>x</v>
      </c>
      <c r="BO339" s="95" t="str">
        <f>IF(BO156=-1,"x",IF(OR(BO254=1,BO$196=1,$CZ156=1),BO156,0))</f>
        <v>x</v>
      </c>
      <c r="BP339" s="94" t="str">
        <f>IF(BP156=-1,"x",IF(OR(BP254=1,BP$196=1,$CX156=1),BP156,0))</f>
        <v>x</v>
      </c>
      <c r="BQ339" s="39" t="str">
        <f>IF(BQ156=-1,"x",IF(OR(BQ254=1,BQ$196=1,$CY156=1),BQ156,0))</f>
        <v>x</v>
      </c>
      <c r="BR339" s="41" t="str">
        <f>IF(BR156=-1,"x",IF(OR(BR254=1,BR$196=1,$CZ156=1),BR156,0))</f>
        <v>x</v>
      </c>
      <c r="BS339" s="40" t="str">
        <f>IF(BS156=-1,"x",IF(OR(BS254=1,BS$196=1,$CX156=1),BS156,0))</f>
        <v>x</v>
      </c>
      <c r="BT339" s="39" t="str">
        <f>IF(BT156=-1,"x",IF(OR(BT254=1,BT$196=1,$CY156=1),BT156,0))</f>
        <v>x</v>
      </c>
      <c r="BU339" s="41" t="str">
        <f>IF(BU156=-1,"x",IF(OR(BU254=1,BU$196=1,$CZ156=1),BU156,0))</f>
        <v>x</v>
      </c>
      <c r="BV339" s="40" t="str">
        <f>IF(BV156=-1,"x",IF(OR(BV254=1,BV$196=1,$CX156=1),BV156,0))</f>
        <v>x</v>
      </c>
      <c r="BW339" s="39" t="str">
        <f>IF(BW156=-1,"x",IF(OR(BW254=1,BW$196=1,$CY156=1),BW156,0))</f>
        <v>x</v>
      </c>
      <c r="BX339" s="42" t="str">
        <f>IF(BX156=-1,"x",IF(OR(BX254=1,BX$196=1,$CZ156=1),BX156,0))</f>
        <v>x</v>
      </c>
      <c r="BY339" s="43" t="str">
        <f>IF(BY156=-1,"x",IF(OR(BY254=1,BY$196=1,$CX156=1),BY156,0))</f>
        <v>x</v>
      </c>
      <c r="BZ339" s="39" t="str">
        <f>IF(BZ156=-1,"x",IF(OR(BZ254=1,BZ$196=1,$CY156=1),BZ156,0))</f>
        <v>x</v>
      </c>
      <c r="CA339" s="41" t="str">
        <f>IF(CA156=-1,"x",IF(OR(CA254=1,CA$196=1,$CZ156=1),CA156,0))</f>
        <v>x</v>
      </c>
      <c r="CB339" s="40" t="str">
        <f>IF(CB156=-1,"x",IF(OR(CB254=1,CB$196=1,$CX156=1),CB156,0))</f>
        <v>x</v>
      </c>
      <c r="CC339" s="39" t="str">
        <f>IF(CC156=-1,"x",IF(OR(CC254=1,CC$196=1,$CY156=1),CC156,0))</f>
        <v>x</v>
      </c>
      <c r="CD339" s="41" t="str">
        <f>IF(CD156=-1,"x",IF(OR(CD254=1,CD$196=1,$CZ156=1),CD156,0))</f>
        <v>x</v>
      </c>
      <c r="CE339" s="40" t="str">
        <f>IF(CE156=-1,"x",IF(OR(CE254=1,CE$196=1,$CX156=1),CE156,0))</f>
        <v>x</v>
      </c>
      <c r="CF339" s="39" t="str">
        <f>IF(CF156=-1,"x",IF(OR(CF254=1,CF$196=1,$CY156=1),CF156,0))</f>
        <v>x</v>
      </c>
      <c r="CG339" s="42" t="str">
        <f>IF(CG156=-1,"x",IF(OR(CG254=1,CG$196=1,$CZ156=1),CG156,0))</f>
        <v>x</v>
      </c>
      <c r="CH339" s="43" t="str">
        <f>IF(CH156=-1,"x",IF(OR(CH254=1,CH$196=1,$CX156=1),CH156,0))</f>
        <v>x</v>
      </c>
      <c r="CI339" s="39" t="str">
        <f>IF(CI156=-1,"x",IF(OR(CI254=1,CI$196=1,$CY156=1),CI156,0))</f>
        <v>x</v>
      </c>
      <c r="CJ339" s="41" t="str">
        <f>IF(CJ156=-1,"x",IF(OR(CJ254=1,CJ$196=1,$CZ156=1),CJ156,0))</f>
        <v>x</v>
      </c>
      <c r="CK339" s="40" t="str">
        <f>IF(CK156=-1,"x",IF(OR(CK254=1,CK$196=1,$CX156=1),CK156,0))</f>
        <v>x</v>
      </c>
      <c r="CL339" s="39" t="str">
        <f>IF(CL156=-1,"x",IF(OR(CL254=1,CL$196=1,$CY156=1),CL156,0))</f>
        <v>x</v>
      </c>
      <c r="CM339" s="41" t="str">
        <f>IF(CM156=-1,"x",IF(OR(CM254=1,CM$196=1,$CZ156=1),CM156,0))</f>
        <v>x</v>
      </c>
      <c r="CN339" s="40" t="str">
        <f>IF(CN156=-1,"x",IF(OR(CN254=1,CN$196=1,$CX156=1),CN156,0))</f>
        <v>x</v>
      </c>
      <c r="CO339" s="39" t="str">
        <f>IF(CO156=-1,"x",IF(OR(CO254=1,CO$196=1,$CY156=1),CO156,0))</f>
        <v>x</v>
      </c>
      <c r="CP339" s="95" t="str">
        <f>IF(CP156=-1,"x",IF(OR(CP254=1,CP$196=1,$CZ156=1),CP156,0))</f>
        <v>x</v>
      </c>
      <c r="DJ339" s="94" t="str">
        <f>IF(DJ156=-1,"x",IF(OR(DJ254=1,DJ$229=1,$GT156=1),DJ156,0))</f>
        <v>x</v>
      </c>
      <c r="DK339" s="39" t="str">
        <f>IF(DK156=-1,"x",IF(OR(DK254=1,DK$229=1,$GU156=1),DK156,0))</f>
        <v>x</v>
      </c>
      <c r="DL339" s="41" t="str">
        <f>IF(DL156=-1,"x",IF(OR(DL254=1,DL$229=1,$GV156=1),DL156,0))</f>
        <v>x</v>
      </c>
      <c r="DM339" s="40" t="str">
        <f>IF(DM156=-1,"x",IF(OR(DM254=1,DM$229=1,$GT156=1),DM156,0))</f>
        <v>x</v>
      </c>
      <c r="DN339" s="39" t="str">
        <f>IF(DN156=-1,"x",IF(OR(DN254=1,DN$229=1,$GU156=1),DN156,0))</f>
        <v>x</v>
      </c>
      <c r="DO339" s="41" t="str">
        <f>IF(DO156=-1,"x",IF(OR(DO254=1,DO$229=1,$GV156=1),DO156,0))</f>
        <v>x</v>
      </c>
      <c r="DP339" s="40" t="str">
        <f>IF(DP156=-1,"x",IF(OR(DP254=1,DP$229=1,$GT156=1),DP156,0))</f>
        <v>x</v>
      </c>
      <c r="DQ339" s="39" t="str">
        <f>IF(DQ156=-1,"x",IF(OR(DQ254=1,DQ$229=1,$GU156=1),DQ156,0))</f>
        <v>x</v>
      </c>
      <c r="DR339" s="42" t="str">
        <f>IF(DR156=-1,"x",IF(OR(DR254=1,DR$229=1,$GV156=1),DR156,0))</f>
        <v>x</v>
      </c>
      <c r="DS339" s="43" t="str">
        <f>IF(DS156=-1,"x",IF(OR(DS254=1,DS$229=1,$GT156=1),DS156,0))</f>
        <v>x</v>
      </c>
      <c r="DT339" s="39" t="str">
        <f>IF(DT156=-1,"x",IF(OR(DT254=1,DT$229=1,$GU156=1),DT156,0))</f>
        <v>x</v>
      </c>
      <c r="DU339" s="41" t="str">
        <f>IF(DU156=-1,"x",IF(OR(DU254=1,DU$229=1,$GV156=1),DU156,0))</f>
        <v>x</v>
      </c>
      <c r="DV339" s="40" t="str">
        <f>IF(DV156=-1,"x",IF(OR(DV254=1,DV$229=1,$GT156=1),DV156,0))</f>
        <v>x</v>
      </c>
      <c r="DW339" s="39" t="str">
        <f>IF(DW156=-1,"x",IF(OR(DW254=1,DW$229=1,$GU156=1),DW156,0))</f>
        <v>x</v>
      </c>
      <c r="DX339" s="41" t="str">
        <f>IF(DX156=-1,"x",IF(OR(DX254=1,DX$229=1,$GV156=1),DX156,0))</f>
        <v>x</v>
      </c>
      <c r="DY339" s="40" t="str">
        <f>IF(DY156=-1,"x",IF(OR(DY254=1,DY$229=1,$GT156=1),DY156,0))</f>
        <v>x</v>
      </c>
      <c r="DZ339" s="39" t="str">
        <f>IF(DZ156=-1,"x",IF(OR(DZ254=1,DZ$229=1,$GU156=1),DZ156,0))</f>
        <v>x</v>
      </c>
      <c r="EA339" s="42" t="str">
        <f>IF(EA156=-1,"x",IF(OR(EA254=1,EA$229=1,$GV156=1),EA156,0))</f>
        <v>x</v>
      </c>
      <c r="EB339" s="43" t="str">
        <f>IF(EB156=-1,"x",IF(OR(EB254=1,EB$229=1,$GT156=1),EB156,0))</f>
        <v>x</v>
      </c>
      <c r="EC339" s="39" t="str">
        <f>IF(EC156=-1,"x",IF(OR(EC254=1,EC$229=1,$GU156=1),EC156,0))</f>
        <v>x</v>
      </c>
      <c r="ED339" s="41" t="str">
        <f>IF(ED156=-1,"x",IF(OR(ED254=1,ED$229=1,$GV156=1),ED156,0))</f>
        <v>x</v>
      </c>
      <c r="EE339" s="40" t="str">
        <f>IF(EE156=-1,"x",IF(OR(EE254=1,EE$229=1,$GT156=1),EE156,0))</f>
        <v>x</v>
      </c>
      <c r="EF339" s="39" t="str">
        <f>IF(EF156=-1,"x",IF(OR(EF254=1,EF$229=1,$GU156=1),EF156,0))</f>
        <v>x</v>
      </c>
      <c r="EG339" s="41" t="str">
        <f>IF(EG156=-1,"x",IF(OR(EG254=1,EG$229=1,$GV156=1),EG156,0))</f>
        <v>x</v>
      </c>
      <c r="EH339" s="40" t="str">
        <f>IF(EH156=-1,"x",IF(OR(EH254=1,EH$229=1,$GT156=1),EH156,0))</f>
        <v>x</v>
      </c>
      <c r="EI339" s="39" t="str">
        <f>IF(EI156=-1,"x",IF(OR(EI254=1,EI$229=1,$GU156=1),EI156,0))</f>
        <v>x</v>
      </c>
      <c r="EJ339" s="95" t="str">
        <f>IF(EJ156=-1,"x",IF(OR(EJ254=1,EJ$229=1,$GV156=1),EJ156,0))</f>
        <v>x</v>
      </c>
      <c r="EK339" s="94" t="str">
        <f>IF(EK156=-1,"x",IF(OR(EK254=1,EK$229=1,$GT156=1),EK156,0))</f>
        <v>x</v>
      </c>
      <c r="EL339" s="39" t="str">
        <f>IF(EL156=-1,"x",IF(OR(EL254=1,EL$229=1,$GU156=1),EL156,0))</f>
        <v>x</v>
      </c>
      <c r="EM339" s="41" t="str">
        <f>IF(EM156=-1,"x",IF(OR(EM254=1,EM$229=1,$GV156=1),EM156,0))</f>
        <v>x</v>
      </c>
      <c r="EN339" s="40" t="str">
        <f>IF(EN156=-1,"x",IF(OR(EN254=1,EN$229=1,$GT156=1),EN156,0))</f>
        <v>x</v>
      </c>
      <c r="EO339" s="39" t="str">
        <f>IF(EO156=-1,"x",IF(OR(EO254=1,EO$229=1,$GU156=1),EO156,0))</f>
        <v>x</v>
      </c>
      <c r="EP339" s="41" t="str">
        <f>IF(EP156=-1,"x",IF(OR(EP254=1,EP$229=1,$GV156=1),EP156,0))</f>
        <v>x</v>
      </c>
      <c r="EQ339" s="40" t="str">
        <f>IF(EQ156=-1,"x",IF(OR(EQ254=1,EQ$229=1,$GT156=1),EQ156,0))</f>
        <v>x</v>
      </c>
      <c r="ER339" s="39" t="str">
        <f>IF(ER156=-1,"x",IF(OR(ER254=1,ER$229=1,$GU156=1),ER156,0))</f>
        <v>x</v>
      </c>
      <c r="ES339" s="42" t="str">
        <f>IF(ES156=-1,"x",IF(OR(ES254=1,ES$229=1,$GV156=1),ES156,0))</f>
        <v>x</v>
      </c>
      <c r="ET339" s="43" t="str">
        <f>IF(ET156=-1,"x",IF(OR(ET254=1,ET$229=1,$GT156=1),ET156,0))</f>
        <v>x</v>
      </c>
      <c r="EU339" s="39" t="str">
        <f>IF(EU156=-1,"x",IF(OR(EU254=1,EU$229=1,$GU156=1),EU156,0))</f>
        <v>x</v>
      </c>
      <c r="EV339" s="41" t="str">
        <f>IF(EV156=-1,"x",IF(OR(EV254=1,EV$229=1,$GV156=1),EV156,0))</f>
        <v>x</v>
      </c>
      <c r="EW339" s="40" t="str">
        <f>IF(EW156=-1,"x",IF(OR(EW254=1,EW$229=1,$GT156=1),EW156,0))</f>
        <v>x</v>
      </c>
      <c r="EX339" s="39" t="str">
        <f>IF(EX156=-1,"x",IF(OR(EX254=1,EX$229=1,$GU156=1),EX156,0))</f>
        <v>x</v>
      </c>
      <c r="EY339" s="41" t="str">
        <f>IF(EY156=-1,"x",IF(OR(EY254=1,EY$229=1,$GV156=1),EY156,0))</f>
        <v>x</v>
      </c>
      <c r="EZ339" s="40" t="str">
        <f>IF(EZ156=-1,"x",IF(OR(EZ254=1,EZ$229=1,$GT156=1),EZ156,0))</f>
        <v>x</v>
      </c>
      <c r="FA339" s="39" t="str">
        <f>IF(FA156=-1,"x",IF(OR(FA254=1,FA$229=1,$GU156=1),FA156,0))</f>
        <v>x</v>
      </c>
      <c r="FB339" s="42" t="str">
        <f>IF(FB156=-1,"x",IF(OR(FB254=1,FB$229=1,$GV156=1),FB156,0))</f>
        <v>x</v>
      </c>
      <c r="FC339" s="43" t="str">
        <f>IF(FC156=-1,"x",IF(OR(FC254=1,FC$229=1,$GT156=1),FC156,0))</f>
        <v>x</v>
      </c>
      <c r="FD339" s="39" t="str">
        <f>IF(FD156=-1,"x",IF(OR(FD254=1,FD$229=1,$GU156=1),FD156,0))</f>
        <v>x</v>
      </c>
      <c r="FE339" s="41" t="str">
        <f>IF(FE156=-1,"x",IF(OR(FE254=1,FE$229=1,$GV156=1),FE156,0))</f>
        <v>x</v>
      </c>
      <c r="FF339" s="40" t="str">
        <f>IF(FF156=-1,"x",IF(OR(FF254=1,FF$229=1,$GT156=1),FF156,0))</f>
        <v>x</v>
      </c>
      <c r="FG339" s="39" t="str">
        <f>IF(FG156=-1,"x",IF(OR(FG254=1,FG$229=1,$GU156=1),FG156,0))</f>
        <v>x</v>
      </c>
      <c r="FH339" s="41" t="str">
        <f>IF(FH156=-1,"x",IF(OR(FH254=1,FH$229=1,$GV156=1),FH156,0))</f>
        <v>x</v>
      </c>
      <c r="FI339" s="40" t="str">
        <f>IF(FI156=-1,"x",IF(OR(FI254=1,FI$229=1,$GT156=1),FI156,0))</f>
        <v>x</v>
      </c>
      <c r="FJ339" s="39" t="str">
        <f>IF(FJ156=-1,"x",IF(OR(FJ254=1,FJ$229=1,$GU156=1),FJ156,0))</f>
        <v>x</v>
      </c>
      <c r="FK339" s="95" t="str">
        <f>IF(FK156=-1,"x",IF(OR(FK254=1,FK$229=1,$GV156=1),FK156,0))</f>
        <v>x</v>
      </c>
      <c r="FL339" s="94" t="str">
        <f>IF(FL156=-1,"x",IF(OR(FL254=1,FL$229=1,$GT156=1),FL156,0))</f>
        <v>x</v>
      </c>
      <c r="FM339" s="39" t="str">
        <f>IF(FM156=-1,"x",IF(OR(FM254=1,FM$229=1,$GU156=1),FM156,0))</f>
        <v>x</v>
      </c>
      <c r="FN339" s="41" t="str">
        <f>IF(FN156=-1,"x",IF(OR(FN254=1,FN$229=1,$GV156=1),FN156,0))</f>
        <v>x</v>
      </c>
      <c r="FO339" s="40" t="str">
        <f>IF(FO156=-1,"x",IF(OR(FO254=1,FO$229=1,$GT156=1),FO156,0))</f>
        <v>x</v>
      </c>
      <c r="FP339" s="39" t="str">
        <f>IF(FP156=-1,"x",IF(OR(FP254=1,FP$229=1,$GU156=1),FP156,0))</f>
        <v>x</v>
      </c>
      <c r="FQ339" s="41" t="str">
        <f>IF(FQ156=-1,"x",IF(OR(FQ254=1,FQ$229=1,$GV156=1),FQ156,0))</f>
        <v>x</v>
      </c>
      <c r="FR339" s="40" t="str">
        <f>IF(FR156=-1,"x",IF(OR(FR254=1,FR$229=1,$GT156=1),FR156,0))</f>
        <v>x</v>
      </c>
      <c r="FS339" s="39" t="str">
        <f>IF(FS156=-1,"x",IF(OR(FS254=1,FS$229=1,$GU156=1),FS156,0))</f>
        <v>x</v>
      </c>
      <c r="FT339" s="42" t="str">
        <f>IF(FT156=-1,"x",IF(OR(FT254=1,FT$229=1,$GV156=1),FT156,0))</f>
        <v>x</v>
      </c>
      <c r="FU339" s="43" t="str">
        <f>IF(FU156=-1,"x",IF(OR(FU254=1,FU$229=1,$GT156=1),FU156,0))</f>
        <v>x</v>
      </c>
      <c r="FV339" s="39" t="str">
        <f>IF(FV156=-1,"x",IF(OR(FV254=1,FV$229=1,$GU156=1),FV156,0))</f>
        <v>x</v>
      </c>
      <c r="FW339" s="41" t="str">
        <f>IF(FW156=-1,"x",IF(OR(FW254=1,FW$229=1,$GV156=1),FW156,0))</f>
        <v>x</v>
      </c>
      <c r="FX339" s="40" t="str">
        <f>IF(FX156=-1,"x",IF(OR(FX254=1,FX$229=1,$GT156=1),FX156,0))</f>
        <v>x</v>
      </c>
      <c r="FY339" s="39" t="str">
        <f>IF(FY156=-1,"x",IF(OR(FY254=1,FY$229=1,$GU156=1),FY156,0))</f>
        <v>x</v>
      </c>
      <c r="FZ339" s="41" t="str">
        <f>IF(FZ156=-1,"x",IF(OR(FZ254=1,FZ$229=1,$GV156=1),FZ156,0))</f>
        <v>x</v>
      </c>
      <c r="GA339" s="40" t="str">
        <f>IF(GA156=-1,"x",IF(OR(GA254=1,GA$229=1,$GT156=1),GA156,0))</f>
        <v>x</v>
      </c>
      <c r="GB339" s="39" t="str">
        <f>IF(GB156=-1,"x",IF(OR(GB254=1,GB$229=1,$GU156=1),GB156,0))</f>
        <v>x</v>
      </c>
      <c r="GC339" s="42" t="str">
        <f>IF(GC156=-1,"x",IF(OR(GC254=1,GC$229=1,$GV156=1),GC156,0))</f>
        <v>x</v>
      </c>
      <c r="GD339" s="43" t="str">
        <f>IF(GD156=-1,"x",IF(OR(GD254=1,GD$229=1,$GT156=1),GD156,0))</f>
        <v>x</v>
      </c>
      <c r="GE339" s="39" t="str">
        <f>IF(GE156=-1,"x",IF(OR(GE254=1,GE$229=1,$GU156=1),GE156,0))</f>
        <v>x</v>
      </c>
      <c r="GF339" s="41" t="str">
        <f>IF(GF156=-1,"x",IF(OR(GF254=1,GF$229=1,$GV156=1),GF156,0))</f>
        <v>x</v>
      </c>
      <c r="GG339" s="40" t="str">
        <f>IF(GG156=-1,"x",IF(OR(GG254=1,GG$229=1,$GT156=1),GG156,0))</f>
        <v>x</v>
      </c>
      <c r="GH339" s="39" t="str">
        <f>IF(GH156=-1,"x",IF(OR(GH254=1,GH$229=1,$GU156=1),GH156,0))</f>
        <v>x</v>
      </c>
      <c r="GI339" s="41" t="str">
        <f>IF(GI156=-1,"x",IF(OR(GI254=1,GI$229=1,$GV156=1),GI156,0))</f>
        <v>x</v>
      </c>
      <c r="GJ339" s="40">
        <f>IF(GJ156=-1,"x",IF(OR(GJ254=1,GJ$229=1,$GT156=1),GJ156,0))</f>
        <v>0</v>
      </c>
      <c r="GK339" s="39">
        <f>IF(GK156=-1,"x",IF(OR(GK254=1,GK$229=1,$GU156=1),GK156,0))</f>
        <v>0</v>
      </c>
      <c r="GL339" s="95">
        <f>IF(GL156=-1,"x",IF(OR(GL254=1,GL$229=1,$GV156=1),GL156,0))</f>
        <v>0</v>
      </c>
    </row>
    <row r="340" spans="14:194" ht="15" customHeight="1" thickBot="1">
      <c r="N340" s="99" t="str">
        <f>IF(N157=-1,"x",IF(OR(N255=1,N$197=1,$CX157=1),N157,0))</f>
        <v>x</v>
      </c>
      <c r="O340" s="45" t="str">
        <f>IF(O157=-1,"x",IF(OR(O255=1,O$197=1,$CY157=1),O157,0))</f>
        <v>x</v>
      </c>
      <c r="P340" s="47" t="str">
        <f>IF(P157=-1,"x",IF(OR(P255=1,P$197=1,$CZ157=1),P157,0))</f>
        <v>x</v>
      </c>
      <c r="Q340" s="46" t="str">
        <f>IF(Q157=-1,"x",IF(OR(Q255=1,Q$197=1,$CX157=1),Q157,0))</f>
        <v>x</v>
      </c>
      <c r="R340" s="45" t="str">
        <f>IF(R157=-1,"x",IF(OR(R255=1,R$197=1,$CY157=1),R157,0))</f>
        <v>x</v>
      </c>
      <c r="S340" s="47" t="str">
        <f>IF(S157=-1,"x",IF(OR(S255=1,S$197=1,$CZ157=1),S157,0))</f>
        <v>x</v>
      </c>
      <c r="T340" s="46">
        <f>IF(T157=-1,"x",IF(OR(T255=1,T$197=1,$CX157=1),T157,0))</f>
        <v>0</v>
      </c>
      <c r="U340" s="45">
        <f>IF(U157=-1,"x",IF(OR(U255=1,U$197=1,$CY157=1),U157,0))</f>
        <v>0</v>
      </c>
      <c r="V340" s="48">
        <f>IF(V157=-1,"x",IF(OR(V255=1,V$197=1,$CZ157=1),V157,0))</f>
        <v>0</v>
      </c>
      <c r="W340" s="44" t="str">
        <f>IF(W157=-1,"x",IF(OR(W255=1,W$197=1,$CX157=1),W157,0))</f>
        <v>x</v>
      </c>
      <c r="X340" s="45" t="str">
        <f>IF(X157=-1,"x",IF(OR(X255=1,X$197=1,$CY157=1),X157,0))</f>
        <v>x</v>
      </c>
      <c r="Y340" s="47" t="str">
        <f>IF(Y157=-1,"x",IF(OR(Y255=1,Y$197=1,$CZ157=1),Y157,0))</f>
        <v>x</v>
      </c>
      <c r="Z340" s="46" t="str">
        <f>IF(Z157=-1,"x",IF(OR(Z255=1,Z$197=1,$CX157=1),Z157,0))</f>
        <v>x</v>
      </c>
      <c r="AA340" s="45" t="str">
        <f>IF(AA157=-1,"x",IF(OR(AA255=1,AA$197=1,$CY157=1),AA157,0))</f>
        <v>x</v>
      </c>
      <c r="AB340" s="47" t="str">
        <f>IF(AB157=-1,"x",IF(OR(AB255=1,AB$197=1,$CZ157=1),AB157,0))</f>
        <v>x</v>
      </c>
      <c r="AC340" s="46" t="str">
        <f>IF(AC157=-1,"x",IF(OR(AC255=1,AC$197=1,$CX157=1),AC157,0))</f>
        <v>x</v>
      </c>
      <c r="AD340" s="45" t="str">
        <f>IF(AD157=-1,"x",IF(OR(AD255=1,AD$197=1,$CY157=1),AD157,0))</f>
        <v>x</v>
      </c>
      <c r="AE340" s="48" t="str">
        <f>IF(AE157=-1,"x",IF(OR(AE255=1,AE$197=1,$CZ157=1),AE157,0))</f>
        <v>x</v>
      </c>
      <c r="AF340" s="44" t="str">
        <f>IF(AF157=-1,"x",IF(OR(AF255=1,AF$197=1,$CX157=1),AF157,0))</f>
        <v>x</v>
      </c>
      <c r="AG340" s="45" t="str">
        <f>IF(AG157=-1,"x",IF(OR(AG255=1,AG$197=1,$CY157=1),AG157,0))</f>
        <v>x</v>
      </c>
      <c r="AH340" s="47" t="str">
        <f>IF(AH157=-1,"x",IF(OR(AH255=1,AH$197=1,$CZ157=1),AH157,0))</f>
        <v>x</v>
      </c>
      <c r="AI340" s="46" t="str">
        <f>IF(AI157=-1,"x",IF(OR(AI255=1,AI$197=1,$CX157=1),AI157,0))</f>
        <v>x</v>
      </c>
      <c r="AJ340" s="45" t="str">
        <f>IF(AJ157=-1,"x",IF(OR(AJ255=1,AJ$197=1,$CY157=1),AJ157,0))</f>
        <v>x</v>
      </c>
      <c r="AK340" s="47" t="str">
        <f>IF(AK157=-1,"x",IF(OR(AK255=1,AK$197=1,$CZ157=1),AK157,0))</f>
        <v>x</v>
      </c>
      <c r="AL340" s="46" t="str">
        <f>IF(AL157=-1,"x",IF(OR(AL255=1,AL$197=1,$CX157=1),AL157,0))</f>
        <v>x</v>
      </c>
      <c r="AM340" s="45" t="str">
        <f>IF(AM157=-1,"x",IF(OR(AM255=1,AM$197=1,$CY157=1),AM157,0))</f>
        <v>x</v>
      </c>
      <c r="AN340" s="100" t="str">
        <f>IF(AN157=-1,"x",IF(OR(AN255=1,AN$197=1,$CZ157=1),AN157,0))</f>
        <v>x</v>
      </c>
      <c r="AO340" s="99" t="str">
        <f>IF(AO157=-1,"x",IF(OR(AO255=1,AO$197=1,$CX157=1),AO157,0))</f>
        <v>x</v>
      </c>
      <c r="AP340" s="45" t="str">
        <f>IF(AP157=-1,"x",IF(OR(AP255=1,AP$197=1,$CY157=1),AP157,0))</f>
        <v>x</v>
      </c>
      <c r="AQ340" s="47" t="str">
        <f>IF(AQ157=-1,"x",IF(OR(AQ255=1,AQ$197=1,$CZ157=1),AQ157,0))</f>
        <v>x</v>
      </c>
      <c r="AR340" s="46" t="str">
        <f>IF(AR157=-1,"x",IF(OR(AR255=1,AR$197=1,$CX157=1),AR157,0))</f>
        <v>x</v>
      </c>
      <c r="AS340" s="45" t="str">
        <f>IF(AS157=-1,"x",IF(OR(AS255=1,AS$197=1,$CY157=1),AS157,0))</f>
        <v>x</v>
      </c>
      <c r="AT340" s="47" t="str">
        <f>IF(AT157=-1,"x",IF(OR(AT255=1,AT$197=1,$CZ157=1),AT157,0))</f>
        <v>x</v>
      </c>
      <c r="AU340" s="46" t="str">
        <f>IF(AU157=-1,"x",IF(OR(AU255=1,AU$197=1,$CX157=1),AU157,0))</f>
        <v>x</v>
      </c>
      <c r="AV340" s="45" t="str">
        <f>IF(AV157=-1,"x",IF(OR(AV255=1,AV$197=1,$CY157=1),AV157,0))</f>
        <v>x</v>
      </c>
      <c r="AW340" s="48" t="str">
        <f>IF(AW157=-1,"x",IF(OR(AW255=1,AW$197=1,$CZ157=1),AW157,0))</f>
        <v>x</v>
      </c>
      <c r="AX340" s="44" t="str">
        <f>IF(AX157=-1,"x",IF(OR(AX255=1,AX$197=1,$CX157=1),AX157,0))</f>
        <v>x</v>
      </c>
      <c r="AY340" s="45" t="str">
        <f>IF(AY157=-1,"x",IF(OR(AY255=1,AY$197=1,$CY157=1),AY157,0))</f>
        <v>x</v>
      </c>
      <c r="AZ340" s="47" t="str">
        <f>IF(AZ157=-1,"x",IF(OR(AZ255=1,AZ$197=1,$CZ157=1),AZ157,0))</f>
        <v>x</v>
      </c>
      <c r="BA340" s="46" t="str">
        <f>IF(BA157=-1,"x",IF(OR(BA255=1,BA$197=1,$CX157=1),BA157,0))</f>
        <v>x</v>
      </c>
      <c r="BB340" s="45" t="str">
        <f>IF(BB157=-1,"x",IF(OR(BB255=1,BB$197=1,$CY157=1),BB157,0))</f>
        <v>x</v>
      </c>
      <c r="BC340" s="47" t="str">
        <f>IF(BC157=-1,"x",IF(OR(BC255=1,BC$197=1,$CZ157=1),BC157,0))</f>
        <v>x</v>
      </c>
      <c r="BD340" s="46" t="str">
        <f>IF(BD157=-1,"x",IF(OR(BD255=1,BD$197=1,$CX157=1),BD157,0))</f>
        <v>x</v>
      </c>
      <c r="BE340" s="45" t="str">
        <f>IF(BE157=-1,"x",IF(OR(BE255=1,BE$197=1,$CY157=1),BE157,0))</f>
        <v>x</v>
      </c>
      <c r="BF340" s="48" t="str">
        <f>IF(BF157=-1,"x",IF(OR(BF255=1,BF$197=1,$CZ157=1),BF157,0))</f>
        <v>x</v>
      </c>
      <c r="BG340" s="44" t="str">
        <f>IF(BG157=-1,"x",IF(OR(BG255=1,BG$197=1,$CX157=1),BG157,0))</f>
        <v>x</v>
      </c>
      <c r="BH340" s="45" t="str">
        <f>IF(BH157=-1,"x",IF(OR(BH255=1,BH$197=1,$CY157=1),BH157,0))</f>
        <v>x</v>
      </c>
      <c r="BI340" s="47" t="str">
        <f>IF(BI157=-1,"x",IF(OR(BI255=1,BI$197=1,$CZ157=1),BI157,0))</f>
        <v>x</v>
      </c>
      <c r="BJ340" s="46" t="str">
        <f>IF(BJ157=-1,"x",IF(OR(BJ255=1,BJ$197=1,$CX157=1),BJ157,0))</f>
        <v>x</v>
      </c>
      <c r="BK340" s="45" t="str">
        <f>IF(BK157=-1,"x",IF(OR(BK255=1,BK$197=1,$CY157=1),BK157,0))</f>
        <v>x</v>
      </c>
      <c r="BL340" s="47" t="str">
        <f>IF(BL157=-1,"x",IF(OR(BL255=1,BL$197=1,$CZ157=1),BL157,0))</f>
        <v>x</v>
      </c>
      <c r="BM340" s="46" t="str">
        <f>IF(BM157=-1,"x",IF(OR(BM255=1,BM$197=1,$CX157=1),BM157,0))</f>
        <v>x</v>
      </c>
      <c r="BN340" s="45" t="str">
        <f>IF(BN157=-1,"x",IF(OR(BN255=1,BN$197=1,$CY157=1),BN157,0))</f>
        <v>x</v>
      </c>
      <c r="BO340" s="100" t="str">
        <f>IF(BO157=-1,"x",IF(OR(BO255=1,BO$197=1,$CZ157=1),BO157,0))</f>
        <v>x</v>
      </c>
      <c r="BP340" s="99" t="str">
        <f>IF(BP157=-1,"x",IF(OR(BP255=1,BP$197=1,$CX157=1),BP157,0))</f>
        <v>x</v>
      </c>
      <c r="BQ340" s="45" t="str">
        <f>IF(BQ157=-1,"x",IF(OR(BQ255=1,BQ$197=1,$CY157=1),BQ157,0))</f>
        <v>x</v>
      </c>
      <c r="BR340" s="47" t="str">
        <f>IF(BR157=-1,"x",IF(OR(BR255=1,BR$197=1,$CZ157=1),BR157,0))</f>
        <v>x</v>
      </c>
      <c r="BS340" s="46" t="str">
        <f>IF(BS157=-1,"x",IF(OR(BS255=1,BS$197=1,$CX157=1),BS157,0))</f>
        <v>x</v>
      </c>
      <c r="BT340" s="45" t="str">
        <f>IF(BT157=-1,"x",IF(OR(BT255=1,BT$197=1,$CY157=1),BT157,0))</f>
        <v>x</v>
      </c>
      <c r="BU340" s="47" t="str">
        <f>IF(BU157=-1,"x",IF(OR(BU255=1,BU$197=1,$CZ157=1),BU157,0))</f>
        <v>x</v>
      </c>
      <c r="BV340" s="46" t="str">
        <f>IF(BV157=-1,"x",IF(OR(BV255=1,BV$197=1,$CX157=1),BV157,0))</f>
        <v>x</v>
      </c>
      <c r="BW340" s="45" t="str">
        <f>IF(BW157=-1,"x",IF(OR(BW255=1,BW$197=1,$CY157=1),BW157,0))</f>
        <v>x</v>
      </c>
      <c r="BX340" s="48" t="str">
        <f>IF(BX157=-1,"x",IF(OR(BX255=1,BX$197=1,$CZ157=1),BX157,0))</f>
        <v>x</v>
      </c>
      <c r="BY340" s="44" t="str">
        <f>IF(BY157=-1,"x",IF(OR(BY255=1,BY$197=1,$CX157=1),BY157,0))</f>
        <v>x</v>
      </c>
      <c r="BZ340" s="45" t="str">
        <f>IF(BZ157=-1,"x",IF(OR(BZ255=1,BZ$197=1,$CY157=1),BZ157,0))</f>
        <v>x</v>
      </c>
      <c r="CA340" s="47" t="str">
        <f>IF(CA157=-1,"x",IF(OR(CA255=1,CA$197=1,$CZ157=1),CA157,0))</f>
        <v>x</v>
      </c>
      <c r="CB340" s="46" t="str">
        <f>IF(CB157=-1,"x",IF(OR(CB255=1,CB$197=1,$CX157=1),CB157,0))</f>
        <v>x</v>
      </c>
      <c r="CC340" s="45" t="str">
        <f>IF(CC157=-1,"x",IF(OR(CC255=1,CC$197=1,$CY157=1),CC157,0))</f>
        <v>x</v>
      </c>
      <c r="CD340" s="47" t="str">
        <f>IF(CD157=-1,"x",IF(OR(CD255=1,CD$197=1,$CZ157=1),CD157,0))</f>
        <v>x</v>
      </c>
      <c r="CE340" s="46" t="str">
        <f>IF(CE157=-1,"x",IF(OR(CE255=1,CE$197=1,$CX157=1),CE157,0))</f>
        <v>x</v>
      </c>
      <c r="CF340" s="45" t="str">
        <f>IF(CF157=-1,"x",IF(OR(CF255=1,CF$197=1,$CY157=1),CF157,0))</f>
        <v>x</v>
      </c>
      <c r="CG340" s="48" t="str">
        <f>IF(CG157=-1,"x",IF(OR(CG255=1,CG$197=1,$CZ157=1),CG157,0))</f>
        <v>x</v>
      </c>
      <c r="CH340" s="44" t="str">
        <f>IF(CH157=-1,"x",IF(OR(CH255=1,CH$197=1,$CX157=1),CH157,0))</f>
        <v>x</v>
      </c>
      <c r="CI340" s="45" t="str">
        <f>IF(CI157=-1,"x",IF(OR(CI255=1,CI$197=1,$CY157=1),CI157,0))</f>
        <v>x</v>
      </c>
      <c r="CJ340" s="47" t="str">
        <f>IF(CJ157=-1,"x",IF(OR(CJ255=1,CJ$197=1,$CZ157=1),CJ157,0))</f>
        <v>x</v>
      </c>
      <c r="CK340" s="46" t="str">
        <f>IF(CK157=-1,"x",IF(OR(CK255=1,CK$197=1,$CX157=1),CK157,0))</f>
        <v>x</v>
      </c>
      <c r="CL340" s="45" t="str">
        <f>IF(CL157=-1,"x",IF(OR(CL255=1,CL$197=1,$CY157=1),CL157,0))</f>
        <v>x</v>
      </c>
      <c r="CM340" s="47" t="str">
        <f>IF(CM157=-1,"x",IF(OR(CM255=1,CM$197=1,$CZ157=1),CM157,0))</f>
        <v>x</v>
      </c>
      <c r="CN340" s="46" t="str">
        <f>IF(CN157=-1,"x",IF(OR(CN255=1,CN$197=1,$CX157=1),CN157,0))</f>
        <v>x</v>
      </c>
      <c r="CO340" s="45" t="str">
        <f>IF(CO157=-1,"x",IF(OR(CO255=1,CO$197=1,$CY157=1),CO157,0))</f>
        <v>x</v>
      </c>
      <c r="CP340" s="100" t="str">
        <f>IF(CP157=-1,"x",IF(OR(CP255=1,CP$197=1,$CZ157=1),CP157,0))</f>
        <v>x</v>
      </c>
      <c r="DJ340" s="106" t="str">
        <f>IF(DJ157=-1,"x",IF(OR(DJ255=1,DJ$230=1,$GT157=1),DJ157,0))</f>
        <v>x</v>
      </c>
      <c r="DK340" s="55" t="str">
        <f>IF(DK157=-1,"x",IF(OR(DK255=1,DK$230=1,$GU157=1),DK157,0))</f>
        <v>x</v>
      </c>
      <c r="DL340" s="56" t="str">
        <f>IF(DL157=-1,"x",IF(OR(DL255=1,DL$230=1,$GV157=1),DL157,0))</f>
        <v>x</v>
      </c>
      <c r="DM340" s="57" t="str">
        <f>IF(DM157=-1,"x",IF(OR(DM255=1,DM$230=1,$GT157=1),DM157,0))</f>
        <v>x</v>
      </c>
      <c r="DN340" s="55" t="str">
        <f>IF(DN157=-1,"x",IF(OR(DN255=1,DN$230=1,$GU157=1),DN157,0))</f>
        <v>x</v>
      </c>
      <c r="DO340" s="56" t="str">
        <f>IF(DO157=-1,"x",IF(OR(DO255=1,DO$230=1,$GV157=1),DO157,0))</f>
        <v>x</v>
      </c>
      <c r="DP340" s="57" t="str">
        <f>IF(DP157=-1,"x",IF(OR(DP255=1,DP$230=1,$GT157=1),DP157,0))</f>
        <v>x</v>
      </c>
      <c r="DQ340" s="55" t="str">
        <f>IF(DQ157=-1,"x",IF(OR(DQ255=1,DQ$230=1,$GU157=1),DQ157,0))</f>
        <v>x</v>
      </c>
      <c r="DR340" s="58" t="str">
        <f>IF(DR157=-1,"x",IF(OR(DR255=1,DR$230=1,$GV157=1),DR157,0))</f>
        <v>x</v>
      </c>
      <c r="DS340" s="54" t="str">
        <f>IF(DS157=-1,"x",IF(OR(DS255=1,DS$230=1,$GT157=1),DS157,0))</f>
        <v>x</v>
      </c>
      <c r="DT340" s="55" t="str">
        <f>IF(DT157=-1,"x",IF(OR(DT255=1,DT$230=1,$GU157=1),DT157,0))</f>
        <v>x</v>
      </c>
      <c r="DU340" s="56" t="str">
        <f>IF(DU157=-1,"x",IF(OR(DU255=1,DU$230=1,$GV157=1),DU157,0))</f>
        <v>x</v>
      </c>
      <c r="DV340" s="57" t="str">
        <f>IF(DV157=-1,"x",IF(OR(DV255=1,DV$230=1,$GT157=1),DV157,0))</f>
        <v>x</v>
      </c>
      <c r="DW340" s="55" t="str">
        <f>IF(DW157=-1,"x",IF(OR(DW255=1,DW$230=1,$GU157=1),DW157,0))</f>
        <v>x</v>
      </c>
      <c r="DX340" s="56" t="str">
        <f>IF(DX157=-1,"x",IF(OR(DX255=1,DX$230=1,$GV157=1),DX157,0))</f>
        <v>x</v>
      </c>
      <c r="DY340" s="57" t="str">
        <f>IF(DY157=-1,"x",IF(OR(DY255=1,DY$230=1,$GT157=1),DY157,0))</f>
        <v>x</v>
      </c>
      <c r="DZ340" s="55" t="str">
        <f>IF(DZ157=-1,"x",IF(OR(DZ255=1,DZ$230=1,$GU157=1),DZ157,0))</f>
        <v>x</v>
      </c>
      <c r="EA340" s="58" t="str">
        <f>IF(EA157=-1,"x",IF(OR(EA255=1,EA$230=1,$GV157=1),EA157,0))</f>
        <v>x</v>
      </c>
      <c r="EB340" s="54" t="str">
        <f>IF(EB157=-1,"x",IF(OR(EB255=1,EB$230=1,$GT157=1),EB157,0))</f>
        <v>x</v>
      </c>
      <c r="EC340" s="55" t="str">
        <f>IF(EC157=-1,"x",IF(OR(EC255=1,EC$230=1,$GU157=1),EC157,0))</f>
        <v>x</v>
      </c>
      <c r="ED340" s="56" t="str">
        <f>IF(ED157=-1,"x",IF(OR(ED255=1,ED$230=1,$GV157=1),ED157,0))</f>
        <v>x</v>
      </c>
      <c r="EE340" s="57" t="str">
        <f>IF(EE157=-1,"x",IF(OR(EE255=1,EE$230=1,$GT157=1),EE157,0))</f>
        <v>x</v>
      </c>
      <c r="EF340" s="55" t="str">
        <f>IF(EF157=-1,"x",IF(OR(EF255=1,EF$230=1,$GU157=1),EF157,0))</f>
        <v>x</v>
      </c>
      <c r="EG340" s="56" t="str">
        <f>IF(EG157=-1,"x",IF(OR(EG255=1,EG$230=1,$GV157=1),EG157,0))</f>
        <v>x</v>
      </c>
      <c r="EH340" s="57" t="str">
        <f>IF(EH157=-1,"x",IF(OR(EH255=1,EH$230=1,$GT157=1),EH157,0))</f>
        <v>x</v>
      </c>
      <c r="EI340" s="55" t="str">
        <f>IF(EI157=-1,"x",IF(OR(EI255=1,EI$230=1,$GU157=1),EI157,0))</f>
        <v>x</v>
      </c>
      <c r="EJ340" s="107" t="str">
        <f>IF(EJ157=-1,"x",IF(OR(EJ255=1,EJ$230=1,$GV157=1),EJ157,0))</f>
        <v>x</v>
      </c>
      <c r="EK340" s="106" t="str">
        <f>IF(EK157=-1,"x",IF(OR(EK255=1,EK$230=1,$GT157=1),EK157,0))</f>
        <v>x</v>
      </c>
      <c r="EL340" s="55" t="str">
        <f>IF(EL157=-1,"x",IF(OR(EL255=1,EL$230=1,$GU157=1),EL157,0))</f>
        <v>x</v>
      </c>
      <c r="EM340" s="56" t="str">
        <f>IF(EM157=-1,"x",IF(OR(EM255=1,EM$230=1,$GV157=1),EM157,0))</f>
        <v>x</v>
      </c>
      <c r="EN340" s="57" t="str">
        <f>IF(EN157=-1,"x",IF(OR(EN255=1,EN$230=1,$GT157=1),EN157,0))</f>
        <v>x</v>
      </c>
      <c r="EO340" s="55" t="str">
        <f>IF(EO157=-1,"x",IF(OR(EO255=1,EO$230=1,$GU157=1),EO157,0))</f>
        <v>x</v>
      </c>
      <c r="EP340" s="56" t="str">
        <f>IF(EP157=-1,"x",IF(OR(EP255=1,EP$230=1,$GV157=1),EP157,0))</f>
        <v>x</v>
      </c>
      <c r="EQ340" s="57" t="str">
        <f>IF(EQ157=-1,"x",IF(OR(EQ255=1,EQ$230=1,$GT157=1),EQ157,0))</f>
        <v>x</v>
      </c>
      <c r="ER340" s="55" t="str">
        <f>IF(ER157=-1,"x",IF(OR(ER255=1,ER$230=1,$GU157=1),ER157,0))</f>
        <v>x</v>
      </c>
      <c r="ES340" s="58" t="str">
        <f>IF(ES157=-1,"x",IF(OR(ES255=1,ES$230=1,$GV157=1),ES157,0))</f>
        <v>x</v>
      </c>
      <c r="ET340" s="54" t="str">
        <f>IF(ET157=-1,"x",IF(OR(ET255=1,ET$230=1,$GT157=1),ET157,0))</f>
        <v>x</v>
      </c>
      <c r="EU340" s="55" t="str">
        <f>IF(EU157=-1,"x",IF(OR(EU255=1,EU$230=1,$GU157=1),EU157,0))</f>
        <v>x</v>
      </c>
      <c r="EV340" s="56" t="str">
        <f>IF(EV157=-1,"x",IF(OR(EV255=1,EV$230=1,$GV157=1),EV157,0))</f>
        <v>x</v>
      </c>
      <c r="EW340" s="57" t="str">
        <f>IF(EW157=-1,"x",IF(OR(EW255=1,EW$230=1,$GT157=1),EW157,0))</f>
        <v>x</v>
      </c>
      <c r="EX340" s="55" t="str">
        <f>IF(EX157=-1,"x",IF(OR(EX255=1,EX$230=1,$GU157=1),EX157,0))</f>
        <v>x</v>
      </c>
      <c r="EY340" s="56" t="str">
        <f>IF(EY157=-1,"x",IF(OR(EY255=1,EY$230=1,$GV157=1),EY157,0))</f>
        <v>x</v>
      </c>
      <c r="EZ340" s="57" t="str">
        <f>IF(EZ157=-1,"x",IF(OR(EZ255=1,EZ$230=1,$GT157=1),EZ157,0))</f>
        <v>x</v>
      </c>
      <c r="FA340" s="55" t="str">
        <f>IF(FA157=-1,"x",IF(OR(FA255=1,FA$230=1,$GU157=1),FA157,0))</f>
        <v>x</v>
      </c>
      <c r="FB340" s="58" t="str">
        <f>IF(FB157=-1,"x",IF(OR(FB255=1,FB$230=1,$GV157=1),FB157,0))</f>
        <v>x</v>
      </c>
      <c r="FC340" s="54" t="str">
        <f>IF(FC157=-1,"x",IF(OR(FC255=1,FC$230=1,$GT157=1),FC157,0))</f>
        <v>x</v>
      </c>
      <c r="FD340" s="55" t="str">
        <f>IF(FD157=-1,"x",IF(OR(FD255=1,FD$230=1,$GU157=1),FD157,0))</f>
        <v>x</v>
      </c>
      <c r="FE340" s="56" t="str">
        <f>IF(FE157=-1,"x",IF(OR(FE255=1,FE$230=1,$GV157=1),FE157,0))</f>
        <v>x</v>
      </c>
      <c r="FF340" s="57" t="str">
        <f>IF(FF157=-1,"x",IF(OR(FF255=1,FF$230=1,$GT157=1),FF157,0))</f>
        <v>x</v>
      </c>
      <c r="FG340" s="55" t="str">
        <f>IF(FG157=-1,"x",IF(OR(FG255=1,FG$230=1,$GU157=1),FG157,0))</f>
        <v>x</v>
      </c>
      <c r="FH340" s="56" t="str">
        <f>IF(FH157=-1,"x",IF(OR(FH255=1,FH$230=1,$GV157=1),FH157,0))</f>
        <v>x</v>
      </c>
      <c r="FI340" s="57" t="str">
        <f>IF(FI157=-1,"x",IF(OR(FI255=1,FI$230=1,$GT157=1),FI157,0))</f>
        <v>x</v>
      </c>
      <c r="FJ340" s="55" t="str">
        <f>IF(FJ157=-1,"x",IF(OR(FJ255=1,FJ$230=1,$GU157=1),FJ157,0))</f>
        <v>x</v>
      </c>
      <c r="FK340" s="107" t="str">
        <f>IF(FK157=-1,"x",IF(OR(FK255=1,FK$230=1,$GV157=1),FK157,0))</f>
        <v>x</v>
      </c>
      <c r="FL340" s="106" t="str">
        <f>IF(FL157=-1,"x",IF(OR(FL255=1,FL$230=1,$GT157=1),FL157,0))</f>
        <v>x</v>
      </c>
      <c r="FM340" s="55" t="str">
        <f>IF(FM157=-1,"x",IF(OR(FM255=1,FM$230=1,$GU157=1),FM157,0))</f>
        <v>x</v>
      </c>
      <c r="FN340" s="56" t="str">
        <f>IF(FN157=-1,"x",IF(OR(FN255=1,FN$230=1,$GV157=1),FN157,0))</f>
        <v>x</v>
      </c>
      <c r="FO340" s="57" t="str">
        <f>IF(FO157=-1,"x",IF(OR(FO255=1,FO$230=1,$GT157=1),FO157,0))</f>
        <v>x</v>
      </c>
      <c r="FP340" s="55" t="str">
        <f>IF(FP157=-1,"x",IF(OR(FP255=1,FP$230=1,$GU157=1),FP157,0))</f>
        <v>x</v>
      </c>
      <c r="FQ340" s="56" t="str">
        <f>IF(FQ157=-1,"x",IF(OR(FQ255=1,FQ$230=1,$GV157=1),FQ157,0))</f>
        <v>x</v>
      </c>
      <c r="FR340" s="57" t="str">
        <f>IF(FR157=-1,"x",IF(OR(FR255=1,FR$230=1,$GT157=1),FR157,0))</f>
        <v>x</v>
      </c>
      <c r="FS340" s="55" t="str">
        <f>IF(FS157=-1,"x",IF(OR(FS255=1,FS$230=1,$GU157=1),FS157,0))</f>
        <v>x</v>
      </c>
      <c r="FT340" s="58" t="str">
        <f>IF(FT157=-1,"x",IF(OR(FT255=1,FT$230=1,$GV157=1),FT157,0))</f>
        <v>x</v>
      </c>
      <c r="FU340" s="54" t="str">
        <f>IF(FU157=-1,"x",IF(OR(FU255=1,FU$230=1,$GT157=1),FU157,0))</f>
        <v>x</v>
      </c>
      <c r="FV340" s="55" t="str">
        <f>IF(FV157=-1,"x",IF(OR(FV255=1,FV$230=1,$GU157=1),FV157,0))</f>
        <v>x</v>
      </c>
      <c r="FW340" s="56" t="str">
        <f>IF(FW157=-1,"x",IF(OR(FW255=1,FW$230=1,$GV157=1),FW157,0))</f>
        <v>x</v>
      </c>
      <c r="FX340" s="57" t="str">
        <f>IF(FX157=-1,"x",IF(OR(FX255=1,FX$230=1,$GT157=1),FX157,0))</f>
        <v>x</v>
      </c>
      <c r="FY340" s="55" t="str">
        <f>IF(FY157=-1,"x",IF(OR(FY255=1,FY$230=1,$GU157=1),FY157,0))</f>
        <v>x</v>
      </c>
      <c r="FZ340" s="56" t="str">
        <f>IF(FZ157=-1,"x",IF(OR(FZ255=1,FZ$230=1,$GV157=1),FZ157,0))</f>
        <v>x</v>
      </c>
      <c r="GA340" s="57" t="str">
        <f>IF(GA157=-1,"x",IF(OR(GA255=1,GA$230=1,$GT157=1),GA157,0))</f>
        <v>x</v>
      </c>
      <c r="GB340" s="55" t="str">
        <f>IF(GB157=-1,"x",IF(OR(GB255=1,GB$230=1,$GU157=1),GB157,0))</f>
        <v>x</v>
      </c>
      <c r="GC340" s="58" t="str">
        <f>IF(GC157=-1,"x",IF(OR(GC255=1,GC$230=1,$GV157=1),GC157,0))</f>
        <v>x</v>
      </c>
      <c r="GD340" s="54" t="str">
        <f>IF(GD157=-1,"x",IF(OR(GD255=1,GD$230=1,$GT157=1),GD157,0))</f>
        <v>x</v>
      </c>
      <c r="GE340" s="55" t="str">
        <f>IF(GE157=-1,"x",IF(OR(GE255=1,GE$230=1,$GU157=1),GE157,0))</f>
        <v>x</v>
      </c>
      <c r="GF340" s="56" t="str">
        <f>IF(GF157=-1,"x",IF(OR(GF255=1,GF$230=1,$GV157=1),GF157,0))</f>
        <v>x</v>
      </c>
      <c r="GG340" s="57" t="str">
        <f>IF(GG157=-1,"x",IF(OR(GG255=1,GG$230=1,$GT157=1),GG157,0))</f>
        <v>x</v>
      </c>
      <c r="GH340" s="55" t="str">
        <f>IF(GH157=-1,"x",IF(OR(GH255=1,GH$230=1,$GU157=1),GH157,0))</f>
        <v>x</v>
      </c>
      <c r="GI340" s="56" t="str">
        <f>IF(GI157=-1,"x",IF(OR(GI255=1,GI$230=1,$GV157=1),GI157,0))</f>
        <v>x</v>
      </c>
      <c r="GJ340" s="57">
        <f>IF(GJ157=-1,"x",IF(OR(GJ255=1,GJ$230=1,$GT157=1),GJ157,0))</f>
        <v>0</v>
      </c>
      <c r="GK340" s="55">
        <f>IF(GK157=-1,"x",IF(OR(GK255=1,GK$230=1,$GU157=1),GK157,0))</f>
        <v>0</v>
      </c>
      <c r="GL340" s="107">
        <f>IF(GL157=-1,"x",IF(OR(GL255=1,GL$230=1,$GV157=1),GL157,0))</f>
        <v>0</v>
      </c>
    </row>
    <row r="341" spans="14:194" ht="15" customHeight="1">
      <c r="N341" s="104" t="str">
        <f>IF(N158=-1,"x",IF(OR(N256=1,N$195=1,$CX158=1),N158,0))</f>
        <v>x</v>
      </c>
      <c r="O341" s="50" t="str">
        <f>IF(O158=-1,"x",IF(OR(O256=1,O$195=1,$CY158=1),O158,0))</f>
        <v>x</v>
      </c>
      <c r="P341" s="51" t="str">
        <f>IF(P158=-1,"x",IF(OR(P256=1,P$195=1,$CZ158=1),P158,0))</f>
        <v>x</v>
      </c>
      <c r="Q341" s="52" t="str">
        <f>IF(Q158=-1,"x",IF(OR(Q256=1,Q$195=1,$CX158=1),Q158,0))</f>
        <v>x</v>
      </c>
      <c r="R341" s="50" t="str">
        <f>IF(R158=-1,"x",IF(OR(R256=1,R$195=1,$CY158=1),R158,0))</f>
        <v>x</v>
      </c>
      <c r="S341" s="51" t="str">
        <f>IF(S158=-1,"x",IF(OR(S256=1,S$195=1,$CZ158=1),S158,0))</f>
        <v>x</v>
      </c>
      <c r="T341" s="52" t="str">
        <f>IF(T158=-1,"x",IF(OR(T256=1,T$195=1,$CX158=1),T158,0))</f>
        <v>x</v>
      </c>
      <c r="U341" s="50" t="str">
        <f>IF(U158=-1,"x",IF(OR(U256=1,U$195=1,$CY158=1),U158,0))</f>
        <v>x</v>
      </c>
      <c r="V341" s="53" t="str">
        <f>IF(V158=-1,"x",IF(OR(V256=1,V$195=1,$CZ158=1),V158,0))</f>
        <v>x</v>
      </c>
      <c r="W341" s="49" t="str">
        <f>IF(W158=-1,"x",IF(OR(W256=1,W$195=1,$CX158=1),W158,0))</f>
        <v>x</v>
      </c>
      <c r="X341" s="50" t="str">
        <f>IF(X158=-1,"x",IF(OR(X256=1,X$195=1,$CY158=1),X158,0))</f>
        <v>x</v>
      </c>
      <c r="Y341" s="51" t="str">
        <f>IF(Y158=-1,"x",IF(OR(Y256=1,Y$195=1,$CZ158=1),Y158,0))</f>
        <v>x</v>
      </c>
      <c r="Z341" s="52" t="str">
        <f>IF(Z158=-1,"x",IF(OR(Z256=1,Z$195=1,$CX158=1),Z158,0))</f>
        <v>x</v>
      </c>
      <c r="AA341" s="50" t="str">
        <f>IF(AA158=-1,"x",IF(OR(AA256=1,AA$195=1,$CY158=1),AA158,0))</f>
        <v>x</v>
      </c>
      <c r="AB341" s="51" t="str">
        <f>IF(AB158=-1,"x",IF(OR(AB256=1,AB$195=1,$CZ158=1),AB158,0))</f>
        <v>x</v>
      </c>
      <c r="AC341" s="52" t="str">
        <f>IF(AC158=-1,"x",IF(OR(AC256=1,AC$195=1,$CX158=1),AC158,0))</f>
        <v>x</v>
      </c>
      <c r="AD341" s="50" t="str">
        <f>IF(AD158=-1,"x",IF(OR(AD256=1,AD$195=1,$CY158=1),AD158,0))</f>
        <v>x</v>
      </c>
      <c r="AE341" s="53" t="str">
        <f>IF(AE158=-1,"x",IF(OR(AE256=1,AE$195=1,$CZ158=1),AE158,0))</f>
        <v>x</v>
      </c>
      <c r="AF341" s="49" t="str">
        <f>IF(AF158=-1,"x",IF(OR(AF256=1,AF$195=1,$CX158=1),AF158,0))</f>
        <v>x</v>
      </c>
      <c r="AG341" s="50" t="str">
        <f>IF(AG158=-1,"x",IF(OR(AG256=1,AG$195=1,$CY158=1),AG158,0))</f>
        <v>x</v>
      </c>
      <c r="AH341" s="51" t="str">
        <f>IF(AH158=-1,"x",IF(OR(AH256=1,AH$195=1,$CZ158=1),AH158,0))</f>
        <v>x</v>
      </c>
      <c r="AI341" s="52" t="str">
        <f>IF(AI158=-1,"x",IF(OR(AI256=1,AI$195=1,$CX158=1),AI158,0))</f>
        <v>x</v>
      </c>
      <c r="AJ341" s="50" t="str">
        <f>IF(AJ158=-1,"x",IF(OR(AJ256=1,AJ$195=1,$CY158=1),AJ158,0))</f>
        <v>x</v>
      </c>
      <c r="AK341" s="51" t="str">
        <f>IF(AK158=-1,"x",IF(OR(AK256=1,AK$195=1,$CZ158=1),AK158,0))</f>
        <v>x</v>
      </c>
      <c r="AL341" s="52" t="str">
        <f>IF(AL158=-1,"x",IF(OR(AL256=1,AL$195=1,$CX158=1),AL158,0))</f>
        <v>x</v>
      </c>
      <c r="AM341" s="50" t="str">
        <f>IF(AM158=-1,"x",IF(OR(AM256=1,AM$195=1,$CY158=1),AM158,0))</f>
        <v>x</v>
      </c>
      <c r="AN341" s="105" t="str">
        <f>IF(AN158=-1,"x",IF(OR(AN256=1,AN$195=1,$CZ158=1),AN158,0))</f>
        <v>x</v>
      </c>
      <c r="AO341" s="104" t="str">
        <f>IF(AO158=-1,"x",IF(OR(AO256=1,AO$195=1,$CX158=1),AO158,0))</f>
        <v>x</v>
      </c>
      <c r="AP341" s="50" t="str">
        <f>IF(AP158=-1,"x",IF(OR(AP256=1,AP$195=1,$CY158=1),AP158,0))</f>
        <v>x</v>
      </c>
      <c r="AQ341" s="51" t="str">
        <f>IF(AQ158=-1,"x",IF(OR(AQ256=1,AQ$195=1,$CZ158=1),AQ158,0))</f>
        <v>x</v>
      </c>
      <c r="AR341" s="52" t="str">
        <f>IF(AR158=-1,"x",IF(OR(AR256=1,AR$195=1,$CX158=1),AR158,0))</f>
        <v>x</v>
      </c>
      <c r="AS341" s="50" t="str">
        <f>IF(AS158=-1,"x",IF(OR(AS256=1,AS$195=1,$CY158=1),AS158,0))</f>
        <v>x</v>
      </c>
      <c r="AT341" s="51" t="str">
        <f>IF(AT158=-1,"x",IF(OR(AT256=1,AT$195=1,$CZ158=1),AT158,0))</f>
        <v>x</v>
      </c>
      <c r="AU341" s="52" t="str">
        <f>IF(AU158=-1,"x",IF(OR(AU256=1,AU$195=1,$CX158=1),AU158,0))</f>
        <v>x</v>
      </c>
      <c r="AV341" s="50" t="str">
        <f>IF(AV158=-1,"x",IF(OR(AV256=1,AV$195=1,$CY158=1),AV158,0))</f>
        <v>x</v>
      </c>
      <c r="AW341" s="53" t="str">
        <f>IF(AW158=-1,"x",IF(OR(AW256=1,AW$195=1,$CZ158=1),AW158,0))</f>
        <v>x</v>
      </c>
      <c r="AX341" s="49" t="str">
        <f>IF(AX158=-1,"x",IF(OR(AX256=1,AX$195=1,$CX158=1),AX158,0))</f>
        <v>x</v>
      </c>
      <c r="AY341" s="50" t="str">
        <f>IF(AY158=-1,"x",IF(OR(AY256=1,AY$195=1,$CY158=1),AY158,0))</f>
        <v>x</v>
      </c>
      <c r="AZ341" s="51" t="str">
        <f>IF(AZ158=-1,"x",IF(OR(AZ256=1,AZ$195=1,$CZ158=1),AZ158,0))</f>
        <v>x</v>
      </c>
      <c r="BA341" s="52" t="str">
        <f>IF(BA158=-1,"x",IF(OR(BA256=1,BA$195=1,$CX158=1),BA158,0))</f>
        <v>x</v>
      </c>
      <c r="BB341" s="50" t="str">
        <f>IF(BB158=-1,"x",IF(OR(BB256=1,BB$195=1,$CY158=1),BB158,0))</f>
        <v>x</v>
      </c>
      <c r="BC341" s="51" t="str">
        <f>IF(BC158=-1,"x",IF(OR(BC256=1,BC$195=1,$CZ158=1),BC158,0))</f>
        <v>x</v>
      </c>
      <c r="BD341" s="52" t="str">
        <f>IF(BD158=-1,"x",IF(OR(BD256=1,BD$195=1,$CX158=1),BD158,0))</f>
        <v>x</v>
      </c>
      <c r="BE341" s="50" t="str">
        <f>IF(BE158=-1,"x",IF(OR(BE256=1,BE$195=1,$CY158=1),BE158,0))</f>
        <v>x</v>
      </c>
      <c r="BF341" s="53" t="str">
        <f>IF(BF158=-1,"x",IF(OR(BF256=1,BF$195=1,$CZ158=1),BF158,0))</f>
        <v>x</v>
      </c>
      <c r="BG341" s="49" t="str">
        <f>IF(BG158=-1,"x",IF(OR(BG256=1,BG$195=1,$CX158=1),BG158,0))</f>
        <v>x</v>
      </c>
      <c r="BH341" s="50" t="str">
        <f>IF(BH158=-1,"x",IF(OR(BH256=1,BH$195=1,$CY158=1),BH158,0))</f>
        <v>x</v>
      </c>
      <c r="BI341" s="51" t="str">
        <f>IF(BI158=-1,"x",IF(OR(BI256=1,BI$195=1,$CZ158=1),BI158,0))</f>
        <v>x</v>
      </c>
      <c r="BJ341" s="52" t="str">
        <f>IF(BJ158=-1,"x",IF(OR(BJ256=1,BJ$195=1,$CX158=1),BJ158,0))</f>
        <v>x</v>
      </c>
      <c r="BK341" s="50" t="str">
        <f>IF(BK158=-1,"x",IF(OR(BK256=1,BK$195=1,$CY158=1),BK158,0))</f>
        <v>x</v>
      </c>
      <c r="BL341" s="51" t="str">
        <f>IF(BL158=-1,"x",IF(OR(BL256=1,BL$195=1,$CZ158=1),BL158,0))</f>
        <v>x</v>
      </c>
      <c r="BM341" s="52" t="str">
        <f>IF(BM158=-1,"x",IF(OR(BM256=1,BM$195=1,$CX158=1),BM158,0))</f>
        <v>x</v>
      </c>
      <c r="BN341" s="50" t="str">
        <f>IF(BN158=-1,"x",IF(OR(BN256=1,BN$195=1,$CY158=1),BN158,0))</f>
        <v>x</v>
      </c>
      <c r="BO341" s="105" t="str">
        <f>IF(BO158=-1,"x",IF(OR(BO256=1,BO$195=1,$CZ158=1),BO158,0))</f>
        <v>x</v>
      </c>
      <c r="BP341" s="104" t="str">
        <f>IF(BP158=-1,"x",IF(OR(BP256=1,BP$195=1,$CX158=1),BP158,0))</f>
        <v>x</v>
      </c>
      <c r="BQ341" s="50" t="str">
        <f>IF(BQ158=-1,"x",IF(OR(BQ256=1,BQ$195=1,$CY158=1),BQ158,0))</f>
        <v>x</v>
      </c>
      <c r="BR341" s="51" t="str">
        <f>IF(BR158=-1,"x",IF(OR(BR256=1,BR$195=1,$CZ158=1),BR158,0))</f>
        <v>x</v>
      </c>
      <c r="BS341" s="52" t="str">
        <f>IF(BS158=-1,"x",IF(OR(BS256=1,BS$195=1,$CX158=1),BS158,0))</f>
        <v>x</v>
      </c>
      <c r="BT341" s="50" t="str">
        <f>IF(BT158=-1,"x",IF(OR(BT256=1,BT$195=1,$CY158=1),BT158,0))</f>
        <v>x</v>
      </c>
      <c r="BU341" s="51" t="str">
        <f>IF(BU158=-1,"x",IF(OR(BU256=1,BU$195=1,$CZ158=1),BU158,0))</f>
        <v>x</v>
      </c>
      <c r="BV341" s="52" t="str">
        <f>IF(BV158=-1,"x",IF(OR(BV256=1,BV$195=1,$CX158=1),BV158,0))</f>
        <v>x</v>
      </c>
      <c r="BW341" s="50" t="str">
        <f>IF(BW158=-1,"x",IF(OR(BW256=1,BW$195=1,$CY158=1),BW158,0))</f>
        <v>x</v>
      </c>
      <c r="BX341" s="53" t="str">
        <f>IF(BX158=-1,"x",IF(OR(BX256=1,BX$195=1,$CZ158=1),BX158,0))</f>
        <v>x</v>
      </c>
      <c r="BY341" s="49" t="str">
        <f>IF(BY158=-1,"x",IF(OR(BY256=1,BY$195=1,$CX158=1),BY158,0))</f>
        <v>x</v>
      </c>
      <c r="BZ341" s="50" t="str">
        <f>IF(BZ158=-1,"x",IF(OR(BZ256=1,BZ$195=1,$CY158=1),BZ158,0))</f>
        <v>x</v>
      </c>
      <c r="CA341" s="51" t="str">
        <f>IF(CA158=-1,"x",IF(OR(CA256=1,CA$195=1,$CZ158=1),CA158,0))</f>
        <v>x</v>
      </c>
      <c r="CB341" s="52" t="str">
        <f>IF(CB158=-1,"x",IF(OR(CB256=1,CB$195=1,$CX158=1),CB158,0))</f>
        <v>x</v>
      </c>
      <c r="CC341" s="50" t="str">
        <f>IF(CC158=-1,"x",IF(OR(CC256=1,CC$195=1,$CY158=1),CC158,0))</f>
        <v>x</v>
      </c>
      <c r="CD341" s="51" t="str">
        <f>IF(CD158=-1,"x",IF(OR(CD256=1,CD$195=1,$CZ158=1),CD158,0))</f>
        <v>x</v>
      </c>
      <c r="CE341" s="52" t="str">
        <f>IF(CE158=-1,"x",IF(OR(CE256=1,CE$195=1,$CX158=1),CE158,0))</f>
        <v>x</v>
      </c>
      <c r="CF341" s="50" t="str">
        <f>IF(CF158=-1,"x",IF(OR(CF256=1,CF$195=1,$CY158=1),CF158,0))</f>
        <v>x</v>
      </c>
      <c r="CG341" s="53" t="str">
        <f>IF(CG158=-1,"x",IF(OR(CG256=1,CG$195=1,$CZ158=1),CG158,0))</f>
        <v>x</v>
      </c>
      <c r="CH341" s="49" t="str">
        <f>IF(CH158=-1,"x",IF(OR(CH256=1,CH$195=1,$CX158=1),CH158,0))</f>
        <v>x</v>
      </c>
      <c r="CI341" s="50" t="str">
        <f>IF(CI158=-1,"x",IF(OR(CI256=1,CI$195=1,$CY158=1),CI158,0))</f>
        <v>x</v>
      </c>
      <c r="CJ341" s="51" t="str">
        <f>IF(CJ158=-1,"x",IF(OR(CJ256=1,CJ$195=1,$CZ158=1),CJ158,0))</f>
        <v>x</v>
      </c>
      <c r="CK341" s="52" t="str">
        <f>IF(CK158=-1,"x",IF(OR(CK256=1,CK$195=1,$CX158=1),CK158,0))</f>
        <v>x</v>
      </c>
      <c r="CL341" s="50" t="str">
        <f>IF(CL158=-1,"x",IF(OR(CL256=1,CL$195=1,$CY158=1),CL158,0))</f>
        <v>x</v>
      </c>
      <c r="CM341" s="51" t="str">
        <f>IF(CM158=-1,"x",IF(OR(CM256=1,CM$195=1,$CZ158=1),CM158,0))</f>
        <v>x</v>
      </c>
      <c r="CN341" s="52" t="str">
        <f>IF(CN158=-1,"x",IF(OR(CN256=1,CN$195=1,$CX158=1),CN158,0))</f>
        <v>x</v>
      </c>
      <c r="CO341" s="50" t="str">
        <f>IF(CO158=-1,"x",IF(OR(CO256=1,CO$195=1,$CY158=1),CO158,0))</f>
        <v>x</v>
      </c>
      <c r="CP341" s="105" t="str">
        <f>IF(CP158=-1,"x",IF(OR(CP256=1,CP$195=1,$CZ158=1),CP158,0))</f>
        <v>x</v>
      </c>
      <c r="DJ341" s="108" t="str">
        <f>IF(DJ158=-1,"x",IF(OR(DJ256=1,DJ$228=1,$GT158=1),DJ158,0))</f>
        <v>x</v>
      </c>
      <c r="DK341" s="37" t="str">
        <f>IF(DK158=-1,"x",IF(OR(DK256=1,DK$228=1,$GU158=1),DK158,0))</f>
        <v>x</v>
      </c>
      <c r="DL341" s="35" t="str">
        <f>IF(DL158=-1,"x",IF(OR(DL256=1,DL$228=1,$GV158=1),DL158,0))</f>
        <v>x</v>
      </c>
      <c r="DM341" s="36" t="str">
        <f>IF(DM158=-1,"x",IF(OR(DM256=1,DM$228=1,$GT158=1),DM158,0))</f>
        <v>x</v>
      </c>
      <c r="DN341" s="37" t="str">
        <f>IF(DN158=-1,"x",IF(OR(DN256=1,DN$228=1,$GU158=1),DN158,0))</f>
        <v>x</v>
      </c>
      <c r="DO341" s="35" t="str">
        <f>IF(DO158=-1,"x",IF(OR(DO256=1,DO$228=1,$GV158=1),DO158,0))</f>
        <v>x</v>
      </c>
      <c r="DP341" s="36" t="str">
        <f>IF(DP158=-1,"x",IF(OR(DP256=1,DP$228=1,$GT158=1),DP158,0))</f>
        <v>x</v>
      </c>
      <c r="DQ341" s="37" t="str">
        <f>IF(DQ158=-1,"x",IF(OR(DQ256=1,DQ$228=1,$GU158=1),DQ158,0))</f>
        <v>x</v>
      </c>
      <c r="DR341" s="38" t="str">
        <f>IF(DR158=-1,"x",IF(OR(DR256=1,DR$228=1,$GV158=1),DR158,0))</f>
        <v>x</v>
      </c>
      <c r="DS341" s="416" t="str">
        <f>IF(DS158=-1,"x",IF(OR(DS256=1,DS$228=1,$GT158=1),DS158,0))</f>
        <v>x</v>
      </c>
      <c r="DT341" s="37" t="str">
        <f>IF(DT158=-1,"x",IF(OR(DT256=1,DT$228=1,$GU158=1),DT158,0))</f>
        <v>x</v>
      </c>
      <c r="DU341" s="35" t="str">
        <f>IF(DU158=-1,"x",IF(OR(DU256=1,DU$228=1,$GV158=1),DU158,0))</f>
        <v>x</v>
      </c>
      <c r="DV341" s="36" t="str">
        <f>IF(DV158=-1,"x",IF(OR(DV256=1,DV$228=1,$GT158=1),DV158,0))</f>
        <v>x</v>
      </c>
      <c r="DW341" s="37" t="str">
        <f>IF(DW158=-1,"x",IF(OR(DW256=1,DW$228=1,$GU158=1),DW158,0))</f>
        <v>x</v>
      </c>
      <c r="DX341" s="35" t="str">
        <f>IF(DX158=-1,"x",IF(OR(DX256=1,DX$228=1,$GV158=1),DX158,0))</f>
        <v>x</v>
      </c>
      <c r="DY341" s="36" t="str">
        <f>IF(DY158=-1,"x",IF(OR(DY256=1,DY$228=1,$GT158=1),DY158,0))</f>
        <v>x</v>
      </c>
      <c r="DZ341" s="37" t="str">
        <f>IF(DZ158=-1,"x",IF(OR(DZ256=1,DZ$228=1,$GU158=1),DZ158,0))</f>
        <v>x</v>
      </c>
      <c r="EA341" s="38" t="str">
        <f>IF(EA158=-1,"x",IF(OR(EA256=1,EA$228=1,$GV158=1),EA158,0))</f>
        <v>x</v>
      </c>
      <c r="EB341" s="416" t="str">
        <f>IF(EB158=-1,"x",IF(OR(EB256=1,EB$228=1,$GT158=1),EB158,0))</f>
        <v>x</v>
      </c>
      <c r="EC341" s="37" t="str">
        <f>IF(EC158=-1,"x",IF(OR(EC256=1,EC$228=1,$GU158=1),EC158,0))</f>
        <v>x</v>
      </c>
      <c r="ED341" s="35" t="str">
        <f>IF(ED158=-1,"x",IF(OR(ED256=1,ED$228=1,$GV158=1),ED158,0))</f>
        <v>x</v>
      </c>
      <c r="EE341" s="36" t="str">
        <f>IF(EE158=-1,"x",IF(OR(EE256=1,EE$228=1,$GT158=1),EE158,0))</f>
        <v>x</v>
      </c>
      <c r="EF341" s="37" t="str">
        <f>IF(EF158=-1,"x",IF(OR(EF256=1,EF$228=1,$GU158=1),EF158,0))</f>
        <v>x</v>
      </c>
      <c r="EG341" s="35" t="str">
        <f>IF(EG158=-1,"x",IF(OR(EG256=1,EG$228=1,$GV158=1),EG158,0))</f>
        <v>x</v>
      </c>
      <c r="EH341" s="36" t="str">
        <f>IF(EH158=-1,"x",IF(OR(EH256=1,EH$228=1,$GT158=1),EH158,0))</f>
        <v>x</v>
      </c>
      <c r="EI341" s="37" t="str">
        <f>IF(EI158=-1,"x",IF(OR(EI256=1,EI$228=1,$GU158=1),EI158,0))</f>
        <v>x</v>
      </c>
      <c r="EJ341" s="109" t="str">
        <f>IF(EJ158=-1,"x",IF(OR(EJ256=1,EJ$228=1,$GV158=1),EJ158,0))</f>
        <v>x</v>
      </c>
      <c r="EK341" s="108" t="str">
        <f>IF(EK158=-1,"x",IF(OR(EK256=1,EK$228=1,$GT158=1),EK158,0))</f>
        <v>x</v>
      </c>
      <c r="EL341" s="37" t="str">
        <f>IF(EL158=-1,"x",IF(OR(EL256=1,EL$228=1,$GU158=1),EL158,0))</f>
        <v>x</v>
      </c>
      <c r="EM341" s="35" t="str">
        <f>IF(EM158=-1,"x",IF(OR(EM256=1,EM$228=1,$GV158=1),EM158,0))</f>
        <v>x</v>
      </c>
      <c r="EN341" s="36" t="str">
        <f>IF(EN158=-1,"x",IF(OR(EN256=1,EN$228=1,$GT158=1),EN158,0))</f>
        <v>x</v>
      </c>
      <c r="EO341" s="37" t="str">
        <f>IF(EO158=-1,"x",IF(OR(EO256=1,EO$228=1,$GU158=1),EO158,0))</f>
        <v>x</v>
      </c>
      <c r="EP341" s="35" t="str">
        <f>IF(EP158=-1,"x",IF(OR(EP256=1,EP$228=1,$GV158=1),EP158,0))</f>
        <v>x</v>
      </c>
      <c r="EQ341" s="36" t="str">
        <f>IF(EQ158=-1,"x",IF(OR(EQ256=1,EQ$228=1,$GT158=1),EQ158,0))</f>
        <v>x</v>
      </c>
      <c r="ER341" s="37" t="str">
        <f>IF(ER158=-1,"x",IF(OR(ER256=1,ER$228=1,$GU158=1),ER158,0))</f>
        <v>x</v>
      </c>
      <c r="ES341" s="38" t="str">
        <f>IF(ES158=-1,"x",IF(OR(ES256=1,ES$228=1,$GV158=1),ES158,0))</f>
        <v>x</v>
      </c>
      <c r="ET341" s="416" t="str">
        <f>IF(ET158=-1,"x",IF(OR(ET256=1,ET$228=1,$GT158=1),ET158,0))</f>
        <v>x</v>
      </c>
      <c r="EU341" s="37" t="str">
        <f>IF(EU158=-1,"x",IF(OR(EU256=1,EU$228=1,$GU158=1),EU158,0))</f>
        <v>x</v>
      </c>
      <c r="EV341" s="35" t="str">
        <f>IF(EV158=-1,"x",IF(OR(EV256=1,EV$228=1,$GV158=1),EV158,0))</f>
        <v>x</v>
      </c>
      <c r="EW341" s="36" t="str">
        <f>IF(EW158=-1,"x",IF(OR(EW256=1,EW$228=1,$GT158=1),EW158,0))</f>
        <v>x</v>
      </c>
      <c r="EX341" s="37" t="str">
        <f>IF(EX158=-1,"x",IF(OR(EX256=1,EX$228=1,$GU158=1),EX158,0))</f>
        <v>x</v>
      </c>
      <c r="EY341" s="35" t="str">
        <f>IF(EY158=-1,"x",IF(OR(EY256=1,EY$228=1,$GV158=1),EY158,0))</f>
        <v>x</v>
      </c>
      <c r="EZ341" s="36" t="str">
        <f>IF(EZ158=-1,"x",IF(OR(EZ256=1,EZ$228=1,$GT158=1),EZ158,0))</f>
        <v>x</v>
      </c>
      <c r="FA341" s="37" t="str">
        <f>IF(FA158=-1,"x",IF(OR(FA256=1,FA$228=1,$GU158=1),FA158,0))</f>
        <v>x</v>
      </c>
      <c r="FB341" s="38" t="str">
        <f>IF(FB158=-1,"x",IF(OR(FB256=1,FB$228=1,$GV158=1),FB158,0))</f>
        <v>x</v>
      </c>
      <c r="FC341" s="416" t="str">
        <f>IF(FC158=-1,"x",IF(OR(FC256=1,FC$228=1,$GT158=1),FC158,0))</f>
        <v>x</v>
      </c>
      <c r="FD341" s="37" t="str">
        <f>IF(FD158=-1,"x",IF(OR(FD256=1,FD$228=1,$GU158=1),FD158,0))</f>
        <v>x</v>
      </c>
      <c r="FE341" s="35" t="str">
        <f>IF(FE158=-1,"x",IF(OR(FE256=1,FE$228=1,$GV158=1),FE158,0))</f>
        <v>x</v>
      </c>
      <c r="FF341" s="36" t="str">
        <f>IF(FF158=-1,"x",IF(OR(FF256=1,FF$228=1,$GT158=1),FF158,0))</f>
        <v>x</v>
      </c>
      <c r="FG341" s="37" t="str">
        <f>IF(FG158=-1,"x",IF(OR(FG256=1,FG$228=1,$GU158=1),FG158,0))</f>
        <v>x</v>
      </c>
      <c r="FH341" s="35" t="str">
        <f>IF(FH158=-1,"x",IF(OR(FH256=1,FH$228=1,$GV158=1),FH158,0))</f>
        <v>x</v>
      </c>
      <c r="FI341" s="36" t="str">
        <f>IF(FI158=-1,"x",IF(OR(FI256=1,FI$228=1,$GT158=1),FI158,0))</f>
        <v>x</v>
      </c>
      <c r="FJ341" s="37" t="str">
        <f>IF(FJ158=-1,"x",IF(OR(FJ256=1,FJ$228=1,$GU158=1),FJ158,0))</f>
        <v>x</v>
      </c>
      <c r="FK341" s="109" t="str">
        <f>IF(FK158=-1,"x",IF(OR(FK256=1,FK$228=1,$GV158=1),FK158,0))</f>
        <v>x</v>
      </c>
      <c r="FL341" s="108" t="str">
        <f>IF(FL158=-1,"x",IF(OR(FL256=1,FL$228=1,$GT158=1),FL158,0))</f>
        <v>x</v>
      </c>
      <c r="FM341" s="37" t="str">
        <f>IF(FM158=-1,"x",IF(OR(FM256=1,FM$228=1,$GU158=1),FM158,0))</f>
        <v>x</v>
      </c>
      <c r="FN341" s="35" t="str">
        <f>IF(FN158=-1,"x",IF(OR(FN256=1,FN$228=1,$GV158=1),FN158,0))</f>
        <v>x</v>
      </c>
      <c r="FO341" s="36" t="str">
        <f>IF(FO158=-1,"x",IF(OR(FO256=1,FO$228=1,$GT158=1),FO158,0))</f>
        <v>x</v>
      </c>
      <c r="FP341" s="37" t="str">
        <f>IF(FP158=-1,"x",IF(OR(FP256=1,FP$228=1,$GU158=1),FP158,0))</f>
        <v>x</v>
      </c>
      <c r="FQ341" s="35" t="str">
        <f>IF(FQ158=-1,"x",IF(OR(FQ256=1,FQ$228=1,$GV158=1),FQ158,0))</f>
        <v>x</v>
      </c>
      <c r="FR341" s="36" t="str">
        <f>IF(FR158=-1,"x",IF(OR(FR256=1,FR$228=1,$GT158=1),FR158,0))</f>
        <v>x</v>
      </c>
      <c r="FS341" s="37" t="str">
        <f>IF(FS158=-1,"x",IF(OR(FS256=1,FS$228=1,$GU158=1),FS158,0))</f>
        <v>x</v>
      </c>
      <c r="FT341" s="38" t="str">
        <f>IF(FT158=-1,"x",IF(OR(FT256=1,FT$228=1,$GV158=1),FT158,0))</f>
        <v>x</v>
      </c>
      <c r="FU341" s="416" t="str">
        <f>IF(FU158=-1,"x",IF(OR(FU256=1,FU$228=1,$GT158=1),FU158,0))</f>
        <v>x</v>
      </c>
      <c r="FV341" s="37" t="str">
        <f>IF(FV158=-1,"x",IF(OR(FV256=1,FV$228=1,$GU158=1),FV158,0))</f>
        <v>x</v>
      </c>
      <c r="FW341" s="35" t="str">
        <f>IF(FW158=-1,"x",IF(OR(FW256=1,FW$228=1,$GV158=1),FW158,0))</f>
        <v>x</v>
      </c>
      <c r="FX341" s="36" t="str">
        <f>IF(FX158=-1,"x",IF(OR(FX256=1,FX$228=1,$GT158=1),FX158,0))</f>
        <v>x</v>
      </c>
      <c r="FY341" s="37" t="str">
        <f>IF(FY158=-1,"x",IF(OR(FY256=1,FY$228=1,$GU158=1),FY158,0))</f>
        <v>x</v>
      </c>
      <c r="FZ341" s="35" t="str">
        <f>IF(FZ158=-1,"x",IF(OR(FZ256=1,FZ$228=1,$GV158=1),FZ158,0))</f>
        <v>x</v>
      </c>
      <c r="GA341" s="36" t="str">
        <f>IF(GA158=-1,"x",IF(OR(GA256=1,GA$228=1,$GT158=1),GA158,0))</f>
        <v>x</v>
      </c>
      <c r="GB341" s="37" t="str">
        <f>IF(GB158=-1,"x",IF(OR(GB256=1,GB$228=1,$GU158=1),GB158,0))</f>
        <v>x</v>
      </c>
      <c r="GC341" s="38" t="str">
        <f>IF(GC158=-1,"x",IF(OR(GC256=1,GC$228=1,$GV158=1),GC158,0))</f>
        <v>x</v>
      </c>
      <c r="GD341" s="416" t="str">
        <f>IF(GD158=-1,"x",IF(OR(GD256=1,GD$228=1,$GT158=1),GD158,0))</f>
        <v>x</v>
      </c>
      <c r="GE341" s="37" t="str">
        <f>IF(GE158=-1,"x",IF(OR(GE256=1,GE$228=1,$GU158=1),GE158,0))</f>
        <v>x</v>
      </c>
      <c r="GF341" s="35" t="str">
        <f>IF(GF158=-1,"x",IF(OR(GF256=1,GF$228=1,$GV158=1),GF158,0))</f>
        <v>x</v>
      </c>
      <c r="GG341" s="36" t="str">
        <f>IF(GG158=-1,"x",IF(OR(GG256=1,GG$228=1,$GT158=1),GG158,0))</f>
        <v>x</v>
      </c>
      <c r="GH341" s="37" t="str">
        <f>IF(GH158=-1,"x",IF(OR(GH256=1,GH$228=1,$GU158=1),GH158,0))</f>
        <v>x</v>
      </c>
      <c r="GI341" s="35" t="str">
        <f>IF(GI158=-1,"x",IF(OR(GI256=1,GI$228=1,$GV158=1),GI158,0))</f>
        <v>x</v>
      </c>
      <c r="GJ341" s="36">
        <f>IF(GJ158=-1,"x",IF(OR(GJ256=1,GJ$228=1,$GT158=1),GJ158,0))</f>
        <v>0</v>
      </c>
      <c r="GK341" s="37">
        <f>IF(GK158=-1,"x",IF(OR(GK256=1,GK$228=1,$GU158=1),GK158,0))</f>
        <v>0</v>
      </c>
      <c r="GL341" s="109">
        <f>IF(GL158=-1,"x",IF(OR(GL256=1,GL$228=1,$GV158=1),GL158,0))</f>
        <v>0</v>
      </c>
    </row>
    <row r="342" spans="14:194" ht="15" customHeight="1">
      <c r="N342" s="94" t="str">
        <f>IF(N159=-1,"x",IF(OR(N257=1,N$196=1,$CX159=1),N159,0))</f>
        <v>x</v>
      </c>
      <c r="O342" s="39" t="str">
        <f>IF(O159=-1,"x",IF(OR(O257=1,O$196=1,$CY159=1),O159,0))</f>
        <v>x</v>
      </c>
      <c r="P342" s="41" t="str">
        <f>IF(P159=-1,"x",IF(OR(P257=1,P$196=1,$CZ159=1),P159,0))</f>
        <v>x</v>
      </c>
      <c r="Q342" s="40" t="str">
        <f>IF(Q159=-1,"x",IF(OR(Q257=1,Q$196=1,$CX159=1),Q159,0))</f>
        <v>x</v>
      </c>
      <c r="R342" s="39" t="str">
        <f>IF(R159=-1,"x",IF(OR(R257=1,R$196=1,$CY159=1),R159,0))</f>
        <v>x</v>
      </c>
      <c r="S342" s="41" t="str">
        <f>IF(S159=-1,"x",IF(OR(S257=1,S$196=1,$CZ159=1),S159,0))</f>
        <v>x</v>
      </c>
      <c r="T342" s="40" t="str">
        <f>IF(T159=-1,"x",IF(OR(T257=1,T$196=1,$CX159=1),T159,0))</f>
        <v>x</v>
      </c>
      <c r="U342" s="39" t="str">
        <f>IF(U159=-1,"x",IF(OR(U257=1,U$196=1,$CY159=1),U159,0))</f>
        <v>x</v>
      </c>
      <c r="V342" s="42" t="str">
        <f>IF(V159=-1,"x",IF(OR(V257=1,V$196=1,$CZ159=1),V159,0))</f>
        <v>x</v>
      </c>
      <c r="W342" s="43" t="str">
        <f>IF(W159=-1,"x",IF(OR(W257=1,W$196=1,$CX159=1),W159,0))</f>
        <v>x</v>
      </c>
      <c r="X342" s="39" t="str">
        <f>IF(X159=-1,"x",IF(OR(X257=1,X$196=1,$CY159=1),X159,0))</f>
        <v>x</v>
      </c>
      <c r="Y342" s="41" t="str">
        <f>IF(Y159=-1,"x",IF(OR(Y257=1,Y$196=1,$CZ159=1),Y159,0))</f>
        <v>x</v>
      </c>
      <c r="Z342" s="40" t="str">
        <f>IF(Z159=-1,"x",IF(OR(Z257=1,Z$196=1,$CX159=1),Z159,0))</f>
        <v>x</v>
      </c>
      <c r="AA342" s="39" t="str">
        <f>IF(AA159=-1,"x",IF(OR(AA257=1,AA$196=1,$CY159=1),AA159,0))</f>
        <v>x</v>
      </c>
      <c r="AB342" s="41" t="str">
        <f>IF(AB159=-1,"x",IF(OR(AB257=1,AB$196=1,$CZ159=1),AB159,0))</f>
        <v>x</v>
      </c>
      <c r="AC342" s="40" t="str">
        <f>IF(AC159=-1,"x",IF(OR(AC257=1,AC$196=1,$CX159=1),AC159,0))</f>
        <v>x</v>
      </c>
      <c r="AD342" s="39" t="str">
        <f>IF(AD159=-1,"x",IF(OR(AD257=1,AD$196=1,$CY159=1),AD159,0))</f>
        <v>x</v>
      </c>
      <c r="AE342" s="42" t="str">
        <f>IF(AE159=-1,"x",IF(OR(AE257=1,AE$196=1,$CZ159=1),AE159,0))</f>
        <v>x</v>
      </c>
      <c r="AF342" s="43" t="str">
        <f>IF(AF159=-1,"x",IF(OR(AF257=1,AF$196=1,$CX159=1),AF159,0))</f>
        <v>x</v>
      </c>
      <c r="AG342" s="39" t="str">
        <f>IF(AG159=-1,"x",IF(OR(AG257=1,AG$196=1,$CY159=1),AG159,0))</f>
        <v>x</v>
      </c>
      <c r="AH342" s="41" t="str">
        <f>IF(AH159=-1,"x",IF(OR(AH257=1,AH$196=1,$CZ159=1),AH159,0))</f>
        <v>x</v>
      </c>
      <c r="AI342" s="40" t="str">
        <f>IF(AI159=-1,"x",IF(OR(AI257=1,AI$196=1,$CX159=1),AI159,0))</f>
        <v>x</v>
      </c>
      <c r="AJ342" s="39" t="str">
        <f>IF(AJ159=-1,"x",IF(OR(AJ257=1,AJ$196=1,$CY159=1),AJ159,0))</f>
        <v>x</v>
      </c>
      <c r="AK342" s="41" t="str">
        <f>IF(AK159=-1,"x",IF(OR(AK257=1,AK$196=1,$CZ159=1),AK159,0))</f>
        <v>x</v>
      </c>
      <c r="AL342" s="40" t="str">
        <f>IF(AL159=-1,"x",IF(OR(AL257=1,AL$196=1,$CX159=1),AL159,0))</f>
        <v>x</v>
      </c>
      <c r="AM342" s="39" t="str">
        <f>IF(AM159=-1,"x",IF(OR(AM257=1,AM$196=1,$CY159=1),AM159,0))</f>
        <v>x</v>
      </c>
      <c r="AN342" s="95" t="str">
        <f>IF(AN159=-1,"x",IF(OR(AN257=1,AN$196=1,$CZ159=1),AN159,0))</f>
        <v>x</v>
      </c>
      <c r="AO342" s="94" t="str">
        <f>IF(AO159=-1,"x",IF(OR(AO257=1,AO$196=1,$CX159=1),AO159,0))</f>
        <v>x</v>
      </c>
      <c r="AP342" s="39" t="str">
        <f>IF(AP159=-1,"x",IF(OR(AP257=1,AP$196=1,$CY159=1),AP159,0))</f>
        <v>x</v>
      </c>
      <c r="AQ342" s="41" t="str">
        <f>IF(AQ159=-1,"x",IF(OR(AQ257=1,AQ$196=1,$CZ159=1),AQ159,0))</f>
        <v>x</v>
      </c>
      <c r="AR342" s="40" t="str">
        <f>IF(AR159=-1,"x",IF(OR(AR257=1,AR$196=1,$CX159=1),AR159,0))</f>
        <v>x</v>
      </c>
      <c r="AS342" s="39" t="str">
        <f>IF(AS159=-1,"x",IF(OR(AS257=1,AS$196=1,$CY159=1),AS159,0))</f>
        <v>x</v>
      </c>
      <c r="AT342" s="41" t="str">
        <f>IF(AT159=-1,"x",IF(OR(AT257=1,AT$196=1,$CZ159=1),AT159,0))</f>
        <v>x</v>
      </c>
      <c r="AU342" s="40" t="str">
        <f>IF(AU159=-1,"x",IF(OR(AU257=1,AU$196=1,$CX159=1),AU159,0))</f>
        <v>x</v>
      </c>
      <c r="AV342" s="39" t="str">
        <f>IF(AV159=-1,"x",IF(OR(AV257=1,AV$196=1,$CY159=1),AV159,0))</f>
        <v>x</v>
      </c>
      <c r="AW342" s="42" t="str">
        <f>IF(AW159=-1,"x",IF(OR(AW257=1,AW$196=1,$CZ159=1),AW159,0))</f>
        <v>x</v>
      </c>
      <c r="AX342" s="43" t="str">
        <f>IF(AX159=-1,"x",IF(OR(AX257=1,AX$196=1,$CX159=1),AX159,0))</f>
        <v>x</v>
      </c>
      <c r="AY342" s="39" t="str">
        <f>IF(AY159=-1,"x",IF(OR(AY257=1,AY$196=1,$CY159=1),AY159,0))</f>
        <v>x</v>
      </c>
      <c r="AZ342" s="41" t="str">
        <f>IF(AZ159=-1,"x",IF(OR(AZ257=1,AZ$196=1,$CZ159=1),AZ159,0))</f>
        <v>x</v>
      </c>
      <c r="BA342" s="40" t="str">
        <f>IF(BA159=-1,"x",IF(OR(BA257=1,BA$196=1,$CX159=1),BA159,0))</f>
        <v>x</v>
      </c>
      <c r="BB342" s="39" t="str">
        <f>IF(BB159=-1,"x",IF(OR(BB257=1,BB$196=1,$CY159=1),BB159,0))</f>
        <v>x</v>
      </c>
      <c r="BC342" s="41" t="str">
        <f>IF(BC159=-1,"x",IF(OR(BC257=1,BC$196=1,$CZ159=1),BC159,0))</f>
        <v>x</v>
      </c>
      <c r="BD342" s="40" t="str">
        <f>IF(BD159=-1,"x",IF(OR(BD257=1,BD$196=1,$CX159=1),BD159,0))</f>
        <v>x</v>
      </c>
      <c r="BE342" s="39" t="str">
        <f>IF(BE159=-1,"x",IF(OR(BE257=1,BE$196=1,$CY159=1),BE159,0))</f>
        <v>x</v>
      </c>
      <c r="BF342" s="42" t="str">
        <f>IF(BF159=-1,"x",IF(OR(BF257=1,BF$196=1,$CZ159=1),BF159,0))</f>
        <v>x</v>
      </c>
      <c r="BG342" s="43" t="str">
        <f>IF(BG159=-1,"x",IF(OR(BG257=1,BG$196=1,$CX159=1),BG159,0))</f>
        <v>x</v>
      </c>
      <c r="BH342" s="39" t="str">
        <f>IF(BH159=-1,"x",IF(OR(BH257=1,BH$196=1,$CY159=1),BH159,0))</f>
        <v>x</v>
      </c>
      <c r="BI342" s="41" t="str">
        <f>IF(BI159=-1,"x",IF(OR(BI257=1,BI$196=1,$CZ159=1),BI159,0))</f>
        <v>x</v>
      </c>
      <c r="BJ342" s="40" t="str">
        <f>IF(BJ159=-1,"x",IF(OR(BJ257=1,BJ$196=1,$CX159=1),BJ159,0))</f>
        <v>x</v>
      </c>
      <c r="BK342" s="39" t="str">
        <f>IF(BK159=-1,"x",IF(OR(BK257=1,BK$196=1,$CY159=1),BK159,0))</f>
        <v>x</v>
      </c>
      <c r="BL342" s="41" t="str">
        <f>IF(BL159=-1,"x",IF(OR(BL257=1,BL$196=1,$CZ159=1),BL159,0))</f>
        <v>x</v>
      </c>
      <c r="BM342" s="40" t="str">
        <f>IF(BM159=-1,"x",IF(OR(BM257=1,BM$196=1,$CX159=1),BM159,0))</f>
        <v>x</v>
      </c>
      <c r="BN342" s="39" t="str">
        <f>IF(BN159=-1,"x",IF(OR(BN257=1,BN$196=1,$CY159=1),BN159,0))</f>
        <v>x</v>
      </c>
      <c r="BO342" s="95" t="str">
        <f>IF(BO159=-1,"x",IF(OR(BO257=1,BO$196=1,$CZ159=1),BO159,0))</f>
        <v>x</v>
      </c>
      <c r="BP342" s="94" t="str">
        <f>IF(BP159=-1,"x",IF(OR(BP257=1,BP$196=1,$CX159=1),BP159,0))</f>
        <v>x</v>
      </c>
      <c r="BQ342" s="39" t="str">
        <f>IF(BQ159=-1,"x",IF(OR(BQ257=1,BQ$196=1,$CY159=1),BQ159,0))</f>
        <v>x</v>
      </c>
      <c r="BR342" s="41" t="str">
        <f>IF(BR159=-1,"x",IF(OR(BR257=1,BR$196=1,$CZ159=1),BR159,0))</f>
        <v>x</v>
      </c>
      <c r="BS342" s="40" t="str">
        <f>IF(BS159=-1,"x",IF(OR(BS257=1,BS$196=1,$CX159=1),BS159,0))</f>
        <v>x</v>
      </c>
      <c r="BT342" s="39" t="str">
        <f>IF(BT159=-1,"x",IF(OR(BT257=1,BT$196=1,$CY159=1),BT159,0))</f>
        <v>x</v>
      </c>
      <c r="BU342" s="41" t="str">
        <f>IF(BU159=-1,"x",IF(OR(BU257=1,BU$196=1,$CZ159=1),BU159,0))</f>
        <v>x</v>
      </c>
      <c r="BV342" s="40" t="str">
        <f>IF(BV159=-1,"x",IF(OR(BV257=1,BV$196=1,$CX159=1),BV159,0))</f>
        <v>x</v>
      </c>
      <c r="BW342" s="39" t="str">
        <f>IF(BW159=-1,"x",IF(OR(BW257=1,BW$196=1,$CY159=1),BW159,0))</f>
        <v>x</v>
      </c>
      <c r="BX342" s="42" t="str">
        <f>IF(BX159=-1,"x",IF(OR(BX257=1,BX$196=1,$CZ159=1),BX159,0))</f>
        <v>x</v>
      </c>
      <c r="BY342" s="43" t="str">
        <f>IF(BY159=-1,"x",IF(OR(BY257=1,BY$196=1,$CX159=1),BY159,0))</f>
        <v>x</v>
      </c>
      <c r="BZ342" s="39" t="str">
        <f>IF(BZ159=-1,"x",IF(OR(BZ257=1,BZ$196=1,$CY159=1),BZ159,0))</f>
        <v>x</v>
      </c>
      <c r="CA342" s="41" t="str">
        <f>IF(CA159=-1,"x",IF(OR(CA257=1,CA$196=1,$CZ159=1),CA159,0))</f>
        <v>x</v>
      </c>
      <c r="CB342" s="40" t="str">
        <f>IF(CB159=-1,"x",IF(OR(CB257=1,CB$196=1,$CX159=1),CB159,0))</f>
        <v>x</v>
      </c>
      <c r="CC342" s="39" t="str">
        <f>IF(CC159=-1,"x",IF(OR(CC257=1,CC$196=1,$CY159=1),CC159,0))</f>
        <v>x</v>
      </c>
      <c r="CD342" s="41" t="str">
        <f>IF(CD159=-1,"x",IF(OR(CD257=1,CD$196=1,$CZ159=1),CD159,0))</f>
        <v>x</v>
      </c>
      <c r="CE342" s="40" t="str">
        <f>IF(CE159=-1,"x",IF(OR(CE257=1,CE$196=1,$CX159=1),CE159,0))</f>
        <v>x</v>
      </c>
      <c r="CF342" s="39" t="str">
        <f>IF(CF159=-1,"x",IF(OR(CF257=1,CF$196=1,$CY159=1),CF159,0))</f>
        <v>x</v>
      </c>
      <c r="CG342" s="42" t="str">
        <f>IF(CG159=-1,"x",IF(OR(CG257=1,CG$196=1,$CZ159=1),CG159,0))</f>
        <v>x</v>
      </c>
      <c r="CH342" s="43" t="str">
        <f>IF(CH159=-1,"x",IF(OR(CH257=1,CH$196=1,$CX159=1),CH159,0))</f>
        <v>x</v>
      </c>
      <c r="CI342" s="39" t="str">
        <f>IF(CI159=-1,"x",IF(OR(CI257=1,CI$196=1,$CY159=1),CI159,0))</f>
        <v>x</v>
      </c>
      <c r="CJ342" s="41" t="str">
        <f>IF(CJ159=-1,"x",IF(OR(CJ257=1,CJ$196=1,$CZ159=1),CJ159,0))</f>
        <v>x</v>
      </c>
      <c r="CK342" s="40" t="str">
        <f>IF(CK159=-1,"x",IF(OR(CK257=1,CK$196=1,$CX159=1),CK159,0))</f>
        <v>x</v>
      </c>
      <c r="CL342" s="39" t="str">
        <f>IF(CL159=-1,"x",IF(OR(CL257=1,CL$196=1,$CY159=1),CL159,0))</f>
        <v>x</v>
      </c>
      <c r="CM342" s="41" t="str">
        <f>IF(CM159=-1,"x",IF(OR(CM257=1,CM$196=1,$CZ159=1),CM159,0))</f>
        <v>x</v>
      </c>
      <c r="CN342" s="40" t="str">
        <f>IF(CN159=-1,"x",IF(OR(CN257=1,CN$196=1,$CX159=1),CN159,0))</f>
        <v>x</v>
      </c>
      <c r="CO342" s="39" t="str">
        <f>IF(CO159=-1,"x",IF(OR(CO257=1,CO$196=1,$CY159=1),CO159,0))</f>
        <v>x</v>
      </c>
      <c r="CP342" s="95" t="str">
        <f>IF(CP159=-1,"x",IF(OR(CP257=1,CP$196=1,$CZ159=1),CP159,0))</f>
        <v>x</v>
      </c>
      <c r="DJ342" s="94" t="str">
        <f>IF(DJ159=-1,"x",IF(OR(DJ257=1,DJ$229=1,$GT159=1),DJ159,0))</f>
        <v>x</v>
      </c>
      <c r="DK342" s="39" t="str">
        <f>IF(DK159=-1,"x",IF(OR(DK257=1,DK$229=1,$GU159=1),DK159,0))</f>
        <v>x</v>
      </c>
      <c r="DL342" s="41" t="str">
        <f>IF(DL159=-1,"x",IF(OR(DL257=1,DL$229=1,$GV159=1),DL159,0))</f>
        <v>x</v>
      </c>
      <c r="DM342" s="40" t="str">
        <f>IF(DM159=-1,"x",IF(OR(DM257=1,DM$229=1,$GT159=1),DM159,0))</f>
        <v>x</v>
      </c>
      <c r="DN342" s="39" t="str">
        <f>IF(DN159=-1,"x",IF(OR(DN257=1,DN$229=1,$GU159=1),DN159,0))</f>
        <v>x</v>
      </c>
      <c r="DO342" s="41" t="str">
        <f>IF(DO159=-1,"x",IF(OR(DO257=1,DO$229=1,$GV159=1),DO159,0))</f>
        <v>x</v>
      </c>
      <c r="DP342" s="40" t="str">
        <f>IF(DP159=-1,"x",IF(OR(DP257=1,DP$229=1,$GT159=1),DP159,0))</f>
        <v>x</v>
      </c>
      <c r="DQ342" s="39" t="str">
        <f>IF(DQ159=-1,"x",IF(OR(DQ257=1,DQ$229=1,$GU159=1),DQ159,0))</f>
        <v>x</v>
      </c>
      <c r="DR342" s="42" t="str">
        <f>IF(DR159=-1,"x",IF(OR(DR257=1,DR$229=1,$GV159=1),DR159,0))</f>
        <v>x</v>
      </c>
      <c r="DS342" s="43" t="str">
        <f>IF(DS159=-1,"x",IF(OR(DS257=1,DS$229=1,$GT159=1),DS159,0))</f>
        <v>x</v>
      </c>
      <c r="DT342" s="39" t="str">
        <f>IF(DT159=-1,"x",IF(OR(DT257=1,DT$229=1,$GU159=1),DT159,0))</f>
        <v>x</v>
      </c>
      <c r="DU342" s="41" t="str">
        <f>IF(DU159=-1,"x",IF(OR(DU257=1,DU$229=1,$GV159=1),DU159,0))</f>
        <v>x</v>
      </c>
      <c r="DV342" s="40" t="str">
        <f>IF(DV159=-1,"x",IF(OR(DV257=1,DV$229=1,$GT159=1),DV159,0))</f>
        <v>x</v>
      </c>
      <c r="DW342" s="39" t="str">
        <f>IF(DW159=-1,"x",IF(OR(DW257=1,DW$229=1,$GU159=1),DW159,0))</f>
        <v>x</v>
      </c>
      <c r="DX342" s="41" t="str">
        <f>IF(DX159=-1,"x",IF(OR(DX257=1,DX$229=1,$GV159=1),DX159,0))</f>
        <v>x</v>
      </c>
      <c r="DY342" s="40" t="str">
        <f>IF(DY159=-1,"x",IF(OR(DY257=1,DY$229=1,$GT159=1),DY159,0))</f>
        <v>x</v>
      </c>
      <c r="DZ342" s="39" t="str">
        <f>IF(DZ159=-1,"x",IF(OR(DZ257=1,DZ$229=1,$GU159=1),DZ159,0))</f>
        <v>x</v>
      </c>
      <c r="EA342" s="42" t="str">
        <f>IF(EA159=-1,"x",IF(OR(EA257=1,EA$229=1,$GV159=1),EA159,0))</f>
        <v>x</v>
      </c>
      <c r="EB342" s="43" t="str">
        <f>IF(EB159=-1,"x",IF(OR(EB257=1,EB$229=1,$GT159=1),EB159,0))</f>
        <v>x</v>
      </c>
      <c r="EC342" s="39" t="str">
        <f>IF(EC159=-1,"x",IF(OR(EC257=1,EC$229=1,$GU159=1),EC159,0))</f>
        <v>x</v>
      </c>
      <c r="ED342" s="41" t="str">
        <f>IF(ED159=-1,"x",IF(OR(ED257=1,ED$229=1,$GV159=1),ED159,0))</f>
        <v>x</v>
      </c>
      <c r="EE342" s="40" t="str">
        <f>IF(EE159=-1,"x",IF(OR(EE257=1,EE$229=1,$GT159=1),EE159,0))</f>
        <v>x</v>
      </c>
      <c r="EF342" s="39" t="str">
        <f>IF(EF159=-1,"x",IF(OR(EF257=1,EF$229=1,$GU159=1),EF159,0))</f>
        <v>x</v>
      </c>
      <c r="EG342" s="41" t="str">
        <f>IF(EG159=-1,"x",IF(OR(EG257=1,EG$229=1,$GV159=1),EG159,0))</f>
        <v>x</v>
      </c>
      <c r="EH342" s="40" t="str">
        <f>IF(EH159=-1,"x",IF(OR(EH257=1,EH$229=1,$GT159=1),EH159,0))</f>
        <v>x</v>
      </c>
      <c r="EI342" s="39" t="str">
        <f>IF(EI159=-1,"x",IF(OR(EI257=1,EI$229=1,$GU159=1),EI159,0))</f>
        <v>x</v>
      </c>
      <c r="EJ342" s="95" t="str">
        <f>IF(EJ159=-1,"x",IF(OR(EJ257=1,EJ$229=1,$GV159=1),EJ159,0))</f>
        <v>x</v>
      </c>
      <c r="EK342" s="94" t="str">
        <f>IF(EK159=-1,"x",IF(OR(EK257=1,EK$229=1,$GT159=1),EK159,0))</f>
        <v>x</v>
      </c>
      <c r="EL342" s="39" t="str">
        <f>IF(EL159=-1,"x",IF(OR(EL257=1,EL$229=1,$GU159=1),EL159,0))</f>
        <v>x</v>
      </c>
      <c r="EM342" s="41" t="str">
        <f>IF(EM159=-1,"x",IF(OR(EM257=1,EM$229=1,$GV159=1),EM159,0))</f>
        <v>x</v>
      </c>
      <c r="EN342" s="40" t="str">
        <f>IF(EN159=-1,"x",IF(OR(EN257=1,EN$229=1,$GT159=1),EN159,0))</f>
        <v>x</v>
      </c>
      <c r="EO342" s="39" t="str">
        <f>IF(EO159=-1,"x",IF(OR(EO257=1,EO$229=1,$GU159=1),EO159,0))</f>
        <v>x</v>
      </c>
      <c r="EP342" s="41" t="str">
        <f>IF(EP159=-1,"x",IF(OR(EP257=1,EP$229=1,$GV159=1),EP159,0))</f>
        <v>x</v>
      </c>
      <c r="EQ342" s="40" t="str">
        <f>IF(EQ159=-1,"x",IF(OR(EQ257=1,EQ$229=1,$GT159=1),EQ159,0))</f>
        <v>x</v>
      </c>
      <c r="ER342" s="39" t="str">
        <f>IF(ER159=-1,"x",IF(OR(ER257=1,ER$229=1,$GU159=1),ER159,0))</f>
        <v>x</v>
      </c>
      <c r="ES342" s="42" t="str">
        <f>IF(ES159=-1,"x",IF(OR(ES257=1,ES$229=1,$GV159=1),ES159,0))</f>
        <v>x</v>
      </c>
      <c r="ET342" s="43" t="str">
        <f>IF(ET159=-1,"x",IF(OR(ET257=1,ET$229=1,$GT159=1),ET159,0))</f>
        <v>x</v>
      </c>
      <c r="EU342" s="39" t="str">
        <f>IF(EU159=-1,"x",IF(OR(EU257=1,EU$229=1,$GU159=1),EU159,0))</f>
        <v>x</v>
      </c>
      <c r="EV342" s="41" t="str">
        <f>IF(EV159=-1,"x",IF(OR(EV257=1,EV$229=1,$GV159=1),EV159,0))</f>
        <v>x</v>
      </c>
      <c r="EW342" s="40" t="str">
        <f>IF(EW159=-1,"x",IF(OR(EW257=1,EW$229=1,$GT159=1),EW159,0))</f>
        <v>x</v>
      </c>
      <c r="EX342" s="39" t="str">
        <f>IF(EX159=-1,"x",IF(OR(EX257=1,EX$229=1,$GU159=1),EX159,0))</f>
        <v>x</v>
      </c>
      <c r="EY342" s="41" t="str">
        <f>IF(EY159=-1,"x",IF(OR(EY257=1,EY$229=1,$GV159=1),EY159,0))</f>
        <v>x</v>
      </c>
      <c r="EZ342" s="40" t="str">
        <f>IF(EZ159=-1,"x",IF(OR(EZ257=1,EZ$229=1,$GT159=1),EZ159,0))</f>
        <v>x</v>
      </c>
      <c r="FA342" s="39" t="str">
        <f>IF(FA159=-1,"x",IF(OR(FA257=1,FA$229=1,$GU159=1),FA159,0))</f>
        <v>x</v>
      </c>
      <c r="FB342" s="42" t="str">
        <f>IF(FB159=-1,"x",IF(OR(FB257=1,FB$229=1,$GV159=1),FB159,0))</f>
        <v>x</v>
      </c>
      <c r="FC342" s="43" t="str">
        <f>IF(FC159=-1,"x",IF(OR(FC257=1,FC$229=1,$GT159=1),FC159,0))</f>
        <v>x</v>
      </c>
      <c r="FD342" s="39" t="str">
        <f>IF(FD159=-1,"x",IF(OR(FD257=1,FD$229=1,$GU159=1),FD159,0))</f>
        <v>x</v>
      </c>
      <c r="FE342" s="41" t="str">
        <f>IF(FE159=-1,"x",IF(OR(FE257=1,FE$229=1,$GV159=1),FE159,0))</f>
        <v>x</v>
      </c>
      <c r="FF342" s="40" t="str">
        <f>IF(FF159=-1,"x",IF(OR(FF257=1,FF$229=1,$GT159=1),FF159,0))</f>
        <v>x</v>
      </c>
      <c r="FG342" s="39" t="str">
        <f>IF(FG159=-1,"x",IF(OR(FG257=1,FG$229=1,$GU159=1),FG159,0))</f>
        <v>x</v>
      </c>
      <c r="FH342" s="41" t="str">
        <f>IF(FH159=-1,"x",IF(OR(FH257=1,FH$229=1,$GV159=1),FH159,0))</f>
        <v>x</v>
      </c>
      <c r="FI342" s="40" t="str">
        <f>IF(FI159=-1,"x",IF(OR(FI257=1,FI$229=1,$GT159=1),FI159,0))</f>
        <v>x</v>
      </c>
      <c r="FJ342" s="39" t="str">
        <f>IF(FJ159=-1,"x",IF(OR(FJ257=1,FJ$229=1,$GU159=1),FJ159,0))</f>
        <v>x</v>
      </c>
      <c r="FK342" s="95" t="str">
        <f>IF(FK159=-1,"x",IF(OR(FK257=1,FK$229=1,$GV159=1),FK159,0))</f>
        <v>x</v>
      </c>
      <c r="FL342" s="94" t="str">
        <f>IF(FL159=-1,"x",IF(OR(FL257=1,FL$229=1,$GT159=1),FL159,0))</f>
        <v>x</v>
      </c>
      <c r="FM342" s="39" t="str">
        <f>IF(FM159=-1,"x",IF(OR(FM257=1,FM$229=1,$GU159=1),FM159,0))</f>
        <v>x</v>
      </c>
      <c r="FN342" s="41" t="str">
        <f>IF(FN159=-1,"x",IF(OR(FN257=1,FN$229=1,$GV159=1),FN159,0))</f>
        <v>x</v>
      </c>
      <c r="FO342" s="40" t="str">
        <f>IF(FO159=-1,"x",IF(OR(FO257=1,FO$229=1,$GT159=1),FO159,0))</f>
        <v>x</v>
      </c>
      <c r="FP342" s="39" t="str">
        <f>IF(FP159=-1,"x",IF(OR(FP257=1,FP$229=1,$GU159=1),FP159,0))</f>
        <v>x</v>
      </c>
      <c r="FQ342" s="41" t="str">
        <f>IF(FQ159=-1,"x",IF(OR(FQ257=1,FQ$229=1,$GV159=1),FQ159,0))</f>
        <v>x</v>
      </c>
      <c r="FR342" s="40" t="str">
        <f>IF(FR159=-1,"x",IF(OR(FR257=1,FR$229=1,$GT159=1),FR159,0))</f>
        <v>x</v>
      </c>
      <c r="FS342" s="39" t="str">
        <f>IF(FS159=-1,"x",IF(OR(FS257=1,FS$229=1,$GU159=1),FS159,0))</f>
        <v>x</v>
      </c>
      <c r="FT342" s="42" t="str">
        <f>IF(FT159=-1,"x",IF(OR(FT257=1,FT$229=1,$GV159=1),FT159,0))</f>
        <v>x</v>
      </c>
      <c r="FU342" s="43" t="str">
        <f>IF(FU159=-1,"x",IF(OR(FU257=1,FU$229=1,$GT159=1),FU159,0))</f>
        <v>x</v>
      </c>
      <c r="FV342" s="39" t="str">
        <f>IF(FV159=-1,"x",IF(OR(FV257=1,FV$229=1,$GU159=1),FV159,0))</f>
        <v>x</v>
      </c>
      <c r="FW342" s="41" t="str">
        <f>IF(FW159=-1,"x",IF(OR(FW257=1,FW$229=1,$GV159=1),FW159,0))</f>
        <v>x</v>
      </c>
      <c r="FX342" s="40" t="str">
        <f>IF(FX159=-1,"x",IF(OR(FX257=1,FX$229=1,$GT159=1),FX159,0))</f>
        <v>x</v>
      </c>
      <c r="FY342" s="39" t="str">
        <f>IF(FY159=-1,"x",IF(OR(FY257=1,FY$229=1,$GU159=1),FY159,0))</f>
        <v>x</v>
      </c>
      <c r="FZ342" s="41" t="str">
        <f>IF(FZ159=-1,"x",IF(OR(FZ257=1,FZ$229=1,$GV159=1),FZ159,0))</f>
        <v>x</v>
      </c>
      <c r="GA342" s="40" t="str">
        <f>IF(GA159=-1,"x",IF(OR(GA257=1,GA$229=1,$GT159=1),GA159,0))</f>
        <v>x</v>
      </c>
      <c r="GB342" s="39" t="str">
        <f>IF(GB159=-1,"x",IF(OR(GB257=1,GB$229=1,$GU159=1),GB159,0))</f>
        <v>x</v>
      </c>
      <c r="GC342" s="42" t="str">
        <f>IF(GC159=-1,"x",IF(OR(GC257=1,GC$229=1,$GV159=1),GC159,0))</f>
        <v>x</v>
      </c>
      <c r="GD342" s="43" t="str">
        <f>IF(GD159=-1,"x",IF(OR(GD257=1,GD$229=1,$GT159=1),GD159,0))</f>
        <v>x</v>
      </c>
      <c r="GE342" s="39" t="str">
        <f>IF(GE159=-1,"x",IF(OR(GE257=1,GE$229=1,$GU159=1),GE159,0))</f>
        <v>x</v>
      </c>
      <c r="GF342" s="41" t="str">
        <f>IF(GF159=-1,"x",IF(OR(GF257=1,GF$229=1,$GV159=1),GF159,0))</f>
        <v>x</v>
      </c>
      <c r="GG342" s="40" t="str">
        <f>IF(GG159=-1,"x",IF(OR(GG257=1,GG$229=1,$GT159=1),GG159,0))</f>
        <v>x</v>
      </c>
      <c r="GH342" s="39" t="str">
        <f>IF(GH159=-1,"x",IF(OR(GH257=1,GH$229=1,$GU159=1),GH159,0))</f>
        <v>x</v>
      </c>
      <c r="GI342" s="41" t="str">
        <f>IF(GI159=-1,"x",IF(OR(GI257=1,GI$229=1,$GV159=1),GI159,0))</f>
        <v>x</v>
      </c>
      <c r="GJ342" s="40">
        <f>IF(GJ159=-1,"x",IF(OR(GJ257=1,GJ$229=1,$GT159=1),GJ159,0))</f>
        <v>0</v>
      </c>
      <c r="GK342" s="39">
        <f>IF(GK159=-1,"x",IF(OR(GK257=1,GK$229=1,$GU159=1),GK159,0))</f>
        <v>0</v>
      </c>
      <c r="GL342" s="95">
        <f>IF(GL159=-1,"x",IF(OR(GL257=1,GL$229=1,$GV159=1),GL159,0))</f>
        <v>0</v>
      </c>
    </row>
    <row r="343" spans="14:194" ht="15" customHeight="1" thickBot="1">
      <c r="N343" s="110" t="str">
        <f>IF(N160=-1,"x",IF(OR(N258=1,N$197=1,$CX160=1),N160,0))</f>
        <v>x</v>
      </c>
      <c r="O343" s="83" t="str">
        <f>IF(O160=-1,"x",IF(OR(O258=1,O$197=1,$CY160=1),O160,0))</f>
        <v>x</v>
      </c>
      <c r="P343" s="111" t="str">
        <f>IF(P160=-1,"x",IF(OR(P258=1,P$197=1,$CZ160=1),P160,0))</f>
        <v>x</v>
      </c>
      <c r="Q343" s="112" t="str">
        <f>IF(Q160=-1,"x",IF(OR(Q258=1,Q$197=1,$CX160=1),Q160,0))</f>
        <v>x</v>
      </c>
      <c r="R343" s="83" t="str">
        <f>IF(R160=-1,"x",IF(OR(R258=1,R$197=1,$CY160=1),R160,0))</f>
        <v>x</v>
      </c>
      <c r="S343" s="111" t="str">
        <f>IF(S160=-1,"x",IF(OR(S258=1,S$197=1,$CZ160=1),S160,0))</f>
        <v>x</v>
      </c>
      <c r="T343" s="112" t="str">
        <f>IF(T160=-1,"x",IF(OR(T258=1,T$197=1,$CX160=1),T160,0))</f>
        <v>x</v>
      </c>
      <c r="U343" s="83" t="str">
        <f>IF(U160=-1,"x",IF(OR(U258=1,U$197=1,$CY160=1),U160,0))</f>
        <v>x</v>
      </c>
      <c r="V343" s="113" t="str">
        <f>IF(V160=-1,"x",IF(OR(V258=1,V$197=1,$CZ160=1),V160,0))</f>
        <v>x</v>
      </c>
      <c r="W343" s="114" t="str">
        <f>IF(W160=-1,"x",IF(OR(W258=1,W$197=1,$CX160=1),W160,0))</f>
        <v>x</v>
      </c>
      <c r="X343" s="83" t="str">
        <f>IF(X160=-1,"x",IF(OR(X258=1,X$197=1,$CY160=1),X160,0))</f>
        <v>x</v>
      </c>
      <c r="Y343" s="111" t="str">
        <f>IF(Y160=-1,"x",IF(OR(Y258=1,Y$197=1,$CZ160=1),Y160,0))</f>
        <v>x</v>
      </c>
      <c r="Z343" s="112" t="str">
        <f>IF(Z160=-1,"x",IF(OR(Z258=1,Z$197=1,$CX160=1),Z160,0))</f>
        <v>x</v>
      </c>
      <c r="AA343" s="83" t="str">
        <f>IF(AA160=-1,"x",IF(OR(AA258=1,AA$197=1,$CY160=1),AA160,0))</f>
        <v>x</v>
      </c>
      <c r="AB343" s="111" t="str">
        <f>IF(AB160=-1,"x",IF(OR(AB258=1,AB$197=1,$CZ160=1),AB160,0))</f>
        <v>x</v>
      </c>
      <c r="AC343" s="112" t="str">
        <f>IF(AC160=-1,"x",IF(OR(AC258=1,AC$197=1,$CX160=1),AC160,0))</f>
        <v>x</v>
      </c>
      <c r="AD343" s="83" t="str">
        <f>IF(AD160=-1,"x",IF(OR(AD258=1,AD$197=1,$CY160=1),AD160,0))</f>
        <v>x</v>
      </c>
      <c r="AE343" s="113" t="str">
        <f>IF(AE160=-1,"x",IF(OR(AE258=1,AE$197=1,$CZ160=1),AE160,0))</f>
        <v>x</v>
      </c>
      <c r="AF343" s="114" t="str">
        <f>IF(AF160=-1,"x",IF(OR(AF258=1,AF$197=1,$CX160=1),AF160,0))</f>
        <v>x</v>
      </c>
      <c r="AG343" s="83" t="str">
        <f>IF(AG160=-1,"x",IF(OR(AG258=1,AG$197=1,$CY160=1),AG160,0))</f>
        <v>x</v>
      </c>
      <c r="AH343" s="111" t="str">
        <f>IF(AH160=-1,"x",IF(OR(AH258=1,AH$197=1,$CZ160=1),AH160,0))</f>
        <v>x</v>
      </c>
      <c r="AI343" s="112" t="str">
        <f>IF(AI160=-1,"x",IF(OR(AI258=1,AI$197=1,$CX160=1),AI160,0))</f>
        <v>x</v>
      </c>
      <c r="AJ343" s="83" t="str">
        <f>IF(AJ160=-1,"x",IF(OR(AJ258=1,AJ$197=1,$CY160=1),AJ160,0))</f>
        <v>x</v>
      </c>
      <c r="AK343" s="111" t="str">
        <f>IF(AK160=-1,"x",IF(OR(AK258=1,AK$197=1,$CZ160=1),AK160,0))</f>
        <v>x</v>
      </c>
      <c r="AL343" s="112" t="str">
        <f>IF(AL160=-1,"x",IF(OR(AL258=1,AL$197=1,$CX160=1),AL160,0))</f>
        <v>x</v>
      </c>
      <c r="AM343" s="83" t="str">
        <f>IF(AM160=-1,"x",IF(OR(AM258=1,AM$197=1,$CY160=1),AM160,0))</f>
        <v>x</v>
      </c>
      <c r="AN343" s="115" t="str">
        <f>IF(AN160=-1,"x",IF(OR(AN258=1,AN$197=1,$CZ160=1),AN160,0))</f>
        <v>x</v>
      </c>
      <c r="AO343" s="110" t="str">
        <f>IF(AO160=-1,"x",IF(OR(AO258=1,AO$197=1,$CX160=1),AO160,0))</f>
        <v>x</v>
      </c>
      <c r="AP343" s="83" t="str">
        <f>IF(AP160=-1,"x",IF(OR(AP258=1,AP$197=1,$CY160=1),AP160,0))</f>
        <v>x</v>
      </c>
      <c r="AQ343" s="111" t="str">
        <f>IF(AQ160=-1,"x",IF(OR(AQ258=1,AQ$197=1,$CZ160=1),AQ160,0))</f>
        <v>x</v>
      </c>
      <c r="AR343" s="112" t="str">
        <f>IF(AR160=-1,"x",IF(OR(AR258=1,AR$197=1,$CX160=1),AR160,0))</f>
        <v>x</v>
      </c>
      <c r="AS343" s="83" t="str">
        <f>IF(AS160=-1,"x",IF(OR(AS258=1,AS$197=1,$CY160=1),AS160,0))</f>
        <v>x</v>
      </c>
      <c r="AT343" s="111" t="str">
        <f>IF(AT160=-1,"x",IF(OR(AT258=1,AT$197=1,$CZ160=1),AT160,0))</f>
        <v>x</v>
      </c>
      <c r="AU343" s="112" t="str">
        <f>IF(AU160=-1,"x",IF(OR(AU258=1,AU$197=1,$CX160=1),AU160,0))</f>
        <v>x</v>
      </c>
      <c r="AV343" s="83" t="str">
        <f>IF(AV160=-1,"x",IF(OR(AV258=1,AV$197=1,$CY160=1),AV160,0))</f>
        <v>x</v>
      </c>
      <c r="AW343" s="113" t="str">
        <f>IF(AW160=-1,"x",IF(OR(AW258=1,AW$197=1,$CZ160=1),AW160,0))</f>
        <v>x</v>
      </c>
      <c r="AX343" s="114" t="str">
        <f>IF(AX160=-1,"x",IF(OR(AX258=1,AX$197=1,$CX160=1),AX160,0))</f>
        <v>x</v>
      </c>
      <c r="AY343" s="83" t="str">
        <f>IF(AY160=-1,"x",IF(OR(AY258=1,AY$197=1,$CY160=1),AY160,0))</f>
        <v>x</v>
      </c>
      <c r="AZ343" s="111" t="str">
        <f>IF(AZ160=-1,"x",IF(OR(AZ258=1,AZ$197=1,$CZ160=1),AZ160,0))</f>
        <v>x</v>
      </c>
      <c r="BA343" s="112" t="str">
        <f>IF(BA160=-1,"x",IF(OR(BA258=1,BA$197=1,$CX160=1),BA160,0))</f>
        <v>x</v>
      </c>
      <c r="BB343" s="83" t="str">
        <f>IF(BB160=-1,"x",IF(OR(BB258=1,BB$197=1,$CY160=1),BB160,0))</f>
        <v>x</v>
      </c>
      <c r="BC343" s="111" t="str">
        <f>IF(BC160=-1,"x",IF(OR(BC258=1,BC$197=1,$CZ160=1),BC160,0))</f>
        <v>x</v>
      </c>
      <c r="BD343" s="112" t="str">
        <f>IF(BD160=-1,"x",IF(OR(BD258=1,BD$197=1,$CX160=1),BD160,0))</f>
        <v>x</v>
      </c>
      <c r="BE343" s="83" t="str">
        <f>IF(BE160=-1,"x",IF(OR(BE258=1,BE$197=1,$CY160=1),BE160,0))</f>
        <v>x</v>
      </c>
      <c r="BF343" s="113" t="str">
        <f>IF(BF160=-1,"x",IF(OR(BF258=1,BF$197=1,$CZ160=1),BF160,0))</f>
        <v>x</v>
      </c>
      <c r="BG343" s="114" t="str">
        <f>IF(BG160=-1,"x",IF(OR(BG258=1,BG$197=1,$CX160=1),BG160,0))</f>
        <v>x</v>
      </c>
      <c r="BH343" s="83" t="str">
        <f>IF(BH160=-1,"x",IF(OR(BH258=1,BH$197=1,$CY160=1),BH160,0))</f>
        <v>x</v>
      </c>
      <c r="BI343" s="111" t="str">
        <f>IF(BI160=-1,"x",IF(OR(BI258=1,BI$197=1,$CZ160=1),BI160,0))</f>
        <v>x</v>
      </c>
      <c r="BJ343" s="112" t="str">
        <f>IF(BJ160=-1,"x",IF(OR(BJ258=1,BJ$197=1,$CX160=1),BJ160,0))</f>
        <v>x</v>
      </c>
      <c r="BK343" s="83" t="str">
        <f>IF(BK160=-1,"x",IF(OR(BK258=1,BK$197=1,$CY160=1),BK160,0))</f>
        <v>x</v>
      </c>
      <c r="BL343" s="111" t="str">
        <f>IF(BL160=-1,"x",IF(OR(BL258=1,BL$197=1,$CZ160=1),BL160,0))</f>
        <v>x</v>
      </c>
      <c r="BM343" s="112" t="str">
        <f>IF(BM160=-1,"x",IF(OR(BM258=1,BM$197=1,$CX160=1),BM160,0))</f>
        <v>x</v>
      </c>
      <c r="BN343" s="83" t="str">
        <f>IF(BN160=-1,"x",IF(OR(BN258=1,BN$197=1,$CY160=1),BN160,0))</f>
        <v>x</v>
      </c>
      <c r="BO343" s="115" t="str">
        <f>IF(BO160=-1,"x",IF(OR(BO258=1,BO$197=1,$CZ160=1),BO160,0))</f>
        <v>x</v>
      </c>
      <c r="BP343" s="110" t="str">
        <f>IF(BP160=-1,"x",IF(OR(BP258=1,BP$197=1,$CX160=1),BP160,0))</f>
        <v>x</v>
      </c>
      <c r="BQ343" s="83" t="str">
        <f>IF(BQ160=-1,"x",IF(OR(BQ258=1,BQ$197=1,$CY160=1),BQ160,0))</f>
        <v>x</v>
      </c>
      <c r="BR343" s="111" t="str">
        <f>IF(BR160=-1,"x",IF(OR(BR258=1,BR$197=1,$CZ160=1),BR160,0))</f>
        <v>x</v>
      </c>
      <c r="BS343" s="112" t="str">
        <f>IF(BS160=-1,"x",IF(OR(BS258=1,BS$197=1,$CX160=1),BS160,0))</f>
        <v>x</v>
      </c>
      <c r="BT343" s="83" t="str">
        <f>IF(BT160=-1,"x",IF(OR(BT258=1,BT$197=1,$CY160=1),BT160,0))</f>
        <v>x</v>
      </c>
      <c r="BU343" s="111" t="str">
        <f>IF(BU160=-1,"x",IF(OR(BU258=1,BU$197=1,$CZ160=1),BU160,0))</f>
        <v>x</v>
      </c>
      <c r="BV343" s="112" t="str">
        <f>IF(BV160=-1,"x",IF(OR(BV258=1,BV$197=1,$CX160=1),BV160,0))</f>
        <v>x</v>
      </c>
      <c r="BW343" s="83" t="str">
        <f>IF(BW160=-1,"x",IF(OR(BW258=1,BW$197=1,$CY160=1),BW160,0))</f>
        <v>x</v>
      </c>
      <c r="BX343" s="113" t="str">
        <f>IF(BX160=-1,"x",IF(OR(BX258=1,BX$197=1,$CZ160=1),BX160,0))</f>
        <v>x</v>
      </c>
      <c r="BY343" s="114" t="str">
        <f>IF(BY160=-1,"x",IF(OR(BY258=1,BY$197=1,$CX160=1),BY160,0))</f>
        <v>x</v>
      </c>
      <c r="BZ343" s="83" t="str">
        <f>IF(BZ160=-1,"x",IF(OR(BZ258=1,BZ$197=1,$CY160=1),BZ160,0))</f>
        <v>x</v>
      </c>
      <c r="CA343" s="111" t="str">
        <f>IF(CA160=-1,"x",IF(OR(CA258=1,CA$197=1,$CZ160=1),CA160,0))</f>
        <v>x</v>
      </c>
      <c r="CB343" s="112" t="str">
        <f>IF(CB160=-1,"x",IF(OR(CB258=1,CB$197=1,$CX160=1),CB160,0))</f>
        <v>x</v>
      </c>
      <c r="CC343" s="83" t="str">
        <f>IF(CC160=-1,"x",IF(OR(CC258=1,CC$197=1,$CY160=1),CC160,0))</f>
        <v>x</v>
      </c>
      <c r="CD343" s="111" t="str">
        <f>IF(CD160=-1,"x",IF(OR(CD258=1,CD$197=1,$CZ160=1),CD160,0))</f>
        <v>x</v>
      </c>
      <c r="CE343" s="112" t="str">
        <f>IF(CE160=-1,"x",IF(OR(CE258=1,CE$197=1,$CX160=1),CE160,0))</f>
        <v>x</v>
      </c>
      <c r="CF343" s="83" t="str">
        <f>IF(CF160=-1,"x",IF(OR(CF258=1,CF$197=1,$CY160=1),CF160,0))</f>
        <v>x</v>
      </c>
      <c r="CG343" s="113" t="str">
        <f>IF(CG160=-1,"x",IF(OR(CG258=1,CG$197=1,$CZ160=1),CG160,0))</f>
        <v>x</v>
      </c>
      <c r="CH343" s="114" t="str">
        <f>IF(CH160=-1,"x",IF(OR(CH258=1,CH$197=1,$CX160=1),CH160,0))</f>
        <v>x</v>
      </c>
      <c r="CI343" s="83" t="str">
        <f>IF(CI160=-1,"x",IF(OR(CI258=1,CI$197=1,$CY160=1),CI160,0))</f>
        <v>x</v>
      </c>
      <c r="CJ343" s="111" t="str">
        <f>IF(CJ160=-1,"x",IF(OR(CJ258=1,CJ$197=1,$CZ160=1),CJ160,0))</f>
        <v>x</v>
      </c>
      <c r="CK343" s="112" t="str">
        <f>IF(CK160=-1,"x",IF(OR(CK258=1,CK$197=1,$CX160=1),CK160,0))</f>
        <v>x</v>
      </c>
      <c r="CL343" s="83" t="str">
        <f>IF(CL160=-1,"x",IF(OR(CL258=1,CL$197=1,$CY160=1),CL160,0))</f>
        <v>x</v>
      </c>
      <c r="CM343" s="111" t="str">
        <f>IF(CM160=-1,"x",IF(OR(CM258=1,CM$197=1,$CZ160=1),CM160,0))</f>
        <v>x</v>
      </c>
      <c r="CN343" s="112" t="str">
        <f>IF(CN160=-1,"x",IF(OR(CN258=1,CN$197=1,$CX160=1),CN160,0))</f>
        <v>x</v>
      </c>
      <c r="CO343" s="83" t="str">
        <f>IF(CO160=-1,"x",IF(OR(CO258=1,CO$197=1,$CY160=1),CO160,0))</f>
        <v>x</v>
      </c>
      <c r="CP343" s="115" t="str">
        <f>IF(CP160=-1,"x",IF(OR(CP258=1,CP$197=1,$CZ160=1),CP160,0))</f>
        <v>x</v>
      </c>
      <c r="DJ343" s="99" t="str">
        <f>IF(DJ160=-1,"x",IF(OR(DJ258=1,DJ$230=1,$GT160=1),DJ160,0))</f>
        <v>x</v>
      </c>
      <c r="DK343" s="45" t="str">
        <f>IF(DK160=-1,"x",IF(OR(DK258=1,DK$230=1,$GU160=1),DK160,0))</f>
        <v>x</v>
      </c>
      <c r="DL343" s="47" t="str">
        <f>IF(DL160=-1,"x",IF(OR(DL258=1,DL$230=1,$GV160=1),DL160,0))</f>
        <v>x</v>
      </c>
      <c r="DM343" s="46" t="str">
        <f>IF(DM160=-1,"x",IF(OR(DM258=1,DM$230=1,$GT160=1),DM160,0))</f>
        <v>x</v>
      </c>
      <c r="DN343" s="45" t="str">
        <f>IF(DN160=-1,"x",IF(OR(DN258=1,DN$230=1,$GU160=1),DN160,0))</f>
        <v>x</v>
      </c>
      <c r="DO343" s="47" t="str">
        <f>IF(DO160=-1,"x",IF(OR(DO258=1,DO$230=1,$GV160=1),DO160,0))</f>
        <v>x</v>
      </c>
      <c r="DP343" s="46" t="str">
        <f>IF(DP160=-1,"x",IF(OR(DP258=1,DP$230=1,$GT160=1),DP160,0))</f>
        <v>x</v>
      </c>
      <c r="DQ343" s="45" t="str">
        <f>IF(DQ160=-1,"x",IF(OR(DQ258=1,DQ$230=1,$GU160=1),DQ160,0))</f>
        <v>x</v>
      </c>
      <c r="DR343" s="48" t="str">
        <f>IF(DR160=-1,"x",IF(OR(DR258=1,DR$230=1,$GV160=1),DR160,0))</f>
        <v>x</v>
      </c>
      <c r="DS343" s="44" t="str">
        <f>IF(DS160=-1,"x",IF(OR(DS258=1,DS$230=1,$GT160=1),DS160,0))</f>
        <v>x</v>
      </c>
      <c r="DT343" s="45" t="str">
        <f>IF(DT160=-1,"x",IF(OR(DT258=1,DT$230=1,$GU160=1),DT160,0))</f>
        <v>x</v>
      </c>
      <c r="DU343" s="47" t="str">
        <f>IF(DU160=-1,"x",IF(OR(DU258=1,DU$230=1,$GV160=1),DU160,0))</f>
        <v>x</v>
      </c>
      <c r="DV343" s="46" t="str">
        <f>IF(DV160=-1,"x",IF(OR(DV258=1,DV$230=1,$GT160=1),DV160,0))</f>
        <v>x</v>
      </c>
      <c r="DW343" s="45" t="str">
        <f>IF(DW160=-1,"x",IF(OR(DW258=1,DW$230=1,$GU160=1),DW160,0))</f>
        <v>x</v>
      </c>
      <c r="DX343" s="47" t="str">
        <f>IF(DX160=-1,"x",IF(OR(DX258=1,DX$230=1,$GV160=1),DX160,0))</f>
        <v>x</v>
      </c>
      <c r="DY343" s="46" t="str">
        <f>IF(DY160=-1,"x",IF(OR(DY258=1,DY$230=1,$GT160=1),DY160,0))</f>
        <v>x</v>
      </c>
      <c r="DZ343" s="45" t="str">
        <f>IF(DZ160=-1,"x",IF(OR(DZ258=1,DZ$230=1,$GU160=1),DZ160,0))</f>
        <v>x</v>
      </c>
      <c r="EA343" s="48" t="str">
        <f>IF(EA160=-1,"x",IF(OR(EA258=1,EA$230=1,$GV160=1),EA160,0))</f>
        <v>x</v>
      </c>
      <c r="EB343" s="44" t="str">
        <f>IF(EB160=-1,"x",IF(OR(EB258=1,EB$230=1,$GT160=1),EB160,0))</f>
        <v>x</v>
      </c>
      <c r="EC343" s="45" t="str">
        <f>IF(EC160=-1,"x",IF(OR(EC258=1,EC$230=1,$GU160=1),EC160,0))</f>
        <v>x</v>
      </c>
      <c r="ED343" s="47" t="str">
        <f>IF(ED160=-1,"x",IF(OR(ED258=1,ED$230=1,$GV160=1),ED160,0))</f>
        <v>x</v>
      </c>
      <c r="EE343" s="46" t="str">
        <f>IF(EE160=-1,"x",IF(OR(EE258=1,EE$230=1,$GT160=1),EE160,0))</f>
        <v>x</v>
      </c>
      <c r="EF343" s="45" t="str">
        <f>IF(EF160=-1,"x",IF(OR(EF258=1,EF$230=1,$GU160=1),EF160,0))</f>
        <v>x</v>
      </c>
      <c r="EG343" s="47" t="str">
        <f>IF(EG160=-1,"x",IF(OR(EG258=1,EG$230=1,$GV160=1),EG160,0))</f>
        <v>x</v>
      </c>
      <c r="EH343" s="46" t="str">
        <f>IF(EH160=-1,"x",IF(OR(EH258=1,EH$230=1,$GT160=1),EH160,0))</f>
        <v>x</v>
      </c>
      <c r="EI343" s="45" t="str">
        <f>IF(EI160=-1,"x",IF(OR(EI258=1,EI$230=1,$GU160=1),EI160,0))</f>
        <v>x</v>
      </c>
      <c r="EJ343" s="100" t="str">
        <f>IF(EJ160=-1,"x",IF(OR(EJ258=1,EJ$230=1,$GV160=1),EJ160,0))</f>
        <v>x</v>
      </c>
      <c r="EK343" s="99" t="str">
        <f>IF(EK160=-1,"x",IF(OR(EK258=1,EK$230=1,$GT160=1),EK160,0))</f>
        <v>x</v>
      </c>
      <c r="EL343" s="45" t="str">
        <f>IF(EL160=-1,"x",IF(OR(EL258=1,EL$230=1,$GU160=1),EL160,0))</f>
        <v>x</v>
      </c>
      <c r="EM343" s="47" t="str">
        <f>IF(EM160=-1,"x",IF(OR(EM258=1,EM$230=1,$GV160=1),EM160,0))</f>
        <v>x</v>
      </c>
      <c r="EN343" s="46" t="str">
        <f>IF(EN160=-1,"x",IF(OR(EN258=1,EN$230=1,$GT160=1),EN160,0))</f>
        <v>x</v>
      </c>
      <c r="EO343" s="45" t="str">
        <f>IF(EO160=-1,"x",IF(OR(EO258=1,EO$230=1,$GU160=1),EO160,0))</f>
        <v>x</v>
      </c>
      <c r="EP343" s="47" t="str">
        <f>IF(EP160=-1,"x",IF(OR(EP258=1,EP$230=1,$GV160=1),EP160,0))</f>
        <v>x</v>
      </c>
      <c r="EQ343" s="46" t="str">
        <f>IF(EQ160=-1,"x",IF(OR(EQ258=1,EQ$230=1,$GT160=1),EQ160,0))</f>
        <v>x</v>
      </c>
      <c r="ER343" s="45" t="str">
        <f>IF(ER160=-1,"x",IF(OR(ER258=1,ER$230=1,$GU160=1),ER160,0))</f>
        <v>x</v>
      </c>
      <c r="ES343" s="48" t="str">
        <f>IF(ES160=-1,"x",IF(OR(ES258=1,ES$230=1,$GV160=1),ES160,0))</f>
        <v>x</v>
      </c>
      <c r="ET343" s="44" t="str">
        <f>IF(ET160=-1,"x",IF(OR(ET258=1,ET$230=1,$GT160=1),ET160,0))</f>
        <v>x</v>
      </c>
      <c r="EU343" s="45" t="str">
        <f>IF(EU160=-1,"x",IF(OR(EU258=1,EU$230=1,$GU160=1),EU160,0))</f>
        <v>x</v>
      </c>
      <c r="EV343" s="47" t="str">
        <f>IF(EV160=-1,"x",IF(OR(EV258=1,EV$230=1,$GV160=1),EV160,0))</f>
        <v>x</v>
      </c>
      <c r="EW343" s="46" t="str">
        <f>IF(EW160=-1,"x",IF(OR(EW258=1,EW$230=1,$GT160=1),EW160,0))</f>
        <v>x</v>
      </c>
      <c r="EX343" s="45" t="str">
        <f>IF(EX160=-1,"x",IF(OR(EX258=1,EX$230=1,$GU160=1),EX160,0))</f>
        <v>x</v>
      </c>
      <c r="EY343" s="47" t="str">
        <f>IF(EY160=-1,"x",IF(OR(EY258=1,EY$230=1,$GV160=1),EY160,0))</f>
        <v>x</v>
      </c>
      <c r="EZ343" s="46" t="str">
        <f>IF(EZ160=-1,"x",IF(OR(EZ258=1,EZ$230=1,$GT160=1),EZ160,0))</f>
        <v>x</v>
      </c>
      <c r="FA343" s="45" t="str">
        <f>IF(FA160=-1,"x",IF(OR(FA258=1,FA$230=1,$GU160=1),FA160,0))</f>
        <v>x</v>
      </c>
      <c r="FB343" s="48" t="str">
        <f>IF(FB160=-1,"x",IF(OR(FB258=1,FB$230=1,$GV160=1),FB160,0))</f>
        <v>x</v>
      </c>
      <c r="FC343" s="44" t="str">
        <f>IF(FC160=-1,"x",IF(OR(FC258=1,FC$230=1,$GT160=1),FC160,0))</f>
        <v>x</v>
      </c>
      <c r="FD343" s="45" t="str">
        <f>IF(FD160=-1,"x",IF(OR(FD258=1,FD$230=1,$GU160=1),FD160,0))</f>
        <v>x</v>
      </c>
      <c r="FE343" s="47" t="str">
        <f>IF(FE160=-1,"x",IF(OR(FE258=1,FE$230=1,$GV160=1),FE160,0))</f>
        <v>x</v>
      </c>
      <c r="FF343" s="46" t="str">
        <f>IF(FF160=-1,"x",IF(OR(FF258=1,FF$230=1,$GT160=1),FF160,0))</f>
        <v>x</v>
      </c>
      <c r="FG343" s="45" t="str">
        <f>IF(FG160=-1,"x",IF(OR(FG258=1,FG$230=1,$GU160=1),FG160,0))</f>
        <v>x</v>
      </c>
      <c r="FH343" s="47" t="str">
        <f>IF(FH160=-1,"x",IF(OR(FH258=1,FH$230=1,$GV160=1),FH160,0))</f>
        <v>x</v>
      </c>
      <c r="FI343" s="46" t="str">
        <f>IF(FI160=-1,"x",IF(OR(FI258=1,FI$230=1,$GT160=1),FI160,0))</f>
        <v>x</v>
      </c>
      <c r="FJ343" s="45" t="str">
        <f>IF(FJ160=-1,"x",IF(OR(FJ258=1,FJ$230=1,$GU160=1),FJ160,0))</f>
        <v>x</v>
      </c>
      <c r="FK343" s="100" t="str">
        <f>IF(FK160=-1,"x",IF(OR(FK258=1,FK$230=1,$GV160=1),FK160,0))</f>
        <v>x</v>
      </c>
      <c r="FL343" s="99" t="str">
        <f>IF(FL160=-1,"x",IF(OR(FL258=1,FL$230=1,$GT160=1),FL160,0))</f>
        <v>x</v>
      </c>
      <c r="FM343" s="45" t="str">
        <f>IF(FM160=-1,"x",IF(OR(FM258=1,FM$230=1,$GU160=1),FM160,0))</f>
        <v>x</v>
      </c>
      <c r="FN343" s="47" t="str">
        <f>IF(FN160=-1,"x",IF(OR(FN258=1,FN$230=1,$GV160=1),FN160,0))</f>
        <v>x</v>
      </c>
      <c r="FO343" s="46" t="str">
        <f>IF(FO160=-1,"x",IF(OR(FO258=1,FO$230=1,$GT160=1),FO160,0))</f>
        <v>x</v>
      </c>
      <c r="FP343" s="45" t="str">
        <f>IF(FP160=-1,"x",IF(OR(FP258=1,FP$230=1,$GU160=1),FP160,0))</f>
        <v>x</v>
      </c>
      <c r="FQ343" s="47" t="str">
        <f>IF(FQ160=-1,"x",IF(OR(FQ258=1,FQ$230=1,$GV160=1),FQ160,0))</f>
        <v>x</v>
      </c>
      <c r="FR343" s="46" t="str">
        <f>IF(FR160=-1,"x",IF(OR(FR258=1,FR$230=1,$GT160=1),FR160,0))</f>
        <v>x</v>
      </c>
      <c r="FS343" s="45" t="str">
        <f>IF(FS160=-1,"x",IF(OR(FS258=1,FS$230=1,$GU160=1),FS160,0))</f>
        <v>x</v>
      </c>
      <c r="FT343" s="48" t="str">
        <f>IF(FT160=-1,"x",IF(OR(FT258=1,FT$230=1,$GV160=1),FT160,0))</f>
        <v>x</v>
      </c>
      <c r="FU343" s="44" t="str">
        <f>IF(FU160=-1,"x",IF(OR(FU258=1,FU$230=1,$GT160=1),FU160,0))</f>
        <v>x</v>
      </c>
      <c r="FV343" s="45" t="str">
        <f>IF(FV160=-1,"x",IF(OR(FV258=1,FV$230=1,$GU160=1),FV160,0))</f>
        <v>x</v>
      </c>
      <c r="FW343" s="47" t="str">
        <f>IF(FW160=-1,"x",IF(OR(FW258=1,FW$230=1,$GV160=1),FW160,0))</f>
        <v>x</v>
      </c>
      <c r="FX343" s="46" t="str">
        <f>IF(FX160=-1,"x",IF(OR(FX258=1,FX$230=1,$GT160=1),FX160,0))</f>
        <v>x</v>
      </c>
      <c r="FY343" s="45" t="str">
        <f>IF(FY160=-1,"x",IF(OR(FY258=1,FY$230=1,$GU160=1),FY160,0))</f>
        <v>x</v>
      </c>
      <c r="FZ343" s="47" t="str">
        <f>IF(FZ160=-1,"x",IF(OR(FZ258=1,FZ$230=1,$GV160=1),FZ160,0))</f>
        <v>x</v>
      </c>
      <c r="GA343" s="46" t="str">
        <f>IF(GA160=-1,"x",IF(OR(GA258=1,GA$230=1,$GT160=1),GA160,0))</f>
        <v>x</v>
      </c>
      <c r="GB343" s="45" t="str">
        <f>IF(GB160=-1,"x",IF(OR(GB258=1,GB$230=1,$GU160=1),GB160,0))</f>
        <v>x</v>
      </c>
      <c r="GC343" s="48" t="str">
        <f>IF(GC160=-1,"x",IF(OR(GC258=1,GC$230=1,$GV160=1),GC160,0))</f>
        <v>x</v>
      </c>
      <c r="GD343" s="44" t="str">
        <f>IF(GD160=-1,"x",IF(OR(GD258=1,GD$230=1,$GT160=1),GD160,0))</f>
        <v>x</v>
      </c>
      <c r="GE343" s="45" t="str">
        <f>IF(GE160=-1,"x",IF(OR(GE258=1,GE$230=1,$GU160=1),GE160,0))</f>
        <v>x</v>
      </c>
      <c r="GF343" s="47" t="str">
        <f>IF(GF160=-1,"x",IF(OR(GF258=1,GF$230=1,$GV160=1),GF160,0))</f>
        <v>x</v>
      </c>
      <c r="GG343" s="46" t="str">
        <f>IF(GG160=-1,"x",IF(OR(GG258=1,GG$230=1,$GT160=1),GG160,0))</f>
        <v>x</v>
      </c>
      <c r="GH343" s="45" t="str">
        <f>IF(GH160=-1,"x",IF(OR(GH258=1,GH$230=1,$GU160=1),GH160,0))</f>
        <v>x</v>
      </c>
      <c r="GI343" s="47" t="str">
        <f>IF(GI160=-1,"x",IF(OR(GI258=1,GI$230=1,$GV160=1),GI160,0))</f>
        <v>x</v>
      </c>
      <c r="GJ343" s="46">
        <f>IF(GJ160=-1,"x",IF(OR(GJ258=1,GJ$230=1,$GT160=1),GJ160,0))</f>
        <v>0</v>
      </c>
      <c r="GK343" s="45">
        <f>IF(GK160=-1,"x",IF(OR(GK258=1,GK$230=1,$GU160=1),GK160,0))</f>
        <v>0</v>
      </c>
      <c r="GL343" s="100">
        <f>IF(GL160=-1,"x",IF(OR(GL258=1,GL$230=1,$GV160=1),GL160,0))</f>
        <v>0</v>
      </c>
    </row>
    <row r="344" spans="14:194" ht="15" customHeight="1" thickTop="1">
      <c r="N344" s="84" t="str">
        <f>IF(N161=-1,"x",IF(OR(N259=1,N$195=1,$CX161=1),N161,0))</f>
        <v>x</v>
      </c>
      <c r="O344" s="85" t="str">
        <f>IF(O161=-1,"x",IF(OR(O259=1,O$195=1,$CY161=1),O161,0))</f>
        <v>x</v>
      </c>
      <c r="P344" s="87" t="str">
        <f>IF(P161=-1,"x",IF(OR(P259=1,P$195=1,$CZ161=1),P161,0))</f>
        <v>x</v>
      </c>
      <c r="Q344" s="86" t="str">
        <f>IF(Q161=-1,"x",IF(OR(Q259=1,Q$195=1,$CX161=1),Q161,0))</f>
        <v>x</v>
      </c>
      <c r="R344" s="85" t="str">
        <f>IF(R161=-1,"x",IF(OR(R259=1,R$195=1,$CY161=1),R161,0))</f>
        <v>x</v>
      </c>
      <c r="S344" s="87" t="str">
        <f>IF(S161=-1,"x",IF(OR(S259=1,S$195=1,$CZ161=1),S161,0))</f>
        <v>x</v>
      </c>
      <c r="T344" s="86" t="str">
        <f>IF(T161=-1,"x",IF(OR(T259=1,T$195=1,$CX161=1),T161,0))</f>
        <v>x</v>
      </c>
      <c r="U344" s="85" t="str">
        <f>IF(U161=-1,"x",IF(OR(U259=1,U$195=1,$CY161=1),U161,0))</f>
        <v>x</v>
      </c>
      <c r="V344" s="88" t="str">
        <f>IF(V161=-1,"x",IF(OR(V259=1,V$195=1,$CZ161=1),V161,0))</f>
        <v>x</v>
      </c>
      <c r="W344" s="89" t="str">
        <f>IF(W161=-1,"x",IF(OR(W259=1,W$195=1,$CX161=1),W161,0))</f>
        <v>x</v>
      </c>
      <c r="X344" s="85" t="str">
        <f>IF(X161=-1,"x",IF(OR(X259=1,X$195=1,$CY161=1),X161,0))</f>
        <v>x</v>
      </c>
      <c r="Y344" s="87" t="str">
        <f>IF(Y161=-1,"x",IF(OR(Y259=1,Y$195=1,$CZ161=1),Y161,0))</f>
        <v>x</v>
      </c>
      <c r="Z344" s="86" t="str">
        <f>IF(Z161=-1,"x",IF(OR(Z259=1,Z$195=1,$CX161=1),Z161,0))</f>
        <v>x</v>
      </c>
      <c r="AA344" s="85" t="str">
        <f>IF(AA161=-1,"x",IF(OR(AA259=1,AA$195=1,$CY161=1),AA161,0))</f>
        <v>x</v>
      </c>
      <c r="AB344" s="87" t="str">
        <f>IF(AB161=-1,"x",IF(OR(AB259=1,AB$195=1,$CZ161=1),AB161,0))</f>
        <v>x</v>
      </c>
      <c r="AC344" s="86" t="str">
        <f>IF(AC161=-1,"x",IF(OR(AC259=1,AC$195=1,$CX161=1),AC161,0))</f>
        <v>x</v>
      </c>
      <c r="AD344" s="85" t="str">
        <f>IF(AD161=-1,"x",IF(OR(AD259=1,AD$195=1,$CY161=1),AD161,0))</f>
        <v>x</v>
      </c>
      <c r="AE344" s="88" t="str">
        <f>IF(AE161=-1,"x",IF(OR(AE259=1,AE$195=1,$CZ161=1),AE161,0))</f>
        <v>x</v>
      </c>
      <c r="AF344" s="89" t="str">
        <f>IF(AF161=-1,"x",IF(OR(AF259=1,AF$195=1,$CX161=1),AF161,0))</f>
        <v>x</v>
      </c>
      <c r="AG344" s="85" t="str">
        <f>IF(AG161=-1,"x",IF(OR(AG259=1,AG$195=1,$CY161=1),AG161,0))</f>
        <v>x</v>
      </c>
      <c r="AH344" s="87" t="str">
        <f>IF(AH161=-1,"x",IF(OR(AH259=1,AH$195=1,$CZ161=1),AH161,0))</f>
        <v>x</v>
      </c>
      <c r="AI344" s="86" t="str">
        <f>IF(AI161=-1,"x",IF(OR(AI259=1,AI$195=1,$CX161=1),AI161,0))</f>
        <v>x</v>
      </c>
      <c r="AJ344" s="85" t="str">
        <f>IF(AJ161=-1,"x",IF(OR(AJ259=1,AJ$195=1,$CY161=1),AJ161,0))</f>
        <v>x</v>
      </c>
      <c r="AK344" s="87" t="str">
        <f>IF(AK161=-1,"x",IF(OR(AK259=1,AK$195=1,$CZ161=1),AK161,0))</f>
        <v>x</v>
      </c>
      <c r="AL344" s="86" t="str">
        <f>IF(AL161=-1,"x",IF(OR(AL259=1,AL$195=1,$CX161=1),AL161,0))</f>
        <v>x</v>
      </c>
      <c r="AM344" s="85" t="str">
        <f>IF(AM161=-1,"x",IF(OR(AM259=1,AM$195=1,$CY161=1),AM161,0))</f>
        <v>x</v>
      </c>
      <c r="AN344" s="90" t="str">
        <f>IF(AN161=-1,"x",IF(OR(AN259=1,AN$195=1,$CZ161=1),AN161,0))</f>
        <v>x</v>
      </c>
      <c r="AO344" s="84" t="str">
        <f>IF(AO161=-1,"x",IF(OR(AO259=1,AO$195=1,$CX161=1),AO161,0))</f>
        <v>x</v>
      </c>
      <c r="AP344" s="85" t="str">
        <f>IF(AP161=-1,"x",IF(OR(AP259=1,AP$195=1,$CY161=1),AP161,0))</f>
        <v>x</v>
      </c>
      <c r="AQ344" s="87" t="str">
        <f>IF(AQ161=-1,"x",IF(OR(AQ259=1,AQ$195=1,$CZ161=1),AQ161,0))</f>
        <v>x</v>
      </c>
      <c r="AR344" s="86" t="str">
        <f>IF(AR161=-1,"x",IF(OR(AR259=1,AR$195=1,$CX161=1),AR161,0))</f>
        <v>x</v>
      </c>
      <c r="AS344" s="85" t="str">
        <f>IF(AS161=-1,"x",IF(OR(AS259=1,AS$195=1,$CY161=1),AS161,0))</f>
        <v>x</v>
      </c>
      <c r="AT344" s="87" t="str">
        <f>IF(AT161=-1,"x",IF(OR(AT259=1,AT$195=1,$CZ161=1),AT161,0))</f>
        <v>x</v>
      </c>
      <c r="AU344" s="86" t="str">
        <f>IF(AU161=-1,"x",IF(OR(AU259=1,AU$195=1,$CX161=1),AU161,0))</f>
        <v>x</v>
      </c>
      <c r="AV344" s="85" t="str">
        <f>IF(AV161=-1,"x",IF(OR(AV259=1,AV$195=1,$CY161=1),AV161,0))</f>
        <v>x</v>
      </c>
      <c r="AW344" s="88" t="str">
        <f>IF(AW161=-1,"x",IF(OR(AW259=1,AW$195=1,$CZ161=1),AW161,0))</f>
        <v>x</v>
      </c>
      <c r="AX344" s="89" t="str">
        <f>IF(AX161=-1,"x",IF(OR(AX259=1,AX$195=1,$CX161=1),AX161,0))</f>
        <v>x</v>
      </c>
      <c r="AY344" s="85" t="str">
        <f>IF(AY161=-1,"x",IF(OR(AY259=1,AY$195=1,$CY161=1),AY161,0))</f>
        <v>x</v>
      </c>
      <c r="AZ344" s="87" t="str">
        <f>IF(AZ161=-1,"x",IF(OR(AZ259=1,AZ$195=1,$CZ161=1),AZ161,0))</f>
        <v>x</v>
      </c>
      <c r="BA344" s="86" t="str">
        <f>IF(BA161=-1,"x",IF(OR(BA259=1,BA$195=1,$CX161=1),BA161,0))</f>
        <v>x</v>
      </c>
      <c r="BB344" s="85" t="str">
        <f>IF(BB161=-1,"x",IF(OR(BB259=1,BB$195=1,$CY161=1),BB161,0))</f>
        <v>x</v>
      </c>
      <c r="BC344" s="87" t="str">
        <f>IF(BC161=-1,"x",IF(OR(BC259=1,BC$195=1,$CZ161=1),BC161,0))</f>
        <v>x</v>
      </c>
      <c r="BD344" s="86" t="str">
        <f>IF(BD161=-1,"x",IF(OR(BD259=1,BD$195=1,$CX161=1),BD161,0))</f>
        <v>x</v>
      </c>
      <c r="BE344" s="85" t="str">
        <f>IF(BE161=-1,"x",IF(OR(BE259=1,BE$195=1,$CY161=1),BE161,0))</f>
        <v>x</v>
      </c>
      <c r="BF344" s="88" t="str">
        <f>IF(BF161=-1,"x",IF(OR(BF259=1,BF$195=1,$CZ161=1),BF161,0))</f>
        <v>x</v>
      </c>
      <c r="BG344" s="89" t="str">
        <f>IF(BG161=-1,"x",IF(OR(BG259=1,BG$195=1,$CX161=1),BG161,0))</f>
        <v>x</v>
      </c>
      <c r="BH344" s="85" t="str">
        <f>IF(BH161=-1,"x",IF(OR(BH259=1,BH$195=1,$CY161=1),BH161,0))</f>
        <v>x</v>
      </c>
      <c r="BI344" s="87" t="str">
        <f>IF(BI161=-1,"x",IF(OR(BI259=1,BI$195=1,$CZ161=1),BI161,0))</f>
        <v>x</v>
      </c>
      <c r="BJ344" s="86" t="str">
        <f>IF(BJ161=-1,"x",IF(OR(BJ259=1,BJ$195=1,$CX161=1),BJ161,0))</f>
        <v>x</v>
      </c>
      <c r="BK344" s="85" t="str">
        <f>IF(BK161=-1,"x",IF(OR(BK259=1,BK$195=1,$CY161=1),BK161,0))</f>
        <v>x</v>
      </c>
      <c r="BL344" s="87" t="str">
        <f>IF(BL161=-1,"x",IF(OR(BL259=1,BL$195=1,$CZ161=1),BL161,0))</f>
        <v>x</v>
      </c>
      <c r="BM344" s="86" t="str">
        <f>IF(BM161=-1,"x",IF(OR(BM259=1,BM$195=1,$CX161=1),BM161,0))</f>
        <v>x</v>
      </c>
      <c r="BN344" s="85" t="str">
        <f>IF(BN161=-1,"x",IF(OR(BN259=1,BN$195=1,$CY161=1),BN161,0))</f>
        <v>x</v>
      </c>
      <c r="BO344" s="90" t="str">
        <f>IF(BO161=-1,"x",IF(OR(BO259=1,BO$195=1,$CZ161=1),BO161,0))</f>
        <v>x</v>
      </c>
      <c r="BP344" s="84" t="str">
        <f>IF(BP161=-1,"x",IF(OR(BP259=1,BP$195=1,$CX161=1),BP161,0))</f>
        <v>x</v>
      </c>
      <c r="BQ344" s="85" t="str">
        <f>IF(BQ161=-1,"x",IF(OR(BQ259=1,BQ$195=1,$CY161=1),BQ161,0))</f>
        <v>x</v>
      </c>
      <c r="BR344" s="87" t="str">
        <f>IF(BR161=-1,"x",IF(OR(BR259=1,BR$195=1,$CZ161=1),BR161,0))</f>
        <v>x</v>
      </c>
      <c r="BS344" s="86" t="str">
        <f>IF(BS161=-1,"x",IF(OR(BS259=1,BS$195=1,$CX161=1),BS161,0))</f>
        <v>x</v>
      </c>
      <c r="BT344" s="85" t="str">
        <f>IF(BT161=-1,"x",IF(OR(BT259=1,BT$195=1,$CY161=1),BT161,0))</f>
        <v>x</v>
      </c>
      <c r="BU344" s="87" t="str">
        <f>IF(BU161=-1,"x",IF(OR(BU259=1,BU$195=1,$CZ161=1),BU161,0))</f>
        <v>x</v>
      </c>
      <c r="BV344" s="86" t="str">
        <f>IF(BV161=-1,"x",IF(OR(BV259=1,BV$195=1,$CX161=1),BV161,0))</f>
        <v>x</v>
      </c>
      <c r="BW344" s="85" t="str">
        <f>IF(BW161=-1,"x",IF(OR(BW259=1,BW$195=1,$CY161=1),BW161,0))</f>
        <v>x</v>
      </c>
      <c r="BX344" s="88" t="str">
        <f>IF(BX161=-1,"x",IF(OR(BX259=1,BX$195=1,$CZ161=1),BX161,0))</f>
        <v>x</v>
      </c>
      <c r="BY344" s="89" t="str">
        <f>IF(BY161=-1,"x",IF(OR(BY259=1,BY$195=1,$CX161=1),BY161,0))</f>
        <v>x</v>
      </c>
      <c r="BZ344" s="85" t="str">
        <f>IF(BZ161=-1,"x",IF(OR(BZ259=1,BZ$195=1,$CY161=1),BZ161,0))</f>
        <v>x</v>
      </c>
      <c r="CA344" s="87" t="str">
        <f>IF(CA161=-1,"x",IF(OR(CA259=1,CA$195=1,$CZ161=1),CA161,0))</f>
        <v>x</v>
      </c>
      <c r="CB344" s="86" t="str">
        <f>IF(CB161=-1,"x",IF(OR(CB259=1,CB$195=1,$CX161=1),CB161,0))</f>
        <v>x</v>
      </c>
      <c r="CC344" s="85" t="str">
        <f>IF(CC161=-1,"x",IF(OR(CC259=1,CC$195=1,$CY161=1),CC161,0))</f>
        <v>x</v>
      </c>
      <c r="CD344" s="87" t="str">
        <f>IF(CD161=-1,"x",IF(OR(CD259=1,CD$195=1,$CZ161=1),CD161,0))</f>
        <v>x</v>
      </c>
      <c r="CE344" s="86" t="str">
        <f>IF(CE161=-1,"x",IF(OR(CE259=1,CE$195=1,$CX161=1),CE161,0))</f>
        <v>x</v>
      </c>
      <c r="CF344" s="85" t="str">
        <f>IF(CF161=-1,"x",IF(OR(CF259=1,CF$195=1,$CY161=1),CF161,0))</f>
        <v>x</v>
      </c>
      <c r="CG344" s="88" t="str">
        <f>IF(CG161=-1,"x",IF(OR(CG259=1,CG$195=1,$CZ161=1),CG161,0))</f>
        <v>x</v>
      </c>
      <c r="CH344" s="89" t="str">
        <f>IF(CH161=-1,"x",IF(OR(CH259=1,CH$195=1,$CX161=1),CH161,0))</f>
        <v>x</v>
      </c>
      <c r="CI344" s="85" t="str">
        <f>IF(CI161=-1,"x",IF(OR(CI259=1,CI$195=1,$CY161=1),CI161,0))</f>
        <v>x</v>
      </c>
      <c r="CJ344" s="87" t="str">
        <f>IF(CJ161=-1,"x",IF(OR(CJ259=1,CJ$195=1,$CZ161=1),CJ161,0))</f>
        <v>x</v>
      </c>
      <c r="CK344" s="86" t="str">
        <f>IF(CK161=-1,"x",IF(OR(CK259=1,CK$195=1,$CX161=1),CK161,0))</f>
        <v>x</v>
      </c>
      <c r="CL344" s="85" t="str">
        <f>IF(CL161=-1,"x",IF(OR(CL259=1,CL$195=1,$CY161=1),CL161,0))</f>
        <v>x</v>
      </c>
      <c r="CM344" s="87" t="str">
        <f>IF(CM161=-1,"x",IF(OR(CM259=1,CM$195=1,$CZ161=1),CM161,0))</f>
        <v>x</v>
      </c>
      <c r="CN344" s="86" t="str">
        <f>IF(CN161=-1,"x",IF(OR(CN259=1,CN$195=1,$CX161=1),CN161,0))</f>
        <v>x</v>
      </c>
      <c r="CO344" s="85" t="str">
        <f>IF(CO161=-1,"x",IF(OR(CO259=1,CO$195=1,$CY161=1),CO161,0))</f>
        <v>x</v>
      </c>
      <c r="CP344" s="90" t="str">
        <f>IF(CP161=-1,"x",IF(OR(CP259=1,CP$195=1,$CZ161=1),CP161,0))</f>
        <v>x</v>
      </c>
      <c r="DJ344" s="104" t="str">
        <f>IF(DJ161=-1,"x",IF(OR(DJ259=1,DJ$228=1,$GT161=1),DJ161,0))</f>
        <v>x</v>
      </c>
      <c r="DK344" s="50" t="str">
        <f>IF(DK161=-1,"x",IF(OR(DK259=1,DK$228=1,$GU161=1),DK161,0))</f>
        <v>x</v>
      </c>
      <c r="DL344" s="51" t="str">
        <f>IF(DL161=-1,"x",IF(OR(DL259=1,DL$228=1,$GV161=1),DL161,0))</f>
        <v>x</v>
      </c>
      <c r="DM344" s="52" t="str">
        <f>IF(DM161=-1,"x",IF(OR(DM259=1,DM$228=1,$GT161=1),DM161,0))</f>
        <v>x</v>
      </c>
      <c r="DN344" s="50" t="str">
        <f>IF(DN161=-1,"x",IF(OR(DN259=1,DN$228=1,$GU161=1),DN161,0))</f>
        <v>x</v>
      </c>
      <c r="DO344" s="51" t="str">
        <f>IF(DO161=-1,"x",IF(OR(DO259=1,DO$228=1,$GV161=1),DO161,0))</f>
        <v>x</v>
      </c>
      <c r="DP344" s="52" t="str">
        <f>IF(DP161=-1,"x",IF(OR(DP259=1,DP$228=1,$GT161=1),DP161,0))</f>
        <v>x</v>
      </c>
      <c r="DQ344" s="50" t="str">
        <f>IF(DQ161=-1,"x",IF(OR(DQ259=1,DQ$228=1,$GU161=1),DQ161,0))</f>
        <v>x</v>
      </c>
      <c r="DR344" s="53" t="str">
        <f>IF(DR161=-1,"x",IF(OR(DR259=1,DR$228=1,$GV161=1),DR161,0))</f>
        <v>x</v>
      </c>
      <c r="DS344" s="49" t="str">
        <f>IF(DS161=-1,"x",IF(OR(DS259=1,DS$228=1,$GT161=1),DS161,0))</f>
        <v>x</v>
      </c>
      <c r="DT344" s="50" t="str">
        <f>IF(DT161=-1,"x",IF(OR(DT259=1,DT$228=1,$GU161=1),DT161,0))</f>
        <v>x</v>
      </c>
      <c r="DU344" s="51" t="str">
        <f>IF(DU161=-1,"x",IF(OR(DU259=1,DU$228=1,$GV161=1),DU161,0))</f>
        <v>x</v>
      </c>
      <c r="DV344" s="52" t="str">
        <f>IF(DV161=-1,"x",IF(OR(DV259=1,DV$228=1,$GT161=1),DV161,0))</f>
        <v>x</v>
      </c>
      <c r="DW344" s="50" t="str">
        <f>IF(DW161=-1,"x",IF(OR(DW259=1,DW$228=1,$GU161=1),DW161,0))</f>
        <v>x</v>
      </c>
      <c r="DX344" s="51" t="str">
        <f>IF(DX161=-1,"x",IF(OR(DX259=1,DX$228=1,$GV161=1),DX161,0))</f>
        <v>x</v>
      </c>
      <c r="DY344" s="52" t="str">
        <f>IF(DY161=-1,"x",IF(OR(DY259=1,DY$228=1,$GT161=1),DY161,0))</f>
        <v>x</v>
      </c>
      <c r="DZ344" s="50" t="str">
        <f>IF(DZ161=-1,"x",IF(OR(DZ259=1,DZ$228=1,$GU161=1),DZ161,0))</f>
        <v>x</v>
      </c>
      <c r="EA344" s="53" t="str">
        <f>IF(EA161=-1,"x",IF(OR(EA259=1,EA$228=1,$GV161=1),EA161,0))</f>
        <v>x</v>
      </c>
      <c r="EB344" s="49" t="str">
        <f>IF(EB161=-1,"x",IF(OR(EB259=1,EB$228=1,$GT161=1),EB161,0))</f>
        <v>x</v>
      </c>
      <c r="EC344" s="50" t="str">
        <f>IF(EC161=-1,"x",IF(OR(EC259=1,EC$228=1,$GU161=1),EC161,0))</f>
        <v>x</v>
      </c>
      <c r="ED344" s="51" t="str">
        <f>IF(ED161=-1,"x",IF(OR(ED259=1,ED$228=1,$GV161=1),ED161,0))</f>
        <v>x</v>
      </c>
      <c r="EE344" s="52" t="str">
        <f>IF(EE161=-1,"x",IF(OR(EE259=1,EE$228=1,$GT161=1),EE161,0))</f>
        <v>x</v>
      </c>
      <c r="EF344" s="50" t="str">
        <f>IF(EF161=-1,"x",IF(OR(EF259=1,EF$228=1,$GU161=1),EF161,0))</f>
        <v>x</v>
      </c>
      <c r="EG344" s="51" t="str">
        <f>IF(EG161=-1,"x",IF(OR(EG259=1,EG$228=1,$GV161=1),EG161,0))</f>
        <v>x</v>
      </c>
      <c r="EH344" s="52" t="str">
        <f>IF(EH161=-1,"x",IF(OR(EH259=1,EH$228=1,$GT161=1),EH161,0))</f>
        <v>x</v>
      </c>
      <c r="EI344" s="50" t="str">
        <f>IF(EI161=-1,"x",IF(OR(EI259=1,EI$228=1,$GU161=1),EI161,0))</f>
        <v>x</v>
      </c>
      <c r="EJ344" s="105" t="str">
        <f>IF(EJ161=-1,"x",IF(OR(EJ259=1,EJ$228=1,$GV161=1),EJ161,0))</f>
        <v>x</v>
      </c>
      <c r="EK344" s="104" t="str">
        <f>IF(EK161=-1,"x",IF(OR(EK259=1,EK$228=1,$GT161=1),EK161,0))</f>
        <v>x</v>
      </c>
      <c r="EL344" s="50" t="str">
        <f>IF(EL161=-1,"x",IF(OR(EL259=1,EL$228=1,$GU161=1),EL161,0))</f>
        <v>x</v>
      </c>
      <c r="EM344" s="51" t="str">
        <f>IF(EM161=-1,"x",IF(OR(EM259=1,EM$228=1,$GV161=1),EM161,0))</f>
        <v>x</v>
      </c>
      <c r="EN344" s="52" t="str">
        <f>IF(EN161=-1,"x",IF(OR(EN259=1,EN$228=1,$GT161=1),EN161,0))</f>
        <v>x</v>
      </c>
      <c r="EO344" s="50" t="str">
        <f>IF(EO161=-1,"x",IF(OR(EO259=1,EO$228=1,$GU161=1),EO161,0))</f>
        <v>x</v>
      </c>
      <c r="EP344" s="51" t="str">
        <f>IF(EP161=-1,"x",IF(OR(EP259=1,EP$228=1,$GV161=1),EP161,0))</f>
        <v>x</v>
      </c>
      <c r="EQ344" s="52" t="str">
        <f>IF(EQ161=-1,"x",IF(OR(EQ259=1,EQ$228=1,$GT161=1),EQ161,0))</f>
        <v>x</v>
      </c>
      <c r="ER344" s="50" t="str">
        <f>IF(ER161=-1,"x",IF(OR(ER259=1,ER$228=1,$GU161=1),ER161,0))</f>
        <v>x</v>
      </c>
      <c r="ES344" s="53" t="str">
        <f>IF(ES161=-1,"x",IF(OR(ES259=1,ES$228=1,$GV161=1),ES161,0))</f>
        <v>x</v>
      </c>
      <c r="ET344" s="49" t="str">
        <f>IF(ET161=-1,"x",IF(OR(ET259=1,ET$228=1,$GT161=1),ET161,0))</f>
        <v>x</v>
      </c>
      <c r="EU344" s="50" t="str">
        <f>IF(EU161=-1,"x",IF(OR(EU259=1,EU$228=1,$GU161=1),EU161,0))</f>
        <v>x</v>
      </c>
      <c r="EV344" s="51" t="str">
        <f>IF(EV161=-1,"x",IF(OR(EV259=1,EV$228=1,$GV161=1),EV161,0))</f>
        <v>x</v>
      </c>
      <c r="EW344" s="52" t="str">
        <f>IF(EW161=-1,"x",IF(OR(EW259=1,EW$228=1,$GT161=1),EW161,0))</f>
        <v>x</v>
      </c>
      <c r="EX344" s="50" t="str">
        <f>IF(EX161=-1,"x",IF(OR(EX259=1,EX$228=1,$GU161=1),EX161,0))</f>
        <v>x</v>
      </c>
      <c r="EY344" s="51" t="str">
        <f>IF(EY161=-1,"x",IF(OR(EY259=1,EY$228=1,$GV161=1),EY161,0))</f>
        <v>x</v>
      </c>
      <c r="EZ344" s="52" t="str">
        <f>IF(EZ161=-1,"x",IF(OR(EZ259=1,EZ$228=1,$GT161=1),EZ161,0))</f>
        <v>x</v>
      </c>
      <c r="FA344" s="50" t="str">
        <f>IF(FA161=-1,"x",IF(OR(FA259=1,FA$228=1,$GU161=1),FA161,0))</f>
        <v>x</v>
      </c>
      <c r="FB344" s="53" t="str">
        <f>IF(FB161=-1,"x",IF(OR(FB259=1,FB$228=1,$GV161=1),FB161,0))</f>
        <v>x</v>
      </c>
      <c r="FC344" s="49" t="str">
        <f>IF(FC161=-1,"x",IF(OR(FC259=1,FC$228=1,$GT161=1),FC161,0))</f>
        <v>x</v>
      </c>
      <c r="FD344" s="50" t="str">
        <f>IF(FD161=-1,"x",IF(OR(FD259=1,FD$228=1,$GU161=1),FD161,0))</f>
        <v>x</v>
      </c>
      <c r="FE344" s="51" t="str">
        <f>IF(FE161=-1,"x",IF(OR(FE259=1,FE$228=1,$GV161=1),FE161,0))</f>
        <v>x</v>
      </c>
      <c r="FF344" s="52" t="str">
        <f>IF(FF161=-1,"x",IF(OR(FF259=1,FF$228=1,$GT161=1),FF161,0))</f>
        <v>x</v>
      </c>
      <c r="FG344" s="50" t="str">
        <f>IF(FG161=-1,"x",IF(OR(FG259=1,FG$228=1,$GU161=1),FG161,0))</f>
        <v>x</v>
      </c>
      <c r="FH344" s="51" t="str">
        <f>IF(FH161=-1,"x",IF(OR(FH259=1,FH$228=1,$GV161=1),FH161,0))</f>
        <v>x</v>
      </c>
      <c r="FI344" s="52" t="str">
        <f>IF(FI161=-1,"x",IF(OR(FI259=1,FI$228=1,$GT161=1),FI161,0))</f>
        <v>x</v>
      </c>
      <c r="FJ344" s="50" t="str">
        <f>IF(FJ161=-1,"x",IF(OR(FJ259=1,FJ$228=1,$GU161=1),FJ161,0))</f>
        <v>x</v>
      </c>
      <c r="FK344" s="105" t="str">
        <f>IF(FK161=-1,"x",IF(OR(FK259=1,FK$228=1,$GV161=1),FK161,0))</f>
        <v>x</v>
      </c>
      <c r="FL344" s="104" t="str">
        <f>IF(FL161=-1,"x",IF(OR(FL259=1,FL$228=1,$GT161=1),FL161,0))</f>
        <v>x</v>
      </c>
      <c r="FM344" s="50" t="str">
        <f>IF(FM161=-1,"x",IF(OR(FM259=1,FM$228=1,$GU161=1),FM161,0))</f>
        <v>x</v>
      </c>
      <c r="FN344" s="51" t="str">
        <f>IF(FN161=-1,"x",IF(OR(FN259=1,FN$228=1,$GV161=1),FN161,0))</f>
        <v>x</v>
      </c>
      <c r="FO344" s="52" t="str">
        <f>IF(FO161=-1,"x",IF(OR(FO259=1,FO$228=1,$GT161=1),FO161,0))</f>
        <v>x</v>
      </c>
      <c r="FP344" s="50" t="str">
        <f>IF(FP161=-1,"x",IF(OR(FP259=1,FP$228=1,$GU161=1),FP161,0))</f>
        <v>x</v>
      </c>
      <c r="FQ344" s="51" t="str">
        <f>IF(FQ161=-1,"x",IF(OR(FQ259=1,FQ$228=1,$GV161=1),FQ161,0))</f>
        <v>x</v>
      </c>
      <c r="FR344" s="52" t="str">
        <f>IF(FR161=-1,"x",IF(OR(FR259=1,FR$228=1,$GT161=1),FR161,0))</f>
        <v>x</v>
      </c>
      <c r="FS344" s="50" t="str">
        <f>IF(FS161=-1,"x",IF(OR(FS259=1,FS$228=1,$GU161=1),FS161,0))</f>
        <v>x</v>
      </c>
      <c r="FT344" s="53" t="str">
        <f>IF(FT161=-1,"x",IF(OR(FT259=1,FT$228=1,$GV161=1),FT161,0))</f>
        <v>x</v>
      </c>
      <c r="FU344" s="49" t="str">
        <f>IF(FU161=-1,"x",IF(OR(FU259=1,FU$228=1,$GT161=1),FU161,0))</f>
        <v>x</v>
      </c>
      <c r="FV344" s="50" t="str">
        <f>IF(FV161=-1,"x",IF(OR(FV259=1,FV$228=1,$GU161=1),FV161,0))</f>
        <v>x</v>
      </c>
      <c r="FW344" s="51" t="str">
        <f>IF(FW161=-1,"x",IF(OR(FW259=1,FW$228=1,$GV161=1),FW161,0))</f>
        <v>x</v>
      </c>
      <c r="FX344" s="52" t="str">
        <f>IF(FX161=-1,"x",IF(OR(FX259=1,FX$228=1,$GT161=1),FX161,0))</f>
        <v>x</v>
      </c>
      <c r="FY344" s="50" t="str">
        <f>IF(FY161=-1,"x",IF(OR(FY259=1,FY$228=1,$GU161=1),FY161,0))</f>
        <v>x</v>
      </c>
      <c r="FZ344" s="51" t="str">
        <f>IF(FZ161=-1,"x",IF(OR(FZ259=1,FZ$228=1,$GV161=1),FZ161,0))</f>
        <v>x</v>
      </c>
      <c r="GA344" s="52" t="str">
        <f>IF(GA161=-1,"x",IF(OR(GA259=1,GA$228=1,$GT161=1),GA161,0))</f>
        <v>x</v>
      </c>
      <c r="GB344" s="50" t="str">
        <f>IF(GB161=-1,"x",IF(OR(GB259=1,GB$228=1,$GU161=1),GB161,0))</f>
        <v>x</v>
      </c>
      <c r="GC344" s="53" t="str">
        <f>IF(GC161=-1,"x",IF(OR(GC259=1,GC$228=1,$GV161=1),GC161,0))</f>
        <v>x</v>
      </c>
      <c r="GD344" s="49" t="str">
        <f>IF(GD161=-1,"x",IF(OR(GD259=1,GD$228=1,$GT161=1),GD161,0))</f>
        <v>x</v>
      </c>
      <c r="GE344" s="50" t="str">
        <f>IF(GE161=-1,"x",IF(OR(GE259=1,GE$228=1,$GU161=1),GE161,0))</f>
        <v>x</v>
      </c>
      <c r="GF344" s="51" t="str">
        <f>IF(GF161=-1,"x",IF(OR(GF259=1,GF$228=1,$GV161=1),GF161,0))</f>
        <v>x</v>
      </c>
      <c r="GG344" s="52" t="str">
        <f>IF(GG161=-1,"x",IF(OR(GG259=1,GG$228=1,$GT161=1),GG161,0))</f>
        <v>x</v>
      </c>
      <c r="GH344" s="50" t="str">
        <f>IF(GH161=-1,"x",IF(OR(GH259=1,GH$228=1,$GU161=1),GH161,0))</f>
        <v>x</v>
      </c>
      <c r="GI344" s="51" t="str">
        <f>IF(GI161=-1,"x",IF(OR(GI259=1,GI$228=1,$GV161=1),GI161,0))</f>
        <v>x</v>
      </c>
      <c r="GJ344" s="52" t="str">
        <f>IF(GJ161=-1,"x",IF(OR(GJ259=1,GJ$228=1,$GT161=1),GJ161,0))</f>
        <v>x</v>
      </c>
      <c r="GK344" s="50" t="str">
        <f>IF(GK161=-1,"x",IF(OR(GK259=1,GK$228=1,$GU161=1),GK161,0))</f>
        <v>x</v>
      </c>
      <c r="GL344" s="105" t="str">
        <f>IF(GL161=-1,"x",IF(OR(GL259=1,GL$228=1,$GV161=1),GL161,0))</f>
        <v>x</v>
      </c>
    </row>
    <row r="345" spans="14:194" ht="15" customHeight="1">
      <c r="N345" s="94" t="str">
        <f>IF(N162=-1,"x",IF(OR(N260=1,N$196=1,$CX162=1),N162,0))</f>
        <v>x</v>
      </c>
      <c r="O345" s="39" t="str">
        <f>IF(O162=-1,"x",IF(OR(O260=1,O$196=1,$CY162=1),O162,0))</f>
        <v>x</v>
      </c>
      <c r="P345" s="41" t="str">
        <f>IF(P162=-1,"x",IF(OR(P260=1,P$196=1,$CZ162=1),P162,0))</f>
        <v>x</v>
      </c>
      <c r="Q345" s="40" t="str">
        <f>IF(Q162=-1,"x",IF(OR(Q260=1,Q$196=1,$CX162=1),Q162,0))</f>
        <v>x</v>
      </c>
      <c r="R345" s="39" t="str">
        <f>IF(R162=-1,"x",IF(OR(R260=1,R$196=1,$CY162=1),R162,0))</f>
        <v>x</v>
      </c>
      <c r="S345" s="41" t="str">
        <f>IF(S162=-1,"x",IF(OR(S260=1,S$196=1,$CZ162=1),S162,0))</f>
        <v>x</v>
      </c>
      <c r="T345" s="40" t="str">
        <f>IF(T162=-1,"x",IF(OR(T260=1,T$196=1,$CX162=1),T162,0))</f>
        <v>x</v>
      </c>
      <c r="U345" s="39" t="str">
        <f>IF(U162=-1,"x",IF(OR(U260=1,U$196=1,$CY162=1),U162,0))</f>
        <v>x</v>
      </c>
      <c r="V345" s="42" t="str">
        <f>IF(V162=-1,"x",IF(OR(V260=1,V$196=1,$CZ162=1),V162,0))</f>
        <v>x</v>
      </c>
      <c r="W345" s="43" t="str">
        <f>IF(W162=-1,"x",IF(OR(W260=1,W$196=1,$CX162=1),W162,0))</f>
        <v>x</v>
      </c>
      <c r="X345" s="39" t="str">
        <f>IF(X162=-1,"x",IF(OR(X260=1,X$196=1,$CY162=1),X162,0))</f>
        <v>x</v>
      </c>
      <c r="Y345" s="41" t="str">
        <f>IF(Y162=-1,"x",IF(OR(Y260=1,Y$196=1,$CZ162=1),Y162,0))</f>
        <v>x</v>
      </c>
      <c r="Z345" s="40" t="str">
        <f>IF(Z162=-1,"x",IF(OR(Z260=1,Z$196=1,$CX162=1),Z162,0))</f>
        <v>x</v>
      </c>
      <c r="AA345" s="39" t="str">
        <f>IF(AA162=-1,"x",IF(OR(AA260=1,AA$196=1,$CY162=1),AA162,0))</f>
        <v>x</v>
      </c>
      <c r="AB345" s="41" t="str">
        <f>IF(AB162=-1,"x",IF(OR(AB260=1,AB$196=1,$CZ162=1),AB162,0))</f>
        <v>x</v>
      </c>
      <c r="AC345" s="40" t="str">
        <f>IF(AC162=-1,"x",IF(OR(AC260=1,AC$196=1,$CX162=1),AC162,0))</f>
        <v>x</v>
      </c>
      <c r="AD345" s="39" t="str">
        <f>IF(AD162=-1,"x",IF(OR(AD260=1,AD$196=1,$CY162=1),AD162,0))</f>
        <v>x</v>
      </c>
      <c r="AE345" s="42" t="str">
        <f>IF(AE162=-1,"x",IF(OR(AE260=1,AE$196=1,$CZ162=1),AE162,0))</f>
        <v>x</v>
      </c>
      <c r="AF345" s="43" t="str">
        <f>IF(AF162=-1,"x",IF(OR(AF260=1,AF$196=1,$CX162=1),AF162,0))</f>
        <v>x</v>
      </c>
      <c r="AG345" s="39" t="str">
        <f>IF(AG162=-1,"x",IF(OR(AG260=1,AG$196=1,$CY162=1),AG162,0))</f>
        <v>x</v>
      </c>
      <c r="AH345" s="41" t="str">
        <f>IF(AH162=-1,"x",IF(OR(AH260=1,AH$196=1,$CZ162=1),AH162,0))</f>
        <v>x</v>
      </c>
      <c r="AI345" s="40" t="str">
        <f>IF(AI162=-1,"x",IF(OR(AI260=1,AI$196=1,$CX162=1),AI162,0))</f>
        <v>x</v>
      </c>
      <c r="AJ345" s="39" t="str">
        <f>IF(AJ162=-1,"x",IF(OR(AJ260=1,AJ$196=1,$CY162=1),AJ162,0))</f>
        <v>x</v>
      </c>
      <c r="AK345" s="41" t="str">
        <f>IF(AK162=-1,"x",IF(OR(AK260=1,AK$196=1,$CZ162=1),AK162,0))</f>
        <v>x</v>
      </c>
      <c r="AL345" s="40" t="str">
        <f>IF(AL162=-1,"x",IF(OR(AL260=1,AL$196=1,$CX162=1),AL162,0))</f>
        <v>x</v>
      </c>
      <c r="AM345" s="39" t="str">
        <f>IF(AM162=-1,"x",IF(OR(AM260=1,AM$196=1,$CY162=1),AM162,0))</f>
        <v>x</v>
      </c>
      <c r="AN345" s="95" t="str">
        <f>IF(AN162=-1,"x",IF(OR(AN260=1,AN$196=1,$CZ162=1),AN162,0))</f>
        <v>x</v>
      </c>
      <c r="AO345" s="94" t="str">
        <f>IF(AO162=-1,"x",IF(OR(AO260=1,AO$196=1,$CX162=1),AO162,0))</f>
        <v>x</v>
      </c>
      <c r="AP345" s="39" t="str">
        <f>IF(AP162=-1,"x",IF(OR(AP260=1,AP$196=1,$CY162=1),AP162,0))</f>
        <v>x</v>
      </c>
      <c r="AQ345" s="41" t="str">
        <f>IF(AQ162=-1,"x",IF(OR(AQ260=1,AQ$196=1,$CZ162=1),AQ162,0))</f>
        <v>x</v>
      </c>
      <c r="AR345" s="40" t="str">
        <f>IF(AR162=-1,"x",IF(OR(AR260=1,AR$196=1,$CX162=1),AR162,0))</f>
        <v>x</v>
      </c>
      <c r="AS345" s="39" t="str">
        <f>IF(AS162=-1,"x",IF(OR(AS260=1,AS$196=1,$CY162=1),AS162,0))</f>
        <v>x</v>
      </c>
      <c r="AT345" s="41" t="str">
        <f>IF(AT162=-1,"x",IF(OR(AT260=1,AT$196=1,$CZ162=1),AT162,0))</f>
        <v>x</v>
      </c>
      <c r="AU345" s="40" t="str">
        <f>IF(AU162=-1,"x",IF(OR(AU260=1,AU$196=1,$CX162=1),AU162,0))</f>
        <v>x</v>
      </c>
      <c r="AV345" s="39" t="str">
        <f>IF(AV162=-1,"x",IF(OR(AV260=1,AV$196=1,$CY162=1),AV162,0))</f>
        <v>x</v>
      </c>
      <c r="AW345" s="42" t="str">
        <f>IF(AW162=-1,"x",IF(OR(AW260=1,AW$196=1,$CZ162=1),AW162,0))</f>
        <v>x</v>
      </c>
      <c r="AX345" s="43" t="str">
        <f>IF(AX162=-1,"x",IF(OR(AX260=1,AX$196=1,$CX162=1),AX162,0))</f>
        <v>x</v>
      </c>
      <c r="AY345" s="39" t="str">
        <f>IF(AY162=-1,"x",IF(OR(AY260=1,AY$196=1,$CY162=1),AY162,0))</f>
        <v>x</v>
      </c>
      <c r="AZ345" s="41" t="str">
        <f>IF(AZ162=-1,"x",IF(OR(AZ260=1,AZ$196=1,$CZ162=1),AZ162,0))</f>
        <v>x</v>
      </c>
      <c r="BA345" s="40" t="str">
        <f>IF(BA162=-1,"x",IF(OR(BA260=1,BA$196=1,$CX162=1),BA162,0))</f>
        <v>x</v>
      </c>
      <c r="BB345" s="39" t="str">
        <f>IF(BB162=-1,"x",IF(OR(BB260=1,BB$196=1,$CY162=1),BB162,0))</f>
        <v>x</v>
      </c>
      <c r="BC345" s="41" t="str">
        <f>IF(BC162=-1,"x",IF(OR(BC260=1,BC$196=1,$CZ162=1),BC162,0))</f>
        <v>x</v>
      </c>
      <c r="BD345" s="40" t="str">
        <f>IF(BD162=-1,"x",IF(OR(BD260=1,BD$196=1,$CX162=1),BD162,0))</f>
        <v>x</v>
      </c>
      <c r="BE345" s="39" t="str">
        <f>IF(BE162=-1,"x",IF(OR(BE260=1,BE$196=1,$CY162=1),BE162,0))</f>
        <v>x</v>
      </c>
      <c r="BF345" s="42" t="str">
        <f>IF(BF162=-1,"x",IF(OR(BF260=1,BF$196=1,$CZ162=1),BF162,0))</f>
        <v>x</v>
      </c>
      <c r="BG345" s="43" t="str">
        <f>IF(BG162=-1,"x",IF(OR(BG260=1,BG$196=1,$CX162=1),BG162,0))</f>
        <v>x</v>
      </c>
      <c r="BH345" s="39" t="str">
        <f>IF(BH162=-1,"x",IF(OR(BH260=1,BH$196=1,$CY162=1),BH162,0))</f>
        <v>x</v>
      </c>
      <c r="BI345" s="41" t="str">
        <f>IF(BI162=-1,"x",IF(OR(BI260=1,BI$196=1,$CZ162=1),BI162,0))</f>
        <v>x</v>
      </c>
      <c r="BJ345" s="40" t="str">
        <f>IF(BJ162=-1,"x",IF(OR(BJ260=1,BJ$196=1,$CX162=1),BJ162,0))</f>
        <v>x</v>
      </c>
      <c r="BK345" s="39" t="str">
        <f>IF(BK162=-1,"x",IF(OR(BK260=1,BK$196=1,$CY162=1),BK162,0))</f>
        <v>x</v>
      </c>
      <c r="BL345" s="41" t="str">
        <f>IF(BL162=-1,"x",IF(OR(BL260=1,BL$196=1,$CZ162=1),BL162,0))</f>
        <v>x</v>
      </c>
      <c r="BM345" s="40" t="str">
        <f>IF(BM162=-1,"x",IF(OR(BM260=1,BM$196=1,$CX162=1),BM162,0))</f>
        <v>x</v>
      </c>
      <c r="BN345" s="39" t="str">
        <f>IF(BN162=-1,"x",IF(OR(BN260=1,BN$196=1,$CY162=1),BN162,0))</f>
        <v>x</v>
      </c>
      <c r="BO345" s="95" t="str">
        <f>IF(BO162=-1,"x",IF(OR(BO260=1,BO$196=1,$CZ162=1),BO162,0))</f>
        <v>x</v>
      </c>
      <c r="BP345" s="94" t="str">
        <f>IF(BP162=-1,"x",IF(OR(BP260=1,BP$196=1,$CX162=1),BP162,0))</f>
        <v>x</v>
      </c>
      <c r="BQ345" s="39" t="str">
        <f>IF(BQ162=-1,"x",IF(OR(BQ260=1,BQ$196=1,$CY162=1),BQ162,0))</f>
        <v>x</v>
      </c>
      <c r="BR345" s="41" t="str">
        <f>IF(BR162=-1,"x",IF(OR(BR260=1,BR$196=1,$CZ162=1),BR162,0))</f>
        <v>x</v>
      </c>
      <c r="BS345" s="40" t="str">
        <f>IF(BS162=-1,"x",IF(OR(BS260=1,BS$196=1,$CX162=1),BS162,0))</f>
        <v>x</v>
      </c>
      <c r="BT345" s="39" t="str">
        <f>IF(BT162=-1,"x",IF(OR(BT260=1,BT$196=1,$CY162=1),BT162,0))</f>
        <v>x</v>
      </c>
      <c r="BU345" s="41" t="str">
        <f>IF(BU162=-1,"x",IF(OR(BU260=1,BU$196=1,$CZ162=1),BU162,0))</f>
        <v>x</v>
      </c>
      <c r="BV345" s="40" t="str">
        <f>IF(BV162=-1,"x",IF(OR(BV260=1,BV$196=1,$CX162=1),BV162,0))</f>
        <v>x</v>
      </c>
      <c r="BW345" s="39" t="str">
        <f>IF(BW162=-1,"x",IF(OR(BW260=1,BW$196=1,$CY162=1),BW162,0))</f>
        <v>x</v>
      </c>
      <c r="BX345" s="42" t="str">
        <f>IF(BX162=-1,"x",IF(OR(BX260=1,BX$196=1,$CZ162=1),BX162,0))</f>
        <v>x</v>
      </c>
      <c r="BY345" s="43" t="str">
        <f>IF(BY162=-1,"x",IF(OR(BY260=1,BY$196=1,$CX162=1),BY162,0))</f>
        <v>x</v>
      </c>
      <c r="BZ345" s="39" t="str">
        <f>IF(BZ162=-1,"x",IF(OR(BZ260=1,BZ$196=1,$CY162=1),BZ162,0))</f>
        <v>x</v>
      </c>
      <c r="CA345" s="41" t="str">
        <f>IF(CA162=-1,"x",IF(OR(CA260=1,CA$196=1,$CZ162=1),CA162,0))</f>
        <v>x</v>
      </c>
      <c r="CB345" s="40" t="str">
        <f>IF(CB162=-1,"x",IF(OR(CB260=1,CB$196=1,$CX162=1),CB162,0))</f>
        <v>x</v>
      </c>
      <c r="CC345" s="39" t="str">
        <f>IF(CC162=-1,"x",IF(OR(CC260=1,CC$196=1,$CY162=1),CC162,0))</f>
        <v>x</v>
      </c>
      <c r="CD345" s="41" t="str">
        <f>IF(CD162=-1,"x",IF(OR(CD260=1,CD$196=1,$CZ162=1),CD162,0))</f>
        <v>x</v>
      </c>
      <c r="CE345" s="40" t="str">
        <f>IF(CE162=-1,"x",IF(OR(CE260=1,CE$196=1,$CX162=1),CE162,0))</f>
        <v>x</v>
      </c>
      <c r="CF345" s="39" t="str">
        <f>IF(CF162=-1,"x",IF(OR(CF260=1,CF$196=1,$CY162=1),CF162,0))</f>
        <v>x</v>
      </c>
      <c r="CG345" s="42" t="str">
        <f>IF(CG162=-1,"x",IF(OR(CG260=1,CG$196=1,$CZ162=1),CG162,0))</f>
        <v>x</v>
      </c>
      <c r="CH345" s="43" t="str">
        <f>IF(CH162=-1,"x",IF(OR(CH260=1,CH$196=1,$CX162=1),CH162,0))</f>
        <v>x</v>
      </c>
      <c r="CI345" s="39" t="str">
        <f>IF(CI162=-1,"x",IF(OR(CI260=1,CI$196=1,$CY162=1),CI162,0))</f>
        <v>x</v>
      </c>
      <c r="CJ345" s="41" t="str">
        <f>IF(CJ162=-1,"x",IF(OR(CJ260=1,CJ$196=1,$CZ162=1),CJ162,0))</f>
        <v>x</v>
      </c>
      <c r="CK345" s="40" t="str">
        <f>IF(CK162=-1,"x",IF(OR(CK260=1,CK$196=1,$CX162=1),CK162,0))</f>
        <v>x</v>
      </c>
      <c r="CL345" s="39" t="str">
        <f>IF(CL162=-1,"x",IF(OR(CL260=1,CL$196=1,$CY162=1),CL162,0))</f>
        <v>x</v>
      </c>
      <c r="CM345" s="41" t="str">
        <f>IF(CM162=-1,"x",IF(OR(CM260=1,CM$196=1,$CZ162=1),CM162,0))</f>
        <v>x</v>
      </c>
      <c r="CN345" s="40" t="str">
        <f>IF(CN162=-1,"x",IF(OR(CN260=1,CN$196=1,$CX162=1),CN162,0))</f>
        <v>x</v>
      </c>
      <c r="CO345" s="39" t="str">
        <f>IF(CO162=-1,"x",IF(OR(CO260=1,CO$196=1,$CY162=1),CO162,0))</f>
        <v>x</v>
      </c>
      <c r="CP345" s="95" t="str">
        <f>IF(CP162=-1,"x",IF(OR(CP260=1,CP$196=1,$CZ162=1),CP162,0))</f>
        <v>x</v>
      </c>
      <c r="DJ345" s="94" t="str">
        <f>IF(DJ162=-1,"x",IF(OR(DJ260=1,DJ$229=1,$GT162=1),DJ162,0))</f>
        <v>x</v>
      </c>
      <c r="DK345" s="39" t="str">
        <f>IF(DK162=-1,"x",IF(OR(DK260=1,DK$229=1,$GU162=1),DK162,0))</f>
        <v>x</v>
      </c>
      <c r="DL345" s="41" t="str">
        <f>IF(DL162=-1,"x",IF(OR(DL260=1,DL$229=1,$GV162=1),DL162,0))</f>
        <v>x</v>
      </c>
      <c r="DM345" s="40" t="str">
        <f>IF(DM162=-1,"x",IF(OR(DM260=1,DM$229=1,$GT162=1),DM162,0))</f>
        <v>x</v>
      </c>
      <c r="DN345" s="39" t="str">
        <f>IF(DN162=-1,"x",IF(OR(DN260=1,DN$229=1,$GU162=1),DN162,0))</f>
        <v>x</v>
      </c>
      <c r="DO345" s="41" t="str">
        <f>IF(DO162=-1,"x",IF(OR(DO260=1,DO$229=1,$GV162=1),DO162,0))</f>
        <v>x</v>
      </c>
      <c r="DP345" s="40" t="str">
        <f>IF(DP162=-1,"x",IF(OR(DP260=1,DP$229=1,$GT162=1),DP162,0))</f>
        <v>x</v>
      </c>
      <c r="DQ345" s="39" t="str">
        <f>IF(DQ162=-1,"x",IF(OR(DQ260=1,DQ$229=1,$GU162=1),DQ162,0))</f>
        <v>x</v>
      </c>
      <c r="DR345" s="42" t="str">
        <f>IF(DR162=-1,"x",IF(OR(DR260=1,DR$229=1,$GV162=1),DR162,0))</f>
        <v>x</v>
      </c>
      <c r="DS345" s="43" t="str">
        <f>IF(DS162=-1,"x",IF(OR(DS260=1,DS$229=1,$GT162=1),DS162,0))</f>
        <v>x</v>
      </c>
      <c r="DT345" s="39" t="str">
        <f>IF(DT162=-1,"x",IF(OR(DT260=1,DT$229=1,$GU162=1),DT162,0))</f>
        <v>x</v>
      </c>
      <c r="DU345" s="41" t="str">
        <f>IF(DU162=-1,"x",IF(OR(DU260=1,DU$229=1,$GV162=1),DU162,0))</f>
        <v>x</v>
      </c>
      <c r="DV345" s="40" t="str">
        <f>IF(DV162=-1,"x",IF(OR(DV260=1,DV$229=1,$GT162=1),DV162,0))</f>
        <v>x</v>
      </c>
      <c r="DW345" s="39" t="str">
        <f>IF(DW162=-1,"x",IF(OR(DW260=1,DW$229=1,$GU162=1),DW162,0))</f>
        <v>x</v>
      </c>
      <c r="DX345" s="41" t="str">
        <f>IF(DX162=-1,"x",IF(OR(DX260=1,DX$229=1,$GV162=1),DX162,0))</f>
        <v>x</v>
      </c>
      <c r="DY345" s="40" t="str">
        <f>IF(DY162=-1,"x",IF(OR(DY260=1,DY$229=1,$GT162=1),DY162,0))</f>
        <v>x</v>
      </c>
      <c r="DZ345" s="39" t="str">
        <f>IF(DZ162=-1,"x",IF(OR(DZ260=1,DZ$229=1,$GU162=1),DZ162,0))</f>
        <v>x</v>
      </c>
      <c r="EA345" s="42" t="str">
        <f>IF(EA162=-1,"x",IF(OR(EA260=1,EA$229=1,$GV162=1),EA162,0))</f>
        <v>x</v>
      </c>
      <c r="EB345" s="43" t="str">
        <f>IF(EB162=-1,"x",IF(OR(EB260=1,EB$229=1,$GT162=1),EB162,0))</f>
        <v>x</v>
      </c>
      <c r="EC345" s="39" t="str">
        <f>IF(EC162=-1,"x",IF(OR(EC260=1,EC$229=1,$GU162=1),EC162,0))</f>
        <v>x</v>
      </c>
      <c r="ED345" s="41" t="str">
        <f>IF(ED162=-1,"x",IF(OR(ED260=1,ED$229=1,$GV162=1),ED162,0))</f>
        <v>x</v>
      </c>
      <c r="EE345" s="40" t="str">
        <f>IF(EE162=-1,"x",IF(OR(EE260=1,EE$229=1,$GT162=1),EE162,0))</f>
        <v>x</v>
      </c>
      <c r="EF345" s="39" t="str">
        <f>IF(EF162=-1,"x",IF(OR(EF260=1,EF$229=1,$GU162=1),EF162,0))</f>
        <v>x</v>
      </c>
      <c r="EG345" s="41" t="str">
        <f>IF(EG162=-1,"x",IF(OR(EG260=1,EG$229=1,$GV162=1),EG162,0))</f>
        <v>x</v>
      </c>
      <c r="EH345" s="40" t="str">
        <f>IF(EH162=-1,"x",IF(OR(EH260=1,EH$229=1,$GT162=1),EH162,0))</f>
        <v>x</v>
      </c>
      <c r="EI345" s="39" t="str">
        <f>IF(EI162=-1,"x",IF(OR(EI260=1,EI$229=1,$GU162=1),EI162,0))</f>
        <v>x</v>
      </c>
      <c r="EJ345" s="95" t="str">
        <f>IF(EJ162=-1,"x",IF(OR(EJ260=1,EJ$229=1,$GV162=1),EJ162,0))</f>
        <v>x</v>
      </c>
      <c r="EK345" s="94" t="str">
        <f>IF(EK162=-1,"x",IF(OR(EK260=1,EK$229=1,$GT162=1),EK162,0))</f>
        <v>x</v>
      </c>
      <c r="EL345" s="39" t="str">
        <f>IF(EL162=-1,"x",IF(OR(EL260=1,EL$229=1,$GU162=1),EL162,0))</f>
        <v>x</v>
      </c>
      <c r="EM345" s="41" t="str">
        <f>IF(EM162=-1,"x",IF(OR(EM260=1,EM$229=1,$GV162=1),EM162,0))</f>
        <v>x</v>
      </c>
      <c r="EN345" s="40" t="str">
        <f>IF(EN162=-1,"x",IF(OR(EN260=1,EN$229=1,$GT162=1),EN162,0))</f>
        <v>x</v>
      </c>
      <c r="EO345" s="39" t="str">
        <f>IF(EO162=-1,"x",IF(OR(EO260=1,EO$229=1,$GU162=1),EO162,0))</f>
        <v>x</v>
      </c>
      <c r="EP345" s="41" t="str">
        <f>IF(EP162=-1,"x",IF(OR(EP260=1,EP$229=1,$GV162=1),EP162,0))</f>
        <v>x</v>
      </c>
      <c r="EQ345" s="40" t="str">
        <f>IF(EQ162=-1,"x",IF(OR(EQ260=1,EQ$229=1,$GT162=1),EQ162,0))</f>
        <v>x</v>
      </c>
      <c r="ER345" s="39" t="str">
        <f>IF(ER162=-1,"x",IF(OR(ER260=1,ER$229=1,$GU162=1),ER162,0))</f>
        <v>x</v>
      </c>
      <c r="ES345" s="42" t="str">
        <f>IF(ES162=-1,"x",IF(OR(ES260=1,ES$229=1,$GV162=1),ES162,0))</f>
        <v>x</v>
      </c>
      <c r="ET345" s="43" t="str">
        <f>IF(ET162=-1,"x",IF(OR(ET260=1,ET$229=1,$GT162=1),ET162,0))</f>
        <v>x</v>
      </c>
      <c r="EU345" s="39" t="str">
        <f>IF(EU162=-1,"x",IF(OR(EU260=1,EU$229=1,$GU162=1),EU162,0))</f>
        <v>x</v>
      </c>
      <c r="EV345" s="41" t="str">
        <f>IF(EV162=-1,"x",IF(OR(EV260=1,EV$229=1,$GV162=1),EV162,0))</f>
        <v>x</v>
      </c>
      <c r="EW345" s="40" t="str">
        <f>IF(EW162=-1,"x",IF(OR(EW260=1,EW$229=1,$GT162=1),EW162,0))</f>
        <v>x</v>
      </c>
      <c r="EX345" s="39" t="str">
        <f>IF(EX162=-1,"x",IF(OR(EX260=1,EX$229=1,$GU162=1),EX162,0))</f>
        <v>x</v>
      </c>
      <c r="EY345" s="41" t="str">
        <f>IF(EY162=-1,"x",IF(OR(EY260=1,EY$229=1,$GV162=1),EY162,0))</f>
        <v>x</v>
      </c>
      <c r="EZ345" s="40" t="str">
        <f>IF(EZ162=-1,"x",IF(OR(EZ260=1,EZ$229=1,$GT162=1),EZ162,0))</f>
        <v>x</v>
      </c>
      <c r="FA345" s="39" t="str">
        <f>IF(FA162=-1,"x",IF(OR(FA260=1,FA$229=1,$GU162=1),FA162,0))</f>
        <v>x</v>
      </c>
      <c r="FB345" s="42" t="str">
        <f>IF(FB162=-1,"x",IF(OR(FB260=1,FB$229=1,$GV162=1),FB162,0))</f>
        <v>x</v>
      </c>
      <c r="FC345" s="43" t="str">
        <f>IF(FC162=-1,"x",IF(OR(FC260=1,FC$229=1,$GT162=1),FC162,0))</f>
        <v>x</v>
      </c>
      <c r="FD345" s="39" t="str">
        <f>IF(FD162=-1,"x",IF(OR(FD260=1,FD$229=1,$GU162=1),FD162,0))</f>
        <v>x</v>
      </c>
      <c r="FE345" s="41" t="str">
        <f>IF(FE162=-1,"x",IF(OR(FE260=1,FE$229=1,$GV162=1),FE162,0))</f>
        <v>x</v>
      </c>
      <c r="FF345" s="40" t="str">
        <f>IF(FF162=-1,"x",IF(OR(FF260=1,FF$229=1,$GT162=1),FF162,0))</f>
        <v>x</v>
      </c>
      <c r="FG345" s="39" t="str">
        <f>IF(FG162=-1,"x",IF(OR(FG260=1,FG$229=1,$GU162=1),FG162,0))</f>
        <v>x</v>
      </c>
      <c r="FH345" s="41" t="str">
        <f>IF(FH162=-1,"x",IF(OR(FH260=1,FH$229=1,$GV162=1),FH162,0))</f>
        <v>x</v>
      </c>
      <c r="FI345" s="40" t="str">
        <f>IF(FI162=-1,"x",IF(OR(FI260=1,FI$229=1,$GT162=1),FI162,0))</f>
        <v>x</v>
      </c>
      <c r="FJ345" s="39" t="str">
        <f>IF(FJ162=-1,"x",IF(OR(FJ260=1,FJ$229=1,$GU162=1),FJ162,0))</f>
        <v>x</v>
      </c>
      <c r="FK345" s="95" t="str">
        <f>IF(FK162=-1,"x",IF(OR(FK260=1,FK$229=1,$GV162=1),FK162,0))</f>
        <v>x</v>
      </c>
      <c r="FL345" s="94" t="str">
        <f>IF(FL162=-1,"x",IF(OR(FL260=1,FL$229=1,$GT162=1),FL162,0))</f>
        <v>x</v>
      </c>
      <c r="FM345" s="39" t="str">
        <f>IF(FM162=-1,"x",IF(OR(FM260=1,FM$229=1,$GU162=1),FM162,0))</f>
        <v>x</v>
      </c>
      <c r="FN345" s="41" t="str">
        <f>IF(FN162=-1,"x",IF(OR(FN260=1,FN$229=1,$GV162=1),FN162,0))</f>
        <v>x</v>
      </c>
      <c r="FO345" s="40" t="str">
        <f>IF(FO162=-1,"x",IF(OR(FO260=1,FO$229=1,$GT162=1),FO162,0))</f>
        <v>x</v>
      </c>
      <c r="FP345" s="39" t="str">
        <f>IF(FP162=-1,"x",IF(OR(FP260=1,FP$229=1,$GU162=1),FP162,0))</f>
        <v>x</v>
      </c>
      <c r="FQ345" s="41" t="str">
        <f>IF(FQ162=-1,"x",IF(OR(FQ260=1,FQ$229=1,$GV162=1),FQ162,0))</f>
        <v>x</v>
      </c>
      <c r="FR345" s="40" t="str">
        <f>IF(FR162=-1,"x",IF(OR(FR260=1,FR$229=1,$GT162=1),FR162,0))</f>
        <v>x</v>
      </c>
      <c r="FS345" s="39" t="str">
        <f>IF(FS162=-1,"x",IF(OR(FS260=1,FS$229=1,$GU162=1),FS162,0))</f>
        <v>x</v>
      </c>
      <c r="FT345" s="42" t="str">
        <f>IF(FT162=-1,"x",IF(OR(FT260=1,FT$229=1,$GV162=1),FT162,0))</f>
        <v>x</v>
      </c>
      <c r="FU345" s="43" t="str">
        <f>IF(FU162=-1,"x",IF(OR(FU260=1,FU$229=1,$GT162=1),FU162,0))</f>
        <v>x</v>
      </c>
      <c r="FV345" s="39" t="str">
        <f>IF(FV162=-1,"x",IF(OR(FV260=1,FV$229=1,$GU162=1),FV162,0))</f>
        <v>x</v>
      </c>
      <c r="FW345" s="41" t="str">
        <f>IF(FW162=-1,"x",IF(OR(FW260=1,FW$229=1,$GV162=1),FW162,0))</f>
        <v>x</v>
      </c>
      <c r="FX345" s="40" t="str">
        <f>IF(FX162=-1,"x",IF(OR(FX260=1,FX$229=1,$GT162=1),FX162,0))</f>
        <v>x</v>
      </c>
      <c r="FY345" s="39" t="str">
        <f>IF(FY162=-1,"x",IF(OR(FY260=1,FY$229=1,$GU162=1),FY162,0))</f>
        <v>x</v>
      </c>
      <c r="FZ345" s="41" t="str">
        <f>IF(FZ162=-1,"x",IF(OR(FZ260=1,FZ$229=1,$GV162=1),FZ162,0))</f>
        <v>x</v>
      </c>
      <c r="GA345" s="40" t="str">
        <f>IF(GA162=-1,"x",IF(OR(GA260=1,GA$229=1,$GT162=1),GA162,0))</f>
        <v>x</v>
      </c>
      <c r="GB345" s="39" t="str">
        <f>IF(GB162=-1,"x",IF(OR(GB260=1,GB$229=1,$GU162=1),GB162,0))</f>
        <v>x</v>
      </c>
      <c r="GC345" s="42" t="str">
        <f>IF(GC162=-1,"x",IF(OR(GC260=1,GC$229=1,$GV162=1),GC162,0))</f>
        <v>x</v>
      </c>
      <c r="GD345" s="43" t="str">
        <f>IF(GD162=-1,"x",IF(OR(GD260=1,GD$229=1,$GT162=1),GD162,0))</f>
        <v>x</v>
      </c>
      <c r="GE345" s="39" t="str">
        <f>IF(GE162=-1,"x",IF(OR(GE260=1,GE$229=1,$GU162=1),GE162,0))</f>
        <v>x</v>
      </c>
      <c r="GF345" s="41" t="str">
        <f>IF(GF162=-1,"x",IF(OR(GF260=1,GF$229=1,$GV162=1),GF162,0))</f>
        <v>x</v>
      </c>
      <c r="GG345" s="40" t="str">
        <f>IF(GG162=-1,"x",IF(OR(GG260=1,GG$229=1,$GT162=1),GG162,0))</f>
        <v>x</v>
      </c>
      <c r="GH345" s="39" t="str">
        <f>IF(GH162=-1,"x",IF(OR(GH260=1,GH$229=1,$GU162=1),GH162,0))</f>
        <v>x</v>
      </c>
      <c r="GI345" s="41" t="str">
        <f>IF(GI162=-1,"x",IF(OR(GI260=1,GI$229=1,$GV162=1),GI162,0))</f>
        <v>x</v>
      </c>
      <c r="GJ345" s="40" t="str">
        <f>IF(GJ162=-1,"x",IF(OR(GJ260=1,GJ$229=1,$GT162=1),GJ162,0))</f>
        <v>x</v>
      </c>
      <c r="GK345" s="39" t="str">
        <f>IF(GK162=-1,"x",IF(OR(GK260=1,GK$229=1,$GU162=1),GK162,0))</f>
        <v>x</v>
      </c>
      <c r="GL345" s="95" t="str">
        <f>IF(GL162=-1,"x",IF(OR(GL260=1,GL$229=1,$GV162=1),GL162,0))</f>
        <v>x</v>
      </c>
    </row>
    <row r="346" spans="14:194" ht="15" customHeight="1">
      <c r="N346" s="99" t="str">
        <f>IF(N163=-1,"x",IF(OR(N261=1,N$197=1,$CX163=1),N163,0))</f>
        <v>x</v>
      </c>
      <c r="O346" s="45" t="str">
        <f>IF(O163=-1,"x",IF(OR(O261=1,O$197=1,$CY163=1),O163,0))</f>
        <v>x</v>
      </c>
      <c r="P346" s="47" t="str">
        <f>IF(P163=-1,"x",IF(OR(P261=1,P$197=1,$CZ163=1),P163,0))</f>
        <v>x</v>
      </c>
      <c r="Q346" s="46" t="str">
        <f>IF(Q163=-1,"x",IF(OR(Q261=1,Q$197=1,$CX163=1),Q163,0))</f>
        <v>x</v>
      </c>
      <c r="R346" s="45" t="str">
        <f>IF(R163=-1,"x",IF(OR(R261=1,R$197=1,$CY163=1),R163,0))</f>
        <v>x</v>
      </c>
      <c r="S346" s="47" t="str">
        <f>IF(S163=-1,"x",IF(OR(S261=1,S$197=1,$CZ163=1),S163,0))</f>
        <v>x</v>
      </c>
      <c r="T346" s="46" t="str">
        <f>IF(T163=-1,"x",IF(OR(T261=1,T$197=1,$CX163=1),T163,0))</f>
        <v>x</v>
      </c>
      <c r="U346" s="45" t="str">
        <f>IF(U163=-1,"x",IF(OR(U261=1,U$197=1,$CY163=1),U163,0))</f>
        <v>x</v>
      </c>
      <c r="V346" s="48" t="str">
        <f>IF(V163=-1,"x",IF(OR(V261=1,V$197=1,$CZ163=1),V163,0))</f>
        <v>x</v>
      </c>
      <c r="W346" s="44" t="str">
        <f>IF(W163=-1,"x",IF(OR(W261=1,W$197=1,$CX163=1),W163,0))</f>
        <v>x</v>
      </c>
      <c r="X346" s="45" t="str">
        <f>IF(X163=-1,"x",IF(OR(X261=1,X$197=1,$CY163=1),X163,0))</f>
        <v>x</v>
      </c>
      <c r="Y346" s="47" t="str">
        <f>IF(Y163=-1,"x",IF(OR(Y261=1,Y$197=1,$CZ163=1),Y163,0))</f>
        <v>x</v>
      </c>
      <c r="Z346" s="46" t="str">
        <f>IF(Z163=-1,"x",IF(OR(Z261=1,Z$197=1,$CX163=1),Z163,0))</f>
        <v>x</v>
      </c>
      <c r="AA346" s="45" t="str">
        <f>IF(AA163=-1,"x",IF(OR(AA261=1,AA$197=1,$CY163=1),AA163,0))</f>
        <v>x</v>
      </c>
      <c r="AB346" s="47" t="str">
        <f>IF(AB163=-1,"x",IF(OR(AB261=1,AB$197=1,$CZ163=1),AB163,0))</f>
        <v>x</v>
      </c>
      <c r="AC346" s="46" t="str">
        <f>IF(AC163=-1,"x",IF(OR(AC261=1,AC$197=1,$CX163=1),AC163,0))</f>
        <v>x</v>
      </c>
      <c r="AD346" s="45" t="str">
        <f>IF(AD163=-1,"x",IF(OR(AD261=1,AD$197=1,$CY163=1),AD163,0))</f>
        <v>x</v>
      </c>
      <c r="AE346" s="48" t="str">
        <f>IF(AE163=-1,"x",IF(OR(AE261=1,AE$197=1,$CZ163=1),AE163,0))</f>
        <v>x</v>
      </c>
      <c r="AF346" s="44" t="str">
        <f>IF(AF163=-1,"x",IF(OR(AF261=1,AF$197=1,$CX163=1),AF163,0))</f>
        <v>x</v>
      </c>
      <c r="AG346" s="45" t="str">
        <f>IF(AG163=-1,"x",IF(OR(AG261=1,AG$197=1,$CY163=1),AG163,0))</f>
        <v>x</v>
      </c>
      <c r="AH346" s="47" t="str">
        <f>IF(AH163=-1,"x",IF(OR(AH261=1,AH$197=1,$CZ163=1),AH163,0))</f>
        <v>x</v>
      </c>
      <c r="AI346" s="46" t="str">
        <f>IF(AI163=-1,"x",IF(OR(AI261=1,AI$197=1,$CX163=1),AI163,0))</f>
        <v>x</v>
      </c>
      <c r="AJ346" s="45" t="str">
        <f>IF(AJ163=-1,"x",IF(OR(AJ261=1,AJ$197=1,$CY163=1),AJ163,0))</f>
        <v>x</v>
      </c>
      <c r="AK346" s="47" t="str">
        <f>IF(AK163=-1,"x",IF(OR(AK261=1,AK$197=1,$CZ163=1),AK163,0))</f>
        <v>x</v>
      </c>
      <c r="AL346" s="46" t="str">
        <f>IF(AL163=-1,"x",IF(OR(AL261=1,AL$197=1,$CX163=1),AL163,0))</f>
        <v>x</v>
      </c>
      <c r="AM346" s="45" t="str">
        <f>IF(AM163=-1,"x",IF(OR(AM261=1,AM$197=1,$CY163=1),AM163,0))</f>
        <v>x</v>
      </c>
      <c r="AN346" s="100" t="str">
        <f>IF(AN163=-1,"x",IF(OR(AN261=1,AN$197=1,$CZ163=1),AN163,0))</f>
        <v>x</v>
      </c>
      <c r="AO346" s="99" t="str">
        <f>IF(AO163=-1,"x",IF(OR(AO261=1,AO$197=1,$CX163=1),AO163,0))</f>
        <v>x</v>
      </c>
      <c r="AP346" s="45" t="str">
        <f>IF(AP163=-1,"x",IF(OR(AP261=1,AP$197=1,$CY163=1),AP163,0))</f>
        <v>x</v>
      </c>
      <c r="AQ346" s="47" t="str">
        <f>IF(AQ163=-1,"x",IF(OR(AQ261=1,AQ$197=1,$CZ163=1),AQ163,0))</f>
        <v>x</v>
      </c>
      <c r="AR346" s="46" t="str">
        <f>IF(AR163=-1,"x",IF(OR(AR261=1,AR$197=1,$CX163=1),AR163,0))</f>
        <v>x</v>
      </c>
      <c r="AS346" s="45" t="str">
        <f>IF(AS163=-1,"x",IF(OR(AS261=1,AS$197=1,$CY163=1),AS163,0))</f>
        <v>x</v>
      </c>
      <c r="AT346" s="47" t="str">
        <f>IF(AT163=-1,"x",IF(OR(AT261=1,AT$197=1,$CZ163=1),AT163,0))</f>
        <v>x</v>
      </c>
      <c r="AU346" s="46" t="str">
        <f>IF(AU163=-1,"x",IF(OR(AU261=1,AU$197=1,$CX163=1),AU163,0))</f>
        <v>x</v>
      </c>
      <c r="AV346" s="45" t="str">
        <f>IF(AV163=-1,"x",IF(OR(AV261=1,AV$197=1,$CY163=1),AV163,0))</f>
        <v>x</v>
      </c>
      <c r="AW346" s="48" t="str">
        <f>IF(AW163=-1,"x",IF(OR(AW261=1,AW$197=1,$CZ163=1),AW163,0))</f>
        <v>x</v>
      </c>
      <c r="AX346" s="44" t="str">
        <f>IF(AX163=-1,"x",IF(OR(AX261=1,AX$197=1,$CX163=1),AX163,0))</f>
        <v>x</v>
      </c>
      <c r="AY346" s="45" t="str">
        <f>IF(AY163=-1,"x",IF(OR(AY261=1,AY$197=1,$CY163=1),AY163,0))</f>
        <v>x</v>
      </c>
      <c r="AZ346" s="47" t="str">
        <f>IF(AZ163=-1,"x",IF(OR(AZ261=1,AZ$197=1,$CZ163=1),AZ163,0))</f>
        <v>x</v>
      </c>
      <c r="BA346" s="46" t="str">
        <f>IF(BA163=-1,"x",IF(OR(BA261=1,BA$197=1,$CX163=1),BA163,0))</f>
        <v>x</v>
      </c>
      <c r="BB346" s="45" t="str">
        <f>IF(BB163=-1,"x",IF(OR(BB261=1,BB$197=1,$CY163=1),BB163,0))</f>
        <v>x</v>
      </c>
      <c r="BC346" s="47" t="str">
        <f>IF(BC163=-1,"x",IF(OR(BC261=1,BC$197=1,$CZ163=1),BC163,0))</f>
        <v>x</v>
      </c>
      <c r="BD346" s="46" t="str">
        <f>IF(BD163=-1,"x",IF(OR(BD261=1,BD$197=1,$CX163=1),BD163,0))</f>
        <v>x</v>
      </c>
      <c r="BE346" s="45" t="str">
        <f>IF(BE163=-1,"x",IF(OR(BE261=1,BE$197=1,$CY163=1),BE163,0))</f>
        <v>x</v>
      </c>
      <c r="BF346" s="48" t="str">
        <f>IF(BF163=-1,"x",IF(OR(BF261=1,BF$197=1,$CZ163=1),BF163,0))</f>
        <v>x</v>
      </c>
      <c r="BG346" s="44" t="str">
        <f>IF(BG163=-1,"x",IF(OR(BG261=1,BG$197=1,$CX163=1),BG163,0))</f>
        <v>x</v>
      </c>
      <c r="BH346" s="45" t="str">
        <f>IF(BH163=-1,"x",IF(OR(BH261=1,BH$197=1,$CY163=1),BH163,0))</f>
        <v>x</v>
      </c>
      <c r="BI346" s="47" t="str">
        <f>IF(BI163=-1,"x",IF(OR(BI261=1,BI$197=1,$CZ163=1),BI163,0))</f>
        <v>x</v>
      </c>
      <c r="BJ346" s="46" t="str">
        <f>IF(BJ163=-1,"x",IF(OR(BJ261=1,BJ$197=1,$CX163=1),BJ163,0))</f>
        <v>x</v>
      </c>
      <c r="BK346" s="45" t="str">
        <f>IF(BK163=-1,"x",IF(OR(BK261=1,BK$197=1,$CY163=1),BK163,0))</f>
        <v>x</v>
      </c>
      <c r="BL346" s="47" t="str">
        <f>IF(BL163=-1,"x",IF(OR(BL261=1,BL$197=1,$CZ163=1),BL163,0))</f>
        <v>x</v>
      </c>
      <c r="BM346" s="46" t="str">
        <f>IF(BM163=-1,"x",IF(OR(BM261=1,BM$197=1,$CX163=1),BM163,0))</f>
        <v>x</v>
      </c>
      <c r="BN346" s="45" t="str">
        <f>IF(BN163=-1,"x",IF(OR(BN261=1,BN$197=1,$CY163=1),BN163,0))</f>
        <v>x</v>
      </c>
      <c r="BO346" s="100" t="str">
        <f>IF(BO163=-1,"x",IF(OR(BO261=1,BO$197=1,$CZ163=1),BO163,0))</f>
        <v>x</v>
      </c>
      <c r="BP346" s="99" t="str">
        <f>IF(BP163=-1,"x",IF(OR(BP261=1,BP$197=1,$CX163=1),BP163,0))</f>
        <v>x</v>
      </c>
      <c r="BQ346" s="45" t="str">
        <f>IF(BQ163=-1,"x",IF(OR(BQ261=1,BQ$197=1,$CY163=1),BQ163,0))</f>
        <v>x</v>
      </c>
      <c r="BR346" s="47" t="str">
        <f>IF(BR163=-1,"x",IF(OR(BR261=1,BR$197=1,$CZ163=1),BR163,0))</f>
        <v>x</v>
      </c>
      <c r="BS346" s="46" t="str">
        <f>IF(BS163=-1,"x",IF(OR(BS261=1,BS$197=1,$CX163=1),BS163,0))</f>
        <v>x</v>
      </c>
      <c r="BT346" s="45" t="str">
        <f>IF(BT163=-1,"x",IF(OR(BT261=1,BT$197=1,$CY163=1),BT163,0))</f>
        <v>x</v>
      </c>
      <c r="BU346" s="47" t="str">
        <f>IF(BU163=-1,"x",IF(OR(BU261=1,BU$197=1,$CZ163=1),BU163,0))</f>
        <v>x</v>
      </c>
      <c r="BV346" s="46" t="str">
        <f>IF(BV163=-1,"x",IF(OR(BV261=1,BV$197=1,$CX163=1),BV163,0))</f>
        <v>x</v>
      </c>
      <c r="BW346" s="45" t="str">
        <f>IF(BW163=-1,"x",IF(OR(BW261=1,BW$197=1,$CY163=1),BW163,0))</f>
        <v>x</v>
      </c>
      <c r="BX346" s="48" t="str">
        <f>IF(BX163=-1,"x",IF(OR(BX261=1,BX$197=1,$CZ163=1),BX163,0))</f>
        <v>x</v>
      </c>
      <c r="BY346" s="44" t="str">
        <f>IF(BY163=-1,"x",IF(OR(BY261=1,BY$197=1,$CX163=1),BY163,0))</f>
        <v>x</v>
      </c>
      <c r="BZ346" s="45" t="str">
        <f>IF(BZ163=-1,"x",IF(OR(BZ261=1,BZ$197=1,$CY163=1),BZ163,0))</f>
        <v>x</v>
      </c>
      <c r="CA346" s="47" t="str">
        <f>IF(CA163=-1,"x",IF(OR(CA261=1,CA$197=1,$CZ163=1),CA163,0))</f>
        <v>x</v>
      </c>
      <c r="CB346" s="46" t="str">
        <f>IF(CB163=-1,"x",IF(OR(CB261=1,CB$197=1,$CX163=1),CB163,0))</f>
        <v>x</v>
      </c>
      <c r="CC346" s="45" t="str">
        <f>IF(CC163=-1,"x",IF(OR(CC261=1,CC$197=1,$CY163=1),CC163,0))</f>
        <v>x</v>
      </c>
      <c r="CD346" s="47" t="str">
        <f>IF(CD163=-1,"x",IF(OR(CD261=1,CD$197=1,$CZ163=1),CD163,0))</f>
        <v>x</v>
      </c>
      <c r="CE346" s="46" t="str">
        <f>IF(CE163=-1,"x",IF(OR(CE261=1,CE$197=1,$CX163=1),CE163,0))</f>
        <v>x</v>
      </c>
      <c r="CF346" s="45" t="str">
        <f>IF(CF163=-1,"x",IF(OR(CF261=1,CF$197=1,$CY163=1),CF163,0))</f>
        <v>x</v>
      </c>
      <c r="CG346" s="48" t="str">
        <f>IF(CG163=-1,"x",IF(OR(CG261=1,CG$197=1,$CZ163=1),CG163,0))</f>
        <v>x</v>
      </c>
      <c r="CH346" s="44" t="str">
        <f>IF(CH163=-1,"x",IF(OR(CH261=1,CH$197=1,$CX163=1),CH163,0))</f>
        <v>x</v>
      </c>
      <c r="CI346" s="45" t="str">
        <f>IF(CI163=-1,"x",IF(OR(CI261=1,CI$197=1,$CY163=1),CI163,0))</f>
        <v>x</v>
      </c>
      <c r="CJ346" s="47" t="str">
        <f>IF(CJ163=-1,"x",IF(OR(CJ261=1,CJ$197=1,$CZ163=1),CJ163,0))</f>
        <v>x</v>
      </c>
      <c r="CK346" s="46" t="str">
        <f>IF(CK163=-1,"x",IF(OR(CK261=1,CK$197=1,$CX163=1),CK163,0))</f>
        <v>x</v>
      </c>
      <c r="CL346" s="45" t="str">
        <f>IF(CL163=-1,"x",IF(OR(CL261=1,CL$197=1,$CY163=1),CL163,0))</f>
        <v>x</v>
      </c>
      <c r="CM346" s="47" t="str">
        <f>IF(CM163=-1,"x",IF(OR(CM261=1,CM$197=1,$CZ163=1),CM163,0))</f>
        <v>x</v>
      </c>
      <c r="CN346" s="46" t="str">
        <f>IF(CN163=-1,"x",IF(OR(CN261=1,CN$197=1,$CX163=1),CN163,0))</f>
        <v>x</v>
      </c>
      <c r="CO346" s="45" t="str">
        <f>IF(CO163=-1,"x",IF(OR(CO261=1,CO$197=1,$CY163=1),CO163,0))</f>
        <v>x</v>
      </c>
      <c r="CP346" s="100" t="str">
        <f>IF(CP163=-1,"x",IF(OR(CP261=1,CP$197=1,$CZ163=1),CP163,0))</f>
        <v>x</v>
      </c>
      <c r="DJ346" s="99" t="str">
        <f>IF(DJ163=-1,"x",IF(OR(DJ261=1,DJ$230=1,$GT163=1),DJ163,0))</f>
        <v>x</v>
      </c>
      <c r="DK346" s="45" t="str">
        <f>IF(DK163=-1,"x",IF(OR(DK261=1,DK$230=1,$GU163=1),DK163,0))</f>
        <v>x</v>
      </c>
      <c r="DL346" s="47" t="str">
        <f>IF(DL163=-1,"x",IF(OR(DL261=1,DL$230=1,$GV163=1),DL163,0))</f>
        <v>x</v>
      </c>
      <c r="DM346" s="46" t="str">
        <f>IF(DM163=-1,"x",IF(OR(DM261=1,DM$230=1,$GT163=1),DM163,0))</f>
        <v>x</v>
      </c>
      <c r="DN346" s="45" t="str">
        <f>IF(DN163=-1,"x",IF(OR(DN261=1,DN$230=1,$GU163=1),DN163,0))</f>
        <v>x</v>
      </c>
      <c r="DO346" s="47" t="str">
        <f>IF(DO163=-1,"x",IF(OR(DO261=1,DO$230=1,$GV163=1),DO163,0))</f>
        <v>x</v>
      </c>
      <c r="DP346" s="46" t="str">
        <f>IF(DP163=-1,"x",IF(OR(DP261=1,DP$230=1,$GT163=1),DP163,0))</f>
        <v>x</v>
      </c>
      <c r="DQ346" s="45" t="str">
        <f>IF(DQ163=-1,"x",IF(OR(DQ261=1,DQ$230=1,$GU163=1),DQ163,0))</f>
        <v>x</v>
      </c>
      <c r="DR346" s="48" t="str">
        <f>IF(DR163=-1,"x",IF(OR(DR261=1,DR$230=1,$GV163=1),DR163,0))</f>
        <v>x</v>
      </c>
      <c r="DS346" s="44" t="str">
        <f>IF(DS163=-1,"x",IF(OR(DS261=1,DS$230=1,$GT163=1),DS163,0))</f>
        <v>x</v>
      </c>
      <c r="DT346" s="45" t="str">
        <f>IF(DT163=-1,"x",IF(OR(DT261=1,DT$230=1,$GU163=1),DT163,0))</f>
        <v>x</v>
      </c>
      <c r="DU346" s="47" t="str">
        <f>IF(DU163=-1,"x",IF(OR(DU261=1,DU$230=1,$GV163=1),DU163,0))</f>
        <v>x</v>
      </c>
      <c r="DV346" s="46" t="str">
        <f>IF(DV163=-1,"x",IF(OR(DV261=1,DV$230=1,$GT163=1),DV163,0))</f>
        <v>x</v>
      </c>
      <c r="DW346" s="45" t="str">
        <f>IF(DW163=-1,"x",IF(OR(DW261=1,DW$230=1,$GU163=1),DW163,0))</f>
        <v>x</v>
      </c>
      <c r="DX346" s="47" t="str">
        <f>IF(DX163=-1,"x",IF(OR(DX261=1,DX$230=1,$GV163=1),DX163,0))</f>
        <v>x</v>
      </c>
      <c r="DY346" s="46" t="str">
        <f>IF(DY163=-1,"x",IF(OR(DY261=1,DY$230=1,$GT163=1),DY163,0))</f>
        <v>x</v>
      </c>
      <c r="DZ346" s="45" t="str">
        <f>IF(DZ163=-1,"x",IF(OR(DZ261=1,DZ$230=1,$GU163=1),DZ163,0))</f>
        <v>x</v>
      </c>
      <c r="EA346" s="48" t="str">
        <f>IF(EA163=-1,"x",IF(OR(EA261=1,EA$230=1,$GV163=1),EA163,0))</f>
        <v>x</v>
      </c>
      <c r="EB346" s="44" t="str">
        <f>IF(EB163=-1,"x",IF(OR(EB261=1,EB$230=1,$GT163=1),EB163,0))</f>
        <v>x</v>
      </c>
      <c r="EC346" s="45" t="str">
        <f>IF(EC163=-1,"x",IF(OR(EC261=1,EC$230=1,$GU163=1),EC163,0))</f>
        <v>x</v>
      </c>
      <c r="ED346" s="47" t="str">
        <f>IF(ED163=-1,"x",IF(OR(ED261=1,ED$230=1,$GV163=1),ED163,0))</f>
        <v>x</v>
      </c>
      <c r="EE346" s="46" t="str">
        <f>IF(EE163=-1,"x",IF(OR(EE261=1,EE$230=1,$GT163=1),EE163,0))</f>
        <v>x</v>
      </c>
      <c r="EF346" s="45" t="str">
        <f>IF(EF163=-1,"x",IF(OR(EF261=1,EF$230=1,$GU163=1),EF163,0))</f>
        <v>x</v>
      </c>
      <c r="EG346" s="47" t="str">
        <f>IF(EG163=-1,"x",IF(OR(EG261=1,EG$230=1,$GV163=1),EG163,0))</f>
        <v>x</v>
      </c>
      <c r="EH346" s="46" t="str">
        <f>IF(EH163=-1,"x",IF(OR(EH261=1,EH$230=1,$GT163=1),EH163,0))</f>
        <v>x</v>
      </c>
      <c r="EI346" s="45" t="str">
        <f>IF(EI163=-1,"x",IF(OR(EI261=1,EI$230=1,$GU163=1),EI163,0))</f>
        <v>x</v>
      </c>
      <c r="EJ346" s="100" t="str">
        <f>IF(EJ163=-1,"x",IF(OR(EJ261=1,EJ$230=1,$GV163=1),EJ163,0))</f>
        <v>x</v>
      </c>
      <c r="EK346" s="99" t="str">
        <f>IF(EK163=-1,"x",IF(OR(EK261=1,EK$230=1,$GT163=1),EK163,0))</f>
        <v>x</v>
      </c>
      <c r="EL346" s="45" t="str">
        <f>IF(EL163=-1,"x",IF(OR(EL261=1,EL$230=1,$GU163=1),EL163,0))</f>
        <v>x</v>
      </c>
      <c r="EM346" s="47" t="str">
        <f>IF(EM163=-1,"x",IF(OR(EM261=1,EM$230=1,$GV163=1),EM163,0))</f>
        <v>x</v>
      </c>
      <c r="EN346" s="46" t="str">
        <f>IF(EN163=-1,"x",IF(OR(EN261=1,EN$230=1,$GT163=1),EN163,0))</f>
        <v>x</v>
      </c>
      <c r="EO346" s="45" t="str">
        <f>IF(EO163=-1,"x",IF(OR(EO261=1,EO$230=1,$GU163=1),EO163,0))</f>
        <v>x</v>
      </c>
      <c r="EP346" s="47" t="str">
        <f>IF(EP163=-1,"x",IF(OR(EP261=1,EP$230=1,$GV163=1),EP163,0))</f>
        <v>x</v>
      </c>
      <c r="EQ346" s="46" t="str">
        <f>IF(EQ163=-1,"x",IF(OR(EQ261=1,EQ$230=1,$GT163=1),EQ163,0))</f>
        <v>x</v>
      </c>
      <c r="ER346" s="45" t="str">
        <f>IF(ER163=-1,"x",IF(OR(ER261=1,ER$230=1,$GU163=1),ER163,0))</f>
        <v>x</v>
      </c>
      <c r="ES346" s="48" t="str">
        <f>IF(ES163=-1,"x",IF(OR(ES261=1,ES$230=1,$GV163=1),ES163,0))</f>
        <v>x</v>
      </c>
      <c r="ET346" s="44" t="str">
        <f>IF(ET163=-1,"x",IF(OR(ET261=1,ET$230=1,$GT163=1),ET163,0))</f>
        <v>x</v>
      </c>
      <c r="EU346" s="45" t="str">
        <f>IF(EU163=-1,"x",IF(OR(EU261=1,EU$230=1,$GU163=1),EU163,0))</f>
        <v>x</v>
      </c>
      <c r="EV346" s="47" t="str">
        <f>IF(EV163=-1,"x",IF(OR(EV261=1,EV$230=1,$GV163=1),EV163,0))</f>
        <v>x</v>
      </c>
      <c r="EW346" s="46" t="str">
        <f>IF(EW163=-1,"x",IF(OR(EW261=1,EW$230=1,$GT163=1),EW163,0))</f>
        <v>x</v>
      </c>
      <c r="EX346" s="45" t="str">
        <f>IF(EX163=-1,"x",IF(OR(EX261=1,EX$230=1,$GU163=1),EX163,0))</f>
        <v>x</v>
      </c>
      <c r="EY346" s="47" t="str">
        <f>IF(EY163=-1,"x",IF(OR(EY261=1,EY$230=1,$GV163=1),EY163,0))</f>
        <v>x</v>
      </c>
      <c r="EZ346" s="46" t="str">
        <f>IF(EZ163=-1,"x",IF(OR(EZ261=1,EZ$230=1,$GT163=1),EZ163,0))</f>
        <v>x</v>
      </c>
      <c r="FA346" s="45" t="str">
        <f>IF(FA163=-1,"x",IF(OR(FA261=1,FA$230=1,$GU163=1),FA163,0))</f>
        <v>x</v>
      </c>
      <c r="FB346" s="48" t="str">
        <f>IF(FB163=-1,"x",IF(OR(FB261=1,FB$230=1,$GV163=1),FB163,0))</f>
        <v>x</v>
      </c>
      <c r="FC346" s="44" t="str">
        <f>IF(FC163=-1,"x",IF(OR(FC261=1,FC$230=1,$GT163=1),FC163,0))</f>
        <v>x</v>
      </c>
      <c r="FD346" s="45" t="str">
        <f>IF(FD163=-1,"x",IF(OR(FD261=1,FD$230=1,$GU163=1),FD163,0))</f>
        <v>x</v>
      </c>
      <c r="FE346" s="47" t="str">
        <f>IF(FE163=-1,"x",IF(OR(FE261=1,FE$230=1,$GV163=1),FE163,0))</f>
        <v>x</v>
      </c>
      <c r="FF346" s="46" t="str">
        <f>IF(FF163=-1,"x",IF(OR(FF261=1,FF$230=1,$GT163=1),FF163,0))</f>
        <v>x</v>
      </c>
      <c r="FG346" s="45" t="str">
        <f>IF(FG163=-1,"x",IF(OR(FG261=1,FG$230=1,$GU163=1),FG163,0))</f>
        <v>x</v>
      </c>
      <c r="FH346" s="47" t="str">
        <f>IF(FH163=-1,"x",IF(OR(FH261=1,FH$230=1,$GV163=1),FH163,0))</f>
        <v>x</v>
      </c>
      <c r="FI346" s="46" t="str">
        <f>IF(FI163=-1,"x",IF(OR(FI261=1,FI$230=1,$GT163=1),FI163,0))</f>
        <v>x</v>
      </c>
      <c r="FJ346" s="45" t="str">
        <f>IF(FJ163=-1,"x",IF(OR(FJ261=1,FJ$230=1,$GU163=1),FJ163,0))</f>
        <v>x</v>
      </c>
      <c r="FK346" s="100" t="str">
        <f>IF(FK163=-1,"x",IF(OR(FK261=1,FK$230=1,$GV163=1),FK163,0))</f>
        <v>x</v>
      </c>
      <c r="FL346" s="99" t="str">
        <f>IF(FL163=-1,"x",IF(OR(FL261=1,FL$230=1,$GT163=1),FL163,0))</f>
        <v>x</v>
      </c>
      <c r="FM346" s="45" t="str">
        <f>IF(FM163=-1,"x",IF(OR(FM261=1,FM$230=1,$GU163=1),FM163,0))</f>
        <v>x</v>
      </c>
      <c r="FN346" s="47" t="str">
        <f>IF(FN163=-1,"x",IF(OR(FN261=1,FN$230=1,$GV163=1),FN163,0))</f>
        <v>x</v>
      </c>
      <c r="FO346" s="46" t="str">
        <f>IF(FO163=-1,"x",IF(OR(FO261=1,FO$230=1,$GT163=1),FO163,0))</f>
        <v>x</v>
      </c>
      <c r="FP346" s="45" t="str">
        <f>IF(FP163=-1,"x",IF(OR(FP261=1,FP$230=1,$GU163=1),FP163,0))</f>
        <v>x</v>
      </c>
      <c r="FQ346" s="47" t="str">
        <f>IF(FQ163=-1,"x",IF(OR(FQ261=1,FQ$230=1,$GV163=1),FQ163,0))</f>
        <v>x</v>
      </c>
      <c r="FR346" s="46" t="str">
        <f>IF(FR163=-1,"x",IF(OR(FR261=1,FR$230=1,$GT163=1),FR163,0))</f>
        <v>x</v>
      </c>
      <c r="FS346" s="45" t="str">
        <f>IF(FS163=-1,"x",IF(OR(FS261=1,FS$230=1,$GU163=1),FS163,0))</f>
        <v>x</v>
      </c>
      <c r="FT346" s="48" t="str">
        <f>IF(FT163=-1,"x",IF(OR(FT261=1,FT$230=1,$GV163=1),FT163,0))</f>
        <v>x</v>
      </c>
      <c r="FU346" s="44" t="str">
        <f>IF(FU163=-1,"x",IF(OR(FU261=1,FU$230=1,$GT163=1),FU163,0))</f>
        <v>x</v>
      </c>
      <c r="FV346" s="45" t="str">
        <f>IF(FV163=-1,"x",IF(OR(FV261=1,FV$230=1,$GU163=1),FV163,0))</f>
        <v>x</v>
      </c>
      <c r="FW346" s="47" t="str">
        <f>IF(FW163=-1,"x",IF(OR(FW261=1,FW$230=1,$GV163=1),FW163,0))</f>
        <v>x</v>
      </c>
      <c r="FX346" s="46" t="str">
        <f>IF(FX163=-1,"x",IF(OR(FX261=1,FX$230=1,$GT163=1),FX163,0))</f>
        <v>x</v>
      </c>
      <c r="FY346" s="45" t="str">
        <f>IF(FY163=-1,"x",IF(OR(FY261=1,FY$230=1,$GU163=1),FY163,0))</f>
        <v>x</v>
      </c>
      <c r="FZ346" s="47" t="str">
        <f>IF(FZ163=-1,"x",IF(OR(FZ261=1,FZ$230=1,$GV163=1),FZ163,0))</f>
        <v>x</v>
      </c>
      <c r="GA346" s="46" t="str">
        <f>IF(GA163=-1,"x",IF(OR(GA261=1,GA$230=1,$GT163=1),GA163,0))</f>
        <v>x</v>
      </c>
      <c r="GB346" s="45" t="str">
        <f>IF(GB163=-1,"x",IF(OR(GB261=1,GB$230=1,$GU163=1),GB163,0))</f>
        <v>x</v>
      </c>
      <c r="GC346" s="48" t="str">
        <f>IF(GC163=-1,"x",IF(OR(GC261=1,GC$230=1,$GV163=1),GC163,0))</f>
        <v>x</v>
      </c>
      <c r="GD346" s="44" t="str">
        <f>IF(GD163=-1,"x",IF(OR(GD261=1,GD$230=1,$GT163=1),GD163,0))</f>
        <v>x</v>
      </c>
      <c r="GE346" s="45" t="str">
        <f>IF(GE163=-1,"x",IF(OR(GE261=1,GE$230=1,$GU163=1),GE163,0))</f>
        <v>x</v>
      </c>
      <c r="GF346" s="47" t="str">
        <f>IF(GF163=-1,"x",IF(OR(GF261=1,GF$230=1,$GV163=1),GF163,0))</f>
        <v>x</v>
      </c>
      <c r="GG346" s="46" t="str">
        <f>IF(GG163=-1,"x",IF(OR(GG261=1,GG$230=1,$GT163=1),GG163,0))</f>
        <v>x</v>
      </c>
      <c r="GH346" s="45" t="str">
        <f>IF(GH163=-1,"x",IF(OR(GH261=1,GH$230=1,$GU163=1),GH163,0))</f>
        <v>x</v>
      </c>
      <c r="GI346" s="47" t="str">
        <f>IF(GI163=-1,"x",IF(OR(GI261=1,GI$230=1,$GV163=1),GI163,0))</f>
        <v>x</v>
      </c>
      <c r="GJ346" s="46" t="str">
        <f>IF(GJ163=-1,"x",IF(OR(GJ261=1,GJ$230=1,$GT163=1),GJ163,0))</f>
        <v>x</v>
      </c>
      <c r="GK346" s="45" t="str">
        <f>IF(GK163=-1,"x",IF(OR(GK261=1,GK$230=1,$GU163=1),GK163,0))</f>
        <v>x</v>
      </c>
      <c r="GL346" s="100" t="str">
        <f>IF(GL163=-1,"x",IF(OR(GL261=1,GL$230=1,$GV163=1),GL163,0))</f>
        <v>x</v>
      </c>
    </row>
    <row r="347" spans="14:194" ht="15" customHeight="1">
      <c r="N347" s="104" t="str">
        <f>IF(N164=-1,"x",IF(OR(N262=1,N$195=1,$CX164=1),N164,0))</f>
        <v>x</v>
      </c>
      <c r="O347" s="50" t="str">
        <f>IF(O164=-1,"x",IF(OR(O262=1,O$195=1,$CY164=1),O164,0))</f>
        <v>x</v>
      </c>
      <c r="P347" s="51" t="str">
        <f>IF(P164=-1,"x",IF(OR(P262=1,P$195=1,$CZ164=1),P164,0))</f>
        <v>x</v>
      </c>
      <c r="Q347" s="52" t="str">
        <f>IF(Q164=-1,"x",IF(OR(Q262=1,Q$195=1,$CX164=1),Q164,0))</f>
        <v>x</v>
      </c>
      <c r="R347" s="50" t="str">
        <f>IF(R164=-1,"x",IF(OR(R262=1,R$195=1,$CY164=1),R164,0))</f>
        <v>x</v>
      </c>
      <c r="S347" s="51" t="str">
        <f>IF(S164=-1,"x",IF(OR(S262=1,S$195=1,$CZ164=1),S164,0))</f>
        <v>x</v>
      </c>
      <c r="T347" s="52" t="str">
        <f>IF(T164=-1,"x",IF(OR(T262=1,T$195=1,$CX164=1),T164,0))</f>
        <v>x</v>
      </c>
      <c r="U347" s="50" t="str">
        <f>IF(U164=-1,"x",IF(OR(U262=1,U$195=1,$CY164=1),U164,0))</f>
        <v>x</v>
      </c>
      <c r="V347" s="53" t="str">
        <f>IF(V164=-1,"x",IF(OR(V262=1,V$195=1,$CZ164=1),V164,0))</f>
        <v>x</v>
      </c>
      <c r="W347" s="49" t="str">
        <f>IF(W164=-1,"x",IF(OR(W262=1,W$195=1,$CX164=1),W164,0))</f>
        <v>x</v>
      </c>
      <c r="X347" s="50" t="str">
        <f>IF(X164=-1,"x",IF(OR(X262=1,X$195=1,$CY164=1),X164,0))</f>
        <v>x</v>
      </c>
      <c r="Y347" s="51" t="str">
        <f>IF(Y164=-1,"x",IF(OR(Y262=1,Y$195=1,$CZ164=1),Y164,0))</f>
        <v>x</v>
      </c>
      <c r="Z347" s="52" t="str">
        <f>IF(Z164=-1,"x",IF(OR(Z262=1,Z$195=1,$CX164=1),Z164,0))</f>
        <v>x</v>
      </c>
      <c r="AA347" s="50" t="str">
        <f>IF(AA164=-1,"x",IF(OR(AA262=1,AA$195=1,$CY164=1),AA164,0))</f>
        <v>x</v>
      </c>
      <c r="AB347" s="51" t="str">
        <f>IF(AB164=-1,"x",IF(OR(AB262=1,AB$195=1,$CZ164=1),AB164,0))</f>
        <v>x</v>
      </c>
      <c r="AC347" s="52" t="str">
        <f>IF(AC164=-1,"x",IF(OR(AC262=1,AC$195=1,$CX164=1),AC164,0))</f>
        <v>x</v>
      </c>
      <c r="AD347" s="50" t="str">
        <f>IF(AD164=-1,"x",IF(OR(AD262=1,AD$195=1,$CY164=1),AD164,0))</f>
        <v>x</v>
      </c>
      <c r="AE347" s="53" t="str">
        <f>IF(AE164=-1,"x",IF(OR(AE262=1,AE$195=1,$CZ164=1),AE164,0))</f>
        <v>x</v>
      </c>
      <c r="AF347" s="49" t="str">
        <f>IF(AF164=-1,"x",IF(OR(AF262=1,AF$195=1,$CX164=1),AF164,0))</f>
        <v>x</v>
      </c>
      <c r="AG347" s="50" t="str">
        <f>IF(AG164=-1,"x",IF(OR(AG262=1,AG$195=1,$CY164=1),AG164,0))</f>
        <v>x</v>
      </c>
      <c r="AH347" s="51" t="str">
        <f>IF(AH164=-1,"x",IF(OR(AH262=1,AH$195=1,$CZ164=1),AH164,0))</f>
        <v>x</v>
      </c>
      <c r="AI347" s="52" t="str">
        <f>IF(AI164=-1,"x",IF(OR(AI262=1,AI$195=1,$CX164=1),AI164,0))</f>
        <v>x</v>
      </c>
      <c r="AJ347" s="50" t="str">
        <f>IF(AJ164=-1,"x",IF(OR(AJ262=1,AJ$195=1,$CY164=1),AJ164,0))</f>
        <v>x</v>
      </c>
      <c r="AK347" s="51" t="str">
        <f>IF(AK164=-1,"x",IF(OR(AK262=1,AK$195=1,$CZ164=1),AK164,0))</f>
        <v>x</v>
      </c>
      <c r="AL347" s="52" t="str">
        <f>IF(AL164=-1,"x",IF(OR(AL262=1,AL$195=1,$CX164=1),AL164,0))</f>
        <v>x</v>
      </c>
      <c r="AM347" s="50" t="str">
        <f>IF(AM164=-1,"x",IF(OR(AM262=1,AM$195=1,$CY164=1),AM164,0))</f>
        <v>x</v>
      </c>
      <c r="AN347" s="105" t="str">
        <f>IF(AN164=-1,"x",IF(OR(AN262=1,AN$195=1,$CZ164=1),AN164,0))</f>
        <v>x</v>
      </c>
      <c r="AO347" s="104" t="str">
        <f>IF(AO164=-1,"x",IF(OR(AO262=1,AO$195=1,$CX164=1),AO164,0))</f>
        <v>x</v>
      </c>
      <c r="AP347" s="50" t="str">
        <f>IF(AP164=-1,"x",IF(OR(AP262=1,AP$195=1,$CY164=1),AP164,0))</f>
        <v>x</v>
      </c>
      <c r="AQ347" s="51" t="str">
        <f>IF(AQ164=-1,"x",IF(OR(AQ262=1,AQ$195=1,$CZ164=1),AQ164,0))</f>
        <v>x</v>
      </c>
      <c r="AR347" s="52" t="str">
        <f>IF(AR164=-1,"x",IF(OR(AR262=1,AR$195=1,$CX164=1),AR164,0))</f>
        <v>x</v>
      </c>
      <c r="AS347" s="50" t="str">
        <f>IF(AS164=-1,"x",IF(OR(AS262=1,AS$195=1,$CY164=1),AS164,0))</f>
        <v>x</v>
      </c>
      <c r="AT347" s="51" t="str">
        <f>IF(AT164=-1,"x",IF(OR(AT262=1,AT$195=1,$CZ164=1),AT164,0))</f>
        <v>x</v>
      </c>
      <c r="AU347" s="52" t="str">
        <f>IF(AU164=-1,"x",IF(OR(AU262=1,AU$195=1,$CX164=1),AU164,0))</f>
        <v>x</v>
      </c>
      <c r="AV347" s="50" t="str">
        <f>IF(AV164=-1,"x",IF(OR(AV262=1,AV$195=1,$CY164=1),AV164,0))</f>
        <v>x</v>
      </c>
      <c r="AW347" s="53" t="str">
        <f>IF(AW164=-1,"x",IF(OR(AW262=1,AW$195=1,$CZ164=1),AW164,0))</f>
        <v>x</v>
      </c>
      <c r="AX347" s="49" t="str">
        <f>IF(AX164=-1,"x",IF(OR(AX262=1,AX$195=1,$CX164=1),AX164,0))</f>
        <v>x</v>
      </c>
      <c r="AY347" s="50" t="str">
        <f>IF(AY164=-1,"x",IF(OR(AY262=1,AY$195=1,$CY164=1),AY164,0))</f>
        <v>x</v>
      </c>
      <c r="AZ347" s="51" t="str">
        <f>IF(AZ164=-1,"x",IF(OR(AZ262=1,AZ$195=1,$CZ164=1),AZ164,0))</f>
        <v>x</v>
      </c>
      <c r="BA347" s="52" t="str">
        <f>IF(BA164=-1,"x",IF(OR(BA262=1,BA$195=1,$CX164=1),BA164,0))</f>
        <v>x</v>
      </c>
      <c r="BB347" s="50" t="str">
        <f>IF(BB164=-1,"x",IF(OR(BB262=1,BB$195=1,$CY164=1),BB164,0))</f>
        <v>x</v>
      </c>
      <c r="BC347" s="51" t="str">
        <f>IF(BC164=-1,"x",IF(OR(BC262=1,BC$195=1,$CZ164=1),BC164,0))</f>
        <v>x</v>
      </c>
      <c r="BD347" s="52" t="str">
        <f>IF(BD164=-1,"x",IF(OR(BD262=1,BD$195=1,$CX164=1),BD164,0))</f>
        <v>x</v>
      </c>
      <c r="BE347" s="50" t="str">
        <f>IF(BE164=-1,"x",IF(OR(BE262=1,BE$195=1,$CY164=1),BE164,0))</f>
        <v>x</v>
      </c>
      <c r="BF347" s="53" t="str">
        <f>IF(BF164=-1,"x",IF(OR(BF262=1,BF$195=1,$CZ164=1),BF164,0))</f>
        <v>x</v>
      </c>
      <c r="BG347" s="49" t="str">
        <f>IF(BG164=-1,"x",IF(OR(BG262=1,BG$195=1,$CX164=1),BG164,0))</f>
        <v>x</v>
      </c>
      <c r="BH347" s="50" t="str">
        <f>IF(BH164=-1,"x",IF(OR(BH262=1,BH$195=1,$CY164=1),BH164,0))</f>
        <v>x</v>
      </c>
      <c r="BI347" s="51" t="str">
        <f>IF(BI164=-1,"x",IF(OR(BI262=1,BI$195=1,$CZ164=1),BI164,0))</f>
        <v>x</v>
      </c>
      <c r="BJ347" s="52" t="str">
        <f>IF(BJ164=-1,"x",IF(OR(BJ262=1,BJ$195=1,$CX164=1),BJ164,0))</f>
        <v>x</v>
      </c>
      <c r="BK347" s="50" t="str">
        <f>IF(BK164=-1,"x",IF(OR(BK262=1,BK$195=1,$CY164=1),BK164,0))</f>
        <v>x</v>
      </c>
      <c r="BL347" s="51" t="str">
        <f>IF(BL164=-1,"x",IF(OR(BL262=1,BL$195=1,$CZ164=1),BL164,0))</f>
        <v>x</v>
      </c>
      <c r="BM347" s="52" t="str">
        <f>IF(BM164=-1,"x",IF(OR(BM262=1,BM$195=1,$CX164=1),BM164,0))</f>
        <v>x</v>
      </c>
      <c r="BN347" s="50" t="str">
        <f>IF(BN164=-1,"x",IF(OR(BN262=1,BN$195=1,$CY164=1),BN164,0))</f>
        <v>x</v>
      </c>
      <c r="BO347" s="105" t="str">
        <f>IF(BO164=-1,"x",IF(OR(BO262=1,BO$195=1,$CZ164=1),BO164,0))</f>
        <v>x</v>
      </c>
      <c r="BP347" s="104" t="str">
        <f>IF(BP164=-1,"x",IF(OR(BP262=1,BP$195=1,$CX164=1),BP164,0))</f>
        <v>x</v>
      </c>
      <c r="BQ347" s="50" t="str">
        <f>IF(BQ164=-1,"x",IF(OR(BQ262=1,BQ$195=1,$CY164=1),BQ164,0))</f>
        <v>x</v>
      </c>
      <c r="BR347" s="51" t="str">
        <f>IF(BR164=-1,"x",IF(OR(BR262=1,BR$195=1,$CZ164=1),BR164,0))</f>
        <v>x</v>
      </c>
      <c r="BS347" s="52" t="str">
        <f>IF(BS164=-1,"x",IF(OR(BS262=1,BS$195=1,$CX164=1),BS164,0))</f>
        <v>x</v>
      </c>
      <c r="BT347" s="50" t="str">
        <f>IF(BT164=-1,"x",IF(OR(BT262=1,BT$195=1,$CY164=1),BT164,0))</f>
        <v>x</v>
      </c>
      <c r="BU347" s="51" t="str">
        <f>IF(BU164=-1,"x",IF(OR(BU262=1,BU$195=1,$CZ164=1),BU164,0))</f>
        <v>x</v>
      </c>
      <c r="BV347" s="52" t="str">
        <f>IF(BV164=-1,"x",IF(OR(BV262=1,BV$195=1,$CX164=1),BV164,0))</f>
        <v>x</v>
      </c>
      <c r="BW347" s="50" t="str">
        <f>IF(BW164=-1,"x",IF(OR(BW262=1,BW$195=1,$CY164=1),BW164,0))</f>
        <v>x</v>
      </c>
      <c r="BX347" s="53" t="str">
        <f>IF(BX164=-1,"x",IF(OR(BX262=1,BX$195=1,$CZ164=1),BX164,0))</f>
        <v>x</v>
      </c>
      <c r="BY347" s="49" t="str">
        <f>IF(BY164=-1,"x",IF(OR(BY262=1,BY$195=1,$CX164=1),BY164,0))</f>
        <v>x</v>
      </c>
      <c r="BZ347" s="50" t="str">
        <f>IF(BZ164=-1,"x",IF(OR(BZ262=1,BZ$195=1,$CY164=1),BZ164,0))</f>
        <v>x</v>
      </c>
      <c r="CA347" s="51" t="str">
        <f>IF(CA164=-1,"x",IF(OR(CA262=1,CA$195=1,$CZ164=1),CA164,0))</f>
        <v>x</v>
      </c>
      <c r="CB347" s="52" t="str">
        <f>IF(CB164=-1,"x",IF(OR(CB262=1,CB$195=1,$CX164=1),CB164,0))</f>
        <v>x</v>
      </c>
      <c r="CC347" s="50" t="str">
        <f>IF(CC164=-1,"x",IF(OR(CC262=1,CC$195=1,$CY164=1),CC164,0))</f>
        <v>x</v>
      </c>
      <c r="CD347" s="51" t="str">
        <f>IF(CD164=-1,"x",IF(OR(CD262=1,CD$195=1,$CZ164=1),CD164,0))</f>
        <v>x</v>
      </c>
      <c r="CE347" s="52" t="str">
        <f>IF(CE164=-1,"x",IF(OR(CE262=1,CE$195=1,$CX164=1),CE164,0))</f>
        <v>x</v>
      </c>
      <c r="CF347" s="50" t="str">
        <f>IF(CF164=-1,"x",IF(OR(CF262=1,CF$195=1,$CY164=1),CF164,0))</f>
        <v>x</v>
      </c>
      <c r="CG347" s="53" t="str">
        <f>IF(CG164=-1,"x",IF(OR(CG262=1,CG$195=1,$CZ164=1),CG164,0))</f>
        <v>x</v>
      </c>
      <c r="CH347" s="49" t="str">
        <f>IF(CH164=-1,"x",IF(OR(CH262=1,CH$195=1,$CX164=1),CH164,0))</f>
        <v>x</v>
      </c>
      <c r="CI347" s="50" t="str">
        <f>IF(CI164=-1,"x",IF(OR(CI262=1,CI$195=1,$CY164=1),CI164,0))</f>
        <v>x</v>
      </c>
      <c r="CJ347" s="51" t="str">
        <f>IF(CJ164=-1,"x",IF(OR(CJ262=1,CJ$195=1,$CZ164=1),CJ164,0))</f>
        <v>x</v>
      </c>
      <c r="CK347" s="52" t="str">
        <f>IF(CK164=-1,"x",IF(OR(CK262=1,CK$195=1,$CX164=1),CK164,0))</f>
        <v>x</v>
      </c>
      <c r="CL347" s="50" t="str">
        <f>IF(CL164=-1,"x",IF(OR(CL262=1,CL$195=1,$CY164=1),CL164,0))</f>
        <v>x</v>
      </c>
      <c r="CM347" s="51" t="str">
        <f>IF(CM164=-1,"x",IF(OR(CM262=1,CM$195=1,$CZ164=1),CM164,0))</f>
        <v>x</v>
      </c>
      <c r="CN347" s="52" t="str">
        <f>IF(CN164=-1,"x",IF(OR(CN262=1,CN$195=1,$CX164=1),CN164,0))</f>
        <v>x</v>
      </c>
      <c r="CO347" s="50" t="str">
        <f>IF(CO164=-1,"x",IF(OR(CO262=1,CO$195=1,$CY164=1),CO164,0))</f>
        <v>x</v>
      </c>
      <c r="CP347" s="105" t="str">
        <f>IF(CP164=-1,"x",IF(OR(CP262=1,CP$195=1,$CZ164=1),CP164,0))</f>
        <v>x</v>
      </c>
      <c r="DJ347" s="104" t="str">
        <f>IF(DJ164=-1,"x",IF(OR(DJ262=1,DJ$228=1,$GT164=1),DJ164,0))</f>
        <v>x</v>
      </c>
      <c r="DK347" s="50" t="str">
        <f>IF(DK164=-1,"x",IF(OR(DK262=1,DK$228=1,$GU164=1),DK164,0))</f>
        <v>x</v>
      </c>
      <c r="DL347" s="51" t="str">
        <f>IF(DL164=-1,"x",IF(OR(DL262=1,DL$228=1,$GV164=1),DL164,0))</f>
        <v>x</v>
      </c>
      <c r="DM347" s="52" t="str">
        <f>IF(DM164=-1,"x",IF(OR(DM262=1,DM$228=1,$GT164=1),DM164,0))</f>
        <v>x</v>
      </c>
      <c r="DN347" s="50" t="str">
        <f>IF(DN164=-1,"x",IF(OR(DN262=1,DN$228=1,$GU164=1),DN164,0))</f>
        <v>x</v>
      </c>
      <c r="DO347" s="51" t="str">
        <f>IF(DO164=-1,"x",IF(OR(DO262=1,DO$228=1,$GV164=1),DO164,0))</f>
        <v>x</v>
      </c>
      <c r="DP347" s="52" t="str">
        <f>IF(DP164=-1,"x",IF(OR(DP262=1,DP$228=1,$GT164=1),DP164,0))</f>
        <v>x</v>
      </c>
      <c r="DQ347" s="50" t="str">
        <f>IF(DQ164=-1,"x",IF(OR(DQ262=1,DQ$228=1,$GU164=1),DQ164,0))</f>
        <v>x</v>
      </c>
      <c r="DR347" s="53" t="str">
        <f>IF(DR164=-1,"x",IF(OR(DR262=1,DR$228=1,$GV164=1),DR164,0))</f>
        <v>x</v>
      </c>
      <c r="DS347" s="49" t="str">
        <f>IF(DS164=-1,"x",IF(OR(DS262=1,DS$228=1,$GT164=1),DS164,0))</f>
        <v>x</v>
      </c>
      <c r="DT347" s="50" t="str">
        <f>IF(DT164=-1,"x",IF(OR(DT262=1,DT$228=1,$GU164=1),DT164,0))</f>
        <v>x</v>
      </c>
      <c r="DU347" s="51" t="str">
        <f>IF(DU164=-1,"x",IF(OR(DU262=1,DU$228=1,$GV164=1),DU164,0))</f>
        <v>x</v>
      </c>
      <c r="DV347" s="52" t="str">
        <f>IF(DV164=-1,"x",IF(OR(DV262=1,DV$228=1,$GT164=1),DV164,0))</f>
        <v>x</v>
      </c>
      <c r="DW347" s="50" t="str">
        <f>IF(DW164=-1,"x",IF(OR(DW262=1,DW$228=1,$GU164=1),DW164,0))</f>
        <v>x</v>
      </c>
      <c r="DX347" s="51" t="str">
        <f>IF(DX164=-1,"x",IF(OR(DX262=1,DX$228=1,$GV164=1),DX164,0))</f>
        <v>x</v>
      </c>
      <c r="DY347" s="52" t="str">
        <f>IF(DY164=-1,"x",IF(OR(DY262=1,DY$228=1,$GT164=1),DY164,0))</f>
        <v>x</v>
      </c>
      <c r="DZ347" s="50" t="str">
        <f>IF(DZ164=-1,"x",IF(OR(DZ262=1,DZ$228=1,$GU164=1),DZ164,0))</f>
        <v>x</v>
      </c>
      <c r="EA347" s="53" t="str">
        <f>IF(EA164=-1,"x",IF(OR(EA262=1,EA$228=1,$GV164=1),EA164,0))</f>
        <v>x</v>
      </c>
      <c r="EB347" s="49" t="str">
        <f>IF(EB164=-1,"x",IF(OR(EB262=1,EB$228=1,$GT164=1),EB164,0))</f>
        <v>x</v>
      </c>
      <c r="EC347" s="50" t="str">
        <f>IF(EC164=-1,"x",IF(OR(EC262=1,EC$228=1,$GU164=1),EC164,0))</f>
        <v>x</v>
      </c>
      <c r="ED347" s="51" t="str">
        <f>IF(ED164=-1,"x",IF(OR(ED262=1,ED$228=1,$GV164=1),ED164,0))</f>
        <v>x</v>
      </c>
      <c r="EE347" s="52" t="str">
        <f>IF(EE164=-1,"x",IF(OR(EE262=1,EE$228=1,$GT164=1),EE164,0))</f>
        <v>x</v>
      </c>
      <c r="EF347" s="50" t="str">
        <f>IF(EF164=-1,"x",IF(OR(EF262=1,EF$228=1,$GU164=1),EF164,0))</f>
        <v>x</v>
      </c>
      <c r="EG347" s="51" t="str">
        <f>IF(EG164=-1,"x",IF(OR(EG262=1,EG$228=1,$GV164=1),EG164,0))</f>
        <v>x</v>
      </c>
      <c r="EH347" s="52" t="str">
        <f>IF(EH164=-1,"x",IF(OR(EH262=1,EH$228=1,$GT164=1),EH164,0))</f>
        <v>x</v>
      </c>
      <c r="EI347" s="50" t="str">
        <f>IF(EI164=-1,"x",IF(OR(EI262=1,EI$228=1,$GU164=1),EI164,0))</f>
        <v>x</v>
      </c>
      <c r="EJ347" s="105" t="str">
        <f>IF(EJ164=-1,"x",IF(OR(EJ262=1,EJ$228=1,$GV164=1),EJ164,0))</f>
        <v>x</v>
      </c>
      <c r="EK347" s="104" t="str">
        <f>IF(EK164=-1,"x",IF(OR(EK262=1,EK$228=1,$GT164=1),EK164,0))</f>
        <v>x</v>
      </c>
      <c r="EL347" s="50" t="str">
        <f>IF(EL164=-1,"x",IF(OR(EL262=1,EL$228=1,$GU164=1),EL164,0))</f>
        <v>x</v>
      </c>
      <c r="EM347" s="51" t="str">
        <f>IF(EM164=-1,"x",IF(OR(EM262=1,EM$228=1,$GV164=1),EM164,0))</f>
        <v>x</v>
      </c>
      <c r="EN347" s="52" t="str">
        <f>IF(EN164=-1,"x",IF(OR(EN262=1,EN$228=1,$GT164=1),EN164,0))</f>
        <v>x</v>
      </c>
      <c r="EO347" s="50" t="str">
        <f>IF(EO164=-1,"x",IF(OR(EO262=1,EO$228=1,$GU164=1),EO164,0))</f>
        <v>x</v>
      </c>
      <c r="EP347" s="51" t="str">
        <f>IF(EP164=-1,"x",IF(OR(EP262=1,EP$228=1,$GV164=1),EP164,0))</f>
        <v>x</v>
      </c>
      <c r="EQ347" s="52" t="str">
        <f>IF(EQ164=-1,"x",IF(OR(EQ262=1,EQ$228=1,$GT164=1),EQ164,0))</f>
        <v>x</v>
      </c>
      <c r="ER347" s="50" t="str">
        <f>IF(ER164=-1,"x",IF(OR(ER262=1,ER$228=1,$GU164=1),ER164,0))</f>
        <v>x</v>
      </c>
      <c r="ES347" s="53" t="str">
        <f>IF(ES164=-1,"x",IF(OR(ES262=1,ES$228=1,$GV164=1),ES164,0))</f>
        <v>x</v>
      </c>
      <c r="ET347" s="49" t="str">
        <f>IF(ET164=-1,"x",IF(OR(ET262=1,ET$228=1,$GT164=1),ET164,0))</f>
        <v>x</v>
      </c>
      <c r="EU347" s="50" t="str">
        <f>IF(EU164=-1,"x",IF(OR(EU262=1,EU$228=1,$GU164=1),EU164,0))</f>
        <v>x</v>
      </c>
      <c r="EV347" s="51" t="str">
        <f>IF(EV164=-1,"x",IF(OR(EV262=1,EV$228=1,$GV164=1),EV164,0))</f>
        <v>x</v>
      </c>
      <c r="EW347" s="52" t="str">
        <f>IF(EW164=-1,"x",IF(OR(EW262=1,EW$228=1,$GT164=1),EW164,0))</f>
        <v>x</v>
      </c>
      <c r="EX347" s="50" t="str">
        <f>IF(EX164=-1,"x",IF(OR(EX262=1,EX$228=1,$GU164=1),EX164,0))</f>
        <v>x</v>
      </c>
      <c r="EY347" s="51" t="str">
        <f>IF(EY164=-1,"x",IF(OR(EY262=1,EY$228=1,$GV164=1),EY164,0))</f>
        <v>x</v>
      </c>
      <c r="EZ347" s="52" t="str">
        <f>IF(EZ164=-1,"x",IF(OR(EZ262=1,EZ$228=1,$GT164=1),EZ164,0))</f>
        <v>x</v>
      </c>
      <c r="FA347" s="50" t="str">
        <f>IF(FA164=-1,"x",IF(OR(FA262=1,FA$228=1,$GU164=1),FA164,0))</f>
        <v>x</v>
      </c>
      <c r="FB347" s="53" t="str">
        <f>IF(FB164=-1,"x",IF(OR(FB262=1,FB$228=1,$GV164=1),FB164,0))</f>
        <v>x</v>
      </c>
      <c r="FC347" s="49" t="str">
        <f>IF(FC164=-1,"x",IF(OR(FC262=1,FC$228=1,$GT164=1),FC164,0))</f>
        <v>x</v>
      </c>
      <c r="FD347" s="50" t="str">
        <f>IF(FD164=-1,"x",IF(OR(FD262=1,FD$228=1,$GU164=1),FD164,0))</f>
        <v>x</v>
      </c>
      <c r="FE347" s="51" t="str">
        <f>IF(FE164=-1,"x",IF(OR(FE262=1,FE$228=1,$GV164=1),FE164,0))</f>
        <v>x</v>
      </c>
      <c r="FF347" s="52" t="str">
        <f>IF(FF164=-1,"x",IF(OR(FF262=1,FF$228=1,$GT164=1),FF164,0))</f>
        <v>x</v>
      </c>
      <c r="FG347" s="50" t="str">
        <f>IF(FG164=-1,"x",IF(OR(FG262=1,FG$228=1,$GU164=1),FG164,0))</f>
        <v>x</v>
      </c>
      <c r="FH347" s="51" t="str">
        <f>IF(FH164=-1,"x",IF(OR(FH262=1,FH$228=1,$GV164=1),FH164,0))</f>
        <v>x</v>
      </c>
      <c r="FI347" s="52" t="str">
        <f>IF(FI164=-1,"x",IF(OR(FI262=1,FI$228=1,$GT164=1),FI164,0))</f>
        <v>x</v>
      </c>
      <c r="FJ347" s="50" t="str">
        <f>IF(FJ164=-1,"x",IF(OR(FJ262=1,FJ$228=1,$GU164=1),FJ164,0))</f>
        <v>x</v>
      </c>
      <c r="FK347" s="105" t="str">
        <f>IF(FK164=-1,"x",IF(OR(FK262=1,FK$228=1,$GV164=1),FK164,0))</f>
        <v>x</v>
      </c>
      <c r="FL347" s="104" t="str">
        <f>IF(FL164=-1,"x",IF(OR(FL262=1,FL$228=1,$GT164=1),FL164,0))</f>
        <v>x</v>
      </c>
      <c r="FM347" s="50" t="str">
        <f>IF(FM164=-1,"x",IF(OR(FM262=1,FM$228=1,$GU164=1),FM164,0))</f>
        <v>x</v>
      </c>
      <c r="FN347" s="51" t="str">
        <f>IF(FN164=-1,"x",IF(OR(FN262=1,FN$228=1,$GV164=1),FN164,0))</f>
        <v>x</v>
      </c>
      <c r="FO347" s="52" t="str">
        <f>IF(FO164=-1,"x",IF(OR(FO262=1,FO$228=1,$GT164=1),FO164,0))</f>
        <v>x</v>
      </c>
      <c r="FP347" s="50" t="str">
        <f>IF(FP164=-1,"x",IF(OR(FP262=1,FP$228=1,$GU164=1),FP164,0))</f>
        <v>x</v>
      </c>
      <c r="FQ347" s="51" t="str">
        <f>IF(FQ164=-1,"x",IF(OR(FQ262=1,FQ$228=1,$GV164=1),FQ164,0))</f>
        <v>x</v>
      </c>
      <c r="FR347" s="52" t="str">
        <f>IF(FR164=-1,"x",IF(OR(FR262=1,FR$228=1,$GT164=1),FR164,0))</f>
        <v>x</v>
      </c>
      <c r="FS347" s="50" t="str">
        <f>IF(FS164=-1,"x",IF(OR(FS262=1,FS$228=1,$GU164=1),FS164,0))</f>
        <v>x</v>
      </c>
      <c r="FT347" s="53" t="str">
        <f>IF(FT164=-1,"x",IF(OR(FT262=1,FT$228=1,$GV164=1),FT164,0))</f>
        <v>x</v>
      </c>
      <c r="FU347" s="49" t="str">
        <f>IF(FU164=-1,"x",IF(OR(FU262=1,FU$228=1,$GT164=1),FU164,0))</f>
        <v>x</v>
      </c>
      <c r="FV347" s="50" t="str">
        <f>IF(FV164=-1,"x",IF(OR(FV262=1,FV$228=1,$GU164=1),FV164,0))</f>
        <v>x</v>
      </c>
      <c r="FW347" s="51" t="str">
        <f>IF(FW164=-1,"x",IF(OR(FW262=1,FW$228=1,$GV164=1),FW164,0))</f>
        <v>x</v>
      </c>
      <c r="FX347" s="52" t="str">
        <f>IF(FX164=-1,"x",IF(OR(FX262=1,FX$228=1,$GT164=1),FX164,0))</f>
        <v>x</v>
      </c>
      <c r="FY347" s="50" t="str">
        <f>IF(FY164=-1,"x",IF(OR(FY262=1,FY$228=1,$GU164=1),FY164,0))</f>
        <v>x</v>
      </c>
      <c r="FZ347" s="51" t="str">
        <f>IF(FZ164=-1,"x",IF(OR(FZ262=1,FZ$228=1,$GV164=1),FZ164,0))</f>
        <v>x</v>
      </c>
      <c r="GA347" s="52" t="str">
        <f>IF(GA164=-1,"x",IF(OR(GA262=1,GA$228=1,$GT164=1),GA164,0))</f>
        <v>x</v>
      </c>
      <c r="GB347" s="50" t="str">
        <f>IF(GB164=-1,"x",IF(OR(GB262=1,GB$228=1,$GU164=1),GB164,0))</f>
        <v>x</v>
      </c>
      <c r="GC347" s="53" t="str">
        <f>IF(GC164=-1,"x",IF(OR(GC262=1,GC$228=1,$GV164=1),GC164,0))</f>
        <v>x</v>
      </c>
      <c r="GD347" s="49" t="str">
        <f>IF(GD164=-1,"x",IF(OR(GD262=1,GD$228=1,$GT164=1),GD164,0))</f>
        <v>x</v>
      </c>
      <c r="GE347" s="50" t="str">
        <f>IF(GE164=-1,"x",IF(OR(GE262=1,GE$228=1,$GU164=1),GE164,0))</f>
        <v>x</v>
      </c>
      <c r="GF347" s="51" t="str">
        <f>IF(GF164=-1,"x",IF(OR(GF262=1,GF$228=1,$GV164=1),GF164,0))</f>
        <v>x</v>
      </c>
      <c r="GG347" s="52" t="str">
        <f>IF(GG164=-1,"x",IF(OR(GG262=1,GG$228=1,$GT164=1),GG164,0))</f>
        <v>x</v>
      </c>
      <c r="GH347" s="50" t="str">
        <f>IF(GH164=-1,"x",IF(OR(GH262=1,GH$228=1,$GU164=1),GH164,0))</f>
        <v>x</v>
      </c>
      <c r="GI347" s="51" t="str">
        <f>IF(GI164=-1,"x",IF(OR(GI262=1,GI$228=1,$GV164=1),GI164,0))</f>
        <v>x</v>
      </c>
      <c r="GJ347" s="52" t="str">
        <f>IF(GJ164=-1,"x",IF(OR(GJ262=1,GJ$228=1,$GT164=1),GJ164,0))</f>
        <v>x</v>
      </c>
      <c r="GK347" s="50" t="str">
        <f>IF(GK164=-1,"x",IF(OR(GK262=1,GK$228=1,$GU164=1),GK164,0))</f>
        <v>x</v>
      </c>
      <c r="GL347" s="105" t="str">
        <f>IF(GL164=-1,"x",IF(OR(GL262=1,GL$228=1,$GV164=1),GL164,0))</f>
        <v>x</v>
      </c>
    </row>
    <row r="348" spans="14:194" ht="15" customHeight="1">
      <c r="N348" s="94" t="str">
        <f>IF(N165=-1,"x",IF(OR(N263=1,N$196=1,$CX165=1),N165,0))</f>
        <v>x</v>
      </c>
      <c r="O348" s="39" t="str">
        <f>IF(O165=-1,"x",IF(OR(O263=1,O$196=1,$CY165=1),O165,0))</f>
        <v>x</v>
      </c>
      <c r="P348" s="41" t="str">
        <f>IF(P165=-1,"x",IF(OR(P263=1,P$196=1,$CZ165=1),P165,0))</f>
        <v>x</v>
      </c>
      <c r="Q348" s="40" t="str">
        <f>IF(Q165=-1,"x",IF(OR(Q263=1,Q$196=1,$CX165=1),Q165,0))</f>
        <v>x</v>
      </c>
      <c r="R348" s="39" t="str">
        <f>IF(R165=-1,"x",IF(OR(R263=1,R$196=1,$CY165=1),R165,0))</f>
        <v>x</v>
      </c>
      <c r="S348" s="41" t="str">
        <f>IF(S165=-1,"x",IF(OR(S263=1,S$196=1,$CZ165=1),S165,0))</f>
        <v>x</v>
      </c>
      <c r="T348" s="40" t="str">
        <f>IF(T165=-1,"x",IF(OR(T263=1,T$196=1,$CX165=1),T165,0))</f>
        <v>x</v>
      </c>
      <c r="U348" s="39" t="str">
        <f>IF(U165=-1,"x",IF(OR(U263=1,U$196=1,$CY165=1),U165,0))</f>
        <v>x</v>
      </c>
      <c r="V348" s="42" t="str">
        <f>IF(V165=-1,"x",IF(OR(V263=1,V$196=1,$CZ165=1),V165,0))</f>
        <v>x</v>
      </c>
      <c r="W348" s="43" t="str">
        <f>IF(W165=-1,"x",IF(OR(W263=1,W$196=1,$CX165=1),W165,0))</f>
        <v>x</v>
      </c>
      <c r="X348" s="39" t="str">
        <f>IF(X165=-1,"x",IF(OR(X263=1,X$196=1,$CY165=1),X165,0))</f>
        <v>x</v>
      </c>
      <c r="Y348" s="41" t="str">
        <f>IF(Y165=-1,"x",IF(OR(Y263=1,Y$196=1,$CZ165=1),Y165,0))</f>
        <v>x</v>
      </c>
      <c r="Z348" s="40" t="str">
        <f>IF(Z165=-1,"x",IF(OR(Z263=1,Z$196=1,$CX165=1),Z165,0))</f>
        <v>x</v>
      </c>
      <c r="AA348" s="39" t="str">
        <f>IF(AA165=-1,"x",IF(OR(AA263=1,AA$196=1,$CY165=1),AA165,0))</f>
        <v>x</v>
      </c>
      <c r="AB348" s="41" t="str">
        <f>IF(AB165=-1,"x",IF(OR(AB263=1,AB$196=1,$CZ165=1),AB165,0))</f>
        <v>x</v>
      </c>
      <c r="AC348" s="40" t="str">
        <f>IF(AC165=-1,"x",IF(OR(AC263=1,AC$196=1,$CX165=1),AC165,0))</f>
        <v>x</v>
      </c>
      <c r="AD348" s="39" t="str">
        <f>IF(AD165=-1,"x",IF(OR(AD263=1,AD$196=1,$CY165=1),AD165,0))</f>
        <v>x</v>
      </c>
      <c r="AE348" s="42" t="str">
        <f>IF(AE165=-1,"x",IF(OR(AE263=1,AE$196=1,$CZ165=1),AE165,0))</f>
        <v>x</v>
      </c>
      <c r="AF348" s="43" t="str">
        <f>IF(AF165=-1,"x",IF(OR(AF263=1,AF$196=1,$CX165=1),AF165,0))</f>
        <v>x</v>
      </c>
      <c r="AG348" s="39" t="str">
        <f>IF(AG165=-1,"x",IF(OR(AG263=1,AG$196=1,$CY165=1),AG165,0))</f>
        <v>x</v>
      </c>
      <c r="AH348" s="41" t="str">
        <f>IF(AH165=-1,"x",IF(OR(AH263=1,AH$196=1,$CZ165=1),AH165,0))</f>
        <v>x</v>
      </c>
      <c r="AI348" s="40" t="str">
        <f>IF(AI165=-1,"x",IF(OR(AI263=1,AI$196=1,$CX165=1),AI165,0))</f>
        <v>x</v>
      </c>
      <c r="AJ348" s="39" t="str">
        <f>IF(AJ165=-1,"x",IF(OR(AJ263=1,AJ$196=1,$CY165=1),AJ165,0))</f>
        <v>x</v>
      </c>
      <c r="AK348" s="41" t="str">
        <f>IF(AK165=-1,"x",IF(OR(AK263=1,AK$196=1,$CZ165=1),AK165,0))</f>
        <v>x</v>
      </c>
      <c r="AL348" s="40" t="str">
        <f>IF(AL165=-1,"x",IF(OR(AL263=1,AL$196=1,$CX165=1),AL165,0))</f>
        <v>x</v>
      </c>
      <c r="AM348" s="39" t="str">
        <f>IF(AM165=-1,"x",IF(OR(AM263=1,AM$196=1,$CY165=1),AM165,0))</f>
        <v>x</v>
      </c>
      <c r="AN348" s="95" t="str">
        <f>IF(AN165=-1,"x",IF(OR(AN263=1,AN$196=1,$CZ165=1),AN165,0))</f>
        <v>x</v>
      </c>
      <c r="AO348" s="94" t="str">
        <f>IF(AO165=-1,"x",IF(OR(AO263=1,AO$196=1,$CX165=1),AO165,0))</f>
        <v>x</v>
      </c>
      <c r="AP348" s="39" t="str">
        <f>IF(AP165=-1,"x",IF(OR(AP263=1,AP$196=1,$CY165=1),AP165,0))</f>
        <v>x</v>
      </c>
      <c r="AQ348" s="41" t="str">
        <f>IF(AQ165=-1,"x",IF(OR(AQ263=1,AQ$196=1,$CZ165=1),AQ165,0))</f>
        <v>x</v>
      </c>
      <c r="AR348" s="40" t="str">
        <f>IF(AR165=-1,"x",IF(OR(AR263=1,AR$196=1,$CX165=1),AR165,0))</f>
        <v>x</v>
      </c>
      <c r="AS348" s="39" t="str">
        <f>IF(AS165=-1,"x",IF(OR(AS263=1,AS$196=1,$CY165=1),AS165,0))</f>
        <v>x</v>
      </c>
      <c r="AT348" s="41" t="str">
        <f>IF(AT165=-1,"x",IF(OR(AT263=1,AT$196=1,$CZ165=1),AT165,0))</f>
        <v>x</v>
      </c>
      <c r="AU348" s="40" t="str">
        <f>IF(AU165=-1,"x",IF(OR(AU263=1,AU$196=1,$CX165=1),AU165,0))</f>
        <v>x</v>
      </c>
      <c r="AV348" s="39" t="str">
        <f>IF(AV165=-1,"x",IF(OR(AV263=1,AV$196=1,$CY165=1),AV165,0))</f>
        <v>x</v>
      </c>
      <c r="AW348" s="42" t="str">
        <f>IF(AW165=-1,"x",IF(OR(AW263=1,AW$196=1,$CZ165=1),AW165,0))</f>
        <v>x</v>
      </c>
      <c r="AX348" s="43" t="str">
        <f>IF(AX165=-1,"x",IF(OR(AX263=1,AX$196=1,$CX165=1),AX165,0))</f>
        <v>x</v>
      </c>
      <c r="AY348" s="39" t="str">
        <f>IF(AY165=-1,"x",IF(OR(AY263=1,AY$196=1,$CY165=1),AY165,0))</f>
        <v>x</v>
      </c>
      <c r="AZ348" s="41" t="str">
        <f>IF(AZ165=-1,"x",IF(OR(AZ263=1,AZ$196=1,$CZ165=1),AZ165,0))</f>
        <v>x</v>
      </c>
      <c r="BA348" s="40" t="str">
        <f>IF(BA165=-1,"x",IF(OR(BA263=1,BA$196=1,$CX165=1),BA165,0))</f>
        <v>x</v>
      </c>
      <c r="BB348" s="39" t="str">
        <f>IF(BB165=-1,"x",IF(OR(BB263=1,BB$196=1,$CY165=1),BB165,0))</f>
        <v>x</v>
      </c>
      <c r="BC348" s="41" t="str">
        <f>IF(BC165=-1,"x",IF(OR(BC263=1,BC$196=1,$CZ165=1),BC165,0))</f>
        <v>x</v>
      </c>
      <c r="BD348" s="40" t="str">
        <f>IF(BD165=-1,"x",IF(OR(BD263=1,BD$196=1,$CX165=1),BD165,0))</f>
        <v>x</v>
      </c>
      <c r="BE348" s="39" t="str">
        <f>IF(BE165=-1,"x",IF(OR(BE263=1,BE$196=1,$CY165=1),BE165,0))</f>
        <v>x</v>
      </c>
      <c r="BF348" s="42" t="str">
        <f>IF(BF165=-1,"x",IF(OR(BF263=1,BF$196=1,$CZ165=1),BF165,0))</f>
        <v>x</v>
      </c>
      <c r="BG348" s="43" t="str">
        <f>IF(BG165=-1,"x",IF(OR(BG263=1,BG$196=1,$CX165=1),BG165,0))</f>
        <v>x</v>
      </c>
      <c r="BH348" s="39" t="str">
        <f>IF(BH165=-1,"x",IF(OR(BH263=1,BH$196=1,$CY165=1),BH165,0))</f>
        <v>x</v>
      </c>
      <c r="BI348" s="41" t="str">
        <f>IF(BI165=-1,"x",IF(OR(BI263=1,BI$196=1,$CZ165=1),BI165,0))</f>
        <v>x</v>
      </c>
      <c r="BJ348" s="40" t="str">
        <f>IF(BJ165=-1,"x",IF(OR(BJ263=1,BJ$196=1,$CX165=1),BJ165,0))</f>
        <v>x</v>
      </c>
      <c r="BK348" s="39" t="str">
        <f>IF(BK165=-1,"x",IF(OR(BK263=1,BK$196=1,$CY165=1),BK165,0))</f>
        <v>x</v>
      </c>
      <c r="BL348" s="41" t="str">
        <f>IF(BL165=-1,"x",IF(OR(BL263=1,BL$196=1,$CZ165=1),BL165,0))</f>
        <v>x</v>
      </c>
      <c r="BM348" s="40" t="str">
        <f>IF(BM165=-1,"x",IF(OR(BM263=1,BM$196=1,$CX165=1),BM165,0))</f>
        <v>x</v>
      </c>
      <c r="BN348" s="39" t="str">
        <f>IF(BN165=-1,"x",IF(OR(BN263=1,BN$196=1,$CY165=1),BN165,0))</f>
        <v>x</v>
      </c>
      <c r="BO348" s="95" t="str">
        <f>IF(BO165=-1,"x",IF(OR(BO263=1,BO$196=1,$CZ165=1),BO165,0))</f>
        <v>x</v>
      </c>
      <c r="BP348" s="94" t="str">
        <f>IF(BP165=-1,"x",IF(OR(BP263=1,BP$196=1,$CX165=1),BP165,0))</f>
        <v>x</v>
      </c>
      <c r="BQ348" s="39" t="str">
        <f>IF(BQ165=-1,"x",IF(OR(BQ263=1,BQ$196=1,$CY165=1),BQ165,0))</f>
        <v>x</v>
      </c>
      <c r="BR348" s="41" t="str">
        <f>IF(BR165=-1,"x",IF(OR(BR263=1,BR$196=1,$CZ165=1),BR165,0))</f>
        <v>x</v>
      </c>
      <c r="BS348" s="40" t="str">
        <f>IF(BS165=-1,"x",IF(OR(BS263=1,BS$196=1,$CX165=1),BS165,0))</f>
        <v>x</v>
      </c>
      <c r="BT348" s="39" t="str">
        <f>IF(BT165=-1,"x",IF(OR(BT263=1,BT$196=1,$CY165=1),BT165,0))</f>
        <v>x</v>
      </c>
      <c r="BU348" s="41" t="str">
        <f>IF(BU165=-1,"x",IF(OR(BU263=1,BU$196=1,$CZ165=1),BU165,0))</f>
        <v>x</v>
      </c>
      <c r="BV348" s="40" t="str">
        <f>IF(BV165=-1,"x",IF(OR(BV263=1,BV$196=1,$CX165=1),BV165,0))</f>
        <v>x</v>
      </c>
      <c r="BW348" s="39" t="str">
        <f>IF(BW165=-1,"x",IF(OR(BW263=1,BW$196=1,$CY165=1),BW165,0))</f>
        <v>x</v>
      </c>
      <c r="BX348" s="42" t="str">
        <f>IF(BX165=-1,"x",IF(OR(BX263=1,BX$196=1,$CZ165=1),BX165,0))</f>
        <v>x</v>
      </c>
      <c r="BY348" s="43" t="str">
        <f>IF(BY165=-1,"x",IF(OR(BY263=1,BY$196=1,$CX165=1),BY165,0))</f>
        <v>x</v>
      </c>
      <c r="BZ348" s="39" t="str">
        <f>IF(BZ165=-1,"x",IF(OR(BZ263=1,BZ$196=1,$CY165=1),BZ165,0))</f>
        <v>x</v>
      </c>
      <c r="CA348" s="41" t="str">
        <f>IF(CA165=-1,"x",IF(OR(CA263=1,CA$196=1,$CZ165=1),CA165,0))</f>
        <v>x</v>
      </c>
      <c r="CB348" s="40" t="str">
        <f>IF(CB165=-1,"x",IF(OR(CB263=1,CB$196=1,$CX165=1),CB165,0))</f>
        <v>x</v>
      </c>
      <c r="CC348" s="39" t="str">
        <f>IF(CC165=-1,"x",IF(OR(CC263=1,CC$196=1,$CY165=1),CC165,0))</f>
        <v>x</v>
      </c>
      <c r="CD348" s="41" t="str">
        <f>IF(CD165=-1,"x",IF(OR(CD263=1,CD$196=1,$CZ165=1),CD165,0))</f>
        <v>x</v>
      </c>
      <c r="CE348" s="40" t="str">
        <f>IF(CE165=-1,"x",IF(OR(CE263=1,CE$196=1,$CX165=1),CE165,0))</f>
        <v>x</v>
      </c>
      <c r="CF348" s="39" t="str">
        <f>IF(CF165=-1,"x",IF(OR(CF263=1,CF$196=1,$CY165=1),CF165,0))</f>
        <v>x</v>
      </c>
      <c r="CG348" s="42" t="str">
        <f>IF(CG165=-1,"x",IF(OR(CG263=1,CG$196=1,$CZ165=1),CG165,0))</f>
        <v>x</v>
      </c>
      <c r="CH348" s="43" t="str">
        <f>IF(CH165=-1,"x",IF(OR(CH263=1,CH$196=1,$CX165=1),CH165,0))</f>
        <v>x</v>
      </c>
      <c r="CI348" s="39" t="str">
        <f>IF(CI165=-1,"x",IF(OR(CI263=1,CI$196=1,$CY165=1),CI165,0))</f>
        <v>x</v>
      </c>
      <c r="CJ348" s="41" t="str">
        <f>IF(CJ165=-1,"x",IF(OR(CJ263=1,CJ$196=1,$CZ165=1),CJ165,0))</f>
        <v>x</v>
      </c>
      <c r="CK348" s="40" t="str">
        <f>IF(CK165=-1,"x",IF(OR(CK263=1,CK$196=1,$CX165=1),CK165,0))</f>
        <v>x</v>
      </c>
      <c r="CL348" s="39" t="str">
        <f>IF(CL165=-1,"x",IF(OR(CL263=1,CL$196=1,$CY165=1),CL165,0))</f>
        <v>x</v>
      </c>
      <c r="CM348" s="41" t="str">
        <f>IF(CM165=-1,"x",IF(OR(CM263=1,CM$196=1,$CZ165=1),CM165,0))</f>
        <v>x</v>
      </c>
      <c r="CN348" s="40" t="str">
        <f>IF(CN165=-1,"x",IF(OR(CN263=1,CN$196=1,$CX165=1),CN165,0))</f>
        <v>x</v>
      </c>
      <c r="CO348" s="39" t="str">
        <f>IF(CO165=-1,"x",IF(OR(CO263=1,CO$196=1,$CY165=1),CO165,0))</f>
        <v>x</v>
      </c>
      <c r="CP348" s="95" t="str">
        <f>IF(CP165=-1,"x",IF(OR(CP263=1,CP$196=1,$CZ165=1),CP165,0))</f>
        <v>x</v>
      </c>
      <c r="DJ348" s="94" t="str">
        <f>IF(DJ165=-1,"x",IF(OR(DJ263=1,DJ$229=1,$GT165=1),DJ165,0))</f>
        <v>x</v>
      </c>
      <c r="DK348" s="39" t="str">
        <f>IF(DK165=-1,"x",IF(OR(DK263=1,DK$229=1,$GU165=1),DK165,0))</f>
        <v>x</v>
      </c>
      <c r="DL348" s="41" t="str">
        <f>IF(DL165=-1,"x",IF(OR(DL263=1,DL$229=1,$GV165=1),DL165,0))</f>
        <v>x</v>
      </c>
      <c r="DM348" s="40" t="str">
        <f>IF(DM165=-1,"x",IF(OR(DM263=1,DM$229=1,$GT165=1),DM165,0))</f>
        <v>x</v>
      </c>
      <c r="DN348" s="39" t="str">
        <f>IF(DN165=-1,"x",IF(OR(DN263=1,DN$229=1,$GU165=1),DN165,0))</f>
        <v>x</v>
      </c>
      <c r="DO348" s="41" t="str">
        <f>IF(DO165=-1,"x",IF(OR(DO263=1,DO$229=1,$GV165=1),DO165,0))</f>
        <v>x</v>
      </c>
      <c r="DP348" s="40" t="str">
        <f>IF(DP165=-1,"x",IF(OR(DP263=1,DP$229=1,$GT165=1),DP165,0))</f>
        <v>x</v>
      </c>
      <c r="DQ348" s="39" t="str">
        <f>IF(DQ165=-1,"x",IF(OR(DQ263=1,DQ$229=1,$GU165=1),DQ165,0))</f>
        <v>x</v>
      </c>
      <c r="DR348" s="42" t="str">
        <f>IF(DR165=-1,"x",IF(OR(DR263=1,DR$229=1,$GV165=1),DR165,0))</f>
        <v>x</v>
      </c>
      <c r="DS348" s="43" t="str">
        <f>IF(DS165=-1,"x",IF(OR(DS263=1,DS$229=1,$GT165=1),DS165,0))</f>
        <v>x</v>
      </c>
      <c r="DT348" s="39" t="str">
        <f>IF(DT165=-1,"x",IF(OR(DT263=1,DT$229=1,$GU165=1),DT165,0))</f>
        <v>x</v>
      </c>
      <c r="DU348" s="41" t="str">
        <f>IF(DU165=-1,"x",IF(OR(DU263=1,DU$229=1,$GV165=1),DU165,0))</f>
        <v>x</v>
      </c>
      <c r="DV348" s="40" t="str">
        <f>IF(DV165=-1,"x",IF(OR(DV263=1,DV$229=1,$GT165=1),DV165,0))</f>
        <v>x</v>
      </c>
      <c r="DW348" s="39" t="str">
        <f>IF(DW165=-1,"x",IF(OR(DW263=1,DW$229=1,$GU165=1),DW165,0))</f>
        <v>x</v>
      </c>
      <c r="DX348" s="41" t="str">
        <f>IF(DX165=-1,"x",IF(OR(DX263=1,DX$229=1,$GV165=1),DX165,0))</f>
        <v>x</v>
      </c>
      <c r="DY348" s="40" t="str">
        <f>IF(DY165=-1,"x",IF(OR(DY263=1,DY$229=1,$GT165=1),DY165,0))</f>
        <v>x</v>
      </c>
      <c r="DZ348" s="39" t="str">
        <f>IF(DZ165=-1,"x",IF(OR(DZ263=1,DZ$229=1,$GU165=1),DZ165,0))</f>
        <v>x</v>
      </c>
      <c r="EA348" s="42" t="str">
        <f>IF(EA165=-1,"x",IF(OR(EA263=1,EA$229=1,$GV165=1),EA165,0))</f>
        <v>x</v>
      </c>
      <c r="EB348" s="43" t="str">
        <f>IF(EB165=-1,"x",IF(OR(EB263=1,EB$229=1,$GT165=1),EB165,0))</f>
        <v>x</v>
      </c>
      <c r="EC348" s="39" t="str">
        <f>IF(EC165=-1,"x",IF(OR(EC263=1,EC$229=1,$GU165=1),EC165,0))</f>
        <v>x</v>
      </c>
      <c r="ED348" s="41" t="str">
        <f>IF(ED165=-1,"x",IF(OR(ED263=1,ED$229=1,$GV165=1),ED165,0))</f>
        <v>x</v>
      </c>
      <c r="EE348" s="40" t="str">
        <f>IF(EE165=-1,"x",IF(OR(EE263=1,EE$229=1,$GT165=1),EE165,0))</f>
        <v>x</v>
      </c>
      <c r="EF348" s="39" t="str">
        <f>IF(EF165=-1,"x",IF(OR(EF263=1,EF$229=1,$GU165=1),EF165,0))</f>
        <v>x</v>
      </c>
      <c r="EG348" s="41" t="str">
        <f>IF(EG165=-1,"x",IF(OR(EG263=1,EG$229=1,$GV165=1),EG165,0))</f>
        <v>x</v>
      </c>
      <c r="EH348" s="40" t="str">
        <f>IF(EH165=-1,"x",IF(OR(EH263=1,EH$229=1,$GT165=1),EH165,0))</f>
        <v>x</v>
      </c>
      <c r="EI348" s="39" t="str">
        <f>IF(EI165=-1,"x",IF(OR(EI263=1,EI$229=1,$GU165=1),EI165,0))</f>
        <v>x</v>
      </c>
      <c r="EJ348" s="95" t="str">
        <f>IF(EJ165=-1,"x",IF(OR(EJ263=1,EJ$229=1,$GV165=1),EJ165,0))</f>
        <v>x</v>
      </c>
      <c r="EK348" s="94" t="str">
        <f>IF(EK165=-1,"x",IF(OR(EK263=1,EK$229=1,$GT165=1),EK165,0))</f>
        <v>x</v>
      </c>
      <c r="EL348" s="39" t="str">
        <f>IF(EL165=-1,"x",IF(OR(EL263=1,EL$229=1,$GU165=1),EL165,0))</f>
        <v>x</v>
      </c>
      <c r="EM348" s="41" t="str">
        <f>IF(EM165=-1,"x",IF(OR(EM263=1,EM$229=1,$GV165=1),EM165,0))</f>
        <v>x</v>
      </c>
      <c r="EN348" s="40" t="str">
        <f>IF(EN165=-1,"x",IF(OR(EN263=1,EN$229=1,$GT165=1),EN165,0))</f>
        <v>x</v>
      </c>
      <c r="EO348" s="39" t="str">
        <f>IF(EO165=-1,"x",IF(OR(EO263=1,EO$229=1,$GU165=1),EO165,0))</f>
        <v>x</v>
      </c>
      <c r="EP348" s="41" t="str">
        <f>IF(EP165=-1,"x",IF(OR(EP263=1,EP$229=1,$GV165=1),EP165,0))</f>
        <v>x</v>
      </c>
      <c r="EQ348" s="40" t="str">
        <f>IF(EQ165=-1,"x",IF(OR(EQ263=1,EQ$229=1,$GT165=1),EQ165,0))</f>
        <v>x</v>
      </c>
      <c r="ER348" s="39" t="str">
        <f>IF(ER165=-1,"x",IF(OR(ER263=1,ER$229=1,$GU165=1),ER165,0))</f>
        <v>x</v>
      </c>
      <c r="ES348" s="42" t="str">
        <f>IF(ES165=-1,"x",IF(OR(ES263=1,ES$229=1,$GV165=1),ES165,0))</f>
        <v>x</v>
      </c>
      <c r="ET348" s="43" t="str">
        <f>IF(ET165=-1,"x",IF(OR(ET263=1,ET$229=1,$GT165=1),ET165,0))</f>
        <v>x</v>
      </c>
      <c r="EU348" s="39" t="str">
        <f>IF(EU165=-1,"x",IF(OR(EU263=1,EU$229=1,$GU165=1),EU165,0))</f>
        <v>x</v>
      </c>
      <c r="EV348" s="41" t="str">
        <f>IF(EV165=-1,"x",IF(OR(EV263=1,EV$229=1,$GV165=1),EV165,0))</f>
        <v>x</v>
      </c>
      <c r="EW348" s="40" t="str">
        <f>IF(EW165=-1,"x",IF(OR(EW263=1,EW$229=1,$GT165=1),EW165,0))</f>
        <v>x</v>
      </c>
      <c r="EX348" s="39" t="str">
        <f>IF(EX165=-1,"x",IF(OR(EX263=1,EX$229=1,$GU165=1),EX165,0))</f>
        <v>x</v>
      </c>
      <c r="EY348" s="41" t="str">
        <f>IF(EY165=-1,"x",IF(OR(EY263=1,EY$229=1,$GV165=1),EY165,0))</f>
        <v>x</v>
      </c>
      <c r="EZ348" s="40" t="str">
        <f>IF(EZ165=-1,"x",IF(OR(EZ263=1,EZ$229=1,$GT165=1),EZ165,0))</f>
        <v>x</v>
      </c>
      <c r="FA348" s="39" t="str">
        <f>IF(FA165=-1,"x",IF(OR(FA263=1,FA$229=1,$GU165=1),FA165,0))</f>
        <v>x</v>
      </c>
      <c r="FB348" s="42" t="str">
        <f>IF(FB165=-1,"x",IF(OR(FB263=1,FB$229=1,$GV165=1),FB165,0))</f>
        <v>x</v>
      </c>
      <c r="FC348" s="43" t="str">
        <f>IF(FC165=-1,"x",IF(OR(FC263=1,FC$229=1,$GT165=1),FC165,0))</f>
        <v>x</v>
      </c>
      <c r="FD348" s="39" t="str">
        <f>IF(FD165=-1,"x",IF(OR(FD263=1,FD$229=1,$GU165=1),FD165,0))</f>
        <v>x</v>
      </c>
      <c r="FE348" s="41" t="str">
        <f>IF(FE165=-1,"x",IF(OR(FE263=1,FE$229=1,$GV165=1),FE165,0))</f>
        <v>x</v>
      </c>
      <c r="FF348" s="40" t="str">
        <f>IF(FF165=-1,"x",IF(OR(FF263=1,FF$229=1,$GT165=1),FF165,0))</f>
        <v>x</v>
      </c>
      <c r="FG348" s="39" t="str">
        <f>IF(FG165=-1,"x",IF(OR(FG263=1,FG$229=1,$GU165=1),FG165,0))</f>
        <v>x</v>
      </c>
      <c r="FH348" s="41" t="str">
        <f>IF(FH165=-1,"x",IF(OR(FH263=1,FH$229=1,$GV165=1),FH165,0))</f>
        <v>x</v>
      </c>
      <c r="FI348" s="40" t="str">
        <f>IF(FI165=-1,"x",IF(OR(FI263=1,FI$229=1,$GT165=1),FI165,0))</f>
        <v>x</v>
      </c>
      <c r="FJ348" s="39" t="str">
        <f>IF(FJ165=-1,"x",IF(OR(FJ263=1,FJ$229=1,$GU165=1),FJ165,0))</f>
        <v>x</v>
      </c>
      <c r="FK348" s="95" t="str">
        <f>IF(FK165=-1,"x",IF(OR(FK263=1,FK$229=1,$GV165=1),FK165,0))</f>
        <v>x</v>
      </c>
      <c r="FL348" s="94" t="str">
        <f>IF(FL165=-1,"x",IF(OR(FL263=1,FL$229=1,$GT165=1),FL165,0))</f>
        <v>x</v>
      </c>
      <c r="FM348" s="39" t="str">
        <f>IF(FM165=-1,"x",IF(OR(FM263=1,FM$229=1,$GU165=1),FM165,0))</f>
        <v>x</v>
      </c>
      <c r="FN348" s="41" t="str">
        <f>IF(FN165=-1,"x",IF(OR(FN263=1,FN$229=1,$GV165=1),FN165,0))</f>
        <v>x</v>
      </c>
      <c r="FO348" s="40" t="str">
        <f>IF(FO165=-1,"x",IF(OR(FO263=1,FO$229=1,$GT165=1),FO165,0))</f>
        <v>x</v>
      </c>
      <c r="FP348" s="39" t="str">
        <f>IF(FP165=-1,"x",IF(OR(FP263=1,FP$229=1,$GU165=1),FP165,0))</f>
        <v>x</v>
      </c>
      <c r="FQ348" s="41" t="str">
        <f>IF(FQ165=-1,"x",IF(OR(FQ263=1,FQ$229=1,$GV165=1),FQ165,0))</f>
        <v>x</v>
      </c>
      <c r="FR348" s="40" t="str">
        <f>IF(FR165=-1,"x",IF(OR(FR263=1,FR$229=1,$GT165=1),FR165,0))</f>
        <v>x</v>
      </c>
      <c r="FS348" s="39" t="str">
        <f>IF(FS165=-1,"x",IF(OR(FS263=1,FS$229=1,$GU165=1),FS165,0))</f>
        <v>x</v>
      </c>
      <c r="FT348" s="42" t="str">
        <f>IF(FT165=-1,"x",IF(OR(FT263=1,FT$229=1,$GV165=1),FT165,0))</f>
        <v>x</v>
      </c>
      <c r="FU348" s="43" t="str">
        <f>IF(FU165=-1,"x",IF(OR(FU263=1,FU$229=1,$GT165=1),FU165,0))</f>
        <v>x</v>
      </c>
      <c r="FV348" s="39" t="str">
        <f>IF(FV165=-1,"x",IF(OR(FV263=1,FV$229=1,$GU165=1),FV165,0))</f>
        <v>x</v>
      </c>
      <c r="FW348" s="41" t="str">
        <f>IF(FW165=-1,"x",IF(OR(FW263=1,FW$229=1,$GV165=1),FW165,0))</f>
        <v>x</v>
      </c>
      <c r="FX348" s="40" t="str">
        <f>IF(FX165=-1,"x",IF(OR(FX263=1,FX$229=1,$GT165=1),FX165,0))</f>
        <v>x</v>
      </c>
      <c r="FY348" s="39" t="str">
        <f>IF(FY165=-1,"x",IF(OR(FY263=1,FY$229=1,$GU165=1),FY165,0))</f>
        <v>x</v>
      </c>
      <c r="FZ348" s="41" t="str">
        <f>IF(FZ165=-1,"x",IF(OR(FZ263=1,FZ$229=1,$GV165=1),FZ165,0))</f>
        <v>x</v>
      </c>
      <c r="GA348" s="40" t="str">
        <f>IF(GA165=-1,"x",IF(OR(GA263=1,GA$229=1,$GT165=1),GA165,0))</f>
        <v>x</v>
      </c>
      <c r="GB348" s="39" t="str">
        <f>IF(GB165=-1,"x",IF(OR(GB263=1,GB$229=1,$GU165=1),GB165,0))</f>
        <v>x</v>
      </c>
      <c r="GC348" s="42" t="str">
        <f>IF(GC165=-1,"x",IF(OR(GC263=1,GC$229=1,$GV165=1),GC165,0))</f>
        <v>x</v>
      </c>
      <c r="GD348" s="43" t="str">
        <f>IF(GD165=-1,"x",IF(OR(GD263=1,GD$229=1,$GT165=1),GD165,0))</f>
        <v>x</v>
      </c>
      <c r="GE348" s="39" t="str">
        <f>IF(GE165=-1,"x",IF(OR(GE263=1,GE$229=1,$GU165=1),GE165,0))</f>
        <v>x</v>
      </c>
      <c r="GF348" s="41" t="str">
        <f>IF(GF165=-1,"x",IF(OR(GF263=1,GF$229=1,$GV165=1),GF165,0))</f>
        <v>x</v>
      </c>
      <c r="GG348" s="40" t="str">
        <f>IF(GG165=-1,"x",IF(OR(GG263=1,GG$229=1,$GT165=1),GG165,0))</f>
        <v>x</v>
      </c>
      <c r="GH348" s="39" t="str">
        <f>IF(GH165=-1,"x",IF(OR(GH263=1,GH$229=1,$GU165=1),GH165,0))</f>
        <v>x</v>
      </c>
      <c r="GI348" s="41" t="str">
        <f>IF(GI165=-1,"x",IF(OR(GI263=1,GI$229=1,$GV165=1),GI165,0))</f>
        <v>x</v>
      </c>
      <c r="GJ348" s="40" t="str">
        <f>IF(GJ165=-1,"x",IF(OR(GJ263=1,GJ$229=1,$GT165=1),GJ165,0))</f>
        <v>x</v>
      </c>
      <c r="GK348" s="39" t="str">
        <f>IF(GK165=-1,"x",IF(OR(GK263=1,GK$229=1,$GU165=1),GK165,0))</f>
        <v>x</v>
      </c>
      <c r="GL348" s="95" t="str">
        <f>IF(GL165=-1,"x",IF(OR(GL263=1,GL$229=1,$GV165=1),GL165,0))</f>
        <v>x</v>
      </c>
    </row>
    <row r="349" spans="14:194" ht="15" customHeight="1" thickBot="1">
      <c r="N349" s="99" t="str">
        <f>IF(N166=-1,"x",IF(OR(N264=1,N$197=1,$CX166=1),N166,0))</f>
        <v>x</v>
      </c>
      <c r="O349" s="45" t="str">
        <f>IF(O166=-1,"x",IF(OR(O264=1,O$197=1,$CY166=1),O166,0))</f>
        <v>x</v>
      </c>
      <c r="P349" s="47" t="str">
        <f>IF(P166=-1,"x",IF(OR(P264=1,P$197=1,$CZ166=1),P166,0))</f>
        <v>x</v>
      </c>
      <c r="Q349" s="46" t="str">
        <f>IF(Q166=-1,"x",IF(OR(Q264=1,Q$197=1,$CX166=1),Q166,0))</f>
        <v>x</v>
      </c>
      <c r="R349" s="45" t="str">
        <f>IF(R166=-1,"x",IF(OR(R264=1,R$197=1,$CY166=1),R166,0))</f>
        <v>x</v>
      </c>
      <c r="S349" s="47" t="str">
        <f>IF(S166=-1,"x",IF(OR(S264=1,S$197=1,$CZ166=1),S166,0))</f>
        <v>x</v>
      </c>
      <c r="T349" s="46" t="str">
        <f>IF(T166=-1,"x",IF(OR(T264=1,T$197=1,$CX166=1),T166,0))</f>
        <v>x</v>
      </c>
      <c r="U349" s="45" t="str">
        <f>IF(U166=-1,"x",IF(OR(U264=1,U$197=1,$CY166=1),U166,0))</f>
        <v>x</v>
      </c>
      <c r="V349" s="48" t="str">
        <f>IF(V166=-1,"x",IF(OR(V264=1,V$197=1,$CZ166=1),V166,0))</f>
        <v>x</v>
      </c>
      <c r="W349" s="44" t="str">
        <f>IF(W166=-1,"x",IF(OR(W264=1,W$197=1,$CX166=1),W166,0))</f>
        <v>x</v>
      </c>
      <c r="X349" s="45" t="str">
        <f>IF(X166=-1,"x",IF(OR(X264=1,X$197=1,$CY166=1),X166,0))</f>
        <v>x</v>
      </c>
      <c r="Y349" s="47" t="str">
        <f>IF(Y166=-1,"x",IF(OR(Y264=1,Y$197=1,$CZ166=1),Y166,0))</f>
        <v>x</v>
      </c>
      <c r="Z349" s="46" t="str">
        <f>IF(Z166=-1,"x",IF(OR(Z264=1,Z$197=1,$CX166=1),Z166,0))</f>
        <v>x</v>
      </c>
      <c r="AA349" s="45" t="str">
        <f>IF(AA166=-1,"x",IF(OR(AA264=1,AA$197=1,$CY166=1),AA166,0))</f>
        <v>x</v>
      </c>
      <c r="AB349" s="47" t="str">
        <f>IF(AB166=-1,"x",IF(OR(AB264=1,AB$197=1,$CZ166=1),AB166,0))</f>
        <v>x</v>
      </c>
      <c r="AC349" s="46" t="str">
        <f>IF(AC166=-1,"x",IF(OR(AC264=1,AC$197=1,$CX166=1),AC166,0))</f>
        <v>x</v>
      </c>
      <c r="AD349" s="45" t="str">
        <f>IF(AD166=-1,"x",IF(OR(AD264=1,AD$197=1,$CY166=1),AD166,0))</f>
        <v>x</v>
      </c>
      <c r="AE349" s="48" t="str">
        <f>IF(AE166=-1,"x",IF(OR(AE264=1,AE$197=1,$CZ166=1),AE166,0))</f>
        <v>x</v>
      </c>
      <c r="AF349" s="44" t="str">
        <f>IF(AF166=-1,"x",IF(OR(AF264=1,AF$197=1,$CX166=1),AF166,0))</f>
        <v>x</v>
      </c>
      <c r="AG349" s="45" t="str">
        <f>IF(AG166=-1,"x",IF(OR(AG264=1,AG$197=1,$CY166=1),AG166,0))</f>
        <v>x</v>
      </c>
      <c r="AH349" s="47" t="str">
        <f>IF(AH166=-1,"x",IF(OR(AH264=1,AH$197=1,$CZ166=1),AH166,0))</f>
        <v>x</v>
      </c>
      <c r="AI349" s="46" t="str">
        <f>IF(AI166=-1,"x",IF(OR(AI264=1,AI$197=1,$CX166=1),AI166,0))</f>
        <v>x</v>
      </c>
      <c r="AJ349" s="45" t="str">
        <f>IF(AJ166=-1,"x",IF(OR(AJ264=1,AJ$197=1,$CY166=1),AJ166,0))</f>
        <v>x</v>
      </c>
      <c r="AK349" s="47" t="str">
        <f>IF(AK166=-1,"x",IF(OR(AK264=1,AK$197=1,$CZ166=1),AK166,0))</f>
        <v>x</v>
      </c>
      <c r="AL349" s="46" t="str">
        <f>IF(AL166=-1,"x",IF(OR(AL264=1,AL$197=1,$CX166=1),AL166,0))</f>
        <v>x</v>
      </c>
      <c r="AM349" s="45" t="str">
        <f>IF(AM166=-1,"x",IF(OR(AM264=1,AM$197=1,$CY166=1),AM166,0))</f>
        <v>x</v>
      </c>
      <c r="AN349" s="100" t="str">
        <f>IF(AN166=-1,"x",IF(OR(AN264=1,AN$197=1,$CZ166=1),AN166,0))</f>
        <v>x</v>
      </c>
      <c r="AO349" s="99" t="str">
        <f>IF(AO166=-1,"x",IF(OR(AO264=1,AO$197=1,$CX166=1),AO166,0))</f>
        <v>x</v>
      </c>
      <c r="AP349" s="45" t="str">
        <f>IF(AP166=-1,"x",IF(OR(AP264=1,AP$197=1,$CY166=1),AP166,0))</f>
        <v>x</v>
      </c>
      <c r="AQ349" s="47" t="str">
        <f>IF(AQ166=-1,"x",IF(OR(AQ264=1,AQ$197=1,$CZ166=1),AQ166,0))</f>
        <v>x</v>
      </c>
      <c r="AR349" s="46" t="str">
        <f>IF(AR166=-1,"x",IF(OR(AR264=1,AR$197=1,$CX166=1),AR166,0))</f>
        <v>x</v>
      </c>
      <c r="AS349" s="45" t="str">
        <f>IF(AS166=-1,"x",IF(OR(AS264=1,AS$197=1,$CY166=1),AS166,0))</f>
        <v>x</v>
      </c>
      <c r="AT349" s="47" t="str">
        <f>IF(AT166=-1,"x",IF(OR(AT264=1,AT$197=1,$CZ166=1),AT166,0))</f>
        <v>x</v>
      </c>
      <c r="AU349" s="46" t="str">
        <f>IF(AU166=-1,"x",IF(OR(AU264=1,AU$197=1,$CX166=1),AU166,0))</f>
        <v>x</v>
      </c>
      <c r="AV349" s="45" t="str">
        <f>IF(AV166=-1,"x",IF(OR(AV264=1,AV$197=1,$CY166=1),AV166,0))</f>
        <v>x</v>
      </c>
      <c r="AW349" s="48" t="str">
        <f>IF(AW166=-1,"x",IF(OR(AW264=1,AW$197=1,$CZ166=1),AW166,0))</f>
        <v>x</v>
      </c>
      <c r="AX349" s="44" t="str">
        <f>IF(AX166=-1,"x",IF(OR(AX264=1,AX$197=1,$CX166=1),AX166,0))</f>
        <v>x</v>
      </c>
      <c r="AY349" s="45" t="str">
        <f>IF(AY166=-1,"x",IF(OR(AY264=1,AY$197=1,$CY166=1),AY166,0))</f>
        <v>x</v>
      </c>
      <c r="AZ349" s="47" t="str">
        <f>IF(AZ166=-1,"x",IF(OR(AZ264=1,AZ$197=1,$CZ166=1),AZ166,0))</f>
        <v>x</v>
      </c>
      <c r="BA349" s="46" t="str">
        <f>IF(BA166=-1,"x",IF(OR(BA264=1,BA$197=1,$CX166=1),BA166,0))</f>
        <v>x</v>
      </c>
      <c r="BB349" s="45" t="str">
        <f>IF(BB166=-1,"x",IF(OR(BB264=1,BB$197=1,$CY166=1),BB166,0))</f>
        <v>x</v>
      </c>
      <c r="BC349" s="47" t="str">
        <f>IF(BC166=-1,"x",IF(OR(BC264=1,BC$197=1,$CZ166=1),BC166,0))</f>
        <v>x</v>
      </c>
      <c r="BD349" s="46" t="str">
        <f>IF(BD166=-1,"x",IF(OR(BD264=1,BD$197=1,$CX166=1),BD166,0))</f>
        <v>x</v>
      </c>
      <c r="BE349" s="45" t="str">
        <f>IF(BE166=-1,"x",IF(OR(BE264=1,BE$197=1,$CY166=1),BE166,0))</f>
        <v>x</v>
      </c>
      <c r="BF349" s="48" t="str">
        <f>IF(BF166=-1,"x",IF(OR(BF264=1,BF$197=1,$CZ166=1),BF166,0))</f>
        <v>x</v>
      </c>
      <c r="BG349" s="44" t="str">
        <f>IF(BG166=-1,"x",IF(OR(BG264=1,BG$197=1,$CX166=1),BG166,0))</f>
        <v>x</v>
      </c>
      <c r="BH349" s="45" t="str">
        <f>IF(BH166=-1,"x",IF(OR(BH264=1,BH$197=1,$CY166=1),BH166,0))</f>
        <v>x</v>
      </c>
      <c r="BI349" s="47" t="str">
        <f>IF(BI166=-1,"x",IF(OR(BI264=1,BI$197=1,$CZ166=1),BI166,0))</f>
        <v>x</v>
      </c>
      <c r="BJ349" s="46" t="str">
        <f>IF(BJ166=-1,"x",IF(OR(BJ264=1,BJ$197=1,$CX166=1),BJ166,0))</f>
        <v>x</v>
      </c>
      <c r="BK349" s="45" t="str">
        <f>IF(BK166=-1,"x",IF(OR(BK264=1,BK$197=1,$CY166=1),BK166,0))</f>
        <v>x</v>
      </c>
      <c r="BL349" s="47" t="str">
        <f>IF(BL166=-1,"x",IF(OR(BL264=1,BL$197=1,$CZ166=1),BL166,0))</f>
        <v>x</v>
      </c>
      <c r="BM349" s="46" t="str">
        <f>IF(BM166=-1,"x",IF(OR(BM264=1,BM$197=1,$CX166=1),BM166,0))</f>
        <v>x</v>
      </c>
      <c r="BN349" s="45" t="str">
        <f>IF(BN166=-1,"x",IF(OR(BN264=1,BN$197=1,$CY166=1),BN166,0))</f>
        <v>x</v>
      </c>
      <c r="BO349" s="100" t="str">
        <f>IF(BO166=-1,"x",IF(OR(BO264=1,BO$197=1,$CZ166=1),BO166,0))</f>
        <v>x</v>
      </c>
      <c r="BP349" s="99" t="str">
        <f>IF(BP166=-1,"x",IF(OR(BP264=1,BP$197=1,$CX166=1),BP166,0))</f>
        <v>x</v>
      </c>
      <c r="BQ349" s="45" t="str">
        <f>IF(BQ166=-1,"x",IF(OR(BQ264=1,BQ$197=1,$CY166=1),BQ166,0))</f>
        <v>x</v>
      </c>
      <c r="BR349" s="47" t="str">
        <f>IF(BR166=-1,"x",IF(OR(BR264=1,BR$197=1,$CZ166=1),BR166,0))</f>
        <v>x</v>
      </c>
      <c r="BS349" s="46" t="str">
        <f>IF(BS166=-1,"x",IF(OR(BS264=1,BS$197=1,$CX166=1),BS166,0))</f>
        <v>x</v>
      </c>
      <c r="BT349" s="45" t="str">
        <f>IF(BT166=-1,"x",IF(OR(BT264=1,BT$197=1,$CY166=1),BT166,0))</f>
        <v>x</v>
      </c>
      <c r="BU349" s="47" t="str">
        <f>IF(BU166=-1,"x",IF(OR(BU264=1,BU$197=1,$CZ166=1),BU166,0))</f>
        <v>x</v>
      </c>
      <c r="BV349" s="46" t="str">
        <f>IF(BV166=-1,"x",IF(OR(BV264=1,BV$197=1,$CX166=1),BV166,0))</f>
        <v>x</v>
      </c>
      <c r="BW349" s="45" t="str">
        <f>IF(BW166=-1,"x",IF(OR(BW264=1,BW$197=1,$CY166=1),BW166,0))</f>
        <v>x</v>
      </c>
      <c r="BX349" s="48" t="str">
        <f>IF(BX166=-1,"x",IF(OR(BX264=1,BX$197=1,$CZ166=1),BX166,0))</f>
        <v>x</v>
      </c>
      <c r="BY349" s="44" t="str">
        <f>IF(BY166=-1,"x",IF(OR(BY264=1,BY$197=1,$CX166=1),BY166,0))</f>
        <v>x</v>
      </c>
      <c r="BZ349" s="45" t="str">
        <f>IF(BZ166=-1,"x",IF(OR(BZ264=1,BZ$197=1,$CY166=1),BZ166,0))</f>
        <v>x</v>
      </c>
      <c r="CA349" s="47" t="str">
        <f>IF(CA166=-1,"x",IF(OR(CA264=1,CA$197=1,$CZ166=1),CA166,0))</f>
        <v>x</v>
      </c>
      <c r="CB349" s="46" t="str">
        <f>IF(CB166=-1,"x",IF(OR(CB264=1,CB$197=1,$CX166=1),CB166,0))</f>
        <v>x</v>
      </c>
      <c r="CC349" s="45" t="str">
        <f>IF(CC166=-1,"x",IF(OR(CC264=1,CC$197=1,$CY166=1),CC166,0))</f>
        <v>x</v>
      </c>
      <c r="CD349" s="47" t="str">
        <f>IF(CD166=-1,"x",IF(OR(CD264=1,CD$197=1,$CZ166=1),CD166,0))</f>
        <v>x</v>
      </c>
      <c r="CE349" s="46" t="str">
        <f>IF(CE166=-1,"x",IF(OR(CE264=1,CE$197=1,$CX166=1),CE166,0))</f>
        <v>x</v>
      </c>
      <c r="CF349" s="45" t="str">
        <f>IF(CF166=-1,"x",IF(OR(CF264=1,CF$197=1,$CY166=1),CF166,0))</f>
        <v>x</v>
      </c>
      <c r="CG349" s="48" t="str">
        <f>IF(CG166=-1,"x",IF(OR(CG264=1,CG$197=1,$CZ166=1),CG166,0))</f>
        <v>x</v>
      </c>
      <c r="CH349" s="44" t="str">
        <f>IF(CH166=-1,"x",IF(OR(CH264=1,CH$197=1,$CX166=1),CH166,0))</f>
        <v>x</v>
      </c>
      <c r="CI349" s="45" t="str">
        <f>IF(CI166=-1,"x",IF(OR(CI264=1,CI$197=1,$CY166=1),CI166,0))</f>
        <v>x</v>
      </c>
      <c r="CJ349" s="47" t="str">
        <f>IF(CJ166=-1,"x",IF(OR(CJ264=1,CJ$197=1,$CZ166=1),CJ166,0))</f>
        <v>x</v>
      </c>
      <c r="CK349" s="46" t="str">
        <f>IF(CK166=-1,"x",IF(OR(CK264=1,CK$197=1,$CX166=1),CK166,0))</f>
        <v>x</v>
      </c>
      <c r="CL349" s="45" t="str">
        <f>IF(CL166=-1,"x",IF(OR(CL264=1,CL$197=1,$CY166=1),CL166,0))</f>
        <v>x</v>
      </c>
      <c r="CM349" s="47" t="str">
        <f>IF(CM166=-1,"x",IF(OR(CM264=1,CM$197=1,$CZ166=1),CM166,0))</f>
        <v>x</v>
      </c>
      <c r="CN349" s="46" t="str">
        <f>IF(CN166=-1,"x",IF(OR(CN264=1,CN$197=1,$CX166=1),CN166,0))</f>
        <v>x</v>
      </c>
      <c r="CO349" s="45" t="str">
        <f>IF(CO166=-1,"x",IF(OR(CO264=1,CO$197=1,$CY166=1),CO166,0))</f>
        <v>x</v>
      </c>
      <c r="CP349" s="100" t="str">
        <f>IF(CP166=-1,"x",IF(OR(CP264=1,CP$197=1,$CZ166=1),CP166,0))</f>
        <v>x</v>
      </c>
      <c r="DJ349" s="110" t="str">
        <f>IF(DJ166=-1,"x",IF(OR(DJ264=1,DJ$230=1,$GT166=1),DJ166,0))</f>
        <v>x</v>
      </c>
      <c r="DK349" s="83" t="str">
        <f>IF(DK166=-1,"x",IF(OR(DK264=1,DK$230=1,$GU166=1),DK166,0))</f>
        <v>x</v>
      </c>
      <c r="DL349" s="111" t="str">
        <f>IF(DL166=-1,"x",IF(OR(DL264=1,DL$230=1,$GV166=1),DL166,0))</f>
        <v>x</v>
      </c>
      <c r="DM349" s="112" t="str">
        <f>IF(DM166=-1,"x",IF(OR(DM264=1,DM$230=1,$GT166=1),DM166,0))</f>
        <v>x</v>
      </c>
      <c r="DN349" s="83" t="str">
        <f>IF(DN166=-1,"x",IF(OR(DN264=1,DN$230=1,$GU166=1),DN166,0))</f>
        <v>x</v>
      </c>
      <c r="DO349" s="111" t="str">
        <f>IF(DO166=-1,"x",IF(OR(DO264=1,DO$230=1,$GV166=1),DO166,0))</f>
        <v>x</v>
      </c>
      <c r="DP349" s="112" t="str">
        <f>IF(DP166=-1,"x",IF(OR(DP264=1,DP$230=1,$GT166=1),DP166,0))</f>
        <v>x</v>
      </c>
      <c r="DQ349" s="83" t="str">
        <f>IF(DQ166=-1,"x",IF(OR(DQ264=1,DQ$230=1,$GU166=1),DQ166,0))</f>
        <v>x</v>
      </c>
      <c r="DR349" s="113" t="str">
        <f>IF(DR166=-1,"x",IF(OR(DR264=1,DR$230=1,$GV166=1),DR166,0))</f>
        <v>x</v>
      </c>
      <c r="DS349" s="114" t="str">
        <f>IF(DS166=-1,"x",IF(OR(DS264=1,DS$230=1,$GT166=1),DS166,0))</f>
        <v>x</v>
      </c>
      <c r="DT349" s="83" t="str">
        <f>IF(DT166=-1,"x",IF(OR(DT264=1,DT$230=1,$GU166=1),DT166,0))</f>
        <v>x</v>
      </c>
      <c r="DU349" s="111" t="str">
        <f>IF(DU166=-1,"x",IF(OR(DU264=1,DU$230=1,$GV166=1),DU166,0))</f>
        <v>x</v>
      </c>
      <c r="DV349" s="112" t="str">
        <f>IF(DV166=-1,"x",IF(OR(DV264=1,DV$230=1,$GT166=1),DV166,0))</f>
        <v>x</v>
      </c>
      <c r="DW349" s="83" t="str">
        <f>IF(DW166=-1,"x",IF(OR(DW264=1,DW$230=1,$GU166=1),DW166,0))</f>
        <v>x</v>
      </c>
      <c r="DX349" s="111" t="str">
        <f>IF(DX166=-1,"x",IF(OR(DX264=1,DX$230=1,$GV166=1),DX166,0))</f>
        <v>x</v>
      </c>
      <c r="DY349" s="112" t="str">
        <f>IF(DY166=-1,"x",IF(OR(DY264=1,DY$230=1,$GT166=1),DY166,0))</f>
        <v>x</v>
      </c>
      <c r="DZ349" s="83" t="str">
        <f>IF(DZ166=-1,"x",IF(OR(DZ264=1,DZ$230=1,$GU166=1),DZ166,0))</f>
        <v>x</v>
      </c>
      <c r="EA349" s="113" t="str">
        <f>IF(EA166=-1,"x",IF(OR(EA264=1,EA$230=1,$GV166=1),EA166,0))</f>
        <v>x</v>
      </c>
      <c r="EB349" s="114" t="str">
        <f>IF(EB166=-1,"x",IF(OR(EB264=1,EB$230=1,$GT166=1),EB166,0))</f>
        <v>x</v>
      </c>
      <c r="EC349" s="83" t="str">
        <f>IF(EC166=-1,"x",IF(OR(EC264=1,EC$230=1,$GU166=1),EC166,0))</f>
        <v>x</v>
      </c>
      <c r="ED349" s="111" t="str">
        <f>IF(ED166=-1,"x",IF(OR(ED264=1,ED$230=1,$GV166=1),ED166,0))</f>
        <v>x</v>
      </c>
      <c r="EE349" s="112" t="str">
        <f>IF(EE166=-1,"x",IF(OR(EE264=1,EE$230=1,$GT166=1),EE166,0))</f>
        <v>x</v>
      </c>
      <c r="EF349" s="83" t="str">
        <f>IF(EF166=-1,"x",IF(OR(EF264=1,EF$230=1,$GU166=1),EF166,0))</f>
        <v>x</v>
      </c>
      <c r="EG349" s="111" t="str">
        <f>IF(EG166=-1,"x",IF(OR(EG264=1,EG$230=1,$GV166=1),EG166,0))</f>
        <v>x</v>
      </c>
      <c r="EH349" s="112" t="str">
        <f>IF(EH166=-1,"x",IF(OR(EH264=1,EH$230=1,$GT166=1),EH166,0))</f>
        <v>x</v>
      </c>
      <c r="EI349" s="83" t="str">
        <f>IF(EI166=-1,"x",IF(OR(EI264=1,EI$230=1,$GU166=1),EI166,0))</f>
        <v>x</v>
      </c>
      <c r="EJ349" s="115" t="str">
        <f>IF(EJ166=-1,"x",IF(OR(EJ264=1,EJ$230=1,$GV166=1),EJ166,0))</f>
        <v>x</v>
      </c>
      <c r="EK349" s="110" t="str">
        <f>IF(EK166=-1,"x",IF(OR(EK264=1,EK$230=1,$GT166=1),EK166,0))</f>
        <v>x</v>
      </c>
      <c r="EL349" s="83" t="str">
        <f>IF(EL166=-1,"x",IF(OR(EL264=1,EL$230=1,$GU166=1),EL166,0))</f>
        <v>x</v>
      </c>
      <c r="EM349" s="111" t="str">
        <f>IF(EM166=-1,"x",IF(OR(EM264=1,EM$230=1,$GV166=1),EM166,0))</f>
        <v>x</v>
      </c>
      <c r="EN349" s="112" t="str">
        <f>IF(EN166=-1,"x",IF(OR(EN264=1,EN$230=1,$GT166=1),EN166,0))</f>
        <v>x</v>
      </c>
      <c r="EO349" s="83" t="str">
        <f>IF(EO166=-1,"x",IF(OR(EO264=1,EO$230=1,$GU166=1),EO166,0))</f>
        <v>x</v>
      </c>
      <c r="EP349" s="111" t="str">
        <f>IF(EP166=-1,"x",IF(OR(EP264=1,EP$230=1,$GV166=1),EP166,0))</f>
        <v>x</v>
      </c>
      <c r="EQ349" s="112" t="str">
        <f>IF(EQ166=-1,"x",IF(OR(EQ264=1,EQ$230=1,$GT166=1),EQ166,0))</f>
        <v>x</v>
      </c>
      <c r="ER349" s="83" t="str">
        <f>IF(ER166=-1,"x",IF(OR(ER264=1,ER$230=1,$GU166=1),ER166,0))</f>
        <v>x</v>
      </c>
      <c r="ES349" s="113" t="str">
        <f>IF(ES166=-1,"x",IF(OR(ES264=1,ES$230=1,$GV166=1),ES166,0))</f>
        <v>x</v>
      </c>
      <c r="ET349" s="114" t="str">
        <f>IF(ET166=-1,"x",IF(OR(ET264=1,ET$230=1,$GT166=1),ET166,0))</f>
        <v>x</v>
      </c>
      <c r="EU349" s="83" t="str">
        <f>IF(EU166=-1,"x",IF(OR(EU264=1,EU$230=1,$GU166=1),EU166,0))</f>
        <v>x</v>
      </c>
      <c r="EV349" s="111" t="str">
        <f>IF(EV166=-1,"x",IF(OR(EV264=1,EV$230=1,$GV166=1),EV166,0))</f>
        <v>x</v>
      </c>
      <c r="EW349" s="112" t="str">
        <f>IF(EW166=-1,"x",IF(OR(EW264=1,EW$230=1,$GT166=1),EW166,0))</f>
        <v>x</v>
      </c>
      <c r="EX349" s="83" t="str">
        <f>IF(EX166=-1,"x",IF(OR(EX264=1,EX$230=1,$GU166=1),EX166,0))</f>
        <v>x</v>
      </c>
      <c r="EY349" s="111" t="str">
        <f>IF(EY166=-1,"x",IF(OR(EY264=1,EY$230=1,$GV166=1),EY166,0))</f>
        <v>x</v>
      </c>
      <c r="EZ349" s="112" t="str">
        <f>IF(EZ166=-1,"x",IF(OR(EZ264=1,EZ$230=1,$GT166=1),EZ166,0))</f>
        <v>x</v>
      </c>
      <c r="FA349" s="83" t="str">
        <f>IF(FA166=-1,"x",IF(OR(FA264=1,FA$230=1,$GU166=1),FA166,0))</f>
        <v>x</v>
      </c>
      <c r="FB349" s="113" t="str">
        <f>IF(FB166=-1,"x",IF(OR(FB264=1,FB$230=1,$GV166=1),FB166,0))</f>
        <v>x</v>
      </c>
      <c r="FC349" s="114" t="str">
        <f>IF(FC166=-1,"x",IF(OR(FC264=1,FC$230=1,$GT166=1),FC166,0))</f>
        <v>x</v>
      </c>
      <c r="FD349" s="83" t="str">
        <f>IF(FD166=-1,"x",IF(OR(FD264=1,FD$230=1,$GU166=1),FD166,0))</f>
        <v>x</v>
      </c>
      <c r="FE349" s="111" t="str">
        <f>IF(FE166=-1,"x",IF(OR(FE264=1,FE$230=1,$GV166=1),FE166,0))</f>
        <v>x</v>
      </c>
      <c r="FF349" s="112" t="str">
        <f>IF(FF166=-1,"x",IF(OR(FF264=1,FF$230=1,$GT166=1),FF166,0))</f>
        <v>x</v>
      </c>
      <c r="FG349" s="83" t="str">
        <f>IF(FG166=-1,"x",IF(OR(FG264=1,FG$230=1,$GU166=1),FG166,0))</f>
        <v>x</v>
      </c>
      <c r="FH349" s="111" t="str">
        <f>IF(FH166=-1,"x",IF(OR(FH264=1,FH$230=1,$GV166=1),FH166,0))</f>
        <v>x</v>
      </c>
      <c r="FI349" s="112" t="str">
        <f>IF(FI166=-1,"x",IF(OR(FI264=1,FI$230=1,$GT166=1),FI166,0))</f>
        <v>x</v>
      </c>
      <c r="FJ349" s="83" t="str">
        <f>IF(FJ166=-1,"x",IF(OR(FJ264=1,FJ$230=1,$GU166=1),FJ166,0))</f>
        <v>x</v>
      </c>
      <c r="FK349" s="115" t="str">
        <f>IF(FK166=-1,"x",IF(OR(FK264=1,FK$230=1,$GV166=1),FK166,0))</f>
        <v>x</v>
      </c>
      <c r="FL349" s="110" t="str">
        <f>IF(FL166=-1,"x",IF(OR(FL264=1,FL$230=1,$GT166=1),FL166,0))</f>
        <v>x</v>
      </c>
      <c r="FM349" s="83" t="str">
        <f>IF(FM166=-1,"x",IF(OR(FM264=1,FM$230=1,$GU166=1),FM166,0))</f>
        <v>x</v>
      </c>
      <c r="FN349" s="111" t="str">
        <f>IF(FN166=-1,"x",IF(OR(FN264=1,FN$230=1,$GV166=1),FN166,0))</f>
        <v>x</v>
      </c>
      <c r="FO349" s="112" t="str">
        <f>IF(FO166=-1,"x",IF(OR(FO264=1,FO$230=1,$GT166=1),FO166,0))</f>
        <v>x</v>
      </c>
      <c r="FP349" s="83" t="str">
        <f>IF(FP166=-1,"x",IF(OR(FP264=1,FP$230=1,$GU166=1),FP166,0))</f>
        <v>x</v>
      </c>
      <c r="FQ349" s="111" t="str">
        <f>IF(FQ166=-1,"x",IF(OR(FQ264=1,FQ$230=1,$GV166=1),FQ166,0))</f>
        <v>x</v>
      </c>
      <c r="FR349" s="112" t="str">
        <f>IF(FR166=-1,"x",IF(OR(FR264=1,FR$230=1,$GT166=1),FR166,0))</f>
        <v>x</v>
      </c>
      <c r="FS349" s="83" t="str">
        <f>IF(FS166=-1,"x",IF(OR(FS264=1,FS$230=1,$GU166=1),FS166,0))</f>
        <v>x</v>
      </c>
      <c r="FT349" s="113" t="str">
        <f>IF(FT166=-1,"x",IF(OR(FT264=1,FT$230=1,$GV166=1),FT166,0))</f>
        <v>x</v>
      </c>
      <c r="FU349" s="114" t="str">
        <f>IF(FU166=-1,"x",IF(OR(FU264=1,FU$230=1,$GT166=1),FU166,0))</f>
        <v>x</v>
      </c>
      <c r="FV349" s="83" t="str">
        <f>IF(FV166=-1,"x",IF(OR(FV264=1,FV$230=1,$GU166=1),FV166,0))</f>
        <v>x</v>
      </c>
      <c r="FW349" s="111" t="str">
        <f>IF(FW166=-1,"x",IF(OR(FW264=1,FW$230=1,$GV166=1),FW166,0))</f>
        <v>x</v>
      </c>
      <c r="FX349" s="112" t="str">
        <f>IF(FX166=-1,"x",IF(OR(FX264=1,FX$230=1,$GT166=1),FX166,0))</f>
        <v>x</v>
      </c>
      <c r="FY349" s="83" t="str">
        <f>IF(FY166=-1,"x",IF(OR(FY264=1,FY$230=1,$GU166=1),FY166,0))</f>
        <v>x</v>
      </c>
      <c r="FZ349" s="111" t="str">
        <f>IF(FZ166=-1,"x",IF(OR(FZ264=1,FZ$230=1,$GV166=1),FZ166,0))</f>
        <v>x</v>
      </c>
      <c r="GA349" s="112" t="str">
        <f>IF(GA166=-1,"x",IF(OR(GA264=1,GA$230=1,$GT166=1),GA166,0))</f>
        <v>x</v>
      </c>
      <c r="GB349" s="83" t="str">
        <f>IF(GB166=-1,"x",IF(OR(GB264=1,GB$230=1,$GU166=1),GB166,0))</f>
        <v>x</v>
      </c>
      <c r="GC349" s="113" t="str">
        <f>IF(GC166=-1,"x",IF(OR(GC264=1,GC$230=1,$GV166=1),GC166,0))</f>
        <v>x</v>
      </c>
      <c r="GD349" s="114" t="str">
        <f>IF(GD166=-1,"x",IF(OR(GD264=1,GD$230=1,$GT166=1),GD166,0))</f>
        <v>x</v>
      </c>
      <c r="GE349" s="83" t="str">
        <f>IF(GE166=-1,"x",IF(OR(GE264=1,GE$230=1,$GU166=1),GE166,0))</f>
        <v>x</v>
      </c>
      <c r="GF349" s="111" t="str">
        <f>IF(GF166=-1,"x",IF(OR(GF264=1,GF$230=1,$GV166=1),GF166,0))</f>
        <v>x</v>
      </c>
      <c r="GG349" s="112" t="str">
        <f>IF(GG166=-1,"x",IF(OR(GG264=1,GG$230=1,$GT166=1),GG166,0))</f>
        <v>x</v>
      </c>
      <c r="GH349" s="83" t="str">
        <f>IF(GH166=-1,"x",IF(OR(GH264=1,GH$230=1,$GU166=1),GH166,0))</f>
        <v>x</v>
      </c>
      <c r="GI349" s="111" t="str">
        <f>IF(GI166=-1,"x",IF(OR(GI264=1,GI$230=1,$GV166=1),GI166,0))</f>
        <v>x</v>
      </c>
      <c r="GJ349" s="112" t="str">
        <f>IF(GJ166=-1,"x",IF(OR(GJ264=1,GJ$230=1,$GT166=1),GJ166,0))</f>
        <v>x</v>
      </c>
      <c r="GK349" s="83" t="str">
        <f>IF(GK166=-1,"x",IF(OR(GK264=1,GK$230=1,$GU166=1),GK166,0))</f>
        <v>x</v>
      </c>
      <c r="GL349" s="115" t="str">
        <f>IF(GL166=-1,"x",IF(OR(GL264=1,GL$230=1,$GV166=1),GL166,0))</f>
        <v>x</v>
      </c>
    </row>
    <row r="350" spans="14:194" ht="15" customHeight="1" thickTop="1">
      <c r="N350" s="104" t="str">
        <f>IF(N167=-1,"x",IF(OR(N265=1,N$195=1,$CX167=1),N167,0))</f>
        <v>x</v>
      </c>
      <c r="O350" s="50" t="str">
        <f>IF(O167=-1,"x",IF(OR(O265=1,O$195=1,$CY167=1),O167,0))</f>
        <v>x</v>
      </c>
      <c r="P350" s="51" t="str">
        <f>IF(P167=-1,"x",IF(OR(P265=1,P$195=1,$CZ167=1),P167,0))</f>
        <v>x</v>
      </c>
      <c r="Q350" s="52" t="str">
        <f>IF(Q167=-1,"x",IF(OR(Q265=1,Q$195=1,$CX167=1),Q167,0))</f>
        <v>x</v>
      </c>
      <c r="R350" s="50" t="str">
        <f>IF(R167=-1,"x",IF(OR(R265=1,R$195=1,$CY167=1),R167,0))</f>
        <v>x</v>
      </c>
      <c r="S350" s="51" t="str">
        <f>IF(S167=-1,"x",IF(OR(S265=1,S$195=1,$CZ167=1),S167,0))</f>
        <v>x</v>
      </c>
      <c r="T350" s="52" t="str">
        <f>IF(T167=-1,"x",IF(OR(T265=1,T$195=1,$CX167=1),T167,0))</f>
        <v>x</v>
      </c>
      <c r="U350" s="50" t="str">
        <f>IF(U167=-1,"x",IF(OR(U265=1,U$195=1,$CY167=1),U167,0))</f>
        <v>x</v>
      </c>
      <c r="V350" s="53" t="str">
        <f>IF(V167=-1,"x",IF(OR(V265=1,V$195=1,$CZ167=1),V167,0))</f>
        <v>x</v>
      </c>
      <c r="W350" s="49" t="str">
        <f>IF(W167=-1,"x",IF(OR(W265=1,W$195=1,$CX167=1),W167,0))</f>
        <v>x</v>
      </c>
      <c r="X350" s="50" t="str">
        <f>IF(X167=-1,"x",IF(OR(X265=1,X$195=1,$CY167=1),X167,0))</f>
        <v>x</v>
      </c>
      <c r="Y350" s="51" t="str">
        <f>IF(Y167=-1,"x",IF(OR(Y265=1,Y$195=1,$CZ167=1),Y167,0))</f>
        <v>x</v>
      </c>
      <c r="Z350" s="52" t="str">
        <f>IF(Z167=-1,"x",IF(OR(Z265=1,Z$195=1,$CX167=1),Z167,0))</f>
        <v>x</v>
      </c>
      <c r="AA350" s="50" t="str">
        <f>IF(AA167=-1,"x",IF(OR(AA265=1,AA$195=1,$CY167=1),AA167,0))</f>
        <v>x</v>
      </c>
      <c r="AB350" s="51" t="str">
        <f>IF(AB167=-1,"x",IF(OR(AB265=1,AB$195=1,$CZ167=1),AB167,0))</f>
        <v>x</v>
      </c>
      <c r="AC350" s="52" t="str">
        <f>IF(AC167=-1,"x",IF(OR(AC265=1,AC$195=1,$CX167=1),AC167,0))</f>
        <v>x</v>
      </c>
      <c r="AD350" s="50" t="str">
        <f>IF(AD167=-1,"x",IF(OR(AD265=1,AD$195=1,$CY167=1),AD167,0))</f>
        <v>x</v>
      </c>
      <c r="AE350" s="53" t="str">
        <f>IF(AE167=-1,"x",IF(OR(AE265=1,AE$195=1,$CZ167=1),AE167,0))</f>
        <v>x</v>
      </c>
      <c r="AF350" s="49" t="str">
        <f>IF(AF167=-1,"x",IF(OR(AF265=1,AF$195=1,$CX167=1),AF167,0))</f>
        <v>x</v>
      </c>
      <c r="AG350" s="50" t="str">
        <f>IF(AG167=-1,"x",IF(OR(AG265=1,AG$195=1,$CY167=1),AG167,0))</f>
        <v>x</v>
      </c>
      <c r="AH350" s="51" t="str">
        <f>IF(AH167=-1,"x",IF(OR(AH265=1,AH$195=1,$CZ167=1),AH167,0))</f>
        <v>x</v>
      </c>
      <c r="AI350" s="52" t="str">
        <f>IF(AI167=-1,"x",IF(OR(AI265=1,AI$195=1,$CX167=1),AI167,0))</f>
        <v>x</v>
      </c>
      <c r="AJ350" s="50" t="str">
        <f>IF(AJ167=-1,"x",IF(OR(AJ265=1,AJ$195=1,$CY167=1),AJ167,0))</f>
        <v>x</v>
      </c>
      <c r="AK350" s="51" t="str">
        <f>IF(AK167=-1,"x",IF(OR(AK265=1,AK$195=1,$CZ167=1),AK167,0))</f>
        <v>x</v>
      </c>
      <c r="AL350" s="52" t="str">
        <f>IF(AL167=-1,"x",IF(OR(AL265=1,AL$195=1,$CX167=1),AL167,0))</f>
        <v>x</v>
      </c>
      <c r="AM350" s="50" t="str">
        <f>IF(AM167=-1,"x",IF(OR(AM265=1,AM$195=1,$CY167=1),AM167,0))</f>
        <v>x</v>
      </c>
      <c r="AN350" s="105" t="str">
        <f>IF(AN167=-1,"x",IF(OR(AN265=1,AN$195=1,$CZ167=1),AN167,0))</f>
        <v>x</v>
      </c>
      <c r="AO350" s="104" t="str">
        <f>IF(AO167=-1,"x",IF(OR(AO265=1,AO$195=1,$CX167=1),AO167,0))</f>
        <v>x</v>
      </c>
      <c r="AP350" s="50" t="str">
        <f>IF(AP167=-1,"x",IF(OR(AP265=1,AP$195=1,$CY167=1),AP167,0))</f>
        <v>x</v>
      </c>
      <c r="AQ350" s="51" t="str">
        <f>IF(AQ167=-1,"x",IF(OR(AQ265=1,AQ$195=1,$CZ167=1),AQ167,0))</f>
        <v>x</v>
      </c>
      <c r="AR350" s="52" t="str">
        <f>IF(AR167=-1,"x",IF(OR(AR265=1,AR$195=1,$CX167=1),AR167,0))</f>
        <v>x</v>
      </c>
      <c r="AS350" s="50" t="str">
        <f>IF(AS167=-1,"x",IF(OR(AS265=1,AS$195=1,$CY167=1),AS167,0))</f>
        <v>x</v>
      </c>
      <c r="AT350" s="51" t="str">
        <f>IF(AT167=-1,"x",IF(OR(AT265=1,AT$195=1,$CZ167=1),AT167,0))</f>
        <v>x</v>
      </c>
      <c r="AU350" s="52" t="str">
        <f>IF(AU167=-1,"x",IF(OR(AU265=1,AU$195=1,$CX167=1),AU167,0))</f>
        <v>x</v>
      </c>
      <c r="AV350" s="50" t="str">
        <f>IF(AV167=-1,"x",IF(OR(AV265=1,AV$195=1,$CY167=1),AV167,0))</f>
        <v>x</v>
      </c>
      <c r="AW350" s="53" t="str">
        <f>IF(AW167=-1,"x",IF(OR(AW265=1,AW$195=1,$CZ167=1),AW167,0))</f>
        <v>x</v>
      </c>
      <c r="AX350" s="49" t="str">
        <f>IF(AX167=-1,"x",IF(OR(AX265=1,AX$195=1,$CX167=1),AX167,0))</f>
        <v>x</v>
      </c>
      <c r="AY350" s="50" t="str">
        <f>IF(AY167=-1,"x",IF(OR(AY265=1,AY$195=1,$CY167=1),AY167,0))</f>
        <v>x</v>
      </c>
      <c r="AZ350" s="51" t="str">
        <f>IF(AZ167=-1,"x",IF(OR(AZ265=1,AZ$195=1,$CZ167=1),AZ167,0))</f>
        <v>x</v>
      </c>
      <c r="BA350" s="52" t="str">
        <f>IF(BA167=-1,"x",IF(OR(BA265=1,BA$195=1,$CX167=1),BA167,0))</f>
        <v>x</v>
      </c>
      <c r="BB350" s="50" t="str">
        <f>IF(BB167=-1,"x",IF(OR(BB265=1,BB$195=1,$CY167=1),BB167,0))</f>
        <v>x</v>
      </c>
      <c r="BC350" s="51" t="str">
        <f>IF(BC167=-1,"x",IF(OR(BC265=1,BC$195=1,$CZ167=1),BC167,0))</f>
        <v>x</v>
      </c>
      <c r="BD350" s="52">
        <f>IF(BD167=-1,"x",IF(OR(BD265=1,BD$195=1,$CX167=1),BD167,0))</f>
        <v>0</v>
      </c>
      <c r="BE350" s="50">
        <f>IF(BE167=-1,"x",IF(OR(BE265=1,BE$195=1,$CY167=1),BE167,0))</f>
        <v>0</v>
      </c>
      <c r="BF350" s="53">
        <f>IF(BF167=-1,"x",IF(OR(BF265=1,BF$195=1,$CZ167=1),BF167,0))</f>
        <v>0</v>
      </c>
      <c r="BG350" s="49" t="str">
        <f>IF(BG167=-1,"x",IF(OR(BG265=1,BG$195=1,$CX167=1),BG167,0))</f>
        <v>x</v>
      </c>
      <c r="BH350" s="50" t="str">
        <f>IF(BH167=-1,"x",IF(OR(BH265=1,BH$195=1,$CY167=1),BH167,0))</f>
        <v>x</v>
      </c>
      <c r="BI350" s="51" t="str">
        <f>IF(BI167=-1,"x",IF(OR(BI265=1,BI$195=1,$CZ167=1),BI167,0))</f>
        <v>x</v>
      </c>
      <c r="BJ350" s="52" t="str">
        <f>IF(BJ167=-1,"x",IF(OR(BJ265=1,BJ$195=1,$CX167=1),BJ167,0))</f>
        <v>x</v>
      </c>
      <c r="BK350" s="50" t="str">
        <f>IF(BK167=-1,"x",IF(OR(BK265=1,BK$195=1,$CY167=1),BK167,0))</f>
        <v>x</v>
      </c>
      <c r="BL350" s="51" t="str">
        <f>IF(BL167=-1,"x",IF(OR(BL265=1,BL$195=1,$CZ167=1),BL167,0))</f>
        <v>x</v>
      </c>
      <c r="BM350" s="52" t="str">
        <f>IF(BM167=-1,"x",IF(OR(BM265=1,BM$195=1,$CX167=1),BM167,0))</f>
        <v>x</v>
      </c>
      <c r="BN350" s="50" t="str">
        <f>IF(BN167=-1,"x",IF(OR(BN265=1,BN$195=1,$CY167=1),BN167,0))</f>
        <v>x</v>
      </c>
      <c r="BO350" s="105" t="str">
        <f>IF(BO167=-1,"x",IF(OR(BO265=1,BO$195=1,$CZ167=1),BO167,0))</f>
        <v>x</v>
      </c>
      <c r="BP350" s="104" t="str">
        <f>IF(BP167=-1,"x",IF(OR(BP265=1,BP$195=1,$CX167=1),BP167,0))</f>
        <v>x</v>
      </c>
      <c r="BQ350" s="50" t="str">
        <f>IF(BQ167=-1,"x",IF(OR(BQ265=1,BQ$195=1,$CY167=1),BQ167,0))</f>
        <v>x</v>
      </c>
      <c r="BR350" s="51" t="str">
        <f>IF(BR167=-1,"x",IF(OR(BR265=1,BR$195=1,$CZ167=1),BR167,0))</f>
        <v>x</v>
      </c>
      <c r="BS350" s="52" t="str">
        <f>IF(BS167=-1,"x",IF(OR(BS265=1,BS$195=1,$CX167=1),BS167,0))</f>
        <v>x</v>
      </c>
      <c r="BT350" s="50" t="str">
        <f>IF(BT167=-1,"x",IF(OR(BT265=1,BT$195=1,$CY167=1),BT167,0))</f>
        <v>x</v>
      </c>
      <c r="BU350" s="51" t="str">
        <f>IF(BU167=-1,"x",IF(OR(BU265=1,BU$195=1,$CZ167=1),BU167,0))</f>
        <v>x</v>
      </c>
      <c r="BV350" s="52" t="str">
        <f>IF(BV167=-1,"x",IF(OR(BV265=1,BV$195=1,$CX167=1),BV167,0))</f>
        <v>x</v>
      </c>
      <c r="BW350" s="50" t="str">
        <f>IF(BW167=-1,"x",IF(OR(BW265=1,BW$195=1,$CY167=1),BW167,0))</f>
        <v>x</v>
      </c>
      <c r="BX350" s="53" t="str">
        <f>IF(BX167=-1,"x",IF(OR(BX265=1,BX$195=1,$CZ167=1),BX167,0))</f>
        <v>x</v>
      </c>
      <c r="BY350" s="49" t="str">
        <f>IF(BY167=-1,"x",IF(OR(BY265=1,BY$195=1,$CX167=1),BY167,0))</f>
        <v>x</v>
      </c>
      <c r="BZ350" s="50" t="str">
        <f>IF(BZ167=-1,"x",IF(OR(BZ265=1,BZ$195=1,$CY167=1),BZ167,0))</f>
        <v>x</v>
      </c>
      <c r="CA350" s="51" t="str">
        <f>IF(CA167=-1,"x",IF(OR(CA265=1,CA$195=1,$CZ167=1),CA167,0))</f>
        <v>x</v>
      </c>
      <c r="CB350" s="52" t="str">
        <f>IF(CB167=-1,"x",IF(OR(CB265=1,CB$195=1,$CX167=1),CB167,0))</f>
        <v>x</v>
      </c>
      <c r="CC350" s="50" t="str">
        <f>IF(CC167=-1,"x",IF(OR(CC265=1,CC$195=1,$CY167=1),CC167,0))</f>
        <v>x</v>
      </c>
      <c r="CD350" s="51" t="str">
        <f>IF(CD167=-1,"x",IF(OR(CD265=1,CD$195=1,$CZ167=1),CD167,0))</f>
        <v>x</v>
      </c>
      <c r="CE350" s="52" t="str">
        <f>IF(CE167=-1,"x",IF(OR(CE265=1,CE$195=1,$CX167=1),CE167,0))</f>
        <v>x</v>
      </c>
      <c r="CF350" s="50" t="str">
        <f>IF(CF167=-1,"x",IF(OR(CF265=1,CF$195=1,$CY167=1),CF167,0))</f>
        <v>x</v>
      </c>
      <c r="CG350" s="53" t="str">
        <f>IF(CG167=-1,"x",IF(OR(CG265=1,CG$195=1,$CZ167=1),CG167,0))</f>
        <v>x</v>
      </c>
      <c r="CH350" s="49" t="str">
        <f>IF(CH167=-1,"x",IF(OR(CH265=1,CH$195=1,$CX167=1),CH167,0))</f>
        <v>x</v>
      </c>
      <c r="CI350" s="50" t="str">
        <f>IF(CI167=-1,"x",IF(OR(CI265=1,CI$195=1,$CY167=1),CI167,0))</f>
        <v>x</v>
      </c>
      <c r="CJ350" s="51" t="str">
        <f>IF(CJ167=-1,"x",IF(OR(CJ265=1,CJ$195=1,$CZ167=1),CJ167,0))</f>
        <v>x</v>
      </c>
      <c r="CK350" s="52" t="str">
        <f>IF(CK167=-1,"x",IF(OR(CK265=1,CK$195=1,$CX167=1),CK167,0))</f>
        <v>x</v>
      </c>
      <c r="CL350" s="50" t="str">
        <f>IF(CL167=-1,"x",IF(OR(CL265=1,CL$195=1,$CY167=1),CL167,0))</f>
        <v>x</v>
      </c>
      <c r="CM350" s="51" t="str">
        <f>IF(CM167=-1,"x",IF(OR(CM265=1,CM$195=1,$CZ167=1),CM167,0))</f>
        <v>x</v>
      </c>
      <c r="CN350" s="52" t="str">
        <f>IF(CN167=-1,"x",IF(OR(CN265=1,CN$195=1,$CX167=1),CN167,0))</f>
        <v>x</v>
      </c>
      <c r="CO350" s="50" t="str">
        <f>IF(CO167=-1,"x",IF(OR(CO265=1,CO$195=1,$CY167=1),CO167,0))</f>
        <v>x</v>
      </c>
      <c r="CP350" s="105" t="str">
        <f>IF(CP167=-1,"x",IF(OR(CP265=1,CP$195=1,$CZ167=1),CP167,0))</f>
        <v>x</v>
      </c>
      <c r="DJ350" s="84" t="str">
        <f>IF(DJ167=-1,"x",IF(OR(DJ265=1,DJ$228=1,$GT167=1),DJ167,0))</f>
        <v>x</v>
      </c>
      <c r="DK350" s="85" t="str">
        <f>IF(DK167=-1,"x",IF(OR(DK265=1,DK$228=1,$GU167=1),DK167,0))</f>
        <v>x</v>
      </c>
      <c r="DL350" s="87" t="str">
        <f>IF(DL167=-1,"x",IF(OR(DL265=1,DL$228=1,$GV167=1),DL167,0))</f>
        <v>x</v>
      </c>
      <c r="DM350" s="86" t="str">
        <f>IF(DM167=-1,"x",IF(OR(DM265=1,DM$228=1,$GT167=1),DM167,0))</f>
        <v>x</v>
      </c>
      <c r="DN350" s="85" t="str">
        <f>IF(DN167=-1,"x",IF(OR(DN265=1,DN$228=1,$GU167=1),DN167,0))</f>
        <v>x</v>
      </c>
      <c r="DO350" s="87" t="str">
        <f>IF(DO167=-1,"x",IF(OR(DO265=1,DO$228=1,$GV167=1),DO167,0))</f>
        <v>x</v>
      </c>
      <c r="DP350" s="86" t="str">
        <f>IF(DP167=-1,"x",IF(OR(DP265=1,DP$228=1,$GT167=1),DP167,0))</f>
        <v>x</v>
      </c>
      <c r="DQ350" s="85" t="str">
        <f>IF(DQ167=-1,"x",IF(OR(DQ265=1,DQ$228=1,$GU167=1),DQ167,0))</f>
        <v>x</v>
      </c>
      <c r="DR350" s="88" t="str">
        <f>IF(DR167=-1,"x",IF(OR(DR265=1,DR$228=1,$GV167=1),DR167,0))</f>
        <v>x</v>
      </c>
      <c r="DS350" s="89" t="str">
        <f>IF(DS167=-1,"x",IF(OR(DS265=1,DS$228=1,$GT167=1),DS167,0))</f>
        <v>x</v>
      </c>
      <c r="DT350" s="85" t="str">
        <f>IF(DT167=-1,"x",IF(OR(DT265=1,DT$228=1,$GU167=1),DT167,0))</f>
        <v>x</v>
      </c>
      <c r="DU350" s="87" t="str">
        <f>IF(DU167=-1,"x",IF(OR(DU265=1,DU$228=1,$GV167=1),DU167,0))</f>
        <v>x</v>
      </c>
      <c r="DV350" s="86" t="str">
        <f>IF(DV167=-1,"x",IF(OR(DV265=1,DV$228=1,$GT167=1),DV167,0))</f>
        <v>x</v>
      </c>
      <c r="DW350" s="85" t="str">
        <f>IF(DW167=-1,"x",IF(OR(DW265=1,DW$228=1,$GU167=1),DW167,0))</f>
        <v>x</v>
      </c>
      <c r="DX350" s="87" t="str">
        <f>IF(DX167=-1,"x",IF(OR(DX265=1,DX$228=1,$GV167=1),DX167,0))</f>
        <v>x</v>
      </c>
      <c r="DY350" s="86" t="str">
        <f>IF(DY167=-1,"x",IF(OR(DY265=1,DY$228=1,$GT167=1),DY167,0))</f>
        <v>x</v>
      </c>
      <c r="DZ350" s="85" t="str">
        <f>IF(DZ167=-1,"x",IF(OR(DZ265=1,DZ$228=1,$GU167=1),DZ167,0))</f>
        <v>x</v>
      </c>
      <c r="EA350" s="88" t="str">
        <f>IF(EA167=-1,"x",IF(OR(EA265=1,EA$228=1,$GV167=1),EA167,0))</f>
        <v>x</v>
      </c>
      <c r="EB350" s="89" t="str">
        <f>IF(EB167=-1,"x",IF(OR(EB265=1,EB$228=1,$GT167=1),EB167,0))</f>
        <v>x</v>
      </c>
      <c r="EC350" s="85" t="str">
        <f>IF(EC167=-1,"x",IF(OR(EC265=1,EC$228=1,$GU167=1),EC167,0))</f>
        <v>x</v>
      </c>
      <c r="ED350" s="87" t="str">
        <f>IF(ED167=-1,"x",IF(OR(ED265=1,ED$228=1,$GV167=1),ED167,0))</f>
        <v>x</v>
      </c>
      <c r="EE350" s="86" t="str">
        <f>IF(EE167=-1,"x",IF(OR(EE265=1,EE$228=1,$GT167=1),EE167,0))</f>
        <v>x</v>
      </c>
      <c r="EF350" s="85" t="str">
        <f>IF(EF167=-1,"x",IF(OR(EF265=1,EF$228=1,$GU167=1),EF167,0))</f>
        <v>x</v>
      </c>
      <c r="EG350" s="87" t="str">
        <f>IF(EG167=-1,"x",IF(OR(EG265=1,EG$228=1,$GV167=1),EG167,0))</f>
        <v>x</v>
      </c>
      <c r="EH350" s="86" t="str">
        <f>IF(EH167=-1,"x",IF(OR(EH265=1,EH$228=1,$GT167=1),EH167,0))</f>
        <v>x</v>
      </c>
      <c r="EI350" s="85" t="str">
        <f>IF(EI167=-1,"x",IF(OR(EI265=1,EI$228=1,$GU167=1),EI167,0))</f>
        <v>x</v>
      </c>
      <c r="EJ350" s="90" t="str">
        <f>IF(EJ167=-1,"x",IF(OR(EJ265=1,EJ$228=1,$GV167=1),EJ167,0))</f>
        <v>x</v>
      </c>
      <c r="EK350" s="84" t="str">
        <f>IF(EK167=-1,"x",IF(OR(EK265=1,EK$228=1,$GT167=1),EK167,0))</f>
        <v>x</v>
      </c>
      <c r="EL350" s="85" t="str">
        <f>IF(EL167=-1,"x",IF(OR(EL265=1,EL$228=1,$GU167=1),EL167,0))</f>
        <v>x</v>
      </c>
      <c r="EM350" s="87" t="str">
        <f>IF(EM167=-1,"x",IF(OR(EM265=1,EM$228=1,$GV167=1),EM167,0))</f>
        <v>x</v>
      </c>
      <c r="EN350" s="86" t="str">
        <f>IF(EN167=-1,"x",IF(OR(EN265=1,EN$228=1,$GT167=1),EN167,0))</f>
        <v>x</v>
      </c>
      <c r="EO350" s="85" t="str">
        <f>IF(EO167=-1,"x",IF(OR(EO265=1,EO$228=1,$GU167=1),EO167,0))</f>
        <v>x</v>
      </c>
      <c r="EP350" s="87" t="str">
        <f>IF(EP167=-1,"x",IF(OR(EP265=1,EP$228=1,$GV167=1),EP167,0))</f>
        <v>x</v>
      </c>
      <c r="EQ350" s="86" t="str">
        <f>IF(EQ167=-1,"x",IF(OR(EQ265=1,EQ$228=1,$GT167=1),EQ167,0))</f>
        <v>x</v>
      </c>
      <c r="ER350" s="85" t="str">
        <f>IF(ER167=-1,"x",IF(OR(ER265=1,ER$228=1,$GU167=1),ER167,0))</f>
        <v>x</v>
      </c>
      <c r="ES350" s="88" t="str">
        <f>IF(ES167=-1,"x",IF(OR(ES265=1,ES$228=1,$GV167=1),ES167,0))</f>
        <v>x</v>
      </c>
      <c r="ET350" s="89" t="str">
        <f>IF(ET167=-1,"x",IF(OR(ET265=1,ET$228=1,$GT167=1),ET167,0))</f>
        <v>x</v>
      </c>
      <c r="EU350" s="85" t="str">
        <f>IF(EU167=-1,"x",IF(OR(EU265=1,EU$228=1,$GU167=1),EU167,0))</f>
        <v>x</v>
      </c>
      <c r="EV350" s="87" t="str">
        <f>IF(EV167=-1,"x",IF(OR(EV265=1,EV$228=1,$GV167=1),EV167,0))</f>
        <v>x</v>
      </c>
      <c r="EW350" s="86" t="str">
        <f>IF(EW167=-1,"x",IF(OR(EW265=1,EW$228=1,$GT167=1),EW167,0))</f>
        <v>x</v>
      </c>
      <c r="EX350" s="85" t="str">
        <f>IF(EX167=-1,"x",IF(OR(EX265=1,EX$228=1,$GU167=1),EX167,0))</f>
        <v>x</v>
      </c>
      <c r="EY350" s="87" t="str">
        <f>IF(EY167=-1,"x",IF(OR(EY265=1,EY$228=1,$GV167=1),EY167,0))</f>
        <v>x</v>
      </c>
      <c r="EZ350" s="86" t="str">
        <f>IF(EZ167=-1,"x",IF(OR(EZ265=1,EZ$228=1,$GT167=1),EZ167,0))</f>
        <v>x</v>
      </c>
      <c r="FA350" s="85" t="str">
        <f>IF(FA167=-1,"x",IF(OR(FA265=1,FA$228=1,$GU167=1),FA167,0))</f>
        <v>x</v>
      </c>
      <c r="FB350" s="88" t="str">
        <f>IF(FB167=-1,"x",IF(OR(FB265=1,FB$228=1,$GV167=1),FB167,0))</f>
        <v>x</v>
      </c>
      <c r="FC350" s="89" t="str">
        <f>IF(FC167=-1,"x",IF(OR(FC265=1,FC$228=1,$GT167=1),FC167,0))</f>
        <v>x</v>
      </c>
      <c r="FD350" s="85" t="str">
        <f>IF(FD167=-1,"x",IF(OR(FD265=1,FD$228=1,$GU167=1),FD167,0))</f>
        <v>x</v>
      </c>
      <c r="FE350" s="87" t="str">
        <f>IF(FE167=-1,"x",IF(OR(FE265=1,FE$228=1,$GV167=1),FE167,0))</f>
        <v>x</v>
      </c>
      <c r="FF350" s="86" t="str">
        <f>IF(FF167=-1,"x",IF(OR(FF265=1,FF$228=1,$GT167=1),FF167,0))</f>
        <v>x</v>
      </c>
      <c r="FG350" s="85" t="str">
        <f>IF(FG167=-1,"x",IF(OR(FG265=1,FG$228=1,$GU167=1),FG167,0))</f>
        <v>x</v>
      </c>
      <c r="FH350" s="87" t="str">
        <f>IF(FH167=-1,"x",IF(OR(FH265=1,FH$228=1,$GV167=1),FH167,0))</f>
        <v>x</v>
      </c>
      <c r="FI350" s="86" t="str">
        <f>IF(FI167=-1,"x",IF(OR(FI265=1,FI$228=1,$GT167=1),FI167,0))</f>
        <v>x</v>
      </c>
      <c r="FJ350" s="85" t="str">
        <f>IF(FJ167=-1,"x",IF(OR(FJ265=1,FJ$228=1,$GU167=1),FJ167,0))</f>
        <v>x</v>
      </c>
      <c r="FK350" s="90" t="str">
        <f>IF(FK167=-1,"x",IF(OR(FK265=1,FK$228=1,$GV167=1),FK167,0))</f>
        <v>x</v>
      </c>
      <c r="FL350" s="84" t="str">
        <f>IF(FL167=-1,"x",IF(OR(FL265=1,FL$228=1,$GT167=1),FL167,0))</f>
        <v>x</v>
      </c>
      <c r="FM350" s="85" t="str">
        <f>IF(FM167=-1,"x",IF(OR(FM265=1,FM$228=1,$GU167=1),FM167,0))</f>
        <v>x</v>
      </c>
      <c r="FN350" s="87" t="str">
        <f>IF(FN167=-1,"x",IF(OR(FN265=1,FN$228=1,$GV167=1),FN167,0))</f>
        <v>x</v>
      </c>
      <c r="FO350" s="86" t="str">
        <f>IF(FO167=-1,"x",IF(OR(FO265=1,FO$228=1,$GT167=1),FO167,0))</f>
        <v>x</v>
      </c>
      <c r="FP350" s="85" t="str">
        <f>IF(FP167=-1,"x",IF(OR(FP265=1,FP$228=1,$GU167=1),FP167,0))</f>
        <v>x</v>
      </c>
      <c r="FQ350" s="87" t="str">
        <f>IF(FQ167=-1,"x",IF(OR(FQ265=1,FQ$228=1,$GV167=1),FQ167,0))</f>
        <v>x</v>
      </c>
      <c r="FR350" s="86" t="str">
        <f>IF(FR167=-1,"x",IF(OR(FR265=1,FR$228=1,$GT167=1),FR167,0))</f>
        <v>x</v>
      </c>
      <c r="FS350" s="85" t="str">
        <f>IF(FS167=-1,"x",IF(OR(FS265=1,FS$228=1,$GU167=1),FS167,0))</f>
        <v>x</v>
      </c>
      <c r="FT350" s="88" t="str">
        <f>IF(FT167=-1,"x",IF(OR(FT265=1,FT$228=1,$GV167=1),FT167,0))</f>
        <v>x</v>
      </c>
      <c r="FU350" s="89" t="str">
        <f>IF(FU167=-1,"x",IF(OR(FU265=1,FU$228=1,$GT167=1),FU167,0))</f>
        <v>x</v>
      </c>
      <c r="FV350" s="85" t="str">
        <f>IF(FV167=-1,"x",IF(OR(FV265=1,FV$228=1,$GU167=1),FV167,0))</f>
        <v>x</v>
      </c>
      <c r="FW350" s="87" t="str">
        <f>IF(FW167=-1,"x",IF(OR(FW265=1,FW$228=1,$GV167=1),FW167,0))</f>
        <v>x</v>
      </c>
      <c r="FX350" s="86" t="str">
        <f>IF(FX167=-1,"x",IF(OR(FX265=1,FX$228=1,$GT167=1),FX167,0))</f>
        <v>x</v>
      </c>
      <c r="FY350" s="85" t="str">
        <f>IF(FY167=-1,"x",IF(OR(FY265=1,FY$228=1,$GU167=1),FY167,0))</f>
        <v>x</v>
      </c>
      <c r="FZ350" s="87" t="str">
        <f>IF(FZ167=-1,"x",IF(OR(FZ265=1,FZ$228=1,$GV167=1),FZ167,0))</f>
        <v>x</v>
      </c>
      <c r="GA350" s="86" t="str">
        <f>IF(GA167=-1,"x",IF(OR(GA265=1,GA$228=1,$GT167=1),GA167,0))</f>
        <v>x</v>
      </c>
      <c r="GB350" s="85" t="str">
        <f>IF(GB167=-1,"x",IF(OR(GB265=1,GB$228=1,$GU167=1),GB167,0))</f>
        <v>x</v>
      </c>
      <c r="GC350" s="88" t="str">
        <f>IF(GC167=-1,"x",IF(OR(GC265=1,GC$228=1,$GV167=1),GC167,0))</f>
        <v>x</v>
      </c>
      <c r="GD350" s="89">
        <f>IF(GD167=-1,"x",IF(OR(GD265=1,GD$228=1,$GT167=1),GD167,0))</f>
        <v>0</v>
      </c>
      <c r="GE350" s="85">
        <f>IF(GE167=-1,"x",IF(OR(GE265=1,GE$228=1,$GU167=1),GE167,0))</f>
        <v>0</v>
      </c>
      <c r="GF350" s="87">
        <f>IF(GF167=-1,"x",IF(OR(GF265=1,GF$228=1,$GV167=1),GF167,0))</f>
        <v>0</v>
      </c>
      <c r="GG350" s="86" t="str">
        <f>IF(GG167=-1,"x",IF(OR(GG265=1,GG$228=1,$GT167=1),GG167,0))</f>
        <v>x</v>
      </c>
      <c r="GH350" s="85" t="str">
        <f>IF(GH167=-1,"x",IF(OR(GH265=1,GH$228=1,$GU167=1),GH167,0))</f>
        <v>x</v>
      </c>
      <c r="GI350" s="87" t="str">
        <f>IF(GI167=-1,"x",IF(OR(GI265=1,GI$228=1,$GV167=1),GI167,0))</f>
        <v>x</v>
      </c>
      <c r="GJ350" s="86">
        <f>IF(GJ167=-1,"x",IF(OR(GJ265=1,GJ$228=1,$GT167=1),GJ167,0))</f>
        <v>0</v>
      </c>
      <c r="GK350" s="85">
        <f>IF(GK167=-1,"x",IF(OR(GK265=1,GK$228=1,$GU167=1),GK167,0))</f>
        <v>0</v>
      </c>
      <c r="GL350" s="90">
        <f>IF(GL167=-1,"x",IF(OR(GL265=1,GL$228=1,$GV167=1),GL167,0))</f>
        <v>0</v>
      </c>
    </row>
    <row r="351" spans="14:194" ht="15" customHeight="1">
      <c r="N351" s="94" t="str">
        <f>IF(N168=-1,"x",IF(OR(N266=1,N$196=1,$CX168=1),N168,0))</f>
        <v>x</v>
      </c>
      <c r="O351" s="39" t="str">
        <f>IF(O168=-1,"x",IF(OR(O266=1,O$196=1,$CY168=1),O168,0))</f>
        <v>x</v>
      </c>
      <c r="P351" s="41" t="str">
        <f>IF(P168=-1,"x",IF(OR(P266=1,P$196=1,$CZ168=1),P168,0))</f>
        <v>x</v>
      </c>
      <c r="Q351" s="40" t="str">
        <f>IF(Q168=-1,"x",IF(OR(Q266=1,Q$196=1,$CX168=1),Q168,0))</f>
        <v>x</v>
      </c>
      <c r="R351" s="39" t="str">
        <f>IF(R168=-1,"x",IF(OR(R266=1,R$196=1,$CY168=1),R168,0))</f>
        <v>x</v>
      </c>
      <c r="S351" s="41" t="str">
        <f>IF(S168=-1,"x",IF(OR(S266=1,S$196=1,$CZ168=1),S168,0))</f>
        <v>x</v>
      </c>
      <c r="T351" s="40" t="str">
        <f>IF(T168=-1,"x",IF(OR(T266=1,T$196=1,$CX168=1),T168,0))</f>
        <v>x</v>
      </c>
      <c r="U351" s="39" t="str">
        <f>IF(U168=-1,"x",IF(OR(U266=1,U$196=1,$CY168=1),U168,0))</f>
        <v>x</v>
      </c>
      <c r="V351" s="42" t="str">
        <f>IF(V168=-1,"x",IF(OR(V266=1,V$196=1,$CZ168=1),V168,0))</f>
        <v>x</v>
      </c>
      <c r="W351" s="43" t="str">
        <f>IF(W168=-1,"x",IF(OR(W266=1,W$196=1,$CX168=1),W168,0))</f>
        <v>x</v>
      </c>
      <c r="X351" s="39" t="str">
        <f>IF(X168=-1,"x",IF(OR(X266=1,X$196=1,$CY168=1),X168,0))</f>
        <v>x</v>
      </c>
      <c r="Y351" s="41" t="str">
        <f>IF(Y168=-1,"x",IF(OR(Y266=1,Y$196=1,$CZ168=1),Y168,0))</f>
        <v>x</v>
      </c>
      <c r="Z351" s="40" t="str">
        <f>IF(Z168=-1,"x",IF(OR(Z266=1,Z$196=1,$CX168=1),Z168,0))</f>
        <v>x</v>
      </c>
      <c r="AA351" s="39" t="str">
        <f>IF(AA168=-1,"x",IF(OR(AA266=1,AA$196=1,$CY168=1),AA168,0))</f>
        <v>x</v>
      </c>
      <c r="AB351" s="41" t="str">
        <f>IF(AB168=-1,"x",IF(OR(AB266=1,AB$196=1,$CZ168=1),AB168,0))</f>
        <v>x</v>
      </c>
      <c r="AC351" s="40" t="str">
        <f>IF(AC168=-1,"x",IF(OR(AC266=1,AC$196=1,$CX168=1),AC168,0))</f>
        <v>x</v>
      </c>
      <c r="AD351" s="39" t="str">
        <f>IF(AD168=-1,"x",IF(OR(AD266=1,AD$196=1,$CY168=1),AD168,0))</f>
        <v>x</v>
      </c>
      <c r="AE351" s="42" t="str">
        <f>IF(AE168=-1,"x",IF(OR(AE266=1,AE$196=1,$CZ168=1),AE168,0))</f>
        <v>x</v>
      </c>
      <c r="AF351" s="43" t="str">
        <f>IF(AF168=-1,"x",IF(OR(AF266=1,AF$196=1,$CX168=1),AF168,0))</f>
        <v>x</v>
      </c>
      <c r="AG351" s="39" t="str">
        <f>IF(AG168=-1,"x",IF(OR(AG266=1,AG$196=1,$CY168=1),AG168,0))</f>
        <v>x</v>
      </c>
      <c r="AH351" s="41" t="str">
        <f>IF(AH168=-1,"x",IF(OR(AH266=1,AH$196=1,$CZ168=1),AH168,0))</f>
        <v>x</v>
      </c>
      <c r="AI351" s="40" t="str">
        <f>IF(AI168=-1,"x",IF(OR(AI266=1,AI$196=1,$CX168=1),AI168,0))</f>
        <v>x</v>
      </c>
      <c r="AJ351" s="39" t="str">
        <f>IF(AJ168=-1,"x",IF(OR(AJ266=1,AJ$196=1,$CY168=1),AJ168,0))</f>
        <v>x</v>
      </c>
      <c r="AK351" s="41" t="str">
        <f>IF(AK168=-1,"x",IF(OR(AK266=1,AK$196=1,$CZ168=1),AK168,0))</f>
        <v>x</v>
      </c>
      <c r="AL351" s="40" t="str">
        <f>IF(AL168=-1,"x",IF(OR(AL266=1,AL$196=1,$CX168=1),AL168,0))</f>
        <v>x</v>
      </c>
      <c r="AM351" s="39" t="str">
        <f>IF(AM168=-1,"x",IF(OR(AM266=1,AM$196=1,$CY168=1),AM168,0))</f>
        <v>x</v>
      </c>
      <c r="AN351" s="95" t="str">
        <f>IF(AN168=-1,"x",IF(OR(AN266=1,AN$196=1,$CZ168=1),AN168,0))</f>
        <v>x</v>
      </c>
      <c r="AO351" s="94" t="str">
        <f>IF(AO168=-1,"x",IF(OR(AO266=1,AO$196=1,$CX168=1),AO168,0))</f>
        <v>x</v>
      </c>
      <c r="AP351" s="39" t="str">
        <f>IF(AP168=-1,"x",IF(OR(AP266=1,AP$196=1,$CY168=1),AP168,0))</f>
        <v>x</v>
      </c>
      <c r="AQ351" s="41" t="str">
        <f>IF(AQ168=-1,"x",IF(OR(AQ266=1,AQ$196=1,$CZ168=1),AQ168,0))</f>
        <v>x</v>
      </c>
      <c r="AR351" s="40" t="str">
        <f>IF(AR168=-1,"x",IF(OR(AR266=1,AR$196=1,$CX168=1),AR168,0))</f>
        <v>x</v>
      </c>
      <c r="AS351" s="39" t="str">
        <f>IF(AS168=-1,"x",IF(OR(AS266=1,AS$196=1,$CY168=1),AS168,0))</f>
        <v>x</v>
      </c>
      <c r="AT351" s="41" t="str">
        <f>IF(AT168=-1,"x",IF(OR(AT266=1,AT$196=1,$CZ168=1),AT168,0))</f>
        <v>x</v>
      </c>
      <c r="AU351" s="40" t="str">
        <f>IF(AU168=-1,"x",IF(OR(AU266=1,AU$196=1,$CX168=1),AU168,0))</f>
        <v>x</v>
      </c>
      <c r="AV351" s="39" t="str">
        <f>IF(AV168=-1,"x",IF(OR(AV266=1,AV$196=1,$CY168=1),AV168,0))</f>
        <v>x</v>
      </c>
      <c r="AW351" s="42" t="str">
        <f>IF(AW168=-1,"x",IF(OR(AW266=1,AW$196=1,$CZ168=1),AW168,0))</f>
        <v>x</v>
      </c>
      <c r="AX351" s="43" t="str">
        <f>IF(AX168=-1,"x",IF(OR(AX266=1,AX$196=1,$CX168=1),AX168,0))</f>
        <v>x</v>
      </c>
      <c r="AY351" s="39" t="str">
        <f>IF(AY168=-1,"x",IF(OR(AY266=1,AY$196=1,$CY168=1),AY168,0))</f>
        <v>x</v>
      </c>
      <c r="AZ351" s="41" t="str">
        <f>IF(AZ168=-1,"x",IF(OR(AZ266=1,AZ$196=1,$CZ168=1),AZ168,0))</f>
        <v>x</v>
      </c>
      <c r="BA351" s="40" t="str">
        <f>IF(BA168=-1,"x",IF(OR(BA266=1,BA$196=1,$CX168=1),BA168,0))</f>
        <v>x</v>
      </c>
      <c r="BB351" s="39" t="str">
        <f>IF(BB168=-1,"x",IF(OR(BB266=1,BB$196=1,$CY168=1),BB168,0))</f>
        <v>x</v>
      </c>
      <c r="BC351" s="41" t="str">
        <f>IF(BC168=-1,"x",IF(OR(BC266=1,BC$196=1,$CZ168=1),BC168,0))</f>
        <v>x</v>
      </c>
      <c r="BD351" s="40">
        <f>IF(BD168=-1,"x",IF(OR(BD266=1,BD$196=1,$CX168=1),BD168,0))</f>
        <v>0</v>
      </c>
      <c r="BE351" s="39">
        <f>IF(BE168=-1,"x",IF(OR(BE266=1,BE$196=1,$CY168=1),BE168,0))</f>
        <v>0</v>
      </c>
      <c r="BF351" s="42">
        <f>IF(BF168=-1,"x",IF(OR(BF266=1,BF$196=1,$CZ168=1),BF168,0))</f>
        <v>0</v>
      </c>
      <c r="BG351" s="43" t="str">
        <f>IF(BG168=-1,"x",IF(OR(BG266=1,BG$196=1,$CX168=1),BG168,0))</f>
        <v>x</v>
      </c>
      <c r="BH351" s="39" t="str">
        <f>IF(BH168=-1,"x",IF(OR(BH266=1,BH$196=1,$CY168=1),BH168,0))</f>
        <v>x</v>
      </c>
      <c r="BI351" s="41" t="str">
        <f>IF(BI168=-1,"x",IF(OR(BI266=1,BI$196=1,$CZ168=1),BI168,0))</f>
        <v>x</v>
      </c>
      <c r="BJ351" s="40" t="str">
        <f>IF(BJ168=-1,"x",IF(OR(BJ266=1,BJ$196=1,$CX168=1),BJ168,0))</f>
        <v>x</v>
      </c>
      <c r="BK351" s="39" t="str">
        <f>IF(BK168=-1,"x",IF(OR(BK266=1,BK$196=1,$CY168=1),BK168,0))</f>
        <v>x</v>
      </c>
      <c r="BL351" s="41" t="str">
        <f>IF(BL168=-1,"x",IF(OR(BL266=1,BL$196=1,$CZ168=1),BL168,0))</f>
        <v>x</v>
      </c>
      <c r="BM351" s="40" t="str">
        <f>IF(BM168=-1,"x",IF(OR(BM266=1,BM$196=1,$CX168=1),BM168,0))</f>
        <v>x</v>
      </c>
      <c r="BN351" s="39" t="str">
        <f>IF(BN168=-1,"x",IF(OR(BN266=1,BN$196=1,$CY168=1),BN168,0))</f>
        <v>x</v>
      </c>
      <c r="BO351" s="95" t="str">
        <f>IF(BO168=-1,"x",IF(OR(BO266=1,BO$196=1,$CZ168=1),BO168,0))</f>
        <v>x</v>
      </c>
      <c r="BP351" s="94" t="str">
        <f>IF(BP168=-1,"x",IF(OR(BP266=1,BP$196=1,$CX168=1),BP168,0))</f>
        <v>x</v>
      </c>
      <c r="BQ351" s="39" t="str">
        <f>IF(BQ168=-1,"x",IF(OR(BQ266=1,BQ$196=1,$CY168=1),BQ168,0))</f>
        <v>x</v>
      </c>
      <c r="BR351" s="41" t="str">
        <f>IF(BR168=-1,"x",IF(OR(BR266=1,BR$196=1,$CZ168=1),BR168,0))</f>
        <v>x</v>
      </c>
      <c r="BS351" s="40" t="str">
        <f>IF(BS168=-1,"x",IF(OR(BS266=1,BS$196=1,$CX168=1),BS168,0))</f>
        <v>x</v>
      </c>
      <c r="BT351" s="39" t="str">
        <f>IF(BT168=-1,"x",IF(OR(BT266=1,BT$196=1,$CY168=1),BT168,0))</f>
        <v>x</v>
      </c>
      <c r="BU351" s="41" t="str">
        <f>IF(BU168=-1,"x",IF(OR(BU266=1,BU$196=1,$CZ168=1),BU168,0))</f>
        <v>x</v>
      </c>
      <c r="BV351" s="40" t="str">
        <f>IF(BV168=-1,"x",IF(OR(BV266=1,BV$196=1,$CX168=1),BV168,0))</f>
        <v>x</v>
      </c>
      <c r="BW351" s="39" t="str">
        <f>IF(BW168=-1,"x",IF(OR(BW266=1,BW$196=1,$CY168=1),BW168,0))</f>
        <v>x</v>
      </c>
      <c r="BX351" s="42" t="str">
        <f>IF(BX168=-1,"x",IF(OR(BX266=1,BX$196=1,$CZ168=1),BX168,0))</f>
        <v>x</v>
      </c>
      <c r="BY351" s="43" t="str">
        <f>IF(BY168=-1,"x",IF(OR(BY266=1,BY$196=1,$CX168=1),BY168,0))</f>
        <v>x</v>
      </c>
      <c r="BZ351" s="39" t="str">
        <f>IF(BZ168=-1,"x",IF(OR(BZ266=1,BZ$196=1,$CY168=1),BZ168,0))</f>
        <v>x</v>
      </c>
      <c r="CA351" s="41" t="str">
        <f>IF(CA168=-1,"x",IF(OR(CA266=1,CA$196=1,$CZ168=1),CA168,0))</f>
        <v>x</v>
      </c>
      <c r="CB351" s="40" t="str">
        <f>IF(CB168=-1,"x",IF(OR(CB266=1,CB$196=1,$CX168=1),CB168,0))</f>
        <v>x</v>
      </c>
      <c r="CC351" s="39" t="str">
        <f>IF(CC168=-1,"x",IF(OR(CC266=1,CC$196=1,$CY168=1),CC168,0))</f>
        <v>x</v>
      </c>
      <c r="CD351" s="41" t="str">
        <f>IF(CD168=-1,"x",IF(OR(CD266=1,CD$196=1,$CZ168=1),CD168,0))</f>
        <v>x</v>
      </c>
      <c r="CE351" s="40" t="str">
        <f>IF(CE168=-1,"x",IF(OR(CE266=1,CE$196=1,$CX168=1),CE168,0))</f>
        <v>x</v>
      </c>
      <c r="CF351" s="39" t="str">
        <f>IF(CF168=-1,"x",IF(OR(CF266=1,CF$196=1,$CY168=1),CF168,0))</f>
        <v>x</v>
      </c>
      <c r="CG351" s="42" t="str">
        <f>IF(CG168=-1,"x",IF(OR(CG266=1,CG$196=1,$CZ168=1),CG168,0))</f>
        <v>x</v>
      </c>
      <c r="CH351" s="43" t="str">
        <f>IF(CH168=-1,"x",IF(OR(CH266=1,CH$196=1,$CX168=1),CH168,0))</f>
        <v>x</v>
      </c>
      <c r="CI351" s="39" t="str">
        <f>IF(CI168=-1,"x",IF(OR(CI266=1,CI$196=1,$CY168=1),CI168,0))</f>
        <v>x</v>
      </c>
      <c r="CJ351" s="41" t="str">
        <f>IF(CJ168=-1,"x",IF(OR(CJ266=1,CJ$196=1,$CZ168=1),CJ168,0))</f>
        <v>x</v>
      </c>
      <c r="CK351" s="40" t="str">
        <f>IF(CK168=-1,"x",IF(OR(CK266=1,CK$196=1,$CX168=1),CK168,0))</f>
        <v>x</v>
      </c>
      <c r="CL351" s="39" t="str">
        <f>IF(CL168=-1,"x",IF(OR(CL266=1,CL$196=1,$CY168=1),CL168,0))</f>
        <v>x</v>
      </c>
      <c r="CM351" s="41" t="str">
        <f>IF(CM168=-1,"x",IF(OR(CM266=1,CM$196=1,$CZ168=1),CM168,0))</f>
        <v>x</v>
      </c>
      <c r="CN351" s="40" t="str">
        <f>IF(CN168=-1,"x",IF(OR(CN266=1,CN$196=1,$CX168=1),CN168,0))</f>
        <v>x</v>
      </c>
      <c r="CO351" s="39" t="str">
        <f>IF(CO168=-1,"x",IF(OR(CO266=1,CO$196=1,$CY168=1),CO168,0))</f>
        <v>x</v>
      </c>
      <c r="CP351" s="95" t="str">
        <f>IF(CP168=-1,"x",IF(OR(CP266=1,CP$196=1,$CZ168=1),CP168,0))</f>
        <v>x</v>
      </c>
      <c r="DJ351" s="94" t="str">
        <f>IF(DJ168=-1,"x",IF(OR(DJ266=1,DJ$229=1,$GT168=1),DJ168,0))</f>
        <v>x</v>
      </c>
      <c r="DK351" s="39" t="str">
        <f>IF(DK168=-1,"x",IF(OR(DK266=1,DK$229=1,$GU168=1),DK168,0))</f>
        <v>x</v>
      </c>
      <c r="DL351" s="41" t="str">
        <f>IF(DL168=-1,"x",IF(OR(DL266=1,DL$229=1,$GV168=1),DL168,0))</f>
        <v>x</v>
      </c>
      <c r="DM351" s="40" t="str">
        <f>IF(DM168=-1,"x",IF(OR(DM266=1,DM$229=1,$GT168=1),DM168,0))</f>
        <v>x</v>
      </c>
      <c r="DN351" s="39" t="str">
        <f>IF(DN168=-1,"x",IF(OR(DN266=1,DN$229=1,$GU168=1),DN168,0))</f>
        <v>x</v>
      </c>
      <c r="DO351" s="41" t="str">
        <f>IF(DO168=-1,"x",IF(OR(DO266=1,DO$229=1,$GV168=1),DO168,0))</f>
        <v>x</v>
      </c>
      <c r="DP351" s="40" t="str">
        <f>IF(DP168=-1,"x",IF(OR(DP266=1,DP$229=1,$GT168=1),DP168,0))</f>
        <v>x</v>
      </c>
      <c r="DQ351" s="39" t="str">
        <f>IF(DQ168=-1,"x",IF(OR(DQ266=1,DQ$229=1,$GU168=1),DQ168,0))</f>
        <v>x</v>
      </c>
      <c r="DR351" s="42" t="str">
        <f>IF(DR168=-1,"x",IF(OR(DR266=1,DR$229=1,$GV168=1),DR168,0))</f>
        <v>x</v>
      </c>
      <c r="DS351" s="43" t="str">
        <f>IF(DS168=-1,"x",IF(OR(DS266=1,DS$229=1,$GT168=1),DS168,0))</f>
        <v>x</v>
      </c>
      <c r="DT351" s="39" t="str">
        <f>IF(DT168=-1,"x",IF(OR(DT266=1,DT$229=1,$GU168=1),DT168,0))</f>
        <v>x</v>
      </c>
      <c r="DU351" s="41" t="str">
        <f>IF(DU168=-1,"x",IF(OR(DU266=1,DU$229=1,$GV168=1),DU168,0))</f>
        <v>x</v>
      </c>
      <c r="DV351" s="40" t="str">
        <f>IF(DV168=-1,"x",IF(OR(DV266=1,DV$229=1,$GT168=1),DV168,0))</f>
        <v>x</v>
      </c>
      <c r="DW351" s="39" t="str">
        <f>IF(DW168=-1,"x",IF(OR(DW266=1,DW$229=1,$GU168=1),DW168,0))</f>
        <v>x</v>
      </c>
      <c r="DX351" s="41" t="str">
        <f>IF(DX168=-1,"x",IF(OR(DX266=1,DX$229=1,$GV168=1),DX168,0))</f>
        <v>x</v>
      </c>
      <c r="DY351" s="40" t="str">
        <f>IF(DY168=-1,"x",IF(OR(DY266=1,DY$229=1,$GT168=1),DY168,0))</f>
        <v>x</v>
      </c>
      <c r="DZ351" s="39" t="str">
        <f>IF(DZ168=-1,"x",IF(OR(DZ266=1,DZ$229=1,$GU168=1),DZ168,0))</f>
        <v>x</v>
      </c>
      <c r="EA351" s="42" t="str">
        <f>IF(EA168=-1,"x",IF(OR(EA266=1,EA$229=1,$GV168=1),EA168,0))</f>
        <v>x</v>
      </c>
      <c r="EB351" s="43" t="str">
        <f>IF(EB168=-1,"x",IF(OR(EB266=1,EB$229=1,$GT168=1),EB168,0))</f>
        <v>x</v>
      </c>
      <c r="EC351" s="39" t="str">
        <f>IF(EC168=-1,"x",IF(OR(EC266=1,EC$229=1,$GU168=1),EC168,0))</f>
        <v>x</v>
      </c>
      <c r="ED351" s="41" t="str">
        <f>IF(ED168=-1,"x",IF(OR(ED266=1,ED$229=1,$GV168=1),ED168,0))</f>
        <v>x</v>
      </c>
      <c r="EE351" s="40" t="str">
        <f>IF(EE168=-1,"x",IF(OR(EE266=1,EE$229=1,$GT168=1),EE168,0))</f>
        <v>x</v>
      </c>
      <c r="EF351" s="39" t="str">
        <f>IF(EF168=-1,"x",IF(OR(EF266=1,EF$229=1,$GU168=1),EF168,0))</f>
        <v>x</v>
      </c>
      <c r="EG351" s="41" t="str">
        <f>IF(EG168=-1,"x",IF(OR(EG266=1,EG$229=1,$GV168=1),EG168,0))</f>
        <v>x</v>
      </c>
      <c r="EH351" s="40" t="str">
        <f>IF(EH168=-1,"x",IF(OR(EH266=1,EH$229=1,$GT168=1),EH168,0))</f>
        <v>x</v>
      </c>
      <c r="EI351" s="39" t="str">
        <f>IF(EI168=-1,"x",IF(OR(EI266=1,EI$229=1,$GU168=1),EI168,0))</f>
        <v>x</v>
      </c>
      <c r="EJ351" s="95" t="str">
        <f>IF(EJ168=-1,"x",IF(OR(EJ266=1,EJ$229=1,$GV168=1),EJ168,0))</f>
        <v>x</v>
      </c>
      <c r="EK351" s="94" t="str">
        <f>IF(EK168=-1,"x",IF(OR(EK266=1,EK$229=1,$GT168=1),EK168,0))</f>
        <v>x</v>
      </c>
      <c r="EL351" s="39" t="str">
        <f>IF(EL168=-1,"x",IF(OR(EL266=1,EL$229=1,$GU168=1),EL168,0))</f>
        <v>x</v>
      </c>
      <c r="EM351" s="41" t="str">
        <f>IF(EM168=-1,"x",IF(OR(EM266=1,EM$229=1,$GV168=1),EM168,0))</f>
        <v>x</v>
      </c>
      <c r="EN351" s="40" t="str">
        <f>IF(EN168=-1,"x",IF(OR(EN266=1,EN$229=1,$GT168=1),EN168,0))</f>
        <v>x</v>
      </c>
      <c r="EO351" s="39" t="str">
        <f>IF(EO168=-1,"x",IF(OR(EO266=1,EO$229=1,$GU168=1),EO168,0))</f>
        <v>x</v>
      </c>
      <c r="EP351" s="41" t="str">
        <f>IF(EP168=-1,"x",IF(OR(EP266=1,EP$229=1,$GV168=1),EP168,0))</f>
        <v>x</v>
      </c>
      <c r="EQ351" s="40" t="str">
        <f>IF(EQ168=-1,"x",IF(OR(EQ266=1,EQ$229=1,$GT168=1),EQ168,0))</f>
        <v>x</v>
      </c>
      <c r="ER351" s="39" t="str">
        <f>IF(ER168=-1,"x",IF(OR(ER266=1,ER$229=1,$GU168=1),ER168,0))</f>
        <v>x</v>
      </c>
      <c r="ES351" s="42" t="str">
        <f>IF(ES168=-1,"x",IF(OR(ES266=1,ES$229=1,$GV168=1),ES168,0))</f>
        <v>x</v>
      </c>
      <c r="ET351" s="43" t="str">
        <f>IF(ET168=-1,"x",IF(OR(ET266=1,ET$229=1,$GT168=1),ET168,0))</f>
        <v>x</v>
      </c>
      <c r="EU351" s="39" t="str">
        <f>IF(EU168=-1,"x",IF(OR(EU266=1,EU$229=1,$GU168=1),EU168,0))</f>
        <v>x</v>
      </c>
      <c r="EV351" s="41" t="str">
        <f>IF(EV168=-1,"x",IF(OR(EV266=1,EV$229=1,$GV168=1),EV168,0))</f>
        <v>x</v>
      </c>
      <c r="EW351" s="40" t="str">
        <f>IF(EW168=-1,"x",IF(OR(EW266=1,EW$229=1,$GT168=1),EW168,0))</f>
        <v>x</v>
      </c>
      <c r="EX351" s="39" t="str">
        <f>IF(EX168=-1,"x",IF(OR(EX266=1,EX$229=1,$GU168=1),EX168,0))</f>
        <v>x</v>
      </c>
      <c r="EY351" s="41" t="str">
        <f>IF(EY168=-1,"x",IF(OR(EY266=1,EY$229=1,$GV168=1),EY168,0))</f>
        <v>x</v>
      </c>
      <c r="EZ351" s="40" t="str">
        <f>IF(EZ168=-1,"x",IF(OR(EZ266=1,EZ$229=1,$GT168=1),EZ168,0))</f>
        <v>x</v>
      </c>
      <c r="FA351" s="39" t="str">
        <f>IF(FA168=-1,"x",IF(OR(FA266=1,FA$229=1,$GU168=1),FA168,0))</f>
        <v>x</v>
      </c>
      <c r="FB351" s="42" t="str">
        <f>IF(FB168=-1,"x",IF(OR(FB266=1,FB$229=1,$GV168=1),FB168,0))</f>
        <v>x</v>
      </c>
      <c r="FC351" s="43" t="str">
        <f>IF(FC168=-1,"x",IF(OR(FC266=1,FC$229=1,$GT168=1),FC168,0))</f>
        <v>x</v>
      </c>
      <c r="FD351" s="39" t="str">
        <f>IF(FD168=-1,"x",IF(OR(FD266=1,FD$229=1,$GU168=1),FD168,0))</f>
        <v>x</v>
      </c>
      <c r="FE351" s="41" t="str">
        <f>IF(FE168=-1,"x",IF(OR(FE266=1,FE$229=1,$GV168=1),FE168,0))</f>
        <v>x</v>
      </c>
      <c r="FF351" s="40" t="str">
        <f>IF(FF168=-1,"x",IF(OR(FF266=1,FF$229=1,$GT168=1),FF168,0))</f>
        <v>x</v>
      </c>
      <c r="FG351" s="39" t="str">
        <f>IF(FG168=-1,"x",IF(OR(FG266=1,FG$229=1,$GU168=1),FG168,0))</f>
        <v>x</v>
      </c>
      <c r="FH351" s="41" t="str">
        <f>IF(FH168=-1,"x",IF(OR(FH266=1,FH$229=1,$GV168=1),FH168,0))</f>
        <v>x</v>
      </c>
      <c r="FI351" s="40" t="str">
        <f>IF(FI168=-1,"x",IF(OR(FI266=1,FI$229=1,$GT168=1),FI168,0))</f>
        <v>x</v>
      </c>
      <c r="FJ351" s="39" t="str">
        <f>IF(FJ168=-1,"x",IF(OR(FJ266=1,FJ$229=1,$GU168=1),FJ168,0))</f>
        <v>x</v>
      </c>
      <c r="FK351" s="95" t="str">
        <f>IF(FK168=-1,"x",IF(OR(FK266=1,FK$229=1,$GV168=1),FK168,0))</f>
        <v>x</v>
      </c>
      <c r="FL351" s="94" t="str">
        <f>IF(FL168=-1,"x",IF(OR(FL266=1,FL$229=1,$GT168=1),FL168,0))</f>
        <v>x</v>
      </c>
      <c r="FM351" s="39" t="str">
        <f>IF(FM168=-1,"x",IF(OR(FM266=1,FM$229=1,$GU168=1),FM168,0))</f>
        <v>x</v>
      </c>
      <c r="FN351" s="41" t="str">
        <f>IF(FN168=-1,"x",IF(OR(FN266=1,FN$229=1,$GV168=1),FN168,0))</f>
        <v>x</v>
      </c>
      <c r="FO351" s="40" t="str">
        <f>IF(FO168=-1,"x",IF(OR(FO266=1,FO$229=1,$GT168=1),FO168,0))</f>
        <v>x</v>
      </c>
      <c r="FP351" s="39" t="str">
        <f>IF(FP168=-1,"x",IF(OR(FP266=1,FP$229=1,$GU168=1),FP168,0))</f>
        <v>x</v>
      </c>
      <c r="FQ351" s="41" t="str">
        <f>IF(FQ168=-1,"x",IF(OR(FQ266=1,FQ$229=1,$GV168=1),FQ168,0))</f>
        <v>x</v>
      </c>
      <c r="FR351" s="40" t="str">
        <f>IF(FR168=-1,"x",IF(OR(FR266=1,FR$229=1,$GT168=1),FR168,0))</f>
        <v>x</v>
      </c>
      <c r="FS351" s="39" t="str">
        <f>IF(FS168=-1,"x",IF(OR(FS266=1,FS$229=1,$GU168=1),FS168,0))</f>
        <v>x</v>
      </c>
      <c r="FT351" s="42" t="str">
        <f>IF(FT168=-1,"x",IF(OR(FT266=1,FT$229=1,$GV168=1),FT168,0))</f>
        <v>x</v>
      </c>
      <c r="FU351" s="43" t="str">
        <f>IF(FU168=-1,"x",IF(OR(FU266=1,FU$229=1,$GT168=1),FU168,0))</f>
        <v>x</v>
      </c>
      <c r="FV351" s="39" t="str">
        <f>IF(FV168=-1,"x",IF(OR(FV266=1,FV$229=1,$GU168=1),FV168,0))</f>
        <v>x</v>
      </c>
      <c r="FW351" s="41" t="str">
        <f>IF(FW168=-1,"x",IF(OR(FW266=1,FW$229=1,$GV168=1),FW168,0))</f>
        <v>x</v>
      </c>
      <c r="FX351" s="40" t="str">
        <f>IF(FX168=-1,"x",IF(OR(FX266=1,FX$229=1,$GT168=1),FX168,0))</f>
        <v>x</v>
      </c>
      <c r="FY351" s="39" t="str">
        <f>IF(FY168=-1,"x",IF(OR(FY266=1,FY$229=1,$GU168=1),FY168,0))</f>
        <v>x</v>
      </c>
      <c r="FZ351" s="41" t="str">
        <f>IF(FZ168=-1,"x",IF(OR(FZ266=1,FZ$229=1,$GV168=1),FZ168,0))</f>
        <v>x</v>
      </c>
      <c r="GA351" s="40" t="str">
        <f>IF(GA168=-1,"x",IF(OR(GA266=1,GA$229=1,$GT168=1),GA168,0))</f>
        <v>x</v>
      </c>
      <c r="GB351" s="39" t="str">
        <f>IF(GB168=-1,"x",IF(OR(GB266=1,GB$229=1,$GU168=1),GB168,0))</f>
        <v>x</v>
      </c>
      <c r="GC351" s="42" t="str">
        <f>IF(GC168=-1,"x",IF(OR(GC266=1,GC$229=1,$GV168=1),GC168,0))</f>
        <v>x</v>
      </c>
      <c r="GD351" s="43">
        <f>IF(GD168=-1,"x",IF(OR(GD266=1,GD$229=1,$GT168=1),GD168,0))</f>
        <v>0</v>
      </c>
      <c r="GE351" s="39">
        <f>IF(GE168=-1,"x",IF(OR(GE266=1,GE$229=1,$GU168=1),GE168,0))</f>
        <v>0</v>
      </c>
      <c r="GF351" s="41">
        <f>IF(GF168=-1,"x",IF(OR(GF266=1,GF$229=1,$GV168=1),GF168,0))</f>
        <v>0</v>
      </c>
      <c r="GG351" s="40" t="str">
        <f>IF(GG168=-1,"x",IF(OR(GG266=1,GG$229=1,$GT168=1),GG168,0))</f>
        <v>x</v>
      </c>
      <c r="GH351" s="39" t="str">
        <f>IF(GH168=-1,"x",IF(OR(GH266=1,GH$229=1,$GU168=1),GH168,0))</f>
        <v>x</v>
      </c>
      <c r="GI351" s="41" t="str">
        <f>IF(GI168=-1,"x",IF(OR(GI266=1,GI$229=1,$GV168=1),GI168,0))</f>
        <v>x</v>
      </c>
      <c r="GJ351" s="40">
        <f>IF(GJ168=-1,"x",IF(OR(GJ266=1,GJ$229=1,$GT168=1),GJ168,0))</f>
        <v>0</v>
      </c>
      <c r="GK351" s="39">
        <f>IF(GK168=-1,"x",IF(OR(GK266=1,GK$229=1,$GU168=1),GK168,0))</f>
        <v>5</v>
      </c>
      <c r="GL351" s="95">
        <f>IF(GL168=-1,"x",IF(OR(GL266=1,GL$229=1,$GV168=1),GL168,0))</f>
        <v>0</v>
      </c>
    </row>
    <row r="352" spans="14:194" ht="15" customHeight="1" thickBot="1">
      <c r="N352" s="106" t="str">
        <f>IF(N169=-1,"x",IF(OR(N267=1,N$197=1,$CX169=1),N169,0))</f>
        <v>x</v>
      </c>
      <c r="O352" s="55" t="str">
        <f>IF(O169=-1,"x",IF(OR(O267=1,O$197=1,$CY169=1),O169,0))</f>
        <v>x</v>
      </c>
      <c r="P352" s="56" t="str">
        <f>IF(P169=-1,"x",IF(OR(P267=1,P$197=1,$CZ169=1),P169,0))</f>
        <v>x</v>
      </c>
      <c r="Q352" s="57" t="str">
        <f>IF(Q169=-1,"x",IF(OR(Q267=1,Q$197=1,$CX169=1),Q169,0))</f>
        <v>x</v>
      </c>
      <c r="R352" s="55" t="str">
        <f>IF(R169=-1,"x",IF(OR(R267=1,R$197=1,$CY169=1),R169,0))</f>
        <v>x</v>
      </c>
      <c r="S352" s="56" t="str">
        <f>IF(S169=-1,"x",IF(OR(S267=1,S$197=1,$CZ169=1),S169,0))</f>
        <v>x</v>
      </c>
      <c r="T352" s="57" t="str">
        <f>IF(T169=-1,"x",IF(OR(T267=1,T$197=1,$CX169=1),T169,0))</f>
        <v>x</v>
      </c>
      <c r="U352" s="55" t="str">
        <f>IF(U169=-1,"x",IF(OR(U267=1,U$197=1,$CY169=1),U169,0))</f>
        <v>x</v>
      </c>
      <c r="V352" s="58" t="str">
        <f>IF(V169=-1,"x",IF(OR(V267=1,V$197=1,$CZ169=1),V169,0))</f>
        <v>x</v>
      </c>
      <c r="W352" s="54" t="str">
        <f>IF(W169=-1,"x",IF(OR(W267=1,W$197=1,$CX169=1),W169,0))</f>
        <v>x</v>
      </c>
      <c r="X352" s="55" t="str">
        <f>IF(X169=-1,"x",IF(OR(X267=1,X$197=1,$CY169=1),X169,0))</f>
        <v>x</v>
      </c>
      <c r="Y352" s="56" t="str">
        <f>IF(Y169=-1,"x",IF(OR(Y267=1,Y$197=1,$CZ169=1),Y169,0))</f>
        <v>x</v>
      </c>
      <c r="Z352" s="57" t="str">
        <f>IF(Z169=-1,"x",IF(OR(Z267=1,Z$197=1,$CX169=1),Z169,0))</f>
        <v>x</v>
      </c>
      <c r="AA352" s="55" t="str">
        <f>IF(AA169=-1,"x",IF(OR(AA267=1,AA$197=1,$CY169=1),AA169,0))</f>
        <v>x</v>
      </c>
      <c r="AB352" s="56" t="str">
        <f>IF(AB169=-1,"x",IF(OR(AB267=1,AB$197=1,$CZ169=1),AB169,0))</f>
        <v>x</v>
      </c>
      <c r="AC352" s="57" t="str">
        <f>IF(AC169=-1,"x",IF(OR(AC267=1,AC$197=1,$CX169=1),AC169,0))</f>
        <v>x</v>
      </c>
      <c r="AD352" s="55" t="str">
        <f>IF(AD169=-1,"x",IF(OR(AD267=1,AD$197=1,$CY169=1),AD169,0))</f>
        <v>x</v>
      </c>
      <c r="AE352" s="58" t="str">
        <f>IF(AE169=-1,"x",IF(OR(AE267=1,AE$197=1,$CZ169=1),AE169,0))</f>
        <v>x</v>
      </c>
      <c r="AF352" s="54" t="str">
        <f>IF(AF169=-1,"x",IF(OR(AF267=1,AF$197=1,$CX169=1),AF169,0))</f>
        <v>x</v>
      </c>
      <c r="AG352" s="55" t="str">
        <f>IF(AG169=-1,"x",IF(OR(AG267=1,AG$197=1,$CY169=1),AG169,0))</f>
        <v>x</v>
      </c>
      <c r="AH352" s="56" t="str">
        <f>IF(AH169=-1,"x",IF(OR(AH267=1,AH$197=1,$CZ169=1),AH169,0))</f>
        <v>x</v>
      </c>
      <c r="AI352" s="57" t="str">
        <f>IF(AI169=-1,"x",IF(OR(AI267=1,AI$197=1,$CX169=1),AI169,0))</f>
        <v>x</v>
      </c>
      <c r="AJ352" s="55" t="str">
        <f>IF(AJ169=-1,"x",IF(OR(AJ267=1,AJ$197=1,$CY169=1),AJ169,0))</f>
        <v>x</v>
      </c>
      <c r="AK352" s="56" t="str">
        <f>IF(AK169=-1,"x",IF(OR(AK267=1,AK$197=1,$CZ169=1),AK169,0))</f>
        <v>x</v>
      </c>
      <c r="AL352" s="57" t="str">
        <f>IF(AL169=-1,"x",IF(OR(AL267=1,AL$197=1,$CX169=1),AL169,0))</f>
        <v>x</v>
      </c>
      <c r="AM352" s="55" t="str">
        <f>IF(AM169=-1,"x",IF(OR(AM267=1,AM$197=1,$CY169=1),AM169,0))</f>
        <v>x</v>
      </c>
      <c r="AN352" s="107" t="str">
        <f>IF(AN169=-1,"x",IF(OR(AN267=1,AN$197=1,$CZ169=1),AN169,0))</f>
        <v>x</v>
      </c>
      <c r="AO352" s="106" t="str">
        <f>IF(AO169=-1,"x",IF(OR(AO267=1,AO$197=1,$CX169=1),AO169,0))</f>
        <v>x</v>
      </c>
      <c r="AP352" s="55" t="str">
        <f>IF(AP169=-1,"x",IF(OR(AP267=1,AP$197=1,$CY169=1),AP169,0))</f>
        <v>x</v>
      </c>
      <c r="AQ352" s="56" t="str">
        <f>IF(AQ169=-1,"x",IF(OR(AQ267=1,AQ$197=1,$CZ169=1),AQ169,0))</f>
        <v>x</v>
      </c>
      <c r="AR352" s="57" t="str">
        <f>IF(AR169=-1,"x",IF(OR(AR267=1,AR$197=1,$CX169=1),AR169,0))</f>
        <v>x</v>
      </c>
      <c r="AS352" s="55" t="str">
        <f>IF(AS169=-1,"x",IF(OR(AS267=1,AS$197=1,$CY169=1),AS169,0))</f>
        <v>x</v>
      </c>
      <c r="AT352" s="56" t="str">
        <f>IF(AT169=-1,"x",IF(OR(AT267=1,AT$197=1,$CZ169=1),AT169,0))</f>
        <v>x</v>
      </c>
      <c r="AU352" s="57" t="str">
        <f>IF(AU169=-1,"x",IF(OR(AU267=1,AU$197=1,$CX169=1),AU169,0))</f>
        <v>x</v>
      </c>
      <c r="AV352" s="55" t="str">
        <f>IF(AV169=-1,"x",IF(OR(AV267=1,AV$197=1,$CY169=1),AV169,0))</f>
        <v>x</v>
      </c>
      <c r="AW352" s="58" t="str">
        <f>IF(AW169=-1,"x",IF(OR(AW267=1,AW$197=1,$CZ169=1),AW169,0))</f>
        <v>x</v>
      </c>
      <c r="AX352" s="54" t="str">
        <f>IF(AX169=-1,"x",IF(OR(AX267=1,AX$197=1,$CX169=1),AX169,0))</f>
        <v>x</v>
      </c>
      <c r="AY352" s="55" t="str">
        <f>IF(AY169=-1,"x",IF(OR(AY267=1,AY$197=1,$CY169=1),AY169,0))</f>
        <v>x</v>
      </c>
      <c r="AZ352" s="56" t="str">
        <f>IF(AZ169=-1,"x",IF(OR(AZ267=1,AZ$197=1,$CZ169=1),AZ169,0))</f>
        <v>x</v>
      </c>
      <c r="BA352" s="57" t="str">
        <f>IF(BA169=-1,"x",IF(OR(BA267=1,BA$197=1,$CX169=1),BA169,0))</f>
        <v>x</v>
      </c>
      <c r="BB352" s="55" t="str">
        <f>IF(BB169=-1,"x",IF(OR(BB267=1,BB$197=1,$CY169=1),BB169,0))</f>
        <v>x</v>
      </c>
      <c r="BC352" s="56" t="str">
        <f>IF(BC169=-1,"x",IF(OR(BC267=1,BC$197=1,$CZ169=1),BC169,0))</f>
        <v>x</v>
      </c>
      <c r="BD352" s="57">
        <f>IF(BD169=-1,"x",IF(OR(BD267=1,BD$197=1,$CX169=1),BD169,0))</f>
        <v>0</v>
      </c>
      <c r="BE352" s="55">
        <f>IF(BE169=-1,"x",IF(OR(BE267=1,BE$197=1,$CY169=1),BE169,0))</f>
        <v>0</v>
      </c>
      <c r="BF352" s="58">
        <f>IF(BF169=-1,"x",IF(OR(BF267=1,BF$197=1,$CZ169=1),BF169,0))</f>
        <v>0</v>
      </c>
      <c r="BG352" s="54" t="str">
        <f>IF(BG169=-1,"x",IF(OR(BG267=1,BG$197=1,$CX169=1),BG169,0))</f>
        <v>x</v>
      </c>
      <c r="BH352" s="55" t="str">
        <f>IF(BH169=-1,"x",IF(OR(BH267=1,BH$197=1,$CY169=1),BH169,0))</f>
        <v>x</v>
      </c>
      <c r="BI352" s="56" t="str">
        <f>IF(BI169=-1,"x",IF(OR(BI267=1,BI$197=1,$CZ169=1),BI169,0))</f>
        <v>x</v>
      </c>
      <c r="BJ352" s="57" t="str">
        <f>IF(BJ169=-1,"x",IF(OR(BJ267=1,BJ$197=1,$CX169=1),BJ169,0))</f>
        <v>x</v>
      </c>
      <c r="BK352" s="55" t="str">
        <f>IF(BK169=-1,"x",IF(OR(BK267=1,BK$197=1,$CY169=1),BK169,0))</f>
        <v>x</v>
      </c>
      <c r="BL352" s="56" t="str">
        <f>IF(BL169=-1,"x",IF(OR(BL267=1,BL$197=1,$CZ169=1),BL169,0))</f>
        <v>x</v>
      </c>
      <c r="BM352" s="57" t="str">
        <f>IF(BM169=-1,"x",IF(OR(BM267=1,BM$197=1,$CX169=1),BM169,0))</f>
        <v>x</v>
      </c>
      <c r="BN352" s="55" t="str">
        <f>IF(BN169=-1,"x",IF(OR(BN267=1,BN$197=1,$CY169=1),BN169,0))</f>
        <v>x</v>
      </c>
      <c r="BO352" s="107" t="str">
        <f>IF(BO169=-1,"x",IF(OR(BO267=1,BO$197=1,$CZ169=1),BO169,0))</f>
        <v>x</v>
      </c>
      <c r="BP352" s="106" t="str">
        <f>IF(BP169=-1,"x",IF(OR(BP267=1,BP$197=1,$CX169=1),BP169,0))</f>
        <v>x</v>
      </c>
      <c r="BQ352" s="55" t="str">
        <f>IF(BQ169=-1,"x",IF(OR(BQ267=1,BQ$197=1,$CY169=1),BQ169,0))</f>
        <v>x</v>
      </c>
      <c r="BR352" s="56" t="str">
        <f>IF(BR169=-1,"x",IF(OR(BR267=1,BR$197=1,$CZ169=1),BR169,0))</f>
        <v>x</v>
      </c>
      <c r="BS352" s="57" t="str">
        <f>IF(BS169=-1,"x",IF(OR(BS267=1,BS$197=1,$CX169=1),BS169,0))</f>
        <v>x</v>
      </c>
      <c r="BT352" s="55" t="str">
        <f>IF(BT169=-1,"x",IF(OR(BT267=1,BT$197=1,$CY169=1),BT169,0))</f>
        <v>x</v>
      </c>
      <c r="BU352" s="56" t="str">
        <f>IF(BU169=-1,"x",IF(OR(BU267=1,BU$197=1,$CZ169=1),BU169,0))</f>
        <v>x</v>
      </c>
      <c r="BV352" s="57" t="str">
        <f>IF(BV169=-1,"x",IF(OR(BV267=1,BV$197=1,$CX169=1),BV169,0))</f>
        <v>x</v>
      </c>
      <c r="BW352" s="55" t="str">
        <f>IF(BW169=-1,"x",IF(OR(BW267=1,BW$197=1,$CY169=1),BW169,0))</f>
        <v>x</v>
      </c>
      <c r="BX352" s="58" t="str">
        <f>IF(BX169=-1,"x",IF(OR(BX267=1,BX$197=1,$CZ169=1),BX169,0))</f>
        <v>x</v>
      </c>
      <c r="BY352" s="54" t="str">
        <f>IF(BY169=-1,"x",IF(OR(BY267=1,BY$197=1,$CX169=1),BY169,0))</f>
        <v>x</v>
      </c>
      <c r="BZ352" s="55" t="str">
        <f>IF(BZ169=-1,"x",IF(OR(BZ267=1,BZ$197=1,$CY169=1),BZ169,0))</f>
        <v>x</v>
      </c>
      <c r="CA352" s="56" t="str">
        <f>IF(CA169=-1,"x",IF(OR(CA267=1,CA$197=1,$CZ169=1),CA169,0))</f>
        <v>x</v>
      </c>
      <c r="CB352" s="57" t="str">
        <f>IF(CB169=-1,"x",IF(OR(CB267=1,CB$197=1,$CX169=1),CB169,0))</f>
        <v>x</v>
      </c>
      <c r="CC352" s="55" t="str">
        <f>IF(CC169=-1,"x",IF(OR(CC267=1,CC$197=1,$CY169=1),CC169,0))</f>
        <v>x</v>
      </c>
      <c r="CD352" s="56" t="str">
        <f>IF(CD169=-1,"x",IF(OR(CD267=1,CD$197=1,$CZ169=1),CD169,0))</f>
        <v>x</v>
      </c>
      <c r="CE352" s="57" t="str">
        <f>IF(CE169=-1,"x",IF(OR(CE267=1,CE$197=1,$CX169=1),CE169,0))</f>
        <v>x</v>
      </c>
      <c r="CF352" s="55" t="str">
        <f>IF(CF169=-1,"x",IF(OR(CF267=1,CF$197=1,$CY169=1),CF169,0))</f>
        <v>x</v>
      </c>
      <c r="CG352" s="58" t="str">
        <f>IF(CG169=-1,"x",IF(OR(CG267=1,CG$197=1,$CZ169=1),CG169,0))</f>
        <v>x</v>
      </c>
      <c r="CH352" s="54" t="str">
        <f>IF(CH169=-1,"x",IF(OR(CH267=1,CH$197=1,$CX169=1),CH169,0))</f>
        <v>x</v>
      </c>
      <c r="CI352" s="55" t="str">
        <f>IF(CI169=-1,"x",IF(OR(CI267=1,CI$197=1,$CY169=1),CI169,0))</f>
        <v>x</v>
      </c>
      <c r="CJ352" s="56" t="str">
        <f>IF(CJ169=-1,"x",IF(OR(CJ267=1,CJ$197=1,$CZ169=1),CJ169,0))</f>
        <v>x</v>
      </c>
      <c r="CK352" s="57" t="str">
        <f>IF(CK169=-1,"x",IF(OR(CK267=1,CK$197=1,$CX169=1),CK169,0))</f>
        <v>x</v>
      </c>
      <c r="CL352" s="55" t="str">
        <f>IF(CL169=-1,"x",IF(OR(CL267=1,CL$197=1,$CY169=1),CL169,0))</f>
        <v>x</v>
      </c>
      <c r="CM352" s="56" t="str">
        <f>IF(CM169=-1,"x",IF(OR(CM267=1,CM$197=1,$CZ169=1),CM169,0))</f>
        <v>x</v>
      </c>
      <c r="CN352" s="57" t="str">
        <f>IF(CN169=-1,"x",IF(OR(CN267=1,CN$197=1,$CX169=1),CN169,0))</f>
        <v>x</v>
      </c>
      <c r="CO352" s="55" t="str">
        <f>IF(CO169=-1,"x",IF(OR(CO267=1,CO$197=1,$CY169=1),CO169,0))</f>
        <v>x</v>
      </c>
      <c r="CP352" s="107" t="str">
        <f>IF(CP169=-1,"x",IF(OR(CP267=1,CP$197=1,$CZ169=1),CP169,0))</f>
        <v>x</v>
      </c>
      <c r="DJ352" s="99" t="str">
        <f>IF(DJ169=-1,"x",IF(OR(DJ267=1,DJ$230=1,$GT169=1),DJ169,0))</f>
        <v>x</v>
      </c>
      <c r="DK352" s="45" t="str">
        <f>IF(DK169=-1,"x",IF(OR(DK267=1,DK$230=1,$GU169=1),DK169,0))</f>
        <v>x</v>
      </c>
      <c r="DL352" s="47" t="str">
        <f>IF(DL169=-1,"x",IF(OR(DL267=1,DL$230=1,$GV169=1),DL169,0))</f>
        <v>x</v>
      </c>
      <c r="DM352" s="46" t="str">
        <f>IF(DM169=-1,"x",IF(OR(DM267=1,DM$230=1,$GT169=1),DM169,0))</f>
        <v>x</v>
      </c>
      <c r="DN352" s="45" t="str">
        <f>IF(DN169=-1,"x",IF(OR(DN267=1,DN$230=1,$GU169=1),DN169,0))</f>
        <v>x</v>
      </c>
      <c r="DO352" s="47" t="str">
        <f>IF(DO169=-1,"x",IF(OR(DO267=1,DO$230=1,$GV169=1),DO169,0))</f>
        <v>x</v>
      </c>
      <c r="DP352" s="46" t="str">
        <f>IF(DP169=-1,"x",IF(OR(DP267=1,DP$230=1,$GT169=1),DP169,0))</f>
        <v>x</v>
      </c>
      <c r="DQ352" s="45" t="str">
        <f>IF(DQ169=-1,"x",IF(OR(DQ267=1,DQ$230=1,$GU169=1),DQ169,0))</f>
        <v>x</v>
      </c>
      <c r="DR352" s="48" t="str">
        <f>IF(DR169=-1,"x",IF(OR(DR267=1,DR$230=1,$GV169=1),DR169,0))</f>
        <v>x</v>
      </c>
      <c r="DS352" s="44" t="str">
        <f>IF(DS169=-1,"x",IF(OR(DS267=1,DS$230=1,$GT169=1),DS169,0))</f>
        <v>x</v>
      </c>
      <c r="DT352" s="45" t="str">
        <f>IF(DT169=-1,"x",IF(OR(DT267=1,DT$230=1,$GU169=1),DT169,0))</f>
        <v>x</v>
      </c>
      <c r="DU352" s="47" t="str">
        <f>IF(DU169=-1,"x",IF(OR(DU267=1,DU$230=1,$GV169=1),DU169,0))</f>
        <v>x</v>
      </c>
      <c r="DV352" s="46" t="str">
        <f>IF(DV169=-1,"x",IF(OR(DV267=1,DV$230=1,$GT169=1),DV169,0))</f>
        <v>x</v>
      </c>
      <c r="DW352" s="45" t="str">
        <f>IF(DW169=-1,"x",IF(OR(DW267=1,DW$230=1,$GU169=1),DW169,0))</f>
        <v>x</v>
      </c>
      <c r="DX352" s="47" t="str">
        <f>IF(DX169=-1,"x",IF(OR(DX267=1,DX$230=1,$GV169=1),DX169,0))</f>
        <v>x</v>
      </c>
      <c r="DY352" s="46" t="str">
        <f>IF(DY169=-1,"x",IF(OR(DY267=1,DY$230=1,$GT169=1),DY169,0))</f>
        <v>x</v>
      </c>
      <c r="DZ352" s="45" t="str">
        <f>IF(DZ169=-1,"x",IF(OR(DZ267=1,DZ$230=1,$GU169=1),DZ169,0))</f>
        <v>x</v>
      </c>
      <c r="EA352" s="48" t="str">
        <f>IF(EA169=-1,"x",IF(OR(EA267=1,EA$230=1,$GV169=1),EA169,0))</f>
        <v>x</v>
      </c>
      <c r="EB352" s="44" t="str">
        <f>IF(EB169=-1,"x",IF(OR(EB267=1,EB$230=1,$GT169=1),EB169,0))</f>
        <v>x</v>
      </c>
      <c r="EC352" s="45" t="str">
        <f>IF(EC169=-1,"x",IF(OR(EC267=1,EC$230=1,$GU169=1),EC169,0))</f>
        <v>x</v>
      </c>
      <c r="ED352" s="47" t="str">
        <f>IF(ED169=-1,"x",IF(OR(ED267=1,ED$230=1,$GV169=1),ED169,0))</f>
        <v>x</v>
      </c>
      <c r="EE352" s="46" t="str">
        <f>IF(EE169=-1,"x",IF(OR(EE267=1,EE$230=1,$GT169=1),EE169,0))</f>
        <v>x</v>
      </c>
      <c r="EF352" s="45" t="str">
        <f>IF(EF169=-1,"x",IF(OR(EF267=1,EF$230=1,$GU169=1),EF169,0))</f>
        <v>x</v>
      </c>
      <c r="EG352" s="47" t="str">
        <f>IF(EG169=-1,"x",IF(OR(EG267=1,EG$230=1,$GV169=1),EG169,0))</f>
        <v>x</v>
      </c>
      <c r="EH352" s="46" t="str">
        <f>IF(EH169=-1,"x",IF(OR(EH267=1,EH$230=1,$GT169=1),EH169,0))</f>
        <v>x</v>
      </c>
      <c r="EI352" s="45" t="str">
        <f>IF(EI169=-1,"x",IF(OR(EI267=1,EI$230=1,$GU169=1),EI169,0))</f>
        <v>x</v>
      </c>
      <c r="EJ352" s="100" t="str">
        <f>IF(EJ169=-1,"x",IF(OR(EJ267=1,EJ$230=1,$GV169=1),EJ169,0))</f>
        <v>x</v>
      </c>
      <c r="EK352" s="99" t="str">
        <f>IF(EK169=-1,"x",IF(OR(EK267=1,EK$230=1,$GT169=1),EK169,0))</f>
        <v>x</v>
      </c>
      <c r="EL352" s="45" t="str">
        <f>IF(EL169=-1,"x",IF(OR(EL267=1,EL$230=1,$GU169=1),EL169,0))</f>
        <v>x</v>
      </c>
      <c r="EM352" s="47" t="str">
        <f>IF(EM169=-1,"x",IF(OR(EM267=1,EM$230=1,$GV169=1),EM169,0))</f>
        <v>x</v>
      </c>
      <c r="EN352" s="46" t="str">
        <f>IF(EN169=-1,"x",IF(OR(EN267=1,EN$230=1,$GT169=1),EN169,0))</f>
        <v>x</v>
      </c>
      <c r="EO352" s="45" t="str">
        <f>IF(EO169=-1,"x",IF(OR(EO267=1,EO$230=1,$GU169=1),EO169,0))</f>
        <v>x</v>
      </c>
      <c r="EP352" s="47" t="str">
        <f>IF(EP169=-1,"x",IF(OR(EP267=1,EP$230=1,$GV169=1),EP169,0))</f>
        <v>x</v>
      </c>
      <c r="EQ352" s="46" t="str">
        <f>IF(EQ169=-1,"x",IF(OR(EQ267=1,EQ$230=1,$GT169=1),EQ169,0))</f>
        <v>x</v>
      </c>
      <c r="ER352" s="45" t="str">
        <f>IF(ER169=-1,"x",IF(OR(ER267=1,ER$230=1,$GU169=1),ER169,0))</f>
        <v>x</v>
      </c>
      <c r="ES352" s="48" t="str">
        <f>IF(ES169=-1,"x",IF(OR(ES267=1,ES$230=1,$GV169=1),ES169,0))</f>
        <v>x</v>
      </c>
      <c r="ET352" s="44" t="str">
        <f>IF(ET169=-1,"x",IF(OR(ET267=1,ET$230=1,$GT169=1),ET169,0))</f>
        <v>x</v>
      </c>
      <c r="EU352" s="45" t="str">
        <f>IF(EU169=-1,"x",IF(OR(EU267=1,EU$230=1,$GU169=1),EU169,0))</f>
        <v>x</v>
      </c>
      <c r="EV352" s="47" t="str">
        <f>IF(EV169=-1,"x",IF(OR(EV267=1,EV$230=1,$GV169=1),EV169,0))</f>
        <v>x</v>
      </c>
      <c r="EW352" s="46" t="str">
        <f>IF(EW169=-1,"x",IF(OR(EW267=1,EW$230=1,$GT169=1),EW169,0))</f>
        <v>x</v>
      </c>
      <c r="EX352" s="45" t="str">
        <f>IF(EX169=-1,"x",IF(OR(EX267=1,EX$230=1,$GU169=1),EX169,0))</f>
        <v>x</v>
      </c>
      <c r="EY352" s="47" t="str">
        <f>IF(EY169=-1,"x",IF(OR(EY267=1,EY$230=1,$GV169=1),EY169,0))</f>
        <v>x</v>
      </c>
      <c r="EZ352" s="46" t="str">
        <f>IF(EZ169=-1,"x",IF(OR(EZ267=1,EZ$230=1,$GT169=1),EZ169,0))</f>
        <v>x</v>
      </c>
      <c r="FA352" s="45" t="str">
        <f>IF(FA169=-1,"x",IF(OR(FA267=1,FA$230=1,$GU169=1),FA169,0))</f>
        <v>x</v>
      </c>
      <c r="FB352" s="48" t="str">
        <f>IF(FB169=-1,"x",IF(OR(FB267=1,FB$230=1,$GV169=1),FB169,0))</f>
        <v>x</v>
      </c>
      <c r="FC352" s="44" t="str">
        <f>IF(FC169=-1,"x",IF(OR(FC267=1,FC$230=1,$GT169=1),FC169,0))</f>
        <v>x</v>
      </c>
      <c r="FD352" s="45" t="str">
        <f>IF(FD169=-1,"x",IF(OR(FD267=1,FD$230=1,$GU169=1),FD169,0))</f>
        <v>x</v>
      </c>
      <c r="FE352" s="47" t="str">
        <f>IF(FE169=-1,"x",IF(OR(FE267=1,FE$230=1,$GV169=1),FE169,0))</f>
        <v>x</v>
      </c>
      <c r="FF352" s="46" t="str">
        <f>IF(FF169=-1,"x",IF(OR(FF267=1,FF$230=1,$GT169=1),FF169,0))</f>
        <v>x</v>
      </c>
      <c r="FG352" s="45" t="str">
        <f>IF(FG169=-1,"x",IF(OR(FG267=1,FG$230=1,$GU169=1),FG169,0))</f>
        <v>x</v>
      </c>
      <c r="FH352" s="47" t="str">
        <f>IF(FH169=-1,"x",IF(OR(FH267=1,FH$230=1,$GV169=1),FH169,0))</f>
        <v>x</v>
      </c>
      <c r="FI352" s="46" t="str">
        <f>IF(FI169=-1,"x",IF(OR(FI267=1,FI$230=1,$GT169=1),FI169,0))</f>
        <v>x</v>
      </c>
      <c r="FJ352" s="45" t="str">
        <f>IF(FJ169=-1,"x",IF(OR(FJ267=1,FJ$230=1,$GU169=1),FJ169,0))</f>
        <v>x</v>
      </c>
      <c r="FK352" s="100" t="str">
        <f>IF(FK169=-1,"x",IF(OR(FK267=1,FK$230=1,$GV169=1),FK169,0))</f>
        <v>x</v>
      </c>
      <c r="FL352" s="99" t="str">
        <f>IF(FL169=-1,"x",IF(OR(FL267=1,FL$230=1,$GT169=1),FL169,0))</f>
        <v>x</v>
      </c>
      <c r="FM352" s="45" t="str">
        <f>IF(FM169=-1,"x",IF(OR(FM267=1,FM$230=1,$GU169=1),FM169,0))</f>
        <v>x</v>
      </c>
      <c r="FN352" s="47" t="str">
        <f>IF(FN169=-1,"x",IF(OR(FN267=1,FN$230=1,$GV169=1),FN169,0))</f>
        <v>x</v>
      </c>
      <c r="FO352" s="46" t="str">
        <f>IF(FO169=-1,"x",IF(OR(FO267=1,FO$230=1,$GT169=1),FO169,0))</f>
        <v>x</v>
      </c>
      <c r="FP352" s="45" t="str">
        <f>IF(FP169=-1,"x",IF(OR(FP267=1,FP$230=1,$GU169=1),FP169,0))</f>
        <v>x</v>
      </c>
      <c r="FQ352" s="47" t="str">
        <f>IF(FQ169=-1,"x",IF(OR(FQ267=1,FQ$230=1,$GV169=1),FQ169,0))</f>
        <v>x</v>
      </c>
      <c r="FR352" s="46" t="str">
        <f>IF(FR169=-1,"x",IF(OR(FR267=1,FR$230=1,$GT169=1),FR169,0))</f>
        <v>x</v>
      </c>
      <c r="FS352" s="45" t="str">
        <f>IF(FS169=-1,"x",IF(OR(FS267=1,FS$230=1,$GU169=1),FS169,0))</f>
        <v>x</v>
      </c>
      <c r="FT352" s="48" t="str">
        <f>IF(FT169=-1,"x",IF(OR(FT267=1,FT$230=1,$GV169=1),FT169,0))</f>
        <v>x</v>
      </c>
      <c r="FU352" s="44" t="str">
        <f>IF(FU169=-1,"x",IF(OR(FU267=1,FU$230=1,$GT169=1),FU169,0))</f>
        <v>x</v>
      </c>
      <c r="FV352" s="45" t="str">
        <f>IF(FV169=-1,"x",IF(OR(FV267=1,FV$230=1,$GU169=1),FV169,0))</f>
        <v>x</v>
      </c>
      <c r="FW352" s="47" t="str">
        <f>IF(FW169=-1,"x",IF(OR(FW267=1,FW$230=1,$GV169=1),FW169,0))</f>
        <v>x</v>
      </c>
      <c r="FX352" s="46" t="str">
        <f>IF(FX169=-1,"x",IF(OR(FX267=1,FX$230=1,$GT169=1),FX169,0))</f>
        <v>x</v>
      </c>
      <c r="FY352" s="45" t="str">
        <f>IF(FY169=-1,"x",IF(OR(FY267=1,FY$230=1,$GU169=1),FY169,0))</f>
        <v>x</v>
      </c>
      <c r="FZ352" s="47" t="str">
        <f>IF(FZ169=-1,"x",IF(OR(FZ267=1,FZ$230=1,$GV169=1),FZ169,0))</f>
        <v>x</v>
      </c>
      <c r="GA352" s="46" t="str">
        <f>IF(GA169=-1,"x",IF(OR(GA267=1,GA$230=1,$GT169=1),GA169,0))</f>
        <v>x</v>
      </c>
      <c r="GB352" s="45" t="str">
        <f>IF(GB169=-1,"x",IF(OR(GB267=1,GB$230=1,$GU169=1),GB169,0))</f>
        <v>x</v>
      </c>
      <c r="GC352" s="48" t="str">
        <f>IF(GC169=-1,"x",IF(OR(GC267=1,GC$230=1,$GV169=1),GC169,0))</f>
        <v>x</v>
      </c>
      <c r="GD352" s="44">
        <f>IF(GD169=-1,"x",IF(OR(GD267=1,GD$230=1,$GT169=1),GD169,0))</f>
        <v>0</v>
      </c>
      <c r="GE352" s="45">
        <f>IF(GE169=-1,"x",IF(OR(GE267=1,GE$230=1,$GU169=1),GE169,0))</f>
        <v>0</v>
      </c>
      <c r="GF352" s="47">
        <f>IF(GF169=-1,"x",IF(OR(GF267=1,GF$230=1,$GV169=1),GF169,0))</f>
        <v>0</v>
      </c>
      <c r="GG352" s="46" t="str">
        <f>IF(GG169=-1,"x",IF(OR(GG267=1,GG$230=1,$GT169=1),GG169,0))</f>
        <v>x</v>
      </c>
      <c r="GH352" s="45" t="str">
        <f>IF(GH169=-1,"x",IF(OR(GH267=1,GH$230=1,$GU169=1),GH169,0))</f>
        <v>x</v>
      </c>
      <c r="GI352" s="47" t="str">
        <f>IF(GI169=-1,"x",IF(OR(GI267=1,GI$230=1,$GV169=1),GI169,0))</f>
        <v>x</v>
      </c>
      <c r="GJ352" s="46">
        <f>IF(GJ169=-1,"x",IF(OR(GJ267=1,GJ$230=1,$GT169=1),GJ169,0))</f>
        <v>0</v>
      </c>
      <c r="GK352" s="45">
        <f>IF(GK169=-1,"x",IF(OR(GK267=1,GK$230=1,$GU169=1),GK169,0))</f>
        <v>0</v>
      </c>
      <c r="GL352" s="100">
        <f>IF(GL169=-1,"x",IF(OR(GL267=1,GL$230=1,$GV169=1),GL169,0))</f>
        <v>0</v>
      </c>
    </row>
    <row r="353" spans="14:194" ht="15" customHeight="1">
      <c r="N353" s="108" t="str">
        <f>IF(N170=-1,"x",IF(OR(N268=1,N$195=1,$CX170=1),N170,0))</f>
        <v>x</v>
      </c>
      <c r="O353" s="37" t="str">
        <f>IF(O170=-1,"x",IF(OR(O268=1,O$195=1,$CY170=1),O170,0))</f>
        <v>x</v>
      </c>
      <c r="P353" s="35" t="str">
        <f>IF(P170=-1,"x",IF(OR(P268=1,P$195=1,$CZ170=1),P170,0))</f>
        <v>x</v>
      </c>
      <c r="Q353" s="36" t="str">
        <f>IF(Q170=-1,"x",IF(OR(Q268=1,Q$195=1,$CX170=1),Q170,0))</f>
        <v>x</v>
      </c>
      <c r="R353" s="37" t="str">
        <f>IF(R170=-1,"x",IF(OR(R268=1,R$195=1,$CY170=1),R170,0))</f>
        <v>x</v>
      </c>
      <c r="S353" s="35" t="str">
        <f>IF(S170=-1,"x",IF(OR(S268=1,S$195=1,$CZ170=1),S170,0))</f>
        <v>x</v>
      </c>
      <c r="T353" s="36" t="str">
        <f>IF(T170=-1,"x",IF(OR(T268=1,T$195=1,$CX170=1),T170,0))</f>
        <v>x</v>
      </c>
      <c r="U353" s="37" t="str">
        <f>IF(U170=-1,"x",IF(OR(U268=1,U$195=1,$CY170=1),U170,0))</f>
        <v>x</v>
      </c>
      <c r="V353" s="38" t="str">
        <f>IF(V170=-1,"x",IF(OR(V268=1,V$195=1,$CZ170=1),V170,0))</f>
        <v>x</v>
      </c>
      <c r="W353" s="34" t="str">
        <f>IF(W170=-1,"x",IF(OR(W268=1,W$195=1,$CX170=1),W170,0))</f>
        <v>x</v>
      </c>
      <c r="X353" s="37" t="str">
        <f>IF(X170=-1,"x",IF(OR(X268=1,X$195=1,$CY170=1),X170,0))</f>
        <v>x</v>
      </c>
      <c r="Y353" s="35" t="str">
        <f>IF(Y170=-1,"x",IF(OR(Y268=1,Y$195=1,$CZ170=1),Y170,0))</f>
        <v>x</v>
      </c>
      <c r="Z353" s="36" t="str">
        <f>IF(Z170=-1,"x",IF(OR(Z268=1,Z$195=1,$CX170=1),Z170,0))</f>
        <v>x</v>
      </c>
      <c r="AA353" s="37" t="str">
        <f>IF(AA170=-1,"x",IF(OR(AA268=1,AA$195=1,$CY170=1),AA170,0))</f>
        <v>x</v>
      </c>
      <c r="AB353" s="35" t="str">
        <f>IF(AB170=-1,"x",IF(OR(AB268=1,AB$195=1,$CZ170=1),AB170,0))</f>
        <v>x</v>
      </c>
      <c r="AC353" s="36" t="str">
        <f>IF(AC170=-1,"x",IF(OR(AC268=1,AC$195=1,$CX170=1),AC170,0))</f>
        <v>x</v>
      </c>
      <c r="AD353" s="37" t="str">
        <f>IF(AD170=-1,"x",IF(OR(AD268=1,AD$195=1,$CY170=1),AD170,0))</f>
        <v>x</v>
      </c>
      <c r="AE353" s="38" t="str">
        <f>IF(AE170=-1,"x",IF(OR(AE268=1,AE$195=1,$CZ170=1),AE170,0))</f>
        <v>x</v>
      </c>
      <c r="AF353" s="34" t="str">
        <f>IF(AF170=-1,"x",IF(OR(AF268=1,AF$195=1,$CX170=1),AF170,0))</f>
        <v>x</v>
      </c>
      <c r="AG353" s="37" t="str">
        <f>IF(AG170=-1,"x",IF(OR(AG268=1,AG$195=1,$CY170=1),AG170,0))</f>
        <v>x</v>
      </c>
      <c r="AH353" s="35" t="str">
        <f>IF(AH170=-1,"x",IF(OR(AH268=1,AH$195=1,$CZ170=1),AH170,0))</f>
        <v>x</v>
      </c>
      <c r="AI353" s="36" t="str">
        <f>IF(AI170=-1,"x",IF(OR(AI268=1,AI$195=1,$CX170=1),AI170,0))</f>
        <v>x</v>
      </c>
      <c r="AJ353" s="37" t="str">
        <f>IF(AJ170=-1,"x",IF(OR(AJ268=1,AJ$195=1,$CY170=1),AJ170,0))</f>
        <v>x</v>
      </c>
      <c r="AK353" s="35" t="str">
        <f>IF(AK170=-1,"x",IF(OR(AK268=1,AK$195=1,$CZ170=1),AK170,0))</f>
        <v>x</v>
      </c>
      <c r="AL353" s="36" t="str">
        <f>IF(AL170=-1,"x",IF(OR(AL268=1,AL$195=1,$CX170=1),AL170,0))</f>
        <v>x</v>
      </c>
      <c r="AM353" s="37" t="str">
        <f>IF(AM170=-1,"x",IF(OR(AM268=1,AM$195=1,$CY170=1),AM170,0))</f>
        <v>x</v>
      </c>
      <c r="AN353" s="109" t="str">
        <f>IF(AN170=-1,"x",IF(OR(AN268=1,AN$195=1,$CZ170=1),AN170,0))</f>
        <v>x</v>
      </c>
      <c r="AO353" s="108" t="str">
        <f>IF(AO170=-1,"x",IF(OR(AO268=1,AO$195=1,$CX170=1),AO170,0))</f>
        <v>x</v>
      </c>
      <c r="AP353" s="37" t="str">
        <f>IF(AP170=-1,"x",IF(OR(AP268=1,AP$195=1,$CY170=1),AP170,0))</f>
        <v>x</v>
      </c>
      <c r="AQ353" s="35" t="str">
        <f>IF(AQ170=-1,"x",IF(OR(AQ268=1,AQ$195=1,$CZ170=1),AQ170,0))</f>
        <v>x</v>
      </c>
      <c r="AR353" s="36" t="str">
        <f>IF(AR170=-1,"x",IF(OR(AR268=1,AR$195=1,$CX170=1),AR170,0))</f>
        <v>x</v>
      </c>
      <c r="AS353" s="37" t="str">
        <f>IF(AS170=-1,"x",IF(OR(AS268=1,AS$195=1,$CY170=1),AS170,0))</f>
        <v>x</v>
      </c>
      <c r="AT353" s="35" t="str">
        <f>IF(AT170=-1,"x",IF(OR(AT268=1,AT$195=1,$CZ170=1),AT170,0))</f>
        <v>x</v>
      </c>
      <c r="AU353" s="36" t="str">
        <f>IF(AU170=-1,"x",IF(OR(AU268=1,AU$195=1,$CX170=1),AU170,0))</f>
        <v>x</v>
      </c>
      <c r="AV353" s="37" t="str">
        <f>IF(AV170=-1,"x",IF(OR(AV268=1,AV$195=1,$CY170=1),AV170,0))</f>
        <v>x</v>
      </c>
      <c r="AW353" s="38" t="str">
        <f>IF(AW170=-1,"x",IF(OR(AW268=1,AW$195=1,$CZ170=1),AW170,0))</f>
        <v>x</v>
      </c>
      <c r="AX353" s="34" t="str">
        <f>IF(AX170=-1,"x",IF(OR(AX268=1,AX$195=1,$CX170=1),AX170,0))</f>
        <v>x</v>
      </c>
      <c r="AY353" s="37" t="str">
        <f>IF(AY170=-1,"x",IF(OR(AY268=1,AY$195=1,$CY170=1),AY170,0))</f>
        <v>x</v>
      </c>
      <c r="AZ353" s="35" t="str">
        <f>IF(AZ170=-1,"x",IF(OR(AZ268=1,AZ$195=1,$CZ170=1),AZ170,0))</f>
        <v>x</v>
      </c>
      <c r="BA353" s="36">
        <f>IF(BA170=-1,"x",IF(OR(BA268=1,BA$195=1,$CX170=1),BA170,0))</f>
        <v>0</v>
      </c>
      <c r="BB353" s="37">
        <f>IF(BB170=-1,"x",IF(OR(BB268=1,BB$195=1,$CY170=1),BB170,0))</f>
        <v>0</v>
      </c>
      <c r="BC353" s="35">
        <f>IF(BC170=-1,"x",IF(OR(BC268=1,BC$195=1,$CZ170=1),BC170,0))</f>
        <v>0</v>
      </c>
      <c r="BD353" s="36" t="str">
        <f>IF(BD170=-1,"x",IF(OR(BD268=1,BD$195=1,$CX170=1),BD170,0))</f>
        <v>x</v>
      </c>
      <c r="BE353" s="37" t="str">
        <f>IF(BE170=-1,"x",IF(OR(BE268=1,BE$195=1,$CY170=1),BE170,0))</f>
        <v>x</v>
      </c>
      <c r="BF353" s="38" t="str">
        <f>IF(BF170=-1,"x",IF(OR(BF268=1,BF$195=1,$CZ170=1),BF170,0))</f>
        <v>x</v>
      </c>
      <c r="BG353" s="34" t="str">
        <f>IF(BG170=-1,"x",IF(OR(BG268=1,BG$195=1,$CX170=1),BG170,0))</f>
        <v>x</v>
      </c>
      <c r="BH353" s="37" t="str">
        <f>IF(BH170=-1,"x",IF(OR(BH268=1,BH$195=1,$CY170=1),BH170,0))</f>
        <v>x</v>
      </c>
      <c r="BI353" s="35" t="str">
        <f>IF(BI170=-1,"x",IF(OR(BI268=1,BI$195=1,$CZ170=1),BI170,0))</f>
        <v>x</v>
      </c>
      <c r="BJ353" s="36" t="str">
        <f>IF(BJ170=-1,"x",IF(OR(BJ268=1,BJ$195=1,$CX170=1),BJ170,0))</f>
        <v>x</v>
      </c>
      <c r="BK353" s="37" t="str">
        <f>IF(BK170=-1,"x",IF(OR(BK268=1,BK$195=1,$CY170=1),BK170,0))</f>
        <v>x</v>
      </c>
      <c r="BL353" s="35" t="str">
        <f>IF(BL170=-1,"x",IF(OR(BL268=1,BL$195=1,$CZ170=1),BL170,0))</f>
        <v>x</v>
      </c>
      <c r="BM353" s="36" t="str">
        <f>IF(BM170=-1,"x",IF(OR(BM268=1,BM$195=1,$CX170=1),BM170,0))</f>
        <v>x</v>
      </c>
      <c r="BN353" s="37" t="str">
        <f>IF(BN170=-1,"x",IF(OR(BN268=1,BN$195=1,$CY170=1),BN170,0))</f>
        <v>x</v>
      </c>
      <c r="BO353" s="109" t="str">
        <f>IF(BO170=-1,"x",IF(OR(BO268=1,BO$195=1,$CZ170=1),BO170,0))</f>
        <v>x</v>
      </c>
      <c r="BP353" s="108" t="str">
        <f>IF(BP170=-1,"x",IF(OR(BP268=1,BP$195=1,$CX170=1),BP170,0))</f>
        <v>x</v>
      </c>
      <c r="BQ353" s="37" t="str">
        <f>IF(BQ170=-1,"x",IF(OR(BQ268=1,BQ$195=1,$CY170=1),BQ170,0))</f>
        <v>x</v>
      </c>
      <c r="BR353" s="35" t="str">
        <f>IF(BR170=-1,"x",IF(OR(BR268=1,BR$195=1,$CZ170=1),BR170,0))</f>
        <v>x</v>
      </c>
      <c r="BS353" s="36" t="str">
        <f>IF(BS170=-1,"x",IF(OR(BS268=1,BS$195=1,$CX170=1),BS170,0))</f>
        <v>x</v>
      </c>
      <c r="BT353" s="37" t="str">
        <f>IF(BT170=-1,"x",IF(OR(BT268=1,BT$195=1,$CY170=1),BT170,0))</f>
        <v>x</v>
      </c>
      <c r="BU353" s="35" t="str">
        <f>IF(BU170=-1,"x",IF(OR(BU268=1,BU$195=1,$CZ170=1),BU170,0))</f>
        <v>x</v>
      </c>
      <c r="BV353" s="36" t="str">
        <f>IF(BV170=-1,"x",IF(OR(BV268=1,BV$195=1,$CX170=1),BV170,0))</f>
        <v>x</v>
      </c>
      <c r="BW353" s="37" t="str">
        <f>IF(BW170=-1,"x",IF(OR(BW268=1,BW$195=1,$CY170=1),BW170,0))</f>
        <v>x</v>
      </c>
      <c r="BX353" s="38" t="str">
        <f>IF(BX170=-1,"x",IF(OR(BX268=1,BX$195=1,$CZ170=1),BX170,0))</f>
        <v>x</v>
      </c>
      <c r="BY353" s="34" t="str">
        <f>IF(BY170=-1,"x",IF(OR(BY268=1,BY$195=1,$CX170=1),BY170,0))</f>
        <v>x</v>
      </c>
      <c r="BZ353" s="37" t="str">
        <f>IF(BZ170=-1,"x",IF(OR(BZ268=1,BZ$195=1,$CY170=1),BZ170,0))</f>
        <v>x</v>
      </c>
      <c r="CA353" s="35" t="str">
        <f>IF(CA170=-1,"x",IF(OR(CA268=1,CA$195=1,$CZ170=1),CA170,0))</f>
        <v>x</v>
      </c>
      <c r="CB353" s="36" t="str">
        <f>IF(CB170=-1,"x",IF(OR(CB268=1,CB$195=1,$CX170=1),CB170,0))</f>
        <v>x</v>
      </c>
      <c r="CC353" s="37" t="str">
        <f>IF(CC170=-1,"x",IF(OR(CC268=1,CC$195=1,$CY170=1),CC170,0))</f>
        <v>x</v>
      </c>
      <c r="CD353" s="35" t="str">
        <f>IF(CD170=-1,"x",IF(OR(CD268=1,CD$195=1,$CZ170=1),CD170,0))</f>
        <v>x</v>
      </c>
      <c r="CE353" s="36" t="str">
        <f>IF(CE170=-1,"x",IF(OR(CE268=1,CE$195=1,$CX170=1),CE170,0))</f>
        <v>x</v>
      </c>
      <c r="CF353" s="37" t="str">
        <f>IF(CF170=-1,"x",IF(OR(CF268=1,CF$195=1,$CY170=1),CF170,0))</f>
        <v>x</v>
      </c>
      <c r="CG353" s="38" t="str">
        <f>IF(CG170=-1,"x",IF(OR(CG268=1,CG$195=1,$CZ170=1),CG170,0))</f>
        <v>x</v>
      </c>
      <c r="CH353" s="34" t="str">
        <f>IF(CH170=-1,"x",IF(OR(CH268=1,CH$195=1,$CX170=1),CH170,0))</f>
        <v>x</v>
      </c>
      <c r="CI353" s="37" t="str">
        <f>IF(CI170=-1,"x",IF(OR(CI268=1,CI$195=1,$CY170=1),CI170,0))</f>
        <v>x</v>
      </c>
      <c r="CJ353" s="35" t="str">
        <f>IF(CJ170=-1,"x",IF(OR(CJ268=1,CJ$195=1,$CZ170=1),CJ170,0))</f>
        <v>x</v>
      </c>
      <c r="CK353" s="36" t="str">
        <f>IF(CK170=-1,"x",IF(OR(CK268=1,CK$195=1,$CX170=1),CK170,0))</f>
        <v>x</v>
      </c>
      <c r="CL353" s="37" t="str">
        <f>IF(CL170=-1,"x",IF(OR(CL268=1,CL$195=1,$CY170=1),CL170,0))</f>
        <v>x</v>
      </c>
      <c r="CM353" s="35" t="str">
        <f>IF(CM170=-1,"x",IF(OR(CM268=1,CM$195=1,$CZ170=1),CM170,0))</f>
        <v>x</v>
      </c>
      <c r="CN353" s="36" t="str">
        <f>IF(CN170=-1,"x",IF(OR(CN268=1,CN$195=1,$CX170=1),CN170,0))</f>
        <v>x</v>
      </c>
      <c r="CO353" s="37" t="str">
        <f>IF(CO170=-1,"x",IF(OR(CO268=1,CO$195=1,$CY170=1),CO170,0))</f>
        <v>x</v>
      </c>
      <c r="CP353" s="109" t="str">
        <f>IF(CP170=-1,"x",IF(OR(CP268=1,CP$195=1,$CZ170=1),CP170,0))</f>
        <v>x</v>
      </c>
      <c r="DJ353" s="104" t="str">
        <f>IF(DJ170=-1,"x",IF(OR(DJ268=1,DJ$228=1,$GT170=1),DJ170,0))</f>
        <v>x</v>
      </c>
      <c r="DK353" s="50" t="str">
        <f>IF(DK170=-1,"x",IF(OR(DK268=1,DK$228=1,$GU170=1),DK170,0))</f>
        <v>x</v>
      </c>
      <c r="DL353" s="51" t="str">
        <f>IF(DL170=-1,"x",IF(OR(DL268=1,DL$228=1,$GV170=1),DL170,0))</f>
        <v>x</v>
      </c>
      <c r="DM353" s="52" t="str">
        <f>IF(DM170=-1,"x",IF(OR(DM268=1,DM$228=1,$GT170=1),DM170,0))</f>
        <v>x</v>
      </c>
      <c r="DN353" s="50" t="str">
        <f>IF(DN170=-1,"x",IF(OR(DN268=1,DN$228=1,$GU170=1),DN170,0))</f>
        <v>x</v>
      </c>
      <c r="DO353" s="51" t="str">
        <f>IF(DO170=-1,"x",IF(OR(DO268=1,DO$228=1,$GV170=1),DO170,0))</f>
        <v>x</v>
      </c>
      <c r="DP353" s="52" t="str">
        <f>IF(DP170=-1,"x",IF(OR(DP268=1,DP$228=1,$GT170=1),DP170,0))</f>
        <v>x</v>
      </c>
      <c r="DQ353" s="50" t="str">
        <f>IF(DQ170=-1,"x",IF(OR(DQ268=1,DQ$228=1,$GU170=1),DQ170,0))</f>
        <v>x</v>
      </c>
      <c r="DR353" s="53" t="str">
        <f>IF(DR170=-1,"x",IF(OR(DR268=1,DR$228=1,$GV170=1),DR170,0))</f>
        <v>x</v>
      </c>
      <c r="DS353" s="49" t="str">
        <f>IF(DS170=-1,"x",IF(OR(DS268=1,DS$228=1,$GT170=1),DS170,0))</f>
        <v>x</v>
      </c>
      <c r="DT353" s="50" t="str">
        <f>IF(DT170=-1,"x",IF(OR(DT268=1,DT$228=1,$GU170=1),DT170,0))</f>
        <v>x</v>
      </c>
      <c r="DU353" s="51" t="str">
        <f>IF(DU170=-1,"x",IF(OR(DU268=1,DU$228=1,$GV170=1),DU170,0))</f>
        <v>x</v>
      </c>
      <c r="DV353" s="52" t="str">
        <f>IF(DV170=-1,"x",IF(OR(DV268=1,DV$228=1,$GT170=1),DV170,0))</f>
        <v>x</v>
      </c>
      <c r="DW353" s="50" t="str">
        <f>IF(DW170=-1,"x",IF(OR(DW268=1,DW$228=1,$GU170=1),DW170,0))</f>
        <v>x</v>
      </c>
      <c r="DX353" s="51" t="str">
        <f>IF(DX170=-1,"x",IF(OR(DX268=1,DX$228=1,$GV170=1),DX170,0))</f>
        <v>x</v>
      </c>
      <c r="DY353" s="52" t="str">
        <f>IF(DY170=-1,"x",IF(OR(DY268=1,DY$228=1,$GT170=1),DY170,0))</f>
        <v>x</v>
      </c>
      <c r="DZ353" s="50" t="str">
        <f>IF(DZ170=-1,"x",IF(OR(DZ268=1,DZ$228=1,$GU170=1),DZ170,0))</f>
        <v>x</v>
      </c>
      <c r="EA353" s="53" t="str">
        <f>IF(EA170=-1,"x",IF(OR(EA268=1,EA$228=1,$GV170=1),EA170,0))</f>
        <v>x</v>
      </c>
      <c r="EB353" s="49" t="str">
        <f>IF(EB170=-1,"x",IF(OR(EB268=1,EB$228=1,$GT170=1),EB170,0))</f>
        <v>x</v>
      </c>
      <c r="EC353" s="50" t="str">
        <f>IF(EC170=-1,"x",IF(OR(EC268=1,EC$228=1,$GU170=1),EC170,0))</f>
        <v>x</v>
      </c>
      <c r="ED353" s="51" t="str">
        <f>IF(ED170=-1,"x",IF(OR(ED268=1,ED$228=1,$GV170=1),ED170,0))</f>
        <v>x</v>
      </c>
      <c r="EE353" s="52" t="str">
        <f>IF(EE170=-1,"x",IF(OR(EE268=1,EE$228=1,$GT170=1),EE170,0))</f>
        <v>x</v>
      </c>
      <c r="EF353" s="50" t="str">
        <f>IF(EF170=-1,"x",IF(OR(EF268=1,EF$228=1,$GU170=1),EF170,0))</f>
        <v>x</v>
      </c>
      <c r="EG353" s="51" t="str">
        <f>IF(EG170=-1,"x",IF(OR(EG268=1,EG$228=1,$GV170=1),EG170,0))</f>
        <v>x</v>
      </c>
      <c r="EH353" s="52" t="str">
        <f>IF(EH170=-1,"x",IF(OR(EH268=1,EH$228=1,$GT170=1),EH170,0))</f>
        <v>x</v>
      </c>
      <c r="EI353" s="50" t="str">
        <f>IF(EI170=-1,"x",IF(OR(EI268=1,EI$228=1,$GU170=1),EI170,0))</f>
        <v>x</v>
      </c>
      <c r="EJ353" s="105" t="str">
        <f>IF(EJ170=-1,"x",IF(OR(EJ268=1,EJ$228=1,$GV170=1),EJ170,0))</f>
        <v>x</v>
      </c>
      <c r="EK353" s="104" t="str">
        <f>IF(EK170=-1,"x",IF(OR(EK268=1,EK$228=1,$GT170=1),EK170,0))</f>
        <v>x</v>
      </c>
      <c r="EL353" s="50" t="str">
        <f>IF(EL170=-1,"x",IF(OR(EL268=1,EL$228=1,$GU170=1),EL170,0))</f>
        <v>x</v>
      </c>
      <c r="EM353" s="51" t="str">
        <f>IF(EM170=-1,"x",IF(OR(EM268=1,EM$228=1,$GV170=1),EM170,0))</f>
        <v>x</v>
      </c>
      <c r="EN353" s="52">
        <f>IF(EN170=-1,"x",IF(OR(EN268=1,EN$228=1,$GT170=1),EN170,0))</f>
        <v>0</v>
      </c>
      <c r="EO353" s="50">
        <f>IF(EO170=-1,"x",IF(OR(EO268=1,EO$228=1,$GU170=1),EO170,0))</f>
        <v>0</v>
      </c>
      <c r="EP353" s="51">
        <f>IF(EP170=-1,"x",IF(OR(EP268=1,EP$228=1,$GV170=1),EP170,0))</f>
        <v>0</v>
      </c>
      <c r="EQ353" s="52">
        <f>IF(EQ170=-1,"x",IF(OR(EQ268=1,EQ$228=1,$GT170=1),EQ170,0))</f>
        <v>0</v>
      </c>
      <c r="ER353" s="50">
        <f>IF(ER170=-1,"x",IF(OR(ER268=1,ER$228=1,$GU170=1),ER170,0))</f>
        <v>0</v>
      </c>
      <c r="ES353" s="53">
        <f>IF(ES170=-1,"x",IF(OR(ES268=1,ES$228=1,$GV170=1),ES170,0))</f>
        <v>0</v>
      </c>
      <c r="ET353" s="49" t="str">
        <f>IF(ET170=-1,"x",IF(OR(ET268=1,ET$228=1,$GT170=1),ET170,0))</f>
        <v>x</v>
      </c>
      <c r="EU353" s="50" t="str">
        <f>IF(EU170=-1,"x",IF(OR(EU268=1,EU$228=1,$GU170=1),EU170,0))</f>
        <v>x</v>
      </c>
      <c r="EV353" s="51" t="str">
        <f>IF(EV170=-1,"x",IF(OR(EV268=1,EV$228=1,$GV170=1),EV170,0))</f>
        <v>x</v>
      </c>
      <c r="EW353" s="52" t="str">
        <f>IF(EW170=-1,"x",IF(OR(EW268=1,EW$228=1,$GT170=1),EW170,0))</f>
        <v>x</v>
      </c>
      <c r="EX353" s="50" t="str">
        <f>IF(EX170=-1,"x",IF(OR(EX268=1,EX$228=1,$GU170=1),EX170,0))</f>
        <v>x</v>
      </c>
      <c r="EY353" s="51" t="str">
        <f>IF(EY170=-1,"x",IF(OR(EY268=1,EY$228=1,$GV170=1),EY170,0))</f>
        <v>x</v>
      </c>
      <c r="EZ353" s="52">
        <f>IF(EZ170=-1,"x",IF(OR(EZ268=1,EZ$228=1,$GT170=1),EZ170,0))</f>
        <v>0</v>
      </c>
      <c r="FA353" s="50">
        <f>IF(FA170=-1,"x",IF(OR(FA268=1,FA$228=1,$GU170=1),FA170,0))</f>
        <v>0</v>
      </c>
      <c r="FB353" s="53">
        <f>IF(FB170=-1,"x",IF(OR(FB268=1,FB$228=1,$GV170=1),FB170,0))</f>
        <v>0</v>
      </c>
      <c r="FC353" s="49">
        <f>IF(FC170=-1,"x",IF(OR(FC268=1,FC$228=1,$GT170=1),FC170,0))</f>
        <v>0</v>
      </c>
      <c r="FD353" s="50">
        <f>IF(FD170=-1,"x",IF(OR(FD268=1,FD$228=1,$GU170=1),FD170,0))</f>
        <v>0</v>
      </c>
      <c r="FE353" s="51">
        <f>IF(FE170=-1,"x",IF(OR(FE268=1,FE$228=1,$GV170=1),FE170,0))</f>
        <v>0</v>
      </c>
      <c r="FF353" s="52" t="str">
        <f>IF(FF170=-1,"x",IF(OR(FF268=1,FF$228=1,$GT170=1),FF170,0))</f>
        <v>x</v>
      </c>
      <c r="FG353" s="50" t="str">
        <f>IF(FG170=-1,"x",IF(OR(FG268=1,FG$228=1,$GU170=1),FG170,0))</f>
        <v>x</v>
      </c>
      <c r="FH353" s="51" t="str">
        <f>IF(FH170=-1,"x",IF(OR(FH268=1,FH$228=1,$GV170=1),FH170,0))</f>
        <v>x</v>
      </c>
      <c r="FI353" s="52" t="str">
        <f>IF(FI170=-1,"x",IF(OR(FI268=1,FI$228=1,$GT170=1),FI170,0))</f>
        <v>x</v>
      </c>
      <c r="FJ353" s="50" t="str">
        <f>IF(FJ170=-1,"x",IF(OR(FJ268=1,FJ$228=1,$GU170=1),FJ170,0))</f>
        <v>x</v>
      </c>
      <c r="FK353" s="105" t="str">
        <f>IF(FK170=-1,"x",IF(OR(FK268=1,FK$228=1,$GV170=1),FK170,0))</f>
        <v>x</v>
      </c>
      <c r="FL353" s="104" t="str">
        <f>IF(FL170=-1,"x",IF(OR(FL268=1,FL$228=1,$GT170=1),FL170,0))</f>
        <v>x</v>
      </c>
      <c r="FM353" s="50" t="str">
        <f>IF(FM170=-1,"x",IF(OR(FM268=1,FM$228=1,$GU170=1),FM170,0))</f>
        <v>x</v>
      </c>
      <c r="FN353" s="51" t="str">
        <f>IF(FN170=-1,"x",IF(OR(FN268=1,FN$228=1,$GV170=1),FN170,0))</f>
        <v>x</v>
      </c>
      <c r="FO353" s="52" t="str">
        <f>IF(FO170=-1,"x",IF(OR(FO268=1,FO$228=1,$GT170=1),FO170,0))</f>
        <v>x</v>
      </c>
      <c r="FP353" s="50" t="str">
        <f>IF(FP170=-1,"x",IF(OR(FP268=1,FP$228=1,$GU170=1),FP170,0))</f>
        <v>x</v>
      </c>
      <c r="FQ353" s="51" t="str">
        <f>IF(FQ170=-1,"x",IF(OR(FQ268=1,FQ$228=1,$GV170=1),FQ170,0))</f>
        <v>x</v>
      </c>
      <c r="FR353" s="52" t="str">
        <f>IF(FR170=-1,"x",IF(OR(FR268=1,FR$228=1,$GT170=1),FR170,0))</f>
        <v>x</v>
      </c>
      <c r="FS353" s="50" t="str">
        <f>IF(FS170=-1,"x",IF(OR(FS268=1,FS$228=1,$GU170=1),FS170,0))</f>
        <v>x</v>
      </c>
      <c r="FT353" s="53" t="str">
        <f>IF(FT170=-1,"x",IF(OR(FT268=1,FT$228=1,$GV170=1),FT170,0))</f>
        <v>x</v>
      </c>
      <c r="FU353" s="49" t="str">
        <f>IF(FU170=-1,"x",IF(OR(FU268=1,FU$228=1,$GT170=1),FU170,0))</f>
        <v>x</v>
      </c>
      <c r="FV353" s="50" t="str">
        <f>IF(FV170=-1,"x",IF(OR(FV268=1,FV$228=1,$GU170=1),FV170,0))</f>
        <v>x</v>
      </c>
      <c r="FW353" s="51" t="str">
        <f>IF(FW170=-1,"x",IF(OR(FW268=1,FW$228=1,$GV170=1),FW170,0))</f>
        <v>x</v>
      </c>
      <c r="FX353" s="52" t="str">
        <f>IF(FX170=-1,"x",IF(OR(FX268=1,FX$228=1,$GT170=1),FX170,0))</f>
        <v>x</v>
      </c>
      <c r="FY353" s="50" t="str">
        <f>IF(FY170=-1,"x",IF(OR(FY268=1,FY$228=1,$GU170=1),FY170,0))</f>
        <v>x</v>
      </c>
      <c r="FZ353" s="51" t="str">
        <f>IF(FZ170=-1,"x",IF(OR(FZ268=1,FZ$228=1,$GV170=1),FZ170,0))</f>
        <v>x</v>
      </c>
      <c r="GA353" s="52" t="str">
        <f>IF(GA170=-1,"x",IF(OR(GA268=1,GA$228=1,$GT170=1),GA170,0))</f>
        <v>x</v>
      </c>
      <c r="GB353" s="50" t="str">
        <f>IF(GB170=-1,"x",IF(OR(GB268=1,GB$228=1,$GU170=1),GB170,0))</f>
        <v>x</v>
      </c>
      <c r="GC353" s="53" t="str">
        <f>IF(GC170=-1,"x",IF(OR(GC268=1,GC$228=1,$GV170=1),GC170,0))</f>
        <v>x</v>
      </c>
      <c r="GD353" s="49" t="str">
        <f>IF(GD170=-1,"x",IF(OR(GD268=1,GD$228=1,$GT170=1),GD170,0))</f>
        <v>x</v>
      </c>
      <c r="GE353" s="50" t="str">
        <f>IF(GE170=-1,"x",IF(OR(GE268=1,GE$228=1,$GU170=1),GE170,0))</f>
        <v>x</v>
      </c>
      <c r="GF353" s="51" t="str">
        <f>IF(GF170=-1,"x",IF(OR(GF268=1,GF$228=1,$GV170=1),GF170,0))</f>
        <v>x</v>
      </c>
      <c r="GG353" s="52">
        <f>IF(GG170=-1,"x",IF(OR(GG268=1,GG$228=1,$GT170=1),GG170,0))</f>
        <v>0</v>
      </c>
      <c r="GH353" s="50">
        <f>IF(GH170=-1,"x",IF(OR(GH268=1,GH$228=1,$GU170=1),GH170,0))</f>
        <v>0</v>
      </c>
      <c r="GI353" s="51">
        <f>IF(GI170=-1,"x",IF(OR(GI268=1,GI$228=1,$GV170=1),GI170,0))</f>
        <v>0</v>
      </c>
      <c r="GJ353" s="52" t="str">
        <f>IF(GJ170=-1,"x",IF(OR(GJ268=1,GJ$228=1,$GT170=1),GJ170,0))</f>
        <v>x</v>
      </c>
      <c r="GK353" s="50" t="str">
        <f>IF(GK170=-1,"x",IF(OR(GK268=1,GK$228=1,$GU170=1),GK170,0))</f>
        <v>x</v>
      </c>
      <c r="GL353" s="105" t="str">
        <f>IF(GL170=-1,"x",IF(OR(GL268=1,GL$228=1,$GV170=1),GL170,0))</f>
        <v>x</v>
      </c>
    </row>
    <row r="354" spans="14:194" ht="15" customHeight="1">
      <c r="N354" s="94" t="str">
        <f>IF(N171=-1,"x",IF(OR(N269=1,N$196=1,$CX171=1),N171,0))</f>
        <v>x</v>
      </c>
      <c r="O354" s="39" t="str">
        <f>IF(O171=-1,"x",IF(OR(O269=1,O$196=1,$CY171=1),O171,0))</f>
        <v>x</v>
      </c>
      <c r="P354" s="41" t="str">
        <f>IF(P171=-1,"x",IF(OR(P269=1,P$196=1,$CZ171=1),P171,0))</f>
        <v>x</v>
      </c>
      <c r="Q354" s="40" t="str">
        <f>IF(Q171=-1,"x",IF(OR(Q269=1,Q$196=1,$CX171=1),Q171,0))</f>
        <v>x</v>
      </c>
      <c r="R354" s="39" t="str">
        <f>IF(R171=-1,"x",IF(OR(R269=1,R$196=1,$CY171=1),R171,0))</f>
        <v>x</v>
      </c>
      <c r="S354" s="41" t="str">
        <f>IF(S171=-1,"x",IF(OR(S269=1,S$196=1,$CZ171=1),S171,0))</f>
        <v>x</v>
      </c>
      <c r="T354" s="40" t="str">
        <f>IF(T171=-1,"x",IF(OR(T269=1,T$196=1,$CX171=1),T171,0))</f>
        <v>x</v>
      </c>
      <c r="U354" s="39" t="str">
        <f>IF(U171=-1,"x",IF(OR(U269=1,U$196=1,$CY171=1),U171,0))</f>
        <v>x</v>
      </c>
      <c r="V354" s="42" t="str">
        <f>IF(V171=-1,"x",IF(OR(V269=1,V$196=1,$CZ171=1),V171,0))</f>
        <v>x</v>
      </c>
      <c r="W354" s="43" t="str">
        <f>IF(W171=-1,"x",IF(OR(W269=1,W$196=1,$CX171=1),W171,0))</f>
        <v>x</v>
      </c>
      <c r="X354" s="39" t="str">
        <f>IF(X171=-1,"x",IF(OR(X269=1,X$196=1,$CY171=1),X171,0))</f>
        <v>x</v>
      </c>
      <c r="Y354" s="41" t="str">
        <f>IF(Y171=-1,"x",IF(OR(Y269=1,Y$196=1,$CZ171=1),Y171,0))</f>
        <v>x</v>
      </c>
      <c r="Z354" s="40" t="str">
        <f>IF(Z171=-1,"x",IF(OR(Z269=1,Z$196=1,$CX171=1),Z171,0))</f>
        <v>x</v>
      </c>
      <c r="AA354" s="39" t="str">
        <f>IF(AA171=-1,"x",IF(OR(AA269=1,AA$196=1,$CY171=1),AA171,0))</f>
        <v>x</v>
      </c>
      <c r="AB354" s="41" t="str">
        <f>IF(AB171=-1,"x",IF(OR(AB269=1,AB$196=1,$CZ171=1),AB171,0))</f>
        <v>x</v>
      </c>
      <c r="AC354" s="40" t="str">
        <f>IF(AC171=-1,"x",IF(OR(AC269=1,AC$196=1,$CX171=1),AC171,0))</f>
        <v>x</v>
      </c>
      <c r="AD354" s="39" t="str">
        <f>IF(AD171=-1,"x",IF(OR(AD269=1,AD$196=1,$CY171=1),AD171,0))</f>
        <v>x</v>
      </c>
      <c r="AE354" s="42" t="str">
        <f>IF(AE171=-1,"x",IF(OR(AE269=1,AE$196=1,$CZ171=1),AE171,0))</f>
        <v>x</v>
      </c>
      <c r="AF354" s="43" t="str">
        <f>IF(AF171=-1,"x",IF(OR(AF269=1,AF$196=1,$CX171=1),AF171,0))</f>
        <v>x</v>
      </c>
      <c r="AG354" s="39" t="str">
        <f>IF(AG171=-1,"x",IF(OR(AG269=1,AG$196=1,$CY171=1),AG171,0))</f>
        <v>x</v>
      </c>
      <c r="AH354" s="41" t="str">
        <f>IF(AH171=-1,"x",IF(OR(AH269=1,AH$196=1,$CZ171=1),AH171,0))</f>
        <v>x</v>
      </c>
      <c r="AI354" s="40" t="str">
        <f>IF(AI171=-1,"x",IF(OR(AI269=1,AI$196=1,$CX171=1),AI171,0))</f>
        <v>x</v>
      </c>
      <c r="AJ354" s="39" t="str">
        <f>IF(AJ171=-1,"x",IF(OR(AJ269=1,AJ$196=1,$CY171=1),AJ171,0))</f>
        <v>x</v>
      </c>
      <c r="AK354" s="41" t="str">
        <f>IF(AK171=-1,"x",IF(OR(AK269=1,AK$196=1,$CZ171=1),AK171,0))</f>
        <v>x</v>
      </c>
      <c r="AL354" s="40" t="str">
        <f>IF(AL171=-1,"x",IF(OR(AL269=1,AL$196=1,$CX171=1),AL171,0))</f>
        <v>x</v>
      </c>
      <c r="AM354" s="39" t="str">
        <f>IF(AM171=-1,"x",IF(OR(AM269=1,AM$196=1,$CY171=1),AM171,0))</f>
        <v>x</v>
      </c>
      <c r="AN354" s="95" t="str">
        <f>IF(AN171=-1,"x",IF(OR(AN269=1,AN$196=1,$CZ171=1),AN171,0))</f>
        <v>x</v>
      </c>
      <c r="AO354" s="94" t="str">
        <f>IF(AO171=-1,"x",IF(OR(AO269=1,AO$196=1,$CX171=1),AO171,0))</f>
        <v>x</v>
      </c>
      <c r="AP354" s="39" t="str">
        <f>IF(AP171=-1,"x",IF(OR(AP269=1,AP$196=1,$CY171=1),AP171,0))</f>
        <v>x</v>
      </c>
      <c r="AQ354" s="41" t="str">
        <f>IF(AQ171=-1,"x",IF(OR(AQ269=1,AQ$196=1,$CZ171=1),AQ171,0))</f>
        <v>x</v>
      </c>
      <c r="AR354" s="40" t="str">
        <f>IF(AR171=-1,"x",IF(OR(AR269=1,AR$196=1,$CX171=1),AR171,0))</f>
        <v>x</v>
      </c>
      <c r="AS354" s="39" t="str">
        <f>IF(AS171=-1,"x",IF(OR(AS269=1,AS$196=1,$CY171=1),AS171,0))</f>
        <v>x</v>
      </c>
      <c r="AT354" s="41" t="str">
        <f>IF(AT171=-1,"x",IF(OR(AT269=1,AT$196=1,$CZ171=1),AT171,0))</f>
        <v>x</v>
      </c>
      <c r="AU354" s="40" t="str">
        <f>IF(AU171=-1,"x",IF(OR(AU269=1,AU$196=1,$CX171=1),AU171,0))</f>
        <v>x</v>
      </c>
      <c r="AV354" s="39" t="str">
        <f>IF(AV171=-1,"x",IF(OR(AV269=1,AV$196=1,$CY171=1),AV171,0))</f>
        <v>x</v>
      </c>
      <c r="AW354" s="42" t="str">
        <f>IF(AW171=-1,"x",IF(OR(AW269=1,AW$196=1,$CZ171=1),AW171,0))</f>
        <v>x</v>
      </c>
      <c r="AX354" s="43" t="str">
        <f>IF(AX171=-1,"x",IF(OR(AX269=1,AX$196=1,$CX171=1),AX171,0))</f>
        <v>x</v>
      </c>
      <c r="AY354" s="39" t="str">
        <f>IF(AY171=-1,"x",IF(OR(AY269=1,AY$196=1,$CY171=1),AY171,0))</f>
        <v>x</v>
      </c>
      <c r="AZ354" s="41" t="str">
        <f>IF(AZ171=-1,"x",IF(OR(AZ269=1,AZ$196=1,$CZ171=1),AZ171,0))</f>
        <v>x</v>
      </c>
      <c r="BA354" s="40">
        <f>IF(BA171=-1,"x",IF(OR(BA269=1,BA$196=1,$CX171=1),BA171,0))</f>
        <v>0</v>
      </c>
      <c r="BB354" s="39">
        <f>IF(BB171=-1,"x",IF(OR(BB269=1,BB$196=1,$CY171=1),BB171,0))</f>
        <v>0</v>
      </c>
      <c r="BC354" s="41">
        <f>IF(BC171=-1,"x",IF(OR(BC269=1,BC$196=1,$CZ171=1),BC171,0))</f>
        <v>0</v>
      </c>
      <c r="BD354" s="40" t="str">
        <f>IF(BD171=-1,"x",IF(OR(BD269=1,BD$196=1,$CX171=1),BD171,0))</f>
        <v>x</v>
      </c>
      <c r="BE354" s="39" t="str">
        <f>IF(BE171=-1,"x",IF(OR(BE269=1,BE$196=1,$CY171=1),BE171,0))</f>
        <v>x</v>
      </c>
      <c r="BF354" s="42" t="str">
        <f>IF(BF171=-1,"x",IF(OR(BF269=1,BF$196=1,$CZ171=1),BF171,0))</f>
        <v>x</v>
      </c>
      <c r="BG354" s="43" t="str">
        <f>IF(BG171=-1,"x",IF(OR(BG269=1,BG$196=1,$CX171=1),BG171,0))</f>
        <v>x</v>
      </c>
      <c r="BH354" s="39" t="str">
        <f>IF(BH171=-1,"x",IF(OR(BH269=1,BH$196=1,$CY171=1),BH171,0))</f>
        <v>x</v>
      </c>
      <c r="BI354" s="41" t="str">
        <f>IF(BI171=-1,"x",IF(OR(BI269=1,BI$196=1,$CZ171=1),BI171,0))</f>
        <v>x</v>
      </c>
      <c r="BJ354" s="40" t="str">
        <f>IF(BJ171=-1,"x",IF(OR(BJ269=1,BJ$196=1,$CX171=1),BJ171,0))</f>
        <v>x</v>
      </c>
      <c r="BK354" s="39" t="str">
        <f>IF(BK171=-1,"x",IF(OR(BK269=1,BK$196=1,$CY171=1),BK171,0))</f>
        <v>x</v>
      </c>
      <c r="BL354" s="41" t="str">
        <f>IF(BL171=-1,"x",IF(OR(BL269=1,BL$196=1,$CZ171=1),BL171,0))</f>
        <v>x</v>
      </c>
      <c r="BM354" s="40" t="str">
        <f>IF(BM171=-1,"x",IF(OR(BM269=1,BM$196=1,$CX171=1),BM171,0))</f>
        <v>x</v>
      </c>
      <c r="BN354" s="39" t="str">
        <f>IF(BN171=-1,"x",IF(OR(BN269=1,BN$196=1,$CY171=1),BN171,0))</f>
        <v>x</v>
      </c>
      <c r="BO354" s="95" t="str">
        <f>IF(BO171=-1,"x",IF(OR(BO269=1,BO$196=1,$CZ171=1),BO171,0))</f>
        <v>x</v>
      </c>
      <c r="BP354" s="94" t="str">
        <f>IF(BP171=-1,"x",IF(OR(BP269=1,BP$196=1,$CX171=1),BP171,0))</f>
        <v>x</v>
      </c>
      <c r="BQ354" s="39" t="str">
        <f>IF(BQ171=-1,"x",IF(OR(BQ269=1,BQ$196=1,$CY171=1),BQ171,0))</f>
        <v>x</v>
      </c>
      <c r="BR354" s="41" t="str">
        <f>IF(BR171=-1,"x",IF(OR(BR269=1,BR$196=1,$CZ171=1),BR171,0))</f>
        <v>x</v>
      </c>
      <c r="BS354" s="40" t="str">
        <f>IF(BS171=-1,"x",IF(OR(BS269=1,BS$196=1,$CX171=1),BS171,0))</f>
        <v>x</v>
      </c>
      <c r="BT354" s="39" t="str">
        <f>IF(BT171=-1,"x",IF(OR(BT269=1,BT$196=1,$CY171=1),BT171,0))</f>
        <v>x</v>
      </c>
      <c r="BU354" s="41" t="str">
        <f>IF(BU171=-1,"x",IF(OR(BU269=1,BU$196=1,$CZ171=1),BU171,0))</f>
        <v>x</v>
      </c>
      <c r="BV354" s="40" t="str">
        <f>IF(BV171=-1,"x",IF(OR(BV269=1,BV$196=1,$CX171=1),BV171,0))</f>
        <v>x</v>
      </c>
      <c r="BW354" s="39" t="str">
        <f>IF(BW171=-1,"x",IF(OR(BW269=1,BW$196=1,$CY171=1),BW171,0))</f>
        <v>x</v>
      </c>
      <c r="BX354" s="42" t="str">
        <f>IF(BX171=-1,"x",IF(OR(BX269=1,BX$196=1,$CZ171=1),BX171,0))</f>
        <v>x</v>
      </c>
      <c r="BY354" s="43" t="str">
        <f>IF(BY171=-1,"x",IF(OR(BY269=1,BY$196=1,$CX171=1),BY171,0))</f>
        <v>x</v>
      </c>
      <c r="BZ354" s="39" t="str">
        <f>IF(BZ171=-1,"x",IF(OR(BZ269=1,BZ$196=1,$CY171=1),BZ171,0))</f>
        <v>x</v>
      </c>
      <c r="CA354" s="41" t="str">
        <f>IF(CA171=-1,"x",IF(OR(CA269=1,CA$196=1,$CZ171=1),CA171,0))</f>
        <v>x</v>
      </c>
      <c r="CB354" s="40" t="str">
        <f>IF(CB171=-1,"x",IF(OR(CB269=1,CB$196=1,$CX171=1),CB171,0))</f>
        <v>x</v>
      </c>
      <c r="CC354" s="39" t="str">
        <f>IF(CC171=-1,"x",IF(OR(CC269=1,CC$196=1,$CY171=1),CC171,0))</f>
        <v>x</v>
      </c>
      <c r="CD354" s="41" t="str">
        <f>IF(CD171=-1,"x",IF(OR(CD269=1,CD$196=1,$CZ171=1),CD171,0))</f>
        <v>x</v>
      </c>
      <c r="CE354" s="40" t="str">
        <f>IF(CE171=-1,"x",IF(OR(CE269=1,CE$196=1,$CX171=1),CE171,0))</f>
        <v>x</v>
      </c>
      <c r="CF354" s="39" t="str">
        <f>IF(CF171=-1,"x",IF(OR(CF269=1,CF$196=1,$CY171=1),CF171,0))</f>
        <v>x</v>
      </c>
      <c r="CG354" s="42" t="str">
        <f>IF(CG171=-1,"x",IF(OR(CG269=1,CG$196=1,$CZ171=1),CG171,0))</f>
        <v>x</v>
      </c>
      <c r="CH354" s="43" t="str">
        <f>IF(CH171=-1,"x",IF(OR(CH269=1,CH$196=1,$CX171=1),CH171,0))</f>
        <v>x</v>
      </c>
      <c r="CI354" s="39" t="str">
        <f>IF(CI171=-1,"x",IF(OR(CI269=1,CI$196=1,$CY171=1),CI171,0))</f>
        <v>x</v>
      </c>
      <c r="CJ354" s="41" t="str">
        <f>IF(CJ171=-1,"x",IF(OR(CJ269=1,CJ$196=1,$CZ171=1),CJ171,0))</f>
        <v>x</v>
      </c>
      <c r="CK354" s="40" t="str">
        <f>IF(CK171=-1,"x",IF(OR(CK269=1,CK$196=1,$CX171=1),CK171,0))</f>
        <v>x</v>
      </c>
      <c r="CL354" s="39" t="str">
        <f>IF(CL171=-1,"x",IF(OR(CL269=1,CL$196=1,$CY171=1),CL171,0))</f>
        <v>x</v>
      </c>
      <c r="CM354" s="41" t="str">
        <f>IF(CM171=-1,"x",IF(OR(CM269=1,CM$196=1,$CZ171=1),CM171,0))</f>
        <v>x</v>
      </c>
      <c r="CN354" s="40" t="str">
        <f>IF(CN171=-1,"x",IF(OR(CN269=1,CN$196=1,$CX171=1),CN171,0))</f>
        <v>x</v>
      </c>
      <c r="CO354" s="39" t="str">
        <f>IF(CO171=-1,"x",IF(OR(CO269=1,CO$196=1,$CY171=1),CO171,0))</f>
        <v>x</v>
      </c>
      <c r="CP354" s="95" t="str">
        <f>IF(CP171=-1,"x",IF(OR(CP269=1,CP$196=1,$CZ171=1),CP171,0))</f>
        <v>x</v>
      </c>
      <c r="DJ354" s="94" t="str">
        <f>IF(DJ171=-1,"x",IF(OR(DJ269=1,DJ$229=1,$GT171=1),DJ171,0))</f>
        <v>x</v>
      </c>
      <c r="DK354" s="39" t="str">
        <f>IF(DK171=-1,"x",IF(OR(DK269=1,DK$229=1,$GU171=1),DK171,0))</f>
        <v>x</v>
      </c>
      <c r="DL354" s="41" t="str">
        <f>IF(DL171=-1,"x",IF(OR(DL269=1,DL$229=1,$GV171=1),DL171,0))</f>
        <v>x</v>
      </c>
      <c r="DM354" s="40" t="str">
        <f>IF(DM171=-1,"x",IF(OR(DM269=1,DM$229=1,$GT171=1),DM171,0))</f>
        <v>x</v>
      </c>
      <c r="DN354" s="39" t="str">
        <f>IF(DN171=-1,"x",IF(OR(DN269=1,DN$229=1,$GU171=1),DN171,0))</f>
        <v>x</v>
      </c>
      <c r="DO354" s="41" t="str">
        <f>IF(DO171=-1,"x",IF(OR(DO269=1,DO$229=1,$GV171=1),DO171,0))</f>
        <v>x</v>
      </c>
      <c r="DP354" s="40" t="str">
        <f>IF(DP171=-1,"x",IF(OR(DP269=1,DP$229=1,$GT171=1),DP171,0))</f>
        <v>x</v>
      </c>
      <c r="DQ354" s="39" t="str">
        <f>IF(DQ171=-1,"x",IF(OR(DQ269=1,DQ$229=1,$GU171=1),DQ171,0))</f>
        <v>x</v>
      </c>
      <c r="DR354" s="42" t="str">
        <f>IF(DR171=-1,"x",IF(OR(DR269=1,DR$229=1,$GV171=1),DR171,0))</f>
        <v>x</v>
      </c>
      <c r="DS354" s="43" t="str">
        <f>IF(DS171=-1,"x",IF(OR(DS269=1,DS$229=1,$GT171=1),DS171,0))</f>
        <v>x</v>
      </c>
      <c r="DT354" s="39" t="str">
        <f>IF(DT171=-1,"x",IF(OR(DT269=1,DT$229=1,$GU171=1),DT171,0))</f>
        <v>x</v>
      </c>
      <c r="DU354" s="41" t="str">
        <f>IF(DU171=-1,"x",IF(OR(DU269=1,DU$229=1,$GV171=1),DU171,0))</f>
        <v>x</v>
      </c>
      <c r="DV354" s="40" t="str">
        <f>IF(DV171=-1,"x",IF(OR(DV269=1,DV$229=1,$GT171=1),DV171,0))</f>
        <v>x</v>
      </c>
      <c r="DW354" s="39" t="str">
        <f>IF(DW171=-1,"x",IF(OR(DW269=1,DW$229=1,$GU171=1),DW171,0))</f>
        <v>x</v>
      </c>
      <c r="DX354" s="41" t="str">
        <f>IF(DX171=-1,"x",IF(OR(DX269=1,DX$229=1,$GV171=1),DX171,0))</f>
        <v>x</v>
      </c>
      <c r="DY354" s="40" t="str">
        <f>IF(DY171=-1,"x",IF(OR(DY269=1,DY$229=1,$GT171=1),DY171,0))</f>
        <v>x</v>
      </c>
      <c r="DZ354" s="39" t="str">
        <f>IF(DZ171=-1,"x",IF(OR(DZ269=1,DZ$229=1,$GU171=1),DZ171,0))</f>
        <v>x</v>
      </c>
      <c r="EA354" s="42" t="str">
        <f>IF(EA171=-1,"x",IF(OR(EA269=1,EA$229=1,$GV171=1),EA171,0))</f>
        <v>x</v>
      </c>
      <c r="EB354" s="43" t="str">
        <f>IF(EB171=-1,"x",IF(OR(EB269=1,EB$229=1,$GT171=1),EB171,0))</f>
        <v>x</v>
      </c>
      <c r="EC354" s="39" t="str">
        <f>IF(EC171=-1,"x",IF(OR(EC269=1,EC$229=1,$GU171=1),EC171,0))</f>
        <v>x</v>
      </c>
      <c r="ED354" s="41" t="str">
        <f>IF(ED171=-1,"x",IF(OR(ED269=1,ED$229=1,$GV171=1),ED171,0))</f>
        <v>x</v>
      </c>
      <c r="EE354" s="40" t="str">
        <f>IF(EE171=-1,"x",IF(OR(EE269=1,EE$229=1,$GT171=1),EE171,0))</f>
        <v>x</v>
      </c>
      <c r="EF354" s="39" t="str">
        <f>IF(EF171=-1,"x",IF(OR(EF269=1,EF$229=1,$GU171=1),EF171,0))</f>
        <v>x</v>
      </c>
      <c r="EG354" s="41" t="str">
        <f>IF(EG171=-1,"x",IF(OR(EG269=1,EG$229=1,$GV171=1),EG171,0))</f>
        <v>x</v>
      </c>
      <c r="EH354" s="40" t="str">
        <f>IF(EH171=-1,"x",IF(OR(EH269=1,EH$229=1,$GT171=1),EH171,0))</f>
        <v>x</v>
      </c>
      <c r="EI354" s="39" t="str">
        <f>IF(EI171=-1,"x",IF(OR(EI269=1,EI$229=1,$GU171=1),EI171,0))</f>
        <v>x</v>
      </c>
      <c r="EJ354" s="95" t="str">
        <f>IF(EJ171=-1,"x",IF(OR(EJ269=1,EJ$229=1,$GV171=1),EJ171,0))</f>
        <v>x</v>
      </c>
      <c r="EK354" s="94" t="str">
        <f>IF(EK171=-1,"x",IF(OR(EK269=1,EK$229=1,$GT171=1),EK171,0))</f>
        <v>x</v>
      </c>
      <c r="EL354" s="39" t="str">
        <f>IF(EL171=-1,"x",IF(OR(EL269=1,EL$229=1,$GU171=1),EL171,0))</f>
        <v>x</v>
      </c>
      <c r="EM354" s="41" t="str">
        <f>IF(EM171=-1,"x",IF(OR(EM269=1,EM$229=1,$GV171=1),EM171,0))</f>
        <v>x</v>
      </c>
      <c r="EN354" s="40">
        <f>IF(EN171=-1,"x",IF(OR(EN269=1,EN$229=1,$GT171=1),EN171,0))</f>
        <v>0</v>
      </c>
      <c r="EO354" s="39">
        <f>IF(EO171=-1,"x",IF(OR(EO269=1,EO$229=1,$GU171=1),EO171,0))</f>
        <v>0</v>
      </c>
      <c r="EP354" s="41">
        <f>IF(EP171=-1,"x",IF(OR(EP269=1,EP$229=1,$GV171=1),EP171,0))</f>
        <v>0</v>
      </c>
      <c r="EQ354" s="40">
        <f>IF(EQ171=-1,"x",IF(OR(EQ269=1,EQ$229=1,$GT171=1),EQ171,0))</f>
        <v>0</v>
      </c>
      <c r="ER354" s="39">
        <f>IF(ER171=-1,"x",IF(OR(ER269=1,ER$229=1,$GU171=1),ER171,0))</f>
        <v>0</v>
      </c>
      <c r="ES354" s="42">
        <f>IF(ES171=-1,"x",IF(OR(ES269=1,ES$229=1,$GV171=1),ES171,0))</f>
        <v>0</v>
      </c>
      <c r="ET354" s="43" t="str">
        <f>IF(ET171=-1,"x",IF(OR(ET269=1,ET$229=1,$GT171=1),ET171,0))</f>
        <v>x</v>
      </c>
      <c r="EU354" s="39" t="str">
        <f>IF(EU171=-1,"x",IF(OR(EU269=1,EU$229=1,$GU171=1),EU171,0))</f>
        <v>x</v>
      </c>
      <c r="EV354" s="41" t="str">
        <f>IF(EV171=-1,"x",IF(OR(EV269=1,EV$229=1,$GV171=1),EV171,0))</f>
        <v>x</v>
      </c>
      <c r="EW354" s="40" t="str">
        <f>IF(EW171=-1,"x",IF(OR(EW269=1,EW$229=1,$GT171=1),EW171,0))</f>
        <v>x</v>
      </c>
      <c r="EX354" s="39" t="str">
        <f>IF(EX171=-1,"x",IF(OR(EX269=1,EX$229=1,$GU171=1),EX171,0))</f>
        <v>x</v>
      </c>
      <c r="EY354" s="41" t="str">
        <f>IF(EY171=-1,"x",IF(OR(EY269=1,EY$229=1,$GV171=1),EY171,0))</f>
        <v>x</v>
      </c>
      <c r="EZ354" s="40">
        <f>IF(EZ171=-1,"x",IF(OR(EZ269=1,EZ$229=1,$GT171=1),EZ171,0))</f>
        <v>0</v>
      </c>
      <c r="FA354" s="39">
        <f>IF(FA171=-1,"x",IF(OR(FA269=1,FA$229=1,$GU171=1),FA171,0))</f>
        <v>0</v>
      </c>
      <c r="FB354" s="42">
        <f>IF(FB171=-1,"x",IF(OR(FB269=1,FB$229=1,$GV171=1),FB171,0))</f>
        <v>0</v>
      </c>
      <c r="FC354" s="43">
        <f>IF(FC171=-1,"x",IF(OR(FC269=1,FC$229=1,$GT171=1),FC171,0))</f>
        <v>0</v>
      </c>
      <c r="FD354" s="39">
        <f>IF(FD171=-1,"x",IF(OR(FD269=1,FD$229=1,$GU171=1),FD171,0))</f>
        <v>0</v>
      </c>
      <c r="FE354" s="41">
        <f>IF(FE171=-1,"x",IF(OR(FE269=1,FE$229=1,$GV171=1),FE171,0))</f>
        <v>0</v>
      </c>
      <c r="FF354" s="40" t="str">
        <f>IF(FF171=-1,"x",IF(OR(FF269=1,FF$229=1,$GT171=1),FF171,0))</f>
        <v>x</v>
      </c>
      <c r="FG354" s="39" t="str">
        <f>IF(FG171=-1,"x",IF(OR(FG269=1,FG$229=1,$GU171=1),FG171,0))</f>
        <v>x</v>
      </c>
      <c r="FH354" s="41" t="str">
        <f>IF(FH171=-1,"x",IF(OR(FH269=1,FH$229=1,$GV171=1),FH171,0))</f>
        <v>x</v>
      </c>
      <c r="FI354" s="40" t="str">
        <f>IF(FI171=-1,"x",IF(OR(FI269=1,FI$229=1,$GT171=1),FI171,0))</f>
        <v>x</v>
      </c>
      <c r="FJ354" s="39" t="str">
        <f>IF(FJ171=-1,"x",IF(OR(FJ269=1,FJ$229=1,$GU171=1),FJ171,0))</f>
        <v>x</v>
      </c>
      <c r="FK354" s="95" t="str">
        <f>IF(FK171=-1,"x",IF(OR(FK269=1,FK$229=1,$GV171=1),FK171,0))</f>
        <v>x</v>
      </c>
      <c r="FL354" s="94" t="str">
        <f>IF(FL171=-1,"x",IF(OR(FL269=1,FL$229=1,$GT171=1),FL171,0))</f>
        <v>x</v>
      </c>
      <c r="FM354" s="39" t="str">
        <f>IF(FM171=-1,"x",IF(OR(FM269=1,FM$229=1,$GU171=1),FM171,0))</f>
        <v>x</v>
      </c>
      <c r="FN354" s="41" t="str">
        <f>IF(FN171=-1,"x",IF(OR(FN269=1,FN$229=1,$GV171=1),FN171,0))</f>
        <v>x</v>
      </c>
      <c r="FO354" s="40" t="str">
        <f>IF(FO171=-1,"x",IF(OR(FO269=1,FO$229=1,$GT171=1),FO171,0))</f>
        <v>x</v>
      </c>
      <c r="FP354" s="39" t="str">
        <f>IF(FP171=-1,"x",IF(OR(FP269=1,FP$229=1,$GU171=1),FP171,0))</f>
        <v>x</v>
      </c>
      <c r="FQ354" s="41" t="str">
        <f>IF(FQ171=-1,"x",IF(OR(FQ269=1,FQ$229=1,$GV171=1),FQ171,0))</f>
        <v>x</v>
      </c>
      <c r="FR354" s="40" t="str">
        <f>IF(FR171=-1,"x",IF(OR(FR269=1,FR$229=1,$GT171=1),FR171,0))</f>
        <v>x</v>
      </c>
      <c r="FS354" s="39" t="str">
        <f>IF(FS171=-1,"x",IF(OR(FS269=1,FS$229=1,$GU171=1),FS171,0))</f>
        <v>x</v>
      </c>
      <c r="FT354" s="42" t="str">
        <f>IF(FT171=-1,"x",IF(OR(FT269=1,FT$229=1,$GV171=1),FT171,0))</f>
        <v>x</v>
      </c>
      <c r="FU354" s="43" t="str">
        <f>IF(FU171=-1,"x",IF(OR(FU269=1,FU$229=1,$GT171=1),FU171,0))</f>
        <v>x</v>
      </c>
      <c r="FV354" s="39" t="str">
        <f>IF(FV171=-1,"x",IF(OR(FV269=1,FV$229=1,$GU171=1),FV171,0))</f>
        <v>x</v>
      </c>
      <c r="FW354" s="41" t="str">
        <f>IF(FW171=-1,"x",IF(OR(FW269=1,FW$229=1,$GV171=1),FW171,0))</f>
        <v>x</v>
      </c>
      <c r="FX354" s="40" t="str">
        <f>IF(FX171=-1,"x",IF(OR(FX269=1,FX$229=1,$GT171=1),FX171,0))</f>
        <v>x</v>
      </c>
      <c r="FY354" s="39" t="str">
        <f>IF(FY171=-1,"x",IF(OR(FY269=1,FY$229=1,$GU171=1),FY171,0))</f>
        <v>x</v>
      </c>
      <c r="FZ354" s="41" t="str">
        <f>IF(FZ171=-1,"x",IF(OR(FZ269=1,FZ$229=1,$GV171=1),FZ171,0))</f>
        <v>x</v>
      </c>
      <c r="GA354" s="40" t="str">
        <f>IF(GA171=-1,"x",IF(OR(GA269=1,GA$229=1,$GT171=1),GA171,0))</f>
        <v>x</v>
      </c>
      <c r="GB354" s="39" t="str">
        <f>IF(GB171=-1,"x",IF(OR(GB269=1,GB$229=1,$GU171=1),GB171,0))</f>
        <v>x</v>
      </c>
      <c r="GC354" s="42" t="str">
        <f>IF(GC171=-1,"x",IF(OR(GC269=1,GC$229=1,$GV171=1),GC171,0))</f>
        <v>x</v>
      </c>
      <c r="GD354" s="43" t="str">
        <f>IF(GD171=-1,"x",IF(OR(GD269=1,GD$229=1,$GT171=1),GD171,0))</f>
        <v>x</v>
      </c>
      <c r="GE354" s="39" t="str">
        <f>IF(GE171=-1,"x",IF(OR(GE269=1,GE$229=1,$GU171=1),GE171,0))</f>
        <v>x</v>
      </c>
      <c r="GF354" s="41" t="str">
        <f>IF(GF171=-1,"x",IF(OR(GF269=1,GF$229=1,$GV171=1),GF171,0))</f>
        <v>x</v>
      </c>
      <c r="GG354" s="40">
        <f>IF(GG171=-1,"x",IF(OR(GG269=1,GG$229=1,$GT171=1),GG171,0))</f>
        <v>0</v>
      </c>
      <c r="GH354" s="39">
        <f>IF(GH171=-1,"x",IF(OR(GH269=1,GH$229=1,$GU171=1),GH171,0))</f>
        <v>0</v>
      </c>
      <c r="GI354" s="41">
        <f>IF(GI171=-1,"x",IF(OR(GI269=1,GI$229=1,$GV171=1),GI171,0))</f>
        <v>0</v>
      </c>
      <c r="GJ354" s="40" t="str">
        <f>IF(GJ171=-1,"x",IF(OR(GJ269=1,GJ$229=1,$GT171=1),GJ171,0))</f>
        <v>x</v>
      </c>
      <c r="GK354" s="39" t="str">
        <f>IF(GK171=-1,"x",IF(OR(GK269=1,GK$229=1,$GU171=1),GK171,0))</f>
        <v>x</v>
      </c>
      <c r="GL354" s="95" t="str">
        <f>IF(GL171=-1,"x",IF(OR(GL269=1,GL$229=1,$GV171=1),GL171,0))</f>
        <v>x</v>
      </c>
    </row>
    <row r="355" spans="14:194" ht="15" customHeight="1">
      <c r="N355" s="99" t="str">
        <f>IF(N172=-1,"x",IF(OR(N270=1,N$197=1,$CX172=1),N172,0))</f>
        <v>x</v>
      </c>
      <c r="O355" s="45" t="str">
        <f>IF(O172=-1,"x",IF(OR(O270=1,O$197=1,$CY172=1),O172,0))</f>
        <v>x</v>
      </c>
      <c r="P355" s="47" t="str">
        <f>IF(P172=-1,"x",IF(OR(P270=1,P$197=1,$CZ172=1),P172,0))</f>
        <v>x</v>
      </c>
      <c r="Q355" s="46" t="str">
        <f>IF(Q172=-1,"x",IF(OR(Q270=1,Q$197=1,$CX172=1),Q172,0))</f>
        <v>x</v>
      </c>
      <c r="R355" s="45" t="str">
        <f>IF(R172=-1,"x",IF(OR(R270=1,R$197=1,$CY172=1),R172,0))</f>
        <v>x</v>
      </c>
      <c r="S355" s="47" t="str">
        <f>IF(S172=-1,"x",IF(OR(S270=1,S$197=1,$CZ172=1),S172,0))</f>
        <v>x</v>
      </c>
      <c r="T355" s="46" t="str">
        <f>IF(T172=-1,"x",IF(OR(T270=1,T$197=1,$CX172=1),T172,0))</f>
        <v>x</v>
      </c>
      <c r="U355" s="45" t="str">
        <f>IF(U172=-1,"x",IF(OR(U270=1,U$197=1,$CY172=1),U172,0))</f>
        <v>x</v>
      </c>
      <c r="V355" s="48" t="str">
        <f>IF(V172=-1,"x",IF(OR(V270=1,V$197=1,$CZ172=1),V172,0))</f>
        <v>x</v>
      </c>
      <c r="W355" s="44" t="str">
        <f>IF(W172=-1,"x",IF(OR(W270=1,W$197=1,$CX172=1),W172,0))</f>
        <v>x</v>
      </c>
      <c r="X355" s="45" t="str">
        <f>IF(X172=-1,"x",IF(OR(X270=1,X$197=1,$CY172=1),X172,0))</f>
        <v>x</v>
      </c>
      <c r="Y355" s="47" t="str">
        <f>IF(Y172=-1,"x",IF(OR(Y270=1,Y$197=1,$CZ172=1),Y172,0))</f>
        <v>x</v>
      </c>
      <c r="Z355" s="46" t="str">
        <f>IF(Z172=-1,"x",IF(OR(Z270=1,Z$197=1,$CX172=1),Z172,0))</f>
        <v>x</v>
      </c>
      <c r="AA355" s="45" t="str">
        <f>IF(AA172=-1,"x",IF(OR(AA270=1,AA$197=1,$CY172=1),AA172,0))</f>
        <v>x</v>
      </c>
      <c r="AB355" s="47" t="str">
        <f>IF(AB172=-1,"x",IF(OR(AB270=1,AB$197=1,$CZ172=1),AB172,0))</f>
        <v>x</v>
      </c>
      <c r="AC355" s="46" t="str">
        <f>IF(AC172=-1,"x",IF(OR(AC270=1,AC$197=1,$CX172=1),AC172,0))</f>
        <v>x</v>
      </c>
      <c r="AD355" s="45" t="str">
        <f>IF(AD172=-1,"x",IF(OR(AD270=1,AD$197=1,$CY172=1),AD172,0))</f>
        <v>x</v>
      </c>
      <c r="AE355" s="48" t="str">
        <f>IF(AE172=-1,"x",IF(OR(AE270=1,AE$197=1,$CZ172=1),AE172,0))</f>
        <v>x</v>
      </c>
      <c r="AF355" s="44" t="str">
        <f>IF(AF172=-1,"x",IF(OR(AF270=1,AF$197=1,$CX172=1),AF172,0))</f>
        <v>x</v>
      </c>
      <c r="AG355" s="45" t="str">
        <f>IF(AG172=-1,"x",IF(OR(AG270=1,AG$197=1,$CY172=1),AG172,0))</f>
        <v>x</v>
      </c>
      <c r="AH355" s="47" t="str">
        <f>IF(AH172=-1,"x",IF(OR(AH270=1,AH$197=1,$CZ172=1),AH172,0))</f>
        <v>x</v>
      </c>
      <c r="AI355" s="46" t="str">
        <f>IF(AI172=-1,"x",IF(OR(AI270=1,AI$197=1,$CX172=1),AI172,0))</f>
        <v>x</v>
      </c>
      <c r="AJ355" s="45" t="str">
        <f>IF(AJ172=-1,"x",IF(OR(AJ270=1,AJ$197=1,$CY172=1),AJ172,0))</f>
        <v>x</v>
      </c>
      <c r="AK355" s="47" t="str">
        <f>IF(AK172=-1,"x",IF(OR(AK270=1,AK$197=1,$CZ172=1),AK172,0))</f>
        <v>x</v>
      </c>
      <c r="AL355" s="46" t="str">
        <f>IF(AL172=-1,"x",IF(OR(AL270=1,AL$197=1,$CX172=1),AL172,0))</f>
        <v>x</v>
      </c>
      <c r="AM355" s="45" t="str">
        <f>IF(AM172=-1,"x",IF(OR(AM270=1,AM$197=1,$CY172=1),AM172,0))</f>
        <v>x</v>
      </c>
      <c r="AN355" s="100" t="str">
        <f>IF(AN172=-1,"x",IF(OR(AN270=1,AN$197=1,$CZ172=1),AN172,0))</f>
        <v>x</v>
      </c>
      <c r="AO355" s="99" t="str">
        <f>IF(AO172=-1,"x",IF(OR(AO270=1,AO$197=1,$CX172=1),AO172,0))</f>
        <v>x</v>
      </c>
      <c r="AP355" s="45" t="str">
        <f>IF(AP172=-1,"x",IF(OR(AP270=1,AP$197=1,$CY172=1),AP172,0))</f>
        <v>x</v>
      </c>
      <c r="AQ355" s="47" t="str">
        <f>IF(AQ172=-1,"x",IF(OR(AQ270=1,AQ$197=1,$CZ172=1),AQ172,0))</f>
        <v>x</v>
      </c>
      <c r="AR355" s="46" t="str">
        <f>IF(AR172=-1,"x",IF(OR(AR270=1,AR$197=1,$CX172=1),AR172,0))</f>
        <v>x</v>
      </c>
      <c r="AS355" s="45" t="str">
        <f>IF(AS172=-1,"x",IF(OR(AS270=1,AS$197=1,$CY172=1),AS172,0))</f>
        <v>x</v>
      </c>
      <c r="AT355" s="47" t="str">
        <f>IF(AT172=-1,"x",IF(OR(AT270=1,AT$197=1,$CZ172=1),AT172,0))</f>
        <v>x</v>
      </c>
      <c r="AU355" s="46" t="str">
        <f>IF(AU172=-1,"x",IF(OR(AU270=1,AU$197=1,$CX172=1),AU172,0))</f>
        <v>x</v>
      </c>
      <c r="AV355" s="45" t="str">
        <f>IF(AV172=-1,"x",IF(OR(AV270=1,AV$197=1,$CY172=1),AV172,0))</f>
        <v>x</v>
      </c>
      <c r="AW355" s="48" t="str">
        <f>IF(AW172=-1,"x",IF(OR(AW270=1,AW$197=1,$CZ172=1),AW172,0))</f>
        <v>x</v>
      </c>
      <c r="AX355" s="44" t="str">
        <f>IF(AX172=-1,"x",IF(OR(AX270=1,AX$197=1,$CX172=1),AX172,0))</f>
        <v>x</v>
      </c>
      <c r="AY355" s="45" t="str">
        <f>IF(AY172=-1,"x",IF(OR(AY270=1,AY$197=1,$CY172=1),AY172,0))</f>
        <v>x</v>
      </c>
      <c r="AZ355" s="47" t="str">
        <f>IF(AZ172=-1,"x",IF(OR(AZ270=1,AZ$197=1,$CZ172=1),AZ172,0))</f>
        <v>x</v>
      </c>
      <c r="BA355" s="46">
        <f>IF(BA172=-1,"x",IF(OR(BA270=1,BA$197=1,$CX172=1),BA172,0))</f>
        <v>0</v>
      </c>
      <c r="BB355" s="45">
        <f>IF(BB172=-1,"x",IF(OR(BB270=1,BB$197=1,$CY172=1),BB172,0))</f>
        <v>0</v>
      </c>
      <c r="BC355" s="47">
        <f>IF(BC172=-1,"x",IF(OR(BC270=1,BC$197=1,$CZ172=1),BC172,0))</f>
        <v>0</v>
      </c>
      <c r="BD355" s="46" t="str">
        <f>IF(BD172=-1,"x",IF(OR(BD270=1,BD$197=1,$CX172=1),BD172,0))</f>
        <v>x</v>
      </c>
      <c r="BE355" s="45" t="str">
        <f>IF(BE172=-1,"x",IF(OR(BE270=1,BE$197=1,$CY172=1),BE172,0))</f>
        <v>x</v>
      </c>
      <c r="BF355" s="48" t="str">
        <f>IF(BF172=-1,"x",IF(OR(BF270=1,BF$197=1,$CZ172=1),BF172,0))</f>
        <v>x</v>
      </c>
      <c r="BG355" s="44" t="str">
        <f>IF(BG172=-1,"x",IF(OR(BG270=1,BG$197=1,$CX172=1),BG172,0))</f>
        <v>x</v>
      </c>
      <c r="BH355" s="45" t="str">
        <f>IF(BH172=-1,"x",IF(OR(BH270=1,BH$197=1,$CY172=1),BH172,0))</f>
        <v>x</v>
      </c>
      <c r="BI355" s="47" t="str">
        <f>IF(BI172=-1,"x",IF(OR(BI270=1,BI$197=1,$CZ172=1),BI172,0))</f>
        <v>x</v>
      </c>
      <c r="BJ355" s="46" t="str">
        <f>IF(BJ172=-1,"x",IF(OR(BJ270=1,BJ$197=1,$CX172=1),BJ172,0))</f>
        <v>x</v>
      </c>
      <c r="BK355" s="45" t="str">
        <f>IF(BK172=-1,"x",IF(OR(BK270=1,BK$197=1,$CY172=1),BK172,0))</f>
        <v>x</v>
      </c>
      <c r="BL355" s="47" t="str">
        <f>IF(BL172=-1,"x",IF(OR(BL270=1,BL$197=1,$CZ172=1),BL172,0))</f>
        <v>x</v>
      </c>
      <c r="BM355" s="46" t="str">
        <f>IF(BM172=-1,"x",IF(OR(BM270=1,BM$197=1,$CX172=1),BM172,0))</f>
        <v>x</v>
      </c>
      <c r="BN355" s="45" t="str">
        <f>IF(BN172=-1,"x",IF(OR(BN270=1,BN$197=1,$CY172=1),BN172,0))</f>
        <v>x</v>
      </c>
      <c r="BO355" s="100" t="str">
        <f>IF(BO172=-1,"x",IF(OR(BO270=1,BO$197=1,$CZ172=1),BO172,0))</f>
        <v>x</v>
      </c>
      <c r="BP355" s="99" t="str">
        <f>IF(BP172=-1,"x",IF(OR(BP270=1,BP$197=1,$CX172=1),BP172,0))</f>
        <v>x</v>
      </c>
      <c r="BQ355" s="45" t="str">
        <f>IF(BQ172=-1,"x",IF(OR(BQ270=1,BQ$197=1,$CY172=1),BQ172,0))</f>
        <v>x</v>
      </c>
      <c r="BR355" s="47" t="str">
        <f>IF(BR172=-1,"x",IF(OR(BR270=1,BR$197=1,$CZ172=1),BR172,0))</f>
        <v>x</v>
      </c>
      <c r="BS355" s="46" t="str">
        <f>IF(BS172=-1,"x",IF(OR(BS270=1,BS$197=1,$CX172=1),BS172,0))</f>
        <v>x</v>
      </c>
      <c r="BT355" s="45" t="str">
        <f>IF(BT172=-1,"x",IF(OR(BT270=1,BT$197=1,$CY172=1),BT172,0))</f>
        <v>x</v>
      </c>
      <c r="BU355" s="47" t="str">
        <f>IF(BU172=-1,"x",IF(OR(BU270=1,BU$197=1,$CZ172=1),BU172,0))</f>
        <v>x</v>
      </c>
      <c r="BV355" s="46" t="str">
        <f>IF(BV172=-1,"x",IF(OR(BV270=1,BV$197=1,$CX172=1),BV172,0))</f>
        <v>x</v>
      </c>
      <c r="BW355" s="45" t="str">
        <f>IF(BW172=-1,"x",IF(OR(BW270=1,BW$197=1,$CY172=1),BW172,0))</f>
        <v>x</v>
      </c>
      <c r="BX355" s="48" t="str">
        <f>IF(BX172=-1,"x",IF(OR(BX270=1,BX$197=1,$CZ172=1),BX172,0))</f>
        <v>x</v>
      </c>
      <c r="BY355" s="44" t="str">
        <f>IF(BY172=-1,"x",IF(OR(BY270=1,BY$197=1,$CX172=1),BY172,0))</f>
        <v>x</v>
      </c>
      <c r="BZ355" s="45" t="str">
        <f>IF(BZ172=-1,"x",IF(OR(BZ270=1,BZ$197=1,$CY172=1),BZ172,0))</f>
        <v>x</v>
      </c>
      <c r="CA355" s="47" t="str">
        <f>IF(CA172=-1,"x",IF(OR(CA270=1,CA$197=1,$CZ172=1),CA172,0))</f>
        <v>x</v>
      </c>
      <c r="CB355" s="46" t="str">
        <f>IF(CB172=-1,"x",IF(OR(CB270=1,CB$197=1,$CX172=1),CB172,0))</f>
        <v>x</v>
      </c>
      <c r="CC355" s="45" t="str">
        <f>IF(CC172=-1,"x",IF(OR(CC270=1,CC$197=1,$CY172=1),CC172,0))</f>
        <v>x</v>
      </c>
      <c r="CD355" s="47" t="str">
        <f>IF(CD172=-1,"x",IF(OR(CD270=1,CD$197=1,$CZ172=1),CD172,0))</f>
        <v>x</v>
      </c>
      <c r="CE355" s="46" t="str">
        <f>IF(CE172=-1,"x",IF(OR(CE270=1,CE$197=1,$CX172=1),CE172,0))</f>
        <v>x</v>
      </c>
      <c r="CF355" s="45" t="str">
        <f>IF(CF172=-1,"x",IF(OR(CF270=1,CF$197=1,$CY172=1),CF172,0))</f>
        <v>x</v>
      </c>
      <c r="CG355" s="48" t="str">
        <f>IF(CG172=-1,"x",IF(OR(CG270=1,CG$197=1,$CZ172=1),CG172,0))</f>
        <v>x</v>
      </c>
      <c r="CH355" s="44" t="str">
        <f>IF(CH172=-1,"x",IF(OR(CH270=1,CH$197=1,$CX172=1),CH172,0))</f>
        <v>x</v>
      </c>
      <c r="CI355" s="45" t="str">
        <f>IF(CI172=-1,"x",IF(OR(CI270=1,CI$197=1,$CY172=1),CI172,0))</f>
        <v>x</v>
      </c>
      <c r="CJ355" s="47" t="str">
        <f>IF(CJ172=-1,"x",IF(OR(CJ270=1,CJ$197=1,$CZ172=1),CJ172,0))</f>
        <v>x</v>
      </c>
      <c r="CK355" s="46" t="str">
        <f>IF(CK172=-1,"x",IF(OR(CK270=1,CK$197=1,$CX172=1),CK172,0))</f>
        <v>x</v>
      </c>
      <c r="CL355" s="45" t="str">
        <f>IF(CL172=-1,"x",IF(OR(CL270=1,CL$197=1,$CY172=1),CL172,0))</f>
        <v>x</v>
      </c>
      <c r="CM355" s="47" t="str">
        <f>IF(CM172=-1,"x",IF(OR(CM270=1,CM$197=1,$CZ172=1),CM172,0))</f>
        <v>x</v>
      </c>
      <c r="CN355" s="46" t="str">
        <f>IF(CN172=-1,"x",IF(OR(CN270=1,CN$197=1,$CX172=1),CN172,0))</f>
        <v>x</v>
      </c>
      <c r="CO355" s="45" t="str">
        <f>IF(CO172=-1,"x",IF(OR(CO270=1,CO$197=1,$CY172=1),CO172,0))</f>
        <v>x</v>
      </c>
      <c r="CP355" s="100" t="str">
        <f>IF(CP172=-1,"x",IF(OR(CP270=1,CP$197=1,$CZ172=1),CP172,0))</f>
        <v>x</v>
      </c>
      <c r="DJ355" s="99" t="str">
        <f>IF(DJ172=-1,"x",IF(OR(DJ270=1,DJ$230=1,$GT172=1),DJ172,0))</f>
        <v>x</v>
      </c>
      <c r="DK355" s="45" t="str">
        <f>IF(DK172=-1,"x",IF(OR(DK270=1,DK$230=1,$GU172=1),DK172,0))</f>
        <v>x</v>
      </c>
      <c r="DL355" s="47" t="str">
        <f>IF(DL172=-1,"x",IF(OR(DL270=1,DL$230=1,$GV172=1),DL172,0))</f>
        <v>x</v>
      </c>
      <c r="DM355" s="46" t="str">
        <f>IF(DM172=-1,"x",IF(OR(DM270=1,DM$230=1,$GT172=1),DM172,0))</f>
        <v>x</v>
      </c>
      <c r="DN355" s="45" t="str">
        <f>IF(DN172=-1,"x",IF(OR(DN270=1,DN$230=1,$GU172=1),DN172,0))</f>
        <v>x</v>
      </c>
      <c r="DO355" s="47" t="str">
        <f>IF(DO172=-1,"x",IF(OR(DO270=1,DO$230=1,$GV172=1),DO172,0))</f>
        <v>x</v>
      </c>
      <c r="DP355" s="46" t="str">
        <f>IF(DP172=-1,"x",IF(OR(DP270=1,DP$230=1,$GT172=1),DP172,0))</f>
        <v>x</v>
      </c>
      <c r="DQ355" s="45" t="str">
        <f>IF(DQ172=-1,"x",IF(OR(DQ270=1,DQ$230=1,$GU172=1),DQ172,0))</f>
        <v>x</v>
      </c>
      <c r="DR355" s="48" t="str">
        <f>IF(DR172=-1,"x",IF(OR(DR270=1,DR$230=1,$GV172=1),DR172,0))</f>
        <v>x</v>
      </c>
      <c r="DS355" s="44" t="str">
        <f>IF(DS172=-1,"x",IF(OR(DS270=1,DS$230=1,$GT172=1),DS172,0))</f>
        <v>x</v>
      </c>
      <c r="DT355" s="45" t="str">
        <f>IF(DT172=-1,"x",IF(OR(DT270=1,DT$230=1,$GU172=1),DT172,0))</f>
        <v>x</v>
      </c>
      <c r="DU355" s="47" t="str">
        <f>IF(DU172=-1,"x",IF(OR(DU270=1,DU$230=1,$GV172=1),DU172,0))</f>
        <v>x</v>
      </c>
      <c r="DV355" s="46" t="str">
        <f>IF(DV172=-1,"x",IF(OR(DV270=1,DV$230=1,$GT172=1),DV172,0))</f>
        <v>x</v>
      </c>
      <c r="DW355" s="45" t="str">
        <f>IF(DW172=-1,"x",IF(OR(DW270=1,DW$230=1,$GU172=1),DW172,0))</f>
        <v>x</v>
      </c>
      <c r="DX355" s="47" t="str">
        <f>IF(DX172=-1,"x",IF(OR(DX270=1,DX$230=1,$GV172=1),DX172,0))</f>
        <v>x</v>
      </c>
      <c r="DY355" s="46" t="str">
        <f>IF(DY172=-1,"x",IF(OR(DY270=1,DY$230=1,$GT172=1),DY172,0))</f>
        <v>x</v>
      </c>
      <c r="DZ355" s="45" t="str">
        <f>IF(DZ172=-1,"x",IF(OR(DZ270=1,DZ$230=1,$GU172=1),DZ172,0))</f>
        <v>x</v>
      </c>
      <c r="EA355" s="48" t="str">
        <f>IF(EA172=-1,"x",IF(OR(EA270=1,EA$230=1,$GV172=1),EA172,0))</f>
        <v>x</v>
      </c>
      <c r="EB355" s="44" t="str">
        <f>IF(EB172=-1,"x",IF(OR(EB270=1,EB$230=1,$GT172=1),EB172,0))</f>
        <v>x</v>
      </c>
      <c r="EC355" s="45" t="str">
        <f>IF(EC172=-1,"x",IF(OR(EC270=1,EC$230=1,$GU172=1),EC172,0))</f>
        <v>x</v>
      </c>
      <c r="ED355" s="47" t="str">
        <f>IF(ED172=-1,"x",IF(OR(ED270=1,ED$230=1,$GV172=1),ED172,0))</f>
        <v>x</v>
      </c>
      <c r="EE355" s="46" t="str">
        <f>IF(EE172=-1,"x",IF(OR(EE270=1,EE$230=1,$GT172=1),EE172,0))</f>
        <v>x</v>
      </c>
      <c r="EF355" s="45" t="str">
        <f>IF(EF172=-1,"x",IF(OR(EF270=1,EF$230=1,$GU172=1),EF172,0))</f>
        <v>x</v>
      </c>
      <c r="EG355" s="47" t="str">
        <f>IF(EG172=-1,"x",IF(OR(EG270=1,EG$230=1,$GV172=1),EG172,0))</f>
        <v>x</v>
      </c>
      <c r="EH355" s="46" t="str">
        <f>IF(EH172=-1,"x",IF(OR(EH270=1,EH$230=1,$GT172=1),EH172,0))</f>
        <v>x</v>
      </c>
      <c r="EI355" s="45" t="str">
        <f>IF(EI172=-1,"x",IF(OR(EI270=1,EI$230=1,$GU172=1),EI172,0))</f>
        <v>x</v>
      </c>
      <c r="EJ355" s="100" t="str">
        <f>IF(EJ172=-1,"x",IF(OR(EJ270=1,EJ$230=1,$GV172=1),EJ172,0))</f>
        <v>x</v>
      </c>
      <c r="EK355" s="99" t="str">
        <f>IF(EK172=-1,"x",IF(OR(EK270=1,EK$230=1,$GT172=1),EK172,0))</f>
        <v>x</v>
      </c>
      <c r="EL355" s="45" t="str">
        <f>IF(EL172=-1,"x",IF(OR(EL270=1,EL$230=1,$GU172=1),EL172,0))</f>
        <v>x</v>
      </c>
      <c r="EM355" s="47" t="str">
        <f>IF(EM172=-1,"x",IF(OR(EM270=1,EM$230=1,$GV172=1),EM172,0))</f>
        <v>x</v>
      </c>
      <c r="EN355" s="46">
        <f>IF(EN172=-1,"x",IF(OR(EN270=1,EN$230=1,$GT172=1),EN172,0))</f>
        <v>7</v>
      </c>
      <c r="EO355" s="45">
        <f>IF(EO172=-1,"x",IF(OR(EO270=1,EO$230=1,$GU172=1),EO172,0))</f>
        <v>0</v>
      </c>
      <c r="EP355" s="47">
        <f>IF(EP172=-1,"x",IF(OR(EP270=1,EP$230=1,$GV172=1),EP172,0))</f>
        <v>0</v>
      </c>
      <c r="EQ355" s="46">
        <f>IF(EQ172=-1,"x",IF(OR(EQ270=1,EQ$230=1,$GT172=1),EQ172,0))</f>
        <v>0</v>
      </c>
      <c r="ER355" s="45">
        <f>IF(ER172=-1,"x",IF(OR(ER270=1,ER$230=1,$GU172=1),ER172,0))</f>
        <v>0</v>
      </c>
      <c r="ES355" s="48">
        <f>IF(ES172=-1,"x",IF(OR(ES270=1,ES$230=1,$GV172=1),ES172,0))</f>
        <v>0</v>
      </c>
      <c r="ET355" s="44" t="str">
        <f>IF(ET172=-1,"x",IF(OR(ET270=1,ET$230=1,$GT172=1),ET172,0))</f>
        <v>x</v>
      </c>
      <c r="EU355" s="45" t="str">
        <f>IF(EU172=-1,"x",IF(OR(EU270=1,EU$230=1,$GU172=1),EU172,0))</f>
        <v>x</v>
      </c>
      <c r="EV355" s="47" t="str">
        <f>IF(EV172=-1,"x",IF(OR(EV270=1,EV$230=1,$GV172=1),EV172,0))</f>
        <v>x</v>
      </c>
      <c r="EW355" s="46" t="str">
        <f>IF(EW172=-1,"x",IF(OR(EW270=1,EW$230=1,$GT172=1),EW172,0))</f>
        <v>x</v>
      </c>
      <c r="EX355" s="45" t="str">
        <f>IF(EX172=-1,"x",IF(OR(EX270=1,EX$230=1,$GU172=1),EX172,0))</f>
        <v>x</v>
      </c>
      <c r="EY355" s="47" t="str">
        <f>IF(EY172=-1,"x",IF(OR(EY270=1,EY$230=1,$GV172=1),EY172,0))</f>
        <v>x</v>
      </c>
      <c r="EZ355" s="46">
        <f>IF(EZ172=-1,"x",IF(OR(EZ270=1,EZ$230=1,$GT172=1),EZ172,0))</f>
        <v>0</v>
      </c>
      <c r="FA355" s="45">
        <f>IF(FA172=-1,"x",IF(OR(FA270=1,FA$230=1,$GU172=1),FA172,0))</f>
        <v>0</v>
      </c>
      <c r="FB355" s="48">
        <f>IF(FB172=-1,"x",IF(OR(FB270=1,FB$230=1,$GV172=1),FB172,0))</f>
        <v>0</v>
      </c>
      <c r="FC355" s="44">
        <f>IF(FC172=-1,"x",IF(OR(FC270=1,FC$230=1,$GT172=1),FC172,0))</f>
        <v>0</v>
      </c>
      <c r="FD355" s="45">
        <f>IF(FD172=-1,"x",IF(OR(FD270=1,FD$230=1,$GU172=1),FD172,0))</f>
        <v>0</v>
      </c>
      <c r="FE355" s="47">
        <f>IF(FE172=-1,"x",IF(OR(FE270=1,FE$230=1,$GV172=1),FE172,0))</f>
        <v>0</v>
      </c>
      <c r="FF355" s="46" t="str">
        <f>IF(FF172=-1,"x",IF(OR(FF270=1,FF$230=1,$GT172=1),FF172,0))</f>
        <v>x</v>
      </c>
      <c r="FG355" s="45" t="str">
        <f>IF(FG172=-1,"x",IF(OR(FG270=1,FG$230=1,$GU172=1),FG172,0))</f>
        <v>x</v>
      </c>
      <c r="FH355" s="47" t="str">
        <f>IF(FH172=-1,"x",IF(OR(FH270=1,FH$230=1,$GV172=1),FH172,0))</f>
        <v>x</v>
      </c>
      <c r="FI355" s="46" t="str">
        <f>IF(FI172=-1,"x",IF(OR(FI270=1,FI$230=1,$GT172=1),FI172,0))</f>
        <v>x</v>
      </c>
      <c r="FJ355" s="45" t="str">
        <f>IF(FJ172=-1,"x",IF(OR(FJ270=1,FJ$230=1,$GU172=1),FJ172,0))</f>
        <v>x</v>
      </c>
      <c r="FK355" s="100" t="str">
        <f>IF(FK172=-1,"x",IF(OR(FK270=1,FK$230=1,$GV172=1),FK172,0))</f>
        <v>x</v>
      </c>
      <c r="FL355" s="99" t="str">
        <f>IF(FL172=-1,"x",IF(OR(FL270=1,FL$230=1,$GT172=1),FL172,0))</f>
        <v>x</v>
      </c>
      <c r="FM355" s="45" t="str">
        <f>IF(FM172=-1,"x",IF(OR(FM270=1,FM$230=1,$GU172=1),FM172,0))</f>
        <v>x</v>
      </c>
      <c r="FN355" s="47" t="str">
        <f>IF(FN172=-1,"x",IF(OR(FN270=1,FN$230=1,$GV172=1),FN172,0))</f>
        <v>x</v>
      </c>
      <c r="FO355" s="46" t="str">
        <f>IF(FO172=-1,"x",IF(OR(FO270=1,FO$230=1,$GT172=1),FO172,0))</f>
        <v>x</v>
      </c>
      <c r="FP355" s="45" t="str">
        <f>IF(FP172=-1,"x",IF(OR(FP270=1,FP$230=1,$GU172=1),FP172,0))</f>
        <v>x</v>
      </c>
      <c r="FQ355" s="47" t="str">
        <f>IF(FQ172=-1,"x",IF(OR(FQ270=1,FQ$230=1,$GV172=1),FQ172,0))</f>
        <v>x</v>
      </c>
      <c r="FR355" s="46" t="str">
        <f>IF(FR172=-1,"x",IF(OR(FR270=1,FR$230=1,$GT172=1),FR172,0))</f>
        <v>x</v>
      </c>
      <c r="FS355" s="45" t="str">
        <f>IF(FS172=-1,"x",IF(OR(FS270=1,FS$230=1,$GU172=1),FS172,0))</f>
        <v>x</v>
      </c>
      <c r="FT355" s="48" t="str">
        <f>IF(FT172=-1,"x",IF(OR(FT270=1,FT$230=1,$GV172=1),FT172,0))</f>
        <v>x</v>
      </c>
      <c r="FU355" s="44" t="str">
        <f>IF(FU172=-1,"x",IF(OR(FU270=1,FU$230=1,$GT172=1),FU172,0))</f>
        <v>x</v>
      </c>
      <c r="FV355" s="45" t="str">
        <f>IF(FV172=-1,"x",IF(OR(FV270=1,FV$230=1,$GU172=1),FV172,0))</f>
        <v>x</v>
      </c>
      <c r="FW355" s="47" t="str">
        <f>IF(FW172=-1,"x",IF(OR(FW270=1,FW$230=1,$GV172=1),FW172,0))</f>
        <v>x</v>
      </c>
      <c r="FX355" s="46" t="str">
        <f>IF(FX172=-1,"x",IF(OR(FX270=1,FX$230=1,$GT172=1),FX172,0))</f>
        <v>x</v>
      </c>
      <c r="FY355" s="45" t="str">
        <f>IF(FY172=-1,"x",IF(OR(FY270=1,FY$230=1,$GU172=1),FY172,0))</f>
        <v>x</v>
      </c>
      <c r="FZ355" s="47" t="str">
        <f>IF(FZ172=-1,"x",IF(OR(FZ270=1,FZ$230=1,$GV172=1),FZ172,0))</f>
        <v>x</v>
      </c>
      <c r="GA355" s="46" t="str">
        <f>IF(GA172=-1,"x",IF(OR(GA270=1,GA$230=1,$GT172=1),GA172,0))</f>
        <v>x</v>
      </c>
      <c r="GB355" s="45" t="str">
        <f>IF(GB172=-1,"x",IF(OR(GB270=1,GB$230=1,$GU172=1),GB172,0))</f>
        <v>x</v>
      </c>
      <c r="GC355" s="48" t="str">
        <f>IF(GC172=-1,"x",IF(OR(GC270=1,GC$230=1,$GV172=1),GC172,0))</f>
        <v>x</v>
      </c>
      <c r="GD355" s="44" t="str">
        <f>IF(GD172=-1,"x",IF(OR(GD270=1,GD$230=1,$GT172=1),GD172,0))</f>
        <v>x</v>
      </c>
      <c r="GE355" s="45" t="str">
        <f>IF(GE172=-1,"x",IF(OR(GE270=1,GE$230=1,$GU172=1),GE172,0))</f>
        <v>x</v>
      </c>
      <c r="GF355" s="47" t="str">
        <f>IF(GF172=-1,"x",IF(OR(GF270=1,GF$230=1,$GV172=1),GF172,0))</f>
        <v>x</v>
      </c>
      <c r="GG355" s="46">
        <f>IF(GG172=-1,"x",IF(OR(GG270=1,GG$230=1,$GT172=1),GG172,0))</f>
        <v>0</v>
      </c>
      <c r="GH355" s="45">
        <f>IF(GH172=-1,"x",IF(OR(GH270=1,GH$230=1,$GU172=1),GH172,0))</f>
        <v>0</v>
      </c>
      <c r="GI355" s="47">
        <f>IF(GI172=-1,"x",IF(OR(GI270=1,GI$230=1,$GV172=1),GI172,0))</f>
        <v>0</v>
      </c>
      <c r="GJ355" s="46" t="str">
        <f>IF(GJ172=-1,"x",IF(OR(GJ270=1,GJ$230=1,$GT172=1),GJ172,0))</f>
        <v>x</v>
      </c>
      <c r="GK355" s="45" t="str">
        <f>IF(GK172=-1,"x",IF(OR(GK270=1,GK$230=1,$GU172=1),GK172,0))</f>
        <v>x</v>
      </c>
      <c r="GL355" s="100" t="str">
        <f>IF(GL172=-1,"x",IF(OR(GL270=1,GL$230=1,$GV172=1),GL172,0))</f>
        <v>x</v>
      </c>
    </row>
    <row r="356" spans="14:194" ht="15" customHeight="1">
      <c r="N356" s="104" t="str">
        <f>IF(N173=-1,"x",IF(OR(N271=1,N$195=1,$CX173=1),N173,0))</f>
        <v>x</v>
      </c>
      <c r="O356" s="50" t="str">
        <f>IF(O173=-1,"x",IF(OR(O271=1,O$195=1,$CY173=1),O173,0))</f>
        <v>x</v>
      </c>
      <c r="P356" s="51" t="str">
        <f>IF(P173=-1,"x",IF(OR(P271=1,P$195=1,$CZ173=1),P173,0))</f>
        <v>x</v>
      </c>
      <c r="Q356" s="52" t="str">
        <f>IF(Q173=-1,"x",IF(OR(Q271=1,Q$195=1,$CX173=1),Q173,0))</f>
        <v>x</v>
      </c>
      <c r="R356" s="50" t="str">
        <f>IF(R173=-1,"x",IF(OR(R271=1,R$195=1,$CY173=1),R173,0))</f>
        <v>x</v>
      </c>
      <c r="S356" s="51" t="str">
        <f>IF(S173=-1,"x",IF(OR(S271=1,S$195=1,$CZ173=1),S173,0))</f>
        <v>x</v>
      </c>
      <c r="T356" s="52" t="str">
        <f>IF(T173=-1,"x",IF(OR(T271=1,T$195=1,$CX173=1),T173,0))</f>
        <v>x</v>
      </c>
      <c r="U356" s="50" t="str">
        <f>IF(U173=-1,"x",IF(OR(U271=1,U$195=1,$CY173=1),U173,0))</f>
        <v>x</v>
      </c>
      <c r="V356" s="53" t="str">
        <f>IF(V173=-1,"x",IF(OR(V271=1,V$195=1,$CZ173=1),V173,0))</f>
        <v>x</v>
      </c>
      <c r="W356" s="49" t="str">
        <f>IF(W173=-1,"x",IF(OR(W271=1,W$195=1,$CX173=1),W173,0))</f>
        <v>x</v>
      </c>
      <c r="X356" s="50" t="str">
        <f>IF(X173=-1,"x",IF(OR(X271=1,X$195=1,$CY173=1),X173,0))</f>
        <v>x</v>
      </c>
      <c r="Y356" s="51" t="str">
        <f>IF(Y173=-1,"x",IF(OR(Y271=1,Y$195=1,$CZ173=1),Y173,0))</f>
        <v>x</v>
      </c>
      <c r="Z356" s="52" t="str">
        <f>IF(Z173=-1,"x",IF(OR(Z271=1,Z$195=1,$CX173=1),Z173,0))</f>
        <v>x</v>
      </c>
      <c r="AA356" s="50" t="str">
        <f>IF(AA173=-1,"x",IF(OR(AA271=1,AA$195=1,$CY173=1),AA173,0))</f>
        <v>x</v>
      </c>
      <c r="AB356" s="51" t="str">
        <f>IF(AB173=-1,"x",IF(OR(AB271=1,AB$195=1,$CZ173=1),AB173,0))</f>
        <v>x</v>
      </c>
      <c r="AC356" s="52" t="str">
        <f>IF(AC173=-1,"x",IF(OR(AC271=1,AC$195=1,$CX173=1),AC173,0))</f>
        <v>x</v>
      </c>
      <c r="AD356" s="50" t="str">
        <f>IF(AD173=-1,"x",IF(OR(AD271=1,AD$195=1,$CY173=1),AD173,0))</f>
        <v>x</v>
      </c>
      <c r="AE356" s="53" t="str">
        <f>IF(AE173=-1,"x",IF(OR(AE271=1,AE$195=1,$CZ173=1),AE173,0))</f>
        <v>x</v>
      </c>
      <c r="AF356" s="49" t="str">
        <f>IF(AF173=-1,"x",IF(OR(AF271=1,AF$195=1,$CX173=1),AF173,0))</f>
        <v>x</v>
      </c>
      <c r="AG356" s="50" t="str">
        <f>IF(AG173=-1,"x",IF(OR(AG271=1,AG$195=1,$CY173=1),AG173,0))</f>
        <v>x</v>
      </c>
      <c r="AH356" s="51" t="str">
        <f>IF(AH173=-1,"x",IF(OR(AH271=1,AH$195=1,$CZ173=1),AH173,0))</f>
        <v>x</v>
      </c>
      <c r="AI356" s="52" t="str">
        <f>IF(AI173=-1,"x",IF(OR(AI271=1,AI$195=1,$CX173=1),AI173,0))</f>
        <v>x</v>
      </c>
      <c r="AJ356" s="50" t="str">
        <f>IF(AJ173=-1,"x",IF(OR(AJ271=1,AJ$195=1,$CY173=1),AJ173,0))</f>
        <v>x</v>
      </c>
      <c r="AK356" s="51" t="str">
        <f>IF(AK173=-1,"x",IF(OR(AK271=1,AK$195=1,$CZ173=1),AK173,0))</f>
        <v>x</v>
      </c>
      <c r="AL356" s="52" t="str">
        <f>IF(AL173=-1,"x",IF(OR(AL271=1,AL$195=1,$CX173=1),AL173,0))</f>
        <v>x</v>
      </c>
      <c r="AM356" s="50" t="str">
        <f>IF(AM173=-1,"x",IF(OR(AM271=1,AM$195=1,$CY173=1),AM173,0))</f>
        <v>x</v>
      </c>
      <c r="AN356" s="105" t="str">
        <f>IF(AN173=-1,"x",IF(OR(AN271=1,AN$195=1,$CZ173=1),AN173,0))</f>
        <v>x</v>
      </c>
      <c r="AO356" s="104" t="str">
        <f>IF(AO173=-1,"x",IF(OR(AO271=1,AO$195=1,$CX173=1),AO173,0))</f>
        <v>x</v>
      </c>
      <c r="AP356" s="50" t="str">
        <f>IF(AP173=-1,"x",IF(OR(AP271=1,AP$195=1,$CY173=1),AP173,0))</f>
        <v>x</v>
      </c>
      <c r="AQ356" s="51" t="str">
        <f>IF(AQ173=-1,"x",IF(OR(AQ271=1,AQ$195=1,$CZ173=1),AQ173,0))</f>
        <v>x</v>
      </c>
      <c r="AR356" s="52" t="str">
        <f>IF(AR173=-1,"x",IF(OR(AR271=1,AR$195=1,$CX173=1),AR173,0))</f>
        <v>x</v>
      </c>
      <c r="AS356" s="50" t="str">
        <f>IF(AS173=-1,"x",IF(OR(AS271=1,AS$195=1,$CY173=1),AS173,0))</f>
        <v>x</v>
      </c>
      <c r="AT356" s="51" t="str">
        <f>IF(AT173=-1,"x",IF(OR(AT271=1,AT$195=1,$CZ173=1),AT173,0))</f>
        <v>x</v>
      </c>
      <c r="AU356" s="52" t="str">
        <f>IF(AU173=-1,"x",IF(OR(AU271=1,AU$195=1,$CX173=1),AU173,0))</f>
        <v>x</v>
      </c>
      <c r="AV356" s="50" t="str">
        <f>IF(AV173=-1,"x",IF(OR(AV271=1,AV$195=1,$CY173=1),AV173,0))</f>
        <v>x</v>
      </c>
      <c r="AW356" s="53" t="str">
        <f>IF(AW173=-1,"x",IF(OR(AW271=1,AW$195=1,$CZ173=1),AW173,0))</f>
        <v>x</v>
      </c>
      <c r="AX356" s="49">
        <f>IF(AX173=-1,"x",IF(OR(AX271=1,AX$195=1,$CX173=1),AX173,0))</f>
        <v>0</v>
      </c>
      <c r="AY356" s="50">
        <f>IF(AY173=-1,"x",IF(OR(AY271=1,AY$195=1,$CY173=1),AY173,0))</f>
        <v>0</v>
      </c>
      <c r="AZ356" s="51">
        <f>IF(AZ173=-1,"x",IF(OR(AZ271=1,AZ$195=1,$CZ173=1),AZ173,0))</f>
        <v>0</v>
      </c>
      <c r="BA356" s="52" t="str">
        <f>IF(BA173=-1,"x",IF(OR(BA271=1,BA$195=1,$CX173=1),BA173,0))</f>
        <v>x</v>
      </c>
      <c r="BB356" s="50" t="str">
        <f>IF(BB173=-1,"x",IF(OR(BB271=1,BB$195=1,$CY173=1),BB173,0))</f>
        <v>x</v>
      </c>
      <c r="BC356" s="51" t="str">
        <f>IF(BC173=-1,"x",IF(OR(BC271=1,BC$195=1,$CZ173=1),BC173,0))</f>
        <v>x</v>
      </c>
      <c r="BD356" s="52" t="str">
        <f>IF(BD173=-1,"x",IF(OR(BD271=1,BD$195=1,$CX173=1),BD173,0))</f>
        <v>x</v>
      </c>
      <c r="BE356" s="50" t="str">
        <f>IF(BE173=-1,"x",IF(OR(BE271=1,BE$195=1,$CY173=1),BE173,0))</f>
        <v>x</v>
      </c>
      <c r="BF356" s="53" t="str">
        <f>IF(BF173=-1,"x",IF(OR(BF271=1,BF$195=1,$CZ173=1),BF173,0))</f>
        <v>x</v>
      </c>
      <c r="BG356" s="49" t="str">
        <f>IF(BG173=-1,"x",IF(OR(BG271=1,BG$195=1,$CX173=1),BG173,0))</f>
        <v>x</v>
      </c>
      <c r="BH356" s="50" t="str">
        <f>IF(BH173=-1,"x",IF(OR(BH271=1,BH$195=1,$CY173=1),BH173,0))</f>
        <v>x</v>
      </c>
      <c r="BI356" s="51" t="str">
        <f>IF(BI173=-1,"x",IF(OR(BI271=1,BI$195=1,$CZ173=1),BI173,0))</f>
        <v>x</v>
      </c>
      <c r="BJ356" s="52" t="str">
        <f>IF(BJ173=-1,"x",IF(OR(BJ271=1,BJ$195=1,$CX173=1),BJ173,0))</f>
        <v>x</v>
      </c>
      <c r="BK356" s="50" t="str">
        <f>IF(BK173=-1,"x",IF(OR(BK271=1,BK$195=1,$CY173=1),BK173,0))</f>
        <v>x</v>
      </c>
      <c r="BL356" s="51" t="str">
        <f>IF(BL173=-1,"x",IF(OR(BL271=1,BL$195=1,$CZ173=1),BL173,0))</f>
        <v>x</v>
      </c>
      <c r="BM356" s="52" t="str">
        <f>IF(BM173=-1,"x",IF(OR(BM271=1,BM$195=1,$CX173=1),BM173,0))</f>
        <v>x</v>
      </c>
      <c r="BN356" s="50" t="str">
        <f>IF(BN173=-1,"x",IF(OR(BN271=1,BN$195=1,$CY173=1),BN173,0))</f>
        <v>x</v>
      </c>
      <c r="BO356" s="105" t="str">
        <f>IF(BO173=-1,"x",IF(OR(BO271=1,BO$195=1,$CZ173=1),BO173,0))</f>
        <v>x</v>
      </c>
      <c r="BP356" s="104" t="str">
        <f>IF(BP173=-1,"x",IF(OR(BP271=1,BP$195=1,$CX173=1),BP173,0))</f>
        <v>x</v>
      </c>
      <c r="BQ356" s="50" t="str">
        <f>IF(BQ173=-1,"x",IF(OR(BQ271=1,BQ$195=1,$CY173=1),BQ173,0))</f>
        <v>x</v>
      </c>
      <c r="BR356" s="51" t="str">
        <f>IF(BR173=-1,"x",IF(OR(BR271=1,BR$195=1,$CZ173=1),BR173,0))</f>
        <v>x</v>
      </c>
      <c r="BS356" s="52" t="str">
        <f>IF(BS173=-1,"x",IF(OR(BS271=1,BS$195=1,$CX173=1),BS173,0))</f>
        <v>x</v>
      </c>
      <c r="BT356" s="50" t="str">
        <f>IF(BT173=-1,"x",IF(OR(BT271=1,BT$195=1,$CY173=1),BT173,0))</f>
        <v>x</v>
      </c>
      <c r="BU356" s="51" t="str">
        <f>IF(BU173=-1,"x",IF(OR(BU271=1,BU$195=1,$CZ173=1),BU173,0))</f>
        <v>x</v>
      </c>
      <c r="BV356" s="52" t="str">
        <f>IF(BV173=-1,"x",IF(OR(BV271=1,BV$195=1,$CX173=1),BV173,0))</f>
        <v>x</v>
      </c>
      <c r="BW356" s="50" t="str">
        <f>IF(BW173=-1,"x",IF(OR(BW271=1,BW$195=1,$CY173=1),BW173,0))</f>
        <v>x</v>
      </c>
      <c r="BX356" s="53" t="str">
        <f>IF(BX173=-1,"x",IF(OR(BX271=1,BX$195=1,$CZ173=1),BX173,0))</f>
        <v>x</v>
      </c>
      <c r="BY356" s="49" t="str">
        <f>IF(BY173=-1,"x",IF(OR(BY271=1,BY$195=1,$CX173=1),BY173,0))</f>
        <v>x</v>
      </c>
      <c r="BZ356" s="50" t="str">
        <f>IF(BZ173=-1,"x",IF(OR(BZ271=1,BZ$195=1,$CY173=1),BZ173,0))</f>
        <v>x</v>
      </c>
      <c r="CA356" s="51" t="str">
        <f>IF(CA173=-1,"x",IF(OR(CA271=1,CA$195=1,$CZ173=1),CA173,0))</f>
        <v>x</v>
      </c>
      <c r="CB356" s="52" t="str">
        <f>IF(CB173=-1,"x",IF(OR(CB271=1,CB$195=1,$CX173=1),CB173,0))</f>
        <v>x</v>
      </c>
      <c r="CC356" s="50" t="str">
        <f>IF(CC173=-1,"x",IF(OR(CC271=1,CC$195=1,$CY173=1),CC173,0))</f>
        <v>x</v>
      </c>
      <c r="CD356" s="51" t="str">
        <f>IF(CD173=-1,"x",IF(OR(CD271=1,CD$195=1,$CZ173=1),CD173,0))</f>
        <v>x</v>
      </c>
      <c r="CE356" s="52" t="str">
        <f>IF(CE173=-1,"x",IF(OR(CE271=1,CE$195=1,$CX173=1),CE173,0))</f>
        <v>x</v>
      </c>
      <c r="CF356" s="50" t="str">
        <f>IF(CF173=-1,"x",IF(OR(CF271=1,CF$195=1,$CY173=1),CF173,0))</f>
        <v>x</v>
      </c>
      <c r="CG356" s="53" t="str">
        <f>IF(CG173=-1,"x",IF(OR(CG271=1,CG$195=1,$CZ173=1),CG173,0))</f>
        <v>x</v>
      </c>
      <c r="CH356" s="49" t="str">
        <f>IF(CH173=-1,"x",IF(OR(CH271=1,CH$195=1,$CX173=1),CH173,0))</f>
        <v>x</v>
      </c>
      <c r="CI356" s="50" t="str">
        <f>IF(CI173=-1,"x",IF(OR(CI271=1,CI$195=1,$CY173=1),CI173,0))</f>
        <v>x</v>
      </c>
      <c r="CJ356" s="51" t="str">
        <f>IF(CJ173=-1,"x",IF(OR(CJ271=1,CJ$195=1,$CZ173=1),CJ173,0))</f>
        <v>x</v>
      </c>
      <c r="CK356" s="52" t="str">
        <f>IF(CK173=-1,"x",IF(OR(CK271=1,CK$195=1,$CX173=1),CK173,0))</f>
        <v>x</v>
      </c>
      <c r="CL356" s="50" t="str">
        <f>IF(CL173=-1,"x",IF(OR(CL271=1,CL$195=1,$CY173=1),CL173,0))</f>
        <v>x</v>
      </c>
      <c r="CM356" s="51" t="str">
        <f>IF(CM173=-1,"x",IF(OR(CM271=1,CM$195=1,$CZ173=1),CM173,0))</f>
        <v>x</v>
      </c>
      <c r="CN356" s="52" t="str">
        <f>IF(CN173=-1,"x",IF(OR(CN271=1,CN$195=1,$CX173=1),CN173,0))</f>
        <v>x</v>
      </c>
      <c r="CO356" s="50" t="str">
        <f>IF(CO173=-1,"x",IF(OR(CO271=1,CO$195=1,$CY173=1),CO173,0))</f>
        <v>x</v>
      </c>
      <c r="CP356" s="105" t="str">
        <f>IF(CP173=-1,"x",IF(OR(CP271=1,CP$195=1,$CZ173=1),CP173,0))</f>
        <v>x</v>
      </c>
      <c r="DJ356" s="104" t="str">
        <f>IF(DJ173=-1,"x",IF(OR(DJ271=1,DJ$228=1,$GT173=1),DJ173,0))</f>
        <v>x</v>
      </c>
      <c r="DK356" s="50" t="str">
        <f>IF(DK173=-1,"x",IF(OR(DK271=1,DK$228=1,$GU173=1),DK173,0))</f>
        <v>x</v>
      </c>
      <c r="DL356" s="51" t="str">
        <f>IF(DL173=-1,"x",IF(OR(DL271=1,DL$228=1,$GV173=1),DL173,0))</f>
        <v>x</v>
      </c>
      <c r="DM356" s="52" t="str">
        <f>IF(DM173=-1,"x",IF(OR(DM271=1,DM$228=1,$GT173=1),DM173,0))</f>
        <v>x</v>
      </c>
      <c r="DN356" s="50" t="str">
        <f>IF(DN173=-1,"x",IF(OR(DN271=1,DN$228=1,$GU173=1),DN173,0))</f>
        <v>x</v>
      </c>
      <c r="DO356" s="51" t="str">
        <f>IF(DO173=-1,"x",IF(OR(DO271=1,DO$228=1,$GV173=1),DO173,0))</f>
        <v>x</v>
      </c>
      <c r="DP356" s="52" t="str">
        <f>IF(DP173=-1,"x",IF(OR(DP271=1,DP$228=1,$GT173=1),DP173,0))</f>
        <v>x</v>
      </c>
      <c r="DQ356" s="50" t="str">
        <f>IF(DQ173=-1,"x",IF(OR(DQ271=1,DQ$228=1,$GU173=1),DQ173,0))</f>
        <v>x</v>
      </c>
      <c r="DR356" s="53" t="str">
        <f>IF(DR173=-1,"x",IF(OR(DR271=1,DR$228=1,$GV173=1),DR173,0))</f>
        <v>x</v>
      </c>
      <c r="DS356" s="49" t="str">
        <f>IF(DS173=-1,"x",IF(OR(DS271=1,DS$228=1,$GT173=1),DS173,0))</f>
        <v>x</v>
      </c>
      <c r="DT356" s="50" t="str">
        <f>IF(DT173=-1,"x",IF(OR(DT271=1,DT$228=1,$GU173=1),DT173,0))</f>
        <v>x</v>
      </c>
      <c r="DU356" s="51" t="str">
        <f>IF(DU173=-1,"x",IF(OR(DU271=1,DU$228=1,$GV173=1),DU173,0))</f>
        <v>x</v>
      </c>
      <c r="DV356" s="52" t="str">
        <f>IF(DV173=-1,"x",IF(OR(DV271=1,DV$228=1,$GT173=1),DV173,0))</f>
        <v>x</v>
      </c>
      <c r="DW356" s="50" t="str">
        <f>IF(DW173=-1,"x",IF(OR(DW271=1,DW$228=1,$GU173=1),DW173,0))</f>
        <v>x</v>
      </c>
      <c r="DX356" s="51" t="str">
        <f>IF(DX173=-1,"x",IF(OR(DX271=1,DX$228=1,$GV173=1),DX173,0))</f>
        <v>x</v>
      </c>
      <c r="DY356" s="52" t="str">
        <f>IF(DY173=-1,"x",IF(OR(DY271=1,DY$228=1,$GT173=1),DY173,0))</f>
        <v>x</v>
      </c>
      <c r="DZ356" s="50" t="str">
        <f>IF(DZ173=-1,"x",IF(OR(DZ271=1,DZ$228=1,$GU173=1),DZ173,0))</f>
        <v>x</v>
      </c>
      <c r="EA356" s="53" t="str">
        <f>IF(EA173=-1,"x",IF(OR(EA271=1,EA$228=1,$GV173=1),EA173,0))</f>
        <v>x</v>
      </c>
      <c r="EB356" s="49" t="str">
        <f>IF(EB173=-1,"x",IF(OR(EB271=1,EB$228=1,$GT173=1),EB173,0))</f>
        <v>x</v>
      </c>
      <c r="EC356" s="50" t="str">
        <f>IF(EC173=-1,"x",IF(OR(EC271=1,EC$228=1,$GU173=1),EC173,0))</f>
        <v>x</v>
      </c>
      <c r="ED356" s="51" t="str">
        <f>IF(ED173=-1,"x",IF(OR(ED271=1,ED$228=1,$GV173=1),ED173,0))</f>
        <v>x</v>
      </c>
      <c r="EE356" s="52" t="str">
        <f>IF(EE173=-1,"x",IF(OR(EE271=1,EE$228=1,$GT173=1),EE173,0))</f>
        <v>x</v>
      </c>
      <c r="EF356" s="50" t="str">
        <f>IF(EF173=-1,"x",IF(OR(EF271=1,EF$228=1,$GU173=1),EF173,0))</f>
        <v>x</v>
      </c>
      <c r="EG356" s="51" t="str">
        <f>IF(EG173=-1,"x",IF(OR(EG271=1,EG$228=1,$GV173=1),EG173,0))</f>
        <v>x</v>
      </c>
      <c r="EH356" s="52" t="str">
        <f>IF(EH173=-1,"x",IF(OR(EH271=1,EH$228=1,$GT173=1),EH173,0))</f>
        <v>x</v>
      </c>
      <c r="EI356" s="50" t="str">
        <f>IF(EI173=-1,"x",IF(OR(EI271=1,EI$228=1,$GU173=1),EI173,0))</f>
        <v>x</v>
      </c>
      <c r="EJ356" s="105" t="str">
        <f>IF(EJ173=-1,"x",IF(OR(EJ271=1,EJ$228=1,$GV173=1),EJ173,0))</f>
        <v>x</v>
      </c>
      <c r="EK356" s="104" t="str">
        <f>IF(EK173=-1,"x",IF(OR(EK271=1,EK$228=1,$GT173=1),EK173,0))</f>
        <v>x</v>
      </c>
      <c r="EL356" s="50" t="str">
        <f>IF(EL173=-1,"x",IF(OR(EL271=1,EL$228=1,$GU173=1),EL173,0))</f>
        <v>x</v>
      </c>
      <c r="EM356" s="51" t="str">
        <f>IF(EM173=-1,"x",IF(OR(EM271=1,EM$228=1,$GV173=1),EM173,0))</f>
        <v>x</v>
      </c>
      <c r="EN356" s="52">
        <f>IF(EN173=-1,"x",IF(OR(EN271=1,EN$228=1,$GT173=1),EN173,0))</f>
        <v>0</v>
      </c>
      <c r="EO356" s="50">
        <f>IF(EO173=-1,"x",IF(OR(EO271=1,EO$228=1,$GU173=1),EO173,0))</f>
        <v>0</v>
      </c>
      <c r="EP356" s="51">
        <f>IF(EP173=-1,"x",IF(OR(EP271=1,EP$228=1,$GV173=1),EP173,0))</f>
        <v>0</v>
      </c>
      <c r="EQ356" s="52" t="str">
        <f>IF(EQ173=-1,"x",IF(OR(EQ271=1,EQ$228=1,$GT173=1),EQ173,0))</f>
        <v>x</v>
      </c>
      <c r="ER356" s="50" t="str">
        <f>IF(ER173=-1,"x",IF(OR(ER271=1,ER$228=1,$GU173=1),ER173,0))</f>
        <v>x</v>
      </c>
      <c r="ES356" s="53" t="str">
        <f>IF(ES173=-1,"x",IF(OR(ES271=1,ES$228=1,$GV173=1),ES173,0))</f>
        <v>x</v>
      </c>
      <c r="ET356" s="49">
        <f>IF(ET173=-1,"x",IF(OR(ET271=1,ET$228=1,$GT173=1),ET173,0))</f>
        <v>0</v>
      </c>
      <c r="EU356" s="50">
        <f>IF(EU173=-1,"x",IF(OR(EU271=1,EU$228=1,$GU173=1),EU173,0))</f>
        <v>0</v>
      </c>
      <c r="EV356" s="51">
        <f>IF(EV173=-1,"x",IF(OR(EV271=1,EV$228=1,$GV173=1),EV173,0))</f>
        <v>0</v>
      </c>
      <c r="EW356" s="52">
        <f>IF(EW173=-1,"x",IF(OR(EW271=1,EW$228=1,$GT173=1),EW173,0))</f>
        <v>0</v>
      </c>
      <c r="EX356" s="50">
        <f>IF(EX173=-1,"x",IF(OR(EX271=1,EX$228=1,$GU173=1),EX173,0))</f>
        <v>0</v>
      </c>
      <c r="EY356" s="51">
        <f>IF(EY173=-1,"x",IF(OR(EY271=1,EY$228=1,$GV173=1),EY173,0))</f>
        <v>0</v>
      </c>
      <c r="EZ356" s="52" t="str">
        <f>IF(EZ173=-1,"x",IF(OR(EZ271=1,EZ$228=1,$GT173=1),EZ173,0))</f>
        <v>x</v>
      </c>
      <c r="FA356" s="50" t="str">
        <f>IF(FA173=-1,"x",IF(OR(FA271=1,FA$228=1,$GU173=1),FA173,0))</f>
        <v>x</v>
      </c>
      <c r="FB356" s="53" t="str">
        <f>IF(FB173=-1,"x",IF(OR(FB271=1,FB$228=1,$GV173=1),FB173,0))</f>
        <v>x</v>
      </c>
      <c r="FC356" s="49" t="str">
        <f>IF(FC173=-1,"x",IF(OR(FC271=1,FC$228=1,$GT173=1),FC173,0))</f>
        <v>x</v>
      </c>
      <c r="FD356" s="50" t="str">
        <f>IF(FD173=-1,"x",IF(OR(FD271=1,FD$228=1,$GU173=1),FD173,0))</f>
        <v>x</v>
      </c>
      <c r="FE356" s="51" t="str">
        <f>IF(FE173=-1,"x",IF(OR(FE271=1,FE$228=1,$GV173=1),FE173,0))</f>
        <v>x</v>
      </c>
      <c r="FF356" s="52" t="str">
        <f>IF(FF173=-1,"x",IF(OR(FF271=1,FF$228=1,$GT173=1),FF173,0))</f>
        <v>x</v>
      </c>
      <c r="FG356" s="50" t="str">
        <f>IF(FG173=-1,"x",IF(OR(FG271=1,FG$228=1,$GU173=1),FG173,0))</f>
        <v>x</v>
      </c>
      <c r="FH356" s="51" t="str">
        <f>IF(FH173=-1,"x",IF(OR(FH271=1,FH$228=1,$GV173=1),FH173,0))</f>
        <v>x</v>
      </c>
      <c r="FI356" s="52" t="str">
        <f>IF(FI173=-1,"x",IF(OR(FI271=1,FI$228=1,$GT173=1),FI173,0))</f>
        <v>x</v>
      </c>
      <c r="FJ356" s="50" t="str">
        <f>IF(FJ173=-1,"x",IF(OR(FJ271=1,FJ$228=1,$GU173=1),FJ173,0))</f>
        <v>x</v>
      </c>
      <c r="FK356" s="105" t="str">
        <f>IF(FK173=-1,"x",IF(OR(FK271=1,FK$228=1,$GV173=1),FK173,0))</f>
        <v>x</v>
      </c>
      <c r="FL356" s="104" t="str">
        <f>IF(FL173=-1,"x",IF(OR(FL271=1,FL$228=1,$GT173=1),FL173,0))</f>
        <v>x</v>
      </c>
      <c r="FM356" s="50" t="str">
        <f>IF(FM173=-1,"x",IF(OR(FM271=1,FM$228=1,$GU173=1),FM173,0))</f>
        <v>x</v>
      </c>
      <c r="FN356" s="51" t="str">
        <f>IF(FN173=-1,"x",IF(OR(FN271=1,FN$228=1,$GV173=1),FN173,0))</f>
        <v>x</v>
      </c>
      <c r="FO356" s="52" t="str">
        <f>IF(FO173=-1,"x",IF(OR(FO271=1,FO$228=1,$GT173=1),FO173,0))</f>
        <v>x</v>
      </c>
      <c r="FP356" s="50" t="str">
        <f>IF(FP173=-1,"x",IF(OR(FP271=1,FP$228=1,$GU173=1),FP173,0))</f>
        <v>x</v>
      </c>
      <c r="FQ356" s="51" t="str">
        <f>IF(FQ173=-1,"x",IF(OR(FQ271=1,FQ$228=1,$GV173=1),FQ173,0))</f>
        <v>x</v>
      </c>
      <c r="FR356" s="52" t="str">
        <f>IF(FR173=-1,"x",IF(OR(FR271=1,FR$228=1,$GT173=1),FR173,0))</f>
        <v>x</v>
      </c>
      <c r="FS356" s="50" t="str">
        <f>IF(FS173=-1,"x",IF(OR(FS271=1,FS$228=1,$GU173=1),FS173,0))</f>
        <v>x</v>
      </c>
      <c r="FT356" s="53" t="str">
        <f>IF(FT173=-1,"x",IF(OR(FT271=1,FT$228=1,$GV173=1),FT173,0))</f>
        <v>x</v>
      </c>
      <c r="FU356" s="49" t="str">
        <f>IF(FU173=-1,"x",IF(OR(FU271=1,FU$228=1,$GT173=1),FU173,0))</f>
        <v>x</v>
      </c>
      <c r="FV356" s="50" t="str">
        <f>IF(FV173=-1,"x",IF(OR(FV271=1,FV$228=1,$GU173=1),FV173,0))</f>
        <v>x</v>
      </c>
      <c r="FW356" s="51" t="str">
        <f>IF(FW173=-1,"x",IF(OR(FW271=1,FW$228=1,$GV173=1),FW173,0))</f>
        <v>x</v>
      </c>
      <c r="FX356" s="52" t="str">
        <f>IF(FX173=-1,"x",IF(OR(FX271=1,FX$228=1,$GT173=1),FX173,0))</f>
        <v>x</v>
      </c>
      <c r="FY356" s="50" t="str">
        <f>IF(FY173=-1,"x",IF(OR(FY271=1,FY$228=1,$GU173=1),FY173,0))</f>
        <v>x</v>
      </c>
      <c r="FZ356" s="51" t="str">
        <f>IF(FZ173=-1,"x",IF(OR(FZ271=1,FZ$228=1,$GV173=1),FZ173,0))</f>
        <v>x</v>
      </c>
      <c r="GA356" s="52" t="str">
        <f>IF(GA173=-1,"x",IF(OR(GA271=1,GA$228=1,$GT173=1),GA173,0))</f>
        <v>x</v>
      </c>
      <c r="GB356" s="50" t="str">
        <f>IF(GB173=-1,"x",IF(OR(GB271=1,GB$228=1,$GU173=1),GB173,0))</f>
        <v>x</v>
      </c>
      <c r="GC356" s="53" t="str">
        <f>IF(GC173=-1,"x",IF(OR(GC271=1,GC$228=1,$GV173=1),GC173,0))</f>
        <v>x</v>
      </c>
      <c r="GD356" s="49">
        <f>IF(GD173=-1,"x",IF(OR(GD271=1,GD$228=1,$GT173=1),GD173,0))</f>
        <v>0</v>
      </c>
      <c r="GE356" s="50">
        <f>IF(GE173=-1,"x",IF(OR(GE271=1,GE$228=1,$GU173=1),GE173,0))</f>
        <v>0</v>
      </c>
      <c r="GF356" s="51">
        <f>IF(GF173=-1,"x",IF(OR(GF271=1,GF$228=1,$GV173=1),GF173,0))</f>
        <v>0</v>
      </c>
      <c r="GG356" s="52" t="str">
        <f>IF(GG173=-1,"x",IF(OR(GG271=1,GG$228=1,$GT173=1),GG173,0))</f>
        <v>x</v>
      </c>
      <c r="GH356" s="50" t="str">
        <f>IF(GH173=-1,"x",IF(OR(GH271=1,GH$228=1,$GU173=1),GH173,0))</f>
        <v>x</v>
      </c>
      <c r="GI356" s="51" t="str">
        <f>IF(GI173=-1,"x",IF(OR(GI271=1,GI$228=1,$GV173=1),GI173,0))</f>
        <v>x</v>
      </c>
      <c r="GJ356" s="52" t="str">
        <f>IF(GJ173=-1,"x",IF(OR(GJ271=1,GJ$228=1,$GT173=1),GJ173,0))</f>
        <v>x</v>
      </c>
      <c r="GK356" s="50" t="str">
        <f>IF(GK173=-1,"x",IF(OR(GK271=1,GK$228=1,$GU173=1),GK173,0))</f>
        <v>x</v>
      </c>
      <c r="GL356" s="105" t="str">
        <f>IF(GL173=-1,"x",IF(OR(GL271=1,GL$228=1,$GV173=1),GL173,0))</f>
        <v>x</v>
      </c>
    </row>
    <row r="357" spans="14:194" ht="15" customHeight="1">
      <c r="N357" s="94" t="str">
        <f>IF(N174=-1,"x",IF(OR(N272=1,N$196=1,$CX174=1),N174,0))</f>
        <v>x</v>
      </c>
      <c r="O357" s="39" t="str">
        <f>IF(O174=-1,"x",IF(OR(O272=1,O$196=1,$CY174=1),O174,0))</f>
        <v>x</v>
      </c>
      <c r="P357" s="41" t="str">
        <f>IF(P174=-1,"x",IF(OR(P272=1,P$196=1,$CZ174=1),P174,0))</f>
        <v>x</v>
      </c>
      <c r="Q357" s="40" t="str">
        <f>IF(Q174=-1,"x",IF(OR(Q272=1,Q$196=1,$CX174=1),Q174,0))</f>
        <v>x</v>
      </c>
      <c r="R357" s="39" t="str">
        <f>IF(R174=-1,"x",IF(OR(R272=1,R$196=1,$CY174=1),R174,0))</f>
        <v>x</v>
      </c>
      <c r="S357" s="41" t="str">
        <f>IF(S174=-1,"x",IF(OR(S272=1,S$196=1,$CZ174=1),S174,0))</f>
        <v>x</v>
      </c>
      <c r="T357" s="40" t="str">
        <f>IF(T174=-1,"x",IF(OR(T272=1,T$196=1,$CX174=1),T174,0))</f>
        <v>x</v>
      </c>
      <c r="U357" s="39" t="str">
        <f>IF(U174=-1,"x",IF(OR(U272=1,U$196=1,$CY174=1),U174,0))</f>
        <v>x</v>
      </c>
      <c r="V357" s="42" t="str">
        <f>IF(V174=-1,"x",IF(OR(V272=1,V$196=1,$CZ174=1),V174,0))</f>
        <v>x</v>
      </c>
      <c r="W357" s="43" t="str">
        <f>IF(W174=-1,"x",IF(OR(W272=1,W$196=1,$CX174=1),W174,0))</f>
        <v>x</v>
      </c>
      <c r="X357" s="39" t="str">
        <f>IF(X174=-1,"x",IF(OR(X272=1,X$196=1,$CY174=1),X174,0))</f>
        <v>x</v>
      </c>
      <c r="Y357" s="41" t="str">
        <f>IF(Y174=-1,"x",IF(OR(Y272=1,Y$196=1,$CZ174=1),Y174,0))</f>
        <v>x</v>
      </c>
      <c r="Z357" s="40" t="str">
        <f>IF(Z174=-1,"x",IF(OR(Z272=1,Z$196=1,$CX174=1),Z174,0))</f>
        <v>x</v>
      </c>
      <c r="AA357" s="39" t="str">
        <f>IF(AA174=-1,"x",IF(OR(AA272=1,AA$196=1,$CY174=1),AA174,0))</f>
        <v>x</v>
      </c>
      <c r="AB357" s="41" t="str">
        <f>IF(AB174=-1,"x",IF(OR(AB272=1,AB$196=1,$CZ174=1),AB174,0))</f>
        <v>x</v>
      </c>
      <c r="AC357" s="40" t="str">
        <f>IF(AC174=-1,"x",IF(OR(AC272=1,AC$196=1,$CX174=1),AC174,0))</f>
        <v>x</v>
      </c>
      <c r="AD357" s="39" t="str">
        <f>IF(AD174=-1,"x",IF(OR(AD272=1,AD$196=1,$CY174=1),AD174,0))</f>
        <v>x</v>
      </c>
      <c r="AE357" s="42" t="str">
        <f>IF(AE174=-1,"x",IF(OR(AE272=1,AE$196=1,$CZ174=1),AE174,0))</f>
        <v>x</v>
      </c>
      <c r="AF357" s="43" t="str">
        <f>IF(AF174=-1,"x",IF(OR(AF272=1,AF$196=1,$CX174=1),AF174,0))</f>
        <v>x</v>
      </c>
      <c r="AG357" s="39" t="str">
        <f>IF(AG174=-1,"x",IF(OR(AG272=1,AG$196=1,$CY174=1),AG174,0))</f>
        <v>x</v>
      </c>
      <c r="AH357" s="41" t="str">
        <f>IF(AH174=-1,"x",IF(OR(AH272=1,AH$196=1,$CZ174=1),AH174,0))</f>
        <v>x</v>
      </c>
      <c r="AI357" s="40" t="str">
        <f>IF(AI174=-1,"x",IF(OR(AI272=1,AI$196=1,$CX174=1),AI174,0))</f>
        <v>x</v>
      </c>
      <c r="AJ357" s="39" t="str">
        <f>IF(AJ174=-1,"x",IF(OR(AJ272=1,AJ$196=1,$CY174=1),AJ174,0))</f>
        <v>x</v>
      </c>
      <c r="AK357" s="41" t="str">
        <f>IF(AK174=-1,"x",IF(OR(AK272=1,AK$196=1,$CZ174=1),AK174,0))</f>
        <v>x</v>
      </c>
      <c r="AL357" s="40" t="str">
        <f>IF(AL174=-1,"x",IF(OR(AL272=1,AL$196=1,$CX174=1),AL174,0))</f>
        <v>x</v>
      </c>
      <c r="AM357" s="39" t="str">
        <f>IF(AM174=-1,"x",IF(OR(AM272=1,AM$196=1,$CY174=1),AM174,0))</f>
        <v>x</v>
      </c>
      <c r="AN357" s="95" t="str">
        <f>IF(AN174=-1,"x",IF(OR(AN272=1,AN$196=1,$CZ174=1),AN174,0))</f>
        <v>x</v>
      </c>
      <c r="AO357" s="94" t="str">
        <f>IF(AO174=-1,"x",IF(OR(AO272=1,AO$196=1,$CX174=1),AO174,0))</f>
        <v>x</v>
      </c>
      <c r="AP357" s="39" t="str">
        <f>IF(AP174=-1,"x",IF(OR(AP272=1,AP$196=1,$CY174=1),AP174,0))</f>
        <v>x</v>
      </c>
      <c r="AQ357" s="41" t="str">
        <f>IF(AQ174=-1,"x",IF(OR(AQ272=1,AQ$196=1,$CZ174=1),AQ174,0))</f>
        <v>x</v>
      </c>
      <c r="AR357" s="40" t="str">
        <f>IF(AR174=-1,"x",IF(OR(AR272=1,AR$196=1,$CX174=1),AR174,0))</f>
        <v>x</v>
      </c>
      <c r="AS357" s="39" t="str">
        <f>IF(AS174=-1,"x",IF(OR(AS272=1,AS$196=1,$CY174=1),AS174,0))</f>
        <v>x</v>
      </c>
      <c r="AT357" s="41" t="str">
        <f>IF(AT174=-1,"x",IF(OR(AT272=1,AT$196=1,$CZ174=1),AT174,0))</f>
        <v>x</v>
      </c>
      <c r="AU357" s="40" t="str">
        <f>IF(AU174=-1,"x",IF(OR(AU272=1,AU$196=1,$CX174=1),AU174,0))</f>
        <v>x</v>
      </c>
      <c r="AV357" s="39" t="str">
        <f>IF(AV174=-1,"x",IF(OR(AV272=1,AV$196=1,$CY174=1),AV174,0))</f>
        <v>x</v>
      </c>
      <c r="AW357" s="42" t="str">
        <f>IF(AW174=-1,"x",IF(OR(AW272=1,AW$196=1,$CZ174=1),AW174,0))</f>
        <v>x</v>
      </c>
      <c r="AX357" s="43">
        <f>IF(AX174=-1,"x",IF(OR(AX272=1,AX$196=1,$CX174=1),AX174,0))</f>
        <v>0</v>
      </c>
      <c r="AY357" s="39">
        <f>IF(AY174=-1,"x",IF(OR(AY272=1,AY$196=1,$CY174=1),AY174,0))</f>
        <v>0</v>
      </c>
      <c r="AZ357" s="41">
        <f>IF(AZ174=-1,"x",IF(OR(AZ272=1,AZ$196=1,$CZ174=1),AZ174,0))</f>
        <v>0</v>
      </c>
      <c r="BA357" s="40" t="str">
        <f>IF(BA174=-1,"x",IF(OR(BA272=1,BA$196=1,$CX174=1),BA174,0))</f>
        <v>x</v>
      </c>
      <c r="BB357" s="39" t="str">
        <f>IF(BB174=-1,"x",IF(OR(BB272=1,BB$196=1,$CY174=1),BB174,0))</f>
        <v>x</v>
      </c>
      <c r="BC357" s="41" t="str">
        <f>IF(BC174=-1,"x",IF(OR(BC272=1,BC$196=1,$CZ174=1),BC174,0))</f>
        <v>x</v>
      </c>
      <c r="BD357" s="40" t="str">
        <f>IF(BD174=-1,"x",IF(OR(BD272=1,BD$196=1,$CX174=1),BD174,0))</f>
        <v>x</v>
      </c>
      <c r="BE357" s="39" t="str">
        <f>IF(BE174=-1,"x",IF(OR(BE272=1,BE$196=1,$CY174=1),BE174,0))</f>
        <v>x</v>
      </c>
      <c r="BF357" s="42" t="str">
        <f>IF(BF174=-1,"x",IF(OR(BF272=1,BF$196=1,$CZ174=1),BF174,0))</f>
        <v>x</v>
      </c>
      <c r="BG357" s="43" t="str">
        <f>IF(BG174=-1,"x",IF(OR(BG272=1,BG$196=1,$CX174=1),BG174,0))</f>
        <v>x</v>
      </c>
      <c r="BH357" s="39" t="str">
        <f>IF(BH174=-1,"x",IF(OR(BH272=1,BH$196=1,$CY174=1),BH174,0))</f>
        <v>x</v>
      </c>
      <c r="BI357" s="41" t="str">
        <f>IF(BI174=-1,"x",IF(OR(BI272=1,BI$196=1,$CZ174=1),BI174,0))</f>
        <v>x</v>
      </c>
      <c r="BJ357" s="40" t="str">
        <f>IF(BJ174=-1,"x",IF(OR(BJ272=1,BJ$196=1,$CX174=1),BJ174,0))</f>
        <v>x</v>
      </c>
      <c r="BK357" s="39" t="str">
        <f>IF(BK174=-1,"x",IF(OR(BK272=1,BK$196=1,$CY174=1),BK174,0))</f>
        <v>x</v>
      </c>
      <c r="BL357" s="41" t="str">
        <f>IF(BL174=-1,"x",IF(OR(BL272=1,BL$196=1,$CZ174=1),BL174,0))</f>
        <v>x</v>
      </c>
      <c r="BM357" s="40" t="str">
        <f>IF(BM174=-1,"x",IF(OR(BM272=1,BM$196=1,$CX174=1),BM174,0))</f>
        <v>x</v>
      </c>
      <c r="BN357" s="39" t="str">
        <f>IF(BN174=-1,"x",IF(OR(BN272=1,BN$196=1,$CY174=1),BN174,0))</f>
        <v>x</v>
      </c>
      <c r="BO357" s="95" t="str">
        <f>IF(BO174=-1,"x",IF(OR(BO272=1,BO$196=1,$CZ174=1),BO174,0))</f>
        <v>x</v>
      </c>
      <c r="BP357" s="94" t="str">
        <f>IF(BP174=-1,"x",IF(OR(BP272=1,BP$196=1,$CX174=1),BP174,0))</f>
        <v>x</v>
      </c>
      <c r="BQ357" s="39" t="str">
        <f>IF(BQ174=-1,"x",IF(OR(BQ272=1,BQ$196=1,$CY174=1),BQ174,0))</f>
        <v>x</v>
      </c>
      <c r="BR357" s="41" t="str">
        <f>IF(BR174=-1,"x",IF(OR(BR272=1,BR$196=1,$CZ174=1),BR174,0))</f>
        <v>x</v>
      </c>
      <c r="BS357" s="40" t="str">
        <f>IF(BS174=-1,"x",IF(OR(BS272=1,BS$196=1,$CX174=1),BS174,0))</f>
        <v>x</v>
      </c>
      <c r="BT357" s="39" t="str">
        <f>IF(BT174=-1,"x",IF(OR(BT272=1,BT$196=1,$CY174=1),BT174,0))</f>
        <v>x</v>
      </c>
      <c r="BU357" s="41" t="str">
        <f>IF(BU174=-1,"x",IF(OR(BU272=1,BU$196=1,$CZ174=1),BU174,0))</f>
        <v>x</v>
      </c>
      <c r="BV357" s="40" t="str">
        <f>IF(BV174=-1,"x",IF(OR(BV272=1,BV$196=1,$CX174=1),BV174,0))</f>
        <v>x</v>
      </c>
      <c r="BW357" s="39" t="str">
        <f>IF(BW174=-1,"x",IF(OR(BW272=1,BW$196=1,$CY174=1),BW174,0))</f>
        <v>x</v>
      </c>
      <c r="BX357" s="42" t="str">
        <f>IF(BX174=-1,"x",IF(OR(BX272=1,BX$196=1,$CZ174=1),BX174,0))</f>
        <v>x</v>
      </c>
      <c r="BY357" s="43" t="str">
        <f>IF(BY174=-1,"x",IF(OR(BY272=1,BY$196=1,$CX174=1),BY174,0))</f>
        <v>x</v>
      </c>
      <c r="BZ357" s="39" t="str">
        <f>IF(BZ174=-1,"x",IF(OR(BZ272=1,BZ$196=1,$CY174=1),BZ174,0))</f>
        <v>x</v>
      </c>
      <c r="CA357" s="41" t="str">
        <f>IF(CA174=-1,"x",IF(OR(CA272=1,CA$196=1,$CZ174=1),CA174,0))</f>
        <v>x</v>
      </c>
      <c r="CB357" s="40" t="str">
        <f>IF(CB174=-1,"x",IF(OR(CB272=1,CB$196=1,$CX174=1),CB174,0))</f>
        <v>x</v>
      </c>
      <c r="CC357" s="39" t="str">
        <f>IF(CC174=-1,"x",IF(OR(CC272=1,CC$196=1,$CY174=1),CC174,0))</f>
        <v>x</v>
      </c>
      <c r="CD357" s="41" t="str">
        <f>IF(CD174=-1,"x",IF(OR(CD272=1,CD$196=1,$CZ174=1),CD174,0))</f>
        <v>x</v>
      </c>
      <c r="CE357" s="40" t="str">
        <f>IF(CE174=-1,"x",IF(OR(CE272=1,CE$196=1,$CX174=1),CE174,0))</f>
        <v>x</v>
      </c>
      <c r="CF357" s="39" t="str">
        <f>IF(CF174=-1,"x",IF(OR(CF272=1,CF$196=1,$CY174=1),CF174,0))</f>
        <v>x</v>
      </c>
      <c r="CG357" s="42" t="str">
        <f>IF(CG174=-1,"x",IF(OR(CG272=1,CG$196=1,$CZ174=1),CG174,0))</f>
        <v>x</v>
      </c>
      <c r="CH357" s="43" t="str">
        <f>IF(CH174=-1,"x",IF(OR(CH272=1,CH$196=1,$CX174=1),CH174,0))</f>
        <v>x</v>
      </c>
      <c r="CI357" s="39" t="str">
        <f>IF(CI174=-1,"x",IF(OR(CI272=1,CI$196=1,$CY174=1),CI174,0))</f>
        <v>x</v>
      </c>
      <c r="CJ357" s="41" t="str">
        <f>IF(CJ174=-1,"x",IF(OR(CJ272=1,CJ$196=1,$CZ174=1),CJ174,0))</f>
        <v>x</v>
      </c>
      <c r="CK357" s="40" t="str">
        <f>IF(CK174=-1,"x",IF(OR(CK272=1,CK$196=1,$CX174=1),CK174,0))</f>
        <v>x</v>
      </c>
      <c r="CL357" s="39" t="str">
        <f>IF(CL174=-1,"x",IF(OR(CL272=1,CL$196=1,$CY174=1),CL174,0))</f>
        <v>x</v>
      </c>
      <c r="CM357" s="41" t="str">
        <f>IF(CM174=-1,"x",IF(OR(CM272=1,CM$196=1,$CZ174=1),CM174,0))</f>
        <v>x</v>
      </c>
      <c r="CN357" s="40" t="str">
        <f>IF(CN174=-1,"x",IF(OR(CN272=1,CN$196=1,$CX174=1),CN174,0))</f>
        <v>x</v>
      </c>
      <c r="CO357" s="39" t="str">
        <f>IF(CO174=-1,"x",IF(OR(CO272=1,CO$196=1,$CY174=1),CO174,0))</f>
        <v>x</v>
      </c>
      <c r="CP357" s="95" t="str">
        <f>IF(CP174=-1,"x",IF(OR(CP272=1,CP$196=1,$CZ174=1),CP174,0))</f>
        <v>x</v>
      </c>
      <c r="DJ357" s="94" t="str">
        <f>IF(DJ174=-1,"x",IF(OR(DJ272=1,DJ$229=1,$GT174=1),DJ174,0))</f>
        <v>x</v>
      </c>
      <c r="DK357" s="39" t="str">
        <f>IF(DK174=-1,"x",IF(OR(DK272=1,DK$229=1,$GU174=1),DK174,0))</f>
        <v>x</v>
      </c>
      <c r="DL357" s="41" t="str">
        <f>IF(DL174=-1,"x",IF(OR(DL272=1,DL$229=1,$GV174=1),DL174,0))</f>
        <v>x</v>
      </c>
      <c r="DM357" s="40" t="str">
        <f>IF(DM174=-1,"x",IF(OR(DM272=1,DM$229=1,$GT174=1),DM174,0))</f>
        <v>x</v>
      </c>
      <c r="DN357" s="39" t="str">
        <f>IF(DN174=-1,"x",IF(OR(DN272=1,DN$229=1,$GU174=1),DN174,0))</f>
        <v>x</v>
      </c>
      <c r="DO357" s="41" t="str">
        <f>IF(DO174=-1,"x",IF(OR(DO272=1,DO$229=1,$GV174=1),DO174,0))</f>
        <v>x</v>
      </c>
      <c r="DP357" s="40" t="str">
        <f>IF(DP174=-1,"x",IF(OR(DP272=1,DP$229=1,$GT174=1),DP174,0))</f>
        <v>x</v>
      </c>
      <c r="DQ357" s="39" t="str">
        <f>IF(DQ174=-1,"x",IF(OR(DQ272=1,DQ$229=1,$GU174=1),DQ174,0))</f>
        <v>x</v>
      </c>
      <c r="DR357" s="42" t="str">
        <f>IF(DR174=-1,"x",IF(OR(DR272=1,DR$229=1,$GV174=1),DR174,0))</f>
        <v>x</v>
      </c>
      <c r="DS357" s="43" t="str">
        <f>IF(DS174=-1,"x",IF(OR(DS272=1,DS$229=1,$GT174=1),DS174,0))</f>
        <v>x</v>
      </c>
      <c r="DT357" s="39" t="str">
        <f>IF(DT174=-1,"x",IF(OR(DT272=1,DT$229=1,$GU174=1),DT174,0))</f>
        <v>x</v>
      </c>
      <c r="DU357" s="41" t="str">
        <f>IF(DU174=-1,"x",IF(OR(DU272=1,DU$229=1,$GV174=1),DU174,0))</f>
        <v>x</v>
      </c>
      <c r="DV357" s="40" t="str">
        <f>IF(DV174=-1,"x",IF(OR(DV272=1,DV$229=1,$GT174=1),DV174,0))</f>
        <v>x</v>
      </c>
      <c r="DW357" s="39" t="str">
        <f>IF(DW174=-1,"x",IF(OR(DW272=1,DW$229=1,$GU174=1),DW174,0))</f>
        <v>x</v>
      </c>
      <c r="DX357" s="41" t="str">
        <f>IF(DX174=-1,"x",IF(OR(DX272=1,DX$229=1,$GV174=1),DX174,0))</f>
        <v>x</v>
      </c>
      <c r="DY357" s="40" t="str">
        <f>IF(DY174=-1,"x",IF(OR(DY272=1,DY$229=1,$GT174=1),DY174,0))</f>
        <v>x</v>
      </c>
      <c r="DZ357" s="39" t="str">
        <f>IF(DZ174=-1,"x",IF(OR(DZ272=1,DZ$229=1,$GU174=1),DZ174,0))</f>
        <v>x</v>
      </c>
      <c r="EA357" s="42" t="str">
        <f>IF(EA174=-1,"x",IF(OR(EA272=1,EA$229=1,$GV174=1),EA174,0))</f>
        <v>x</v>
      </c>
      <c r="EB357" s="43" t="str">
        <f>IF(EB174=-1,"x",IF(OR(EB272=1,EB$229=1,$GT174=1),EB174,0))</f>
        <v>x</v>
      </c>
      <c r="EC357" s="39" t="str">
        <f>IF(EC174=-1,"x",IF(OR(EC272=1,EC$229=1,$GU174=1),EC174,0))</f>
        <v>x</v>
      </c>
      <c r="ED357" s="41" t="str">
        <f>IF(ED174=-1,"x",IF(OR(ED272=1,ED$229=1,$GV174=1),ED174,0))</f>
        <v>x</v>
      </c>
      <c r="EE357" s="40" t="str">
        <f>IF(EE174=-1,"x",IF(OR(EE272=1,EE$229=1,$GT174=1),EE174,0))</f>
        <v>x</v>
      </c>
      <c r="EF357" s="39" t="str">
        <f>IF(EF174=-1,"x",IF(OR(EF272=1,EF$229=1,$GU174=1),EF174,0))</f>
        <v>x</v>
      </c>
      <c r="EG357" s="41" t="str">
        <f>IF(EG174=-1,"x",IF(OR(EG272=1,EG$229=1,$GV174=1),EG174,0))</f>
        <v>x</v>
      </c>
      <c r="EH357" s="40" t="str">
        <f>IF(EH174=-1,"x",IF(OR(EH272=1,EH$229=1,$GT174=1),EH174,0))</f>
        <v>x</v>
      </c>
      <c r="EI357" s="39" t="str">
        <f>IF(EI174=-1,"x",IF(OR(EI272=1,EI$229=1,$GU174=1),EI174,0))</f>
        <v>x</v>
      </c>
      <c r="EJ357" s="95" t="str">
        <f>IF(EJ174=-1,"x",IF(OR(EJ272=1,EJ$229=1,$GV174=1),EJ174,0))</f>
        <v>x</v>
      </c>
      <c r="EK357" s="94" t="str">
        <f>IF(EK174=-1,"x",IF(OR(EK272=1,EK$229=1,$GT174=1),EK174,0))</f>
        <v>x</v>
      </c>
      <c r="EL357" s="39" t="str">
        <f>IF(EL174=-1,"x",IF(OR(EL272=1,EL$229=1,$GU174=1),EL174,0))</f>
        <v>x</v>
      </c>
      <c r="EM357" s="41" t="str">
        <f>IF(EM174=-1,"x",IF(OR(EM272=1,EM$229=1,$GV174=1),EM174,0))</f>
        <v>x</v>
      </c>
      <c r="EN357" s="40">
        <f>IF(EN174=-1,"x",IF(OR(EN272=1,EN$229=1,$GT174=1),EN174,0))</f>
        <v>0</v>
      </c>
      <c r="EO357" s="39">
        <f>IF(EO174=-1,"x",IF(OR(EO272=1,EO$229=1,$GU174=1),EO174,0))</f>
        <v>0</v>
      </c>
      <c r="EP357" s="41">
        <f>IF(EP174=-1,"x",IF(OR(EP272=1,EP$229=1,$GV174=1),EP174,0))</f>
        <v>0</v>
      </c>
      <c r="EQ357" s="40" t="str">
        <f>IF(EQ174=-1,"x",IF(OR(EQ272=1,EQ$229=1,$GT174=1),EQ174,0))</f>
        <v>x</v>
      </c>
      <c r="ER357" s="39" t="str">
        <f>IF(ER174=-1,"x",IF(OR(ER272=1,ER$229=1,$GU174=1),ER174,0))</f>
        <v>x</v>
      </c>
      <c r="ES357" s="42" t="str">
        <f>IF(ES174=-1,"x",IF(OR(ES272=1,ES$229=1,$GV174=1),ES174,0))</f>
        <v>x</v>
      </c>
      <c r="ET357" s="43">
        <f>IF(ET174=-1,"x",IF(OR(ET272=1,ET$229=1,$GT174=1),ET174,0))</f>
        <v>0</v>
      </c>
      <c r="EU357" s="39">
        <f>IF(EU174=-1,"x",IF(OR(EU272=1,EU$229=1,$GU174=1),EU174,0))</f>
        <v>0</v>
      </c>
      <c r="EV357" s="41">
        <f>IF(EV174=-1,"x",IF(OR(EV272=1,EV$229=1,$GV174=1),EV174,0))</f>
        <v>0</v>
      </c>
      <c r="EW357" s="40">
        <f>IF(EW174=-1,"x",IF(OR(EW272=1,EW$229=1,$GT174=1),EW174,0))</f>
        <v>0</v>
      </c>
      <c r="EX357" s="39">
        <f>IF(EX174=-1,"x",IF(OR(EX272=1,EX$229=1,$GU174=1),EX174,0))</f>
        <v>0</v>
      </c>
      <c r="EY357" s="41">
        <f>IF(EY174=-1,"x",IF(OR(EY272=1,EY$229=1,$GV174=1),EY174,0))</f>
        <v>0</v>
      </c>
      <c r="EZ357" s="40" t="str">
        <f>IF(EZ174=-1,"x",IF(OR(EZ272=1,EZ$229=1,$GT174=1),EZ174,0))</f>
        <v>x</v>
      </c>
      <c r="FA357" s="39" t="str">
        <f>IF(FA174=-1,"x",IF(OR(FA272=1,FA$229=1,$GU174=1),FA174,0))</f>
        <v>x</v>
      </c>
      <c r="FB357" s="42" t="str">
        <f>IF(FB174=-1,"x",IF(OR(FB272=1,FB$229=1,$GV174=1),FB174,0))</f>
        <v>x</v>
      </c>
      <c r="FC357" s="43" t="str">
        <f>IF(FC174=-1,"x",IF(OR(FC272=1,FC$229=1,$GT174=1),FC174,0))</f>
        <v>x</v>
      </c>
      <c r="FD357" s="39" t="str">
        <f>IF(FD174=-1,"x",IF(OR(FD272=1,FD$229=1,$GU174=1),FD174,0))</f>
        <v>x</v>
      </c>
      <c r="FE357" s="41" t="str">
        <f>IF(FE174=-1,"x",IF(OR(FE272=1,FE$229=1,$GV174=1),FE174,0))</f>
        <v>x</v>
      </c>
      <c r="FF357" s="40" t="str">
        <f>IF(FF174=-1,"x",IF(OR(FF272=1,FF$229=1,$GT174=1),FF174,0))</f>
        <v>x</v>
      </c>
      <c r="FG357" s="39" t="str">
        <f>IF(FG174=-1,"x",IF(OR(FG272=1,FG$229=1,$GU174=1),FG174,0))</f>
        <v>x</v>
      </c>
      <c r="FH357" s="41" t="str">
        <f>IF(FH174=-1,"x",IF(OR(FH272=1,FH$229=1,$GV174=1),FH174,0))</f>
        <v>x</v>
      </c>
      <c r="FI357" s="40" t="str">
        <f>IF(FI174=-1,"x",IF(OR(FI272=1,FI$229=1,$GT174=1),FI174,0))</f>
        <v>x</v>
      </c>
      <c r="FJ357" s="39" t="str">
        <f>IF(FJ174=-1,"x",IF(OR(FJ272=1,FJ$229=1,$GU174=1),FJ174,0))</f>
        <v>x</v>
      </c>
      <c r="FK357" s="95" t="str">
        <f>IF(FK174=-1,"x",IF(OR(FK272=1,FK$229=1,$GV174=1),FK174,0))</f>
        <v>x</v>
      </c>
      <c r="FL357" s="94" t="str">
        <f>IF(FL174=-1,"x",IF(OR(FL272=1,FL$229=1,$GT174=1),FL174,0))</f>
        <v>x</v>
      </c>
      <c r="FM357" s="39" t="str">
        <f>IF(FM174=-1,"x",IF(OR(FM272=1,FM$229=1,$GU174=1),FM174,0))</f>
        <v>x</v>
      </c>
      <c r="FN357" s="41" t="str">
        <f>IF(FN174=-1,"x",IF(OR(FN272=1,FN$229=1,$GV174=1),FN174,0))</f>
        <v>x</v>
      </c>
      <c r="FO357" s="40" t="str">
        <f>IF(FO174=-1,"x",IF(OR(FO272=1,FO$229=1,$GT174=1),FO174,0))</f>
        <v>x</v>
      </c>
      <c r="FP357" s="39" t="str">
        <f>IF(FP174=-1,"x",IF(OR(FP272=1,FP$229=1,$GU174=1),FP174,0))</f>
        <v>x</v>
      </c>
      <c r="FQ357" s="41" t="str">
        <f>IF(FQ174=-1,"x",IF(OR(FQ272=1,FQ$229=1,$GV174=1),FQ174,0))</f>
        <v>x</v>
      </c>
      <c r="FR357" s="40" t="str">
        <f>IF(FR174=-1,"x",IF(OR(FR272=1,FR$229=1,$GT174=1),FR174,0))</f>
        <v>x</v>
      </c>
      <c r="FS357" s="39" t="str">
        <f>IF(FS174=-1,"x",IF(OR(FS272=1,FS$229=1,$GU174=1),FS174,0))</f>
        <v>x</v>
      </c>
      <c r="FT357" s="42" t="str">
        <f>IF(FT174=-1,"x",IF(OR(FT272=1,FT$229=1,$GV174=1),FT174,0))</f>
        <v>x</v>
      </c>
      <c r="FU357" s="43" t="str">
        <f>IF(FU174=-1,"x",IF(OR(FU272=1,FU$229=1,$GT174=1),FU174,0))</f>
        <v>x</v>
      </c>
      <c r="FV357" s="39" t="str">
        <f>IF(FV174=-1,"x",IF(OR(FV272=1,FV$229=1,$GU174=1),FV174,0))</f>
        <v>x</v>
      </c>
      <c r="FW357" s="41" t="str">
        <f>IF(FW174=-1,"x",IF(OR(FW272=1,FW$229=1,$GV174=1),FW174,0))</f>
        <v>x</v>
      </c>
      <c r="FX357" s="40" t="str">
        <f>IF(FX174=-1,"x",IF(OR(FX272=1,FX$229=1,$GT174=1),FX174,0))</f>
        <v>x</v>
      </c>
      <c r="FY357" s="39" t="str">
        <f>IF(FY174=-1,"x",IF(OR(FY272=1,FY$229=1,$GU174=1),FY174,0))</f>
        <v>x</v>
      </c>
      <c r="FZ357" s="41" t="str">
        <f>IF(FZ174=-1,"x",IF(OR(FZ272=1,FZ$229=1,$GV174=1),FZ174,0))</f>
        <v>x</v>
      </c>
      <c r="GA357" s="40" t="str">
        <f>IF(GA174=-1,"x",IF(OR(GA272=1,GA$229=1,$GT174=1),GA174,0))</f>
        <v>x</v>
      </c>
      <c r="GB357" s="39" t="str">
        <f>IF(GB174=-1,"x",IF(OR(GB272=1,GB$229=1,$GU174=1),GB174,0))</f>
        <v>x</v>
      </c>
      <c r="GC357" s="42" t="str">
        <f>IF(GC174=-1,"x",IF(OR(GC272=1,GC$229=1,$GV174=1),GC174,0))</f>
        <v>x</v>
      </c>
      <c r="GD357" s="43">
        <f>IF(GD174=-1,"x",IF(OR(GD272=1,GD$229=1,$GT174=1),GD174,0))</f>
        <v>0</v>
      </c>
      <c r="GE357" s="39">
        <f>IF(GE174=-1,"x",IF(OR(GE272=1,GE$229=1,$GU174=1),GE174,0))</f>
        <v>0</v>
      </c>
      <c r="GF357" s="41">
        <f>IF(GF174=-1,"x",IF(OR(GF272=1,GF$229=1,$GV174=1),GF174,0))</f>
        <v>0</v>
      </c>
      <c r="GG357" s="40" t="str">
        <f>IF(GG174=-1,"x",IF(OR(GG272=1,GG$229=1,$GT174=1),GG174,0))</f>
        <v>x</v>
      </c>
      <c r="GH357" s="39" t="str">
        <f>IF(GH174=-1,"x",IF(OR(GH272=1,GH$229=1,$GU174=1),GH174,0))</f>
        <v>x</v>
      </c>
      <c r="GI357" s="41" t="str">
        <f>IF(GI174=-1,"x",IF(OR(GI272=1,GI$229=1,$GV174=1),GI174,0))</f>
        <v>x</v>
      </c>
      <c r="GJ357" s="40" t="str">
        <f>IF(GJ174=-1,"x",IF(OR(GJ272=1,GJ$229=1,$GT174=1),GJ174,0))</f>
        <v>x</v>
      </c>
      <c r="GK357" s="39" t="str">
        <f>IF(GK174=-1,"x",IF(OR(GK272=1,GK$229=1,$GU174=1),GK174,0))</f>
        <v>x</v>
      </c>
      <c r="GL357" s="95" t="str">
        <f>IF(GL174=-1,"x",IF(OR(GL272=1,GL$229=1,$GV174=1),GL174,0))</f>
        <v>x</v>
      </c>
    </row>
    <row r="358" spans="14:194" ht="15" customHeight="1" thickBot="1">
      <c r="N358" s="99" t="str">
        <f>IF(N175=-1,"x",IF(OR(N273=1,N$197=1,$CX175=1),N175,0))</f>
        <v>x</v>
      </c>
      <c r="O358" s="45" t="str">
        <f>IF(O175=-1,"x",IF(OR(O273=1,O$197=1,$CY175=1),O175,0))</f>
        <v>x</v>
      </c>
      <c r="P358" s="47" t="str">
        <f>IF(P175=-1,"x",IF(OR(P273=1,P$197=1,$CZ175=1),P175,0))</f>
        <v>x</v>
      </c>
      <c r="Q358" s="46" t="str">
        <f>IF(Q175=-1,"x",IF(OR(Q273=1,Q$197=1,$CX175=1),Q175,0))</f>
        <v>x</v>
      </c>
      <c r="R358" s="45" t="str">
        <f>IF(R175=-1,"x",IF(OR(R273=1,R$197=1,$CY175=1),R175,0))</f>
        <v>x</v>
      </c>
      <c r="S358" s="47" t="str">
        <f>IF(S175=-1,"x",IF(OR(S273=1,S$197=1,$CZ175=1),S175,0))</f>
        <v>x</v>
      </c>
      <c r="T358" s="46" t="str">
        <f>IF(T175=-1,"x",IF(OR(T273=1,T$197=1,$CX175=1),T175,0))</f>
        <v>x</v>
      </c>
      <c r="U358" s="45" t="str">
        <f>IF(U175=-1,"x",IF(OR(U273=1,U$197=1,$CY175=1),U175,0))</f>
        <v>x</v>
      </c>
      <c r="V358" s="48" t="str">
        <f>IF(V175=-1,"x",IF(OR(V273=1,V$197=1,$CZ175=1),V175,0))</f>
        <v>x</v>
      </c>
      <c r="W358" s="44" t="str">
        <f>IF(W175=-1,"x",IF(OR(W273=1,W$197=1,$CX175=1),W175,0))</f>
        <v>x</v>
      </c>
      <c r="X358" s="45" t="str">
        <f>IF(X175=-1,"x",IF(OR(X273=1,X$197=1,$CY175=1),X175,0))</f>
        <v>x</v>
      </c>
      <c r="Y358" s="47" t="str">
        <f>IF(Y175=-1,"x",IF(OR(Y273=1,Y$197=1,$CZ175=1),Y175,0))</f>
        <v>x</v>
      </c>
      <c r="Z358" s="46" t="str">
        <f>IF(Z175=-1,"x",IF(OR(Z273=1,Z$197=1,$CX175=1),Z175,0))</f>
        <v>x</v>
      </c>
      <c r="AA358" s="45" t="str">
        <f>IF(AA175=-1,"x",IF(OR(AA273=1,AA$197=1,$CY175=1),AA175,0))</f>
        <v>x</v>
      </c>
      <c r="AB358" s="47" t="str">
        <f>IF(AB175=-1,"x",IF(OR(AB273=1,AB$197=1,$CZ175=1),AB175,0))</f>
        <v>x</v>
      </c>
      <c r="AC358" s="46" t="str">
        <f>IF(AC175=-1,"x",IF(OR(AC273=1,AC$197=1,$CX175=1),AC175,0))</f>
        <v>x</v>
      </c>
      <c r="AD358" s="45" t="str">
        <f>IF(AD175=-1,"x",IF(OR(AD273=1,AD$197=1,$CY175=1),AD175,0))</f>
        <v>x</v>
      </c>
      <c r="AE358" s="48" t="str">
        <f>IF(AE175=-1,"x",IF(OR(AE273=1,AE$197=1,$CZ175=1),AE175,0))</f>
        <v>x</v>
      </c>
      <c r="AF358" s="44" t="str">
        <f>IF(AF175=-1,"x",IF(OR(AF273=1,AF$197=1,$CX175=1),AF175,0))</f>
        <v>x</v>
      </c>
      <c r="AG358" s="45" t="str">
        <f>IF(AG175=-1,"x",IF(OR(AG273=1,AG$197=1,$CY175=1),AG175,0))</f>
        <v>x</v>
      </c>
      <c r="AH358" s="47" t="str">
        <f>IF(AH175=-1,"x",IF(OR(AH273=1,AH$197=1,$CZ175=1),AH175,0))</f>
        <v>x</v>
      </c>
      <c r="AI358" s="46" t="str">
        <f>IF(AI175=-1,"x",IF(OR(AI273=1,AI$197=1,$CX175=1),AI175,0))</f>
        <v>x</v>
      </c>
      <c r="AJ358" s="45" t="str">
        <f>IF(AJ175=-1,"x",IF(OR(AJ273=1,AJ$197=1,$CY175=1),AJ175,0))</f>
        <v>x</v>
      </c>
      <c r="AK358" s="47" t="str">
        <f>IF(AK175=-1,"x",IF(OR(AK273=1,AK$197=1,$CZ175=1),AK175,0))</f>
        <v>x</v>
      </c>
      <c r="AL358" s="46" t="str">
        <f>IF(AL175=-1,"x",IF(OR(AL273=1,AL$197=1,$CX175=1),AL175,0))</f>
        <v>x</v>
      </c>
      <c r="AM358" s="45" t="str">
        <f>IF(AM175=-1,"x",IF(OR(AM273=1,AM$197=1,$CY175=1),AM175,0))</f>
        <v>x</v>
      </c>
      <c r="AN358" s="100" t="str">
        <f>IF(AN175=-1,"x",IF(OR(AN273=1,AN$197=1,$CZ175=1),AN175,0))</f>
        <v>x</v>
      </c>
      <c r="AO358" s="99" t="str">
        <f>IF(AO175=-1,"x",IF(OR(AO273=1,AO$197=1,$CX175=1),AO175,0))</f>
        <v>x</v>
      </c>
      <c r="AP358" s="45" t="str">
        <f>IF(AP175=-1,"x",IF(OR(AP273=1,AP$197=1,$CY175=1),AP175,0))</f>
        <v>x</v>
      </c>
      <c r="AQ358" s="47" t="str">
        <f>IF(AQ175=-1,"x",IF(OR(AQ273=1,AQ$197=1,$CZ175=1),AQ175,0))</f>
        <v>x</v>
      </c>
      <c r="AR358" s="46" t="str">
        <f>IF(AR175=-1,"x",IF(OR(AR273=1,AR$197=1,$CX175=1),AR175,0))</f>
        <v>x</v>
      </c>
      <c r="AS358" s="45" t="str">
        <f>IF(AS175=-1,"x",IF(OR(AS273=1,AS$197=1,$CY175=1),AS175,0))</f>
        <v>x</v>
      </c>
      <c r="AT358" s="47" t="str">
        <f>IF(AT175=-1,"x",IF(OR(AT273=1,AT$197=1,$CZ175=1),AT175,0))</f>
        <v>x</v>
      </c>
      <c r="AU358" s="46" t="str">
        <f>IF(AU175=-1,"x",IF(OR(AU273=1,AU$197=1,$CX175=1),AU175,0))</f>
        <v>x</v>
      </c>
      <c r="AV358" s="45" t="str">
        <f>IF(AV175=-1,"x",IF(OR(AV273=1,AV$197=1,$CY175=1),AV175,0))</f>
        <v>x</v>
      </c>
      <c r="AW358" s="48" t="str">
        <f>IF(AW175=-1,"x",IF(OR(AW273=1,AW$197=1,$CZ175=1),AW175,0))</f>
        <v>x</v>
      </c>
      <c r="AX358" s="44">
        <f>IF(AX175=-1,"x",IF(OR(AX273=1,AX$197=1,$CX175=1),AX175,0))</f>
        <v>0</v>
      </c>
      <c r="AY358" s="45">
        <f>IF(AY175=-1,"x",IF(OR(AY273=1,AY$197=1,$CY175=1),AY175,0))</f>
        <v>0</v>
      </c>
      <c r="AZ358" s="47">
        <f>IF(AZ175=-1,"x",IF(OR(AZ273=1,AZ$197=1,$CZ175=1),AZ175,0))</f>
        <v>0</v>
      </c>
      <c r="BA358" s="46" t="str">
        <f>IF(BA175=-1,"x",IF(OR(BA273=1,BA$197=1,$CX175=1),BA175,0))</f>
        <v>x</v>
      </c>
      <c r="BB358" s="45" t="str">
        <f>IF(BB175=-1,"x",IF(OR(BB273=1,BB$197=1,$CY175=1),BB175,0))</f>
        <v>x</v>
      </c>
      <c r="BC358" s="47" t="str">
        <f>IF(BC175=-1,"x",IF(OR(BC273=1,BC$197=1,$CZ175=1),BC175,0))</f>
        <v>x</v>
      </c>
      <c r="BD358" s="46" t="str">
        <f>IF(BD175=-1,"x",IF(OR(BD273=1,BD$197=1,$CX175=1),BD175,0))</f>
        <v>x</v>
      </c>
      <c r="BE358" s="45" t="str">
        <f>IF(BE175=-1,"x",IF(OR(BE273=1,BE$197=1,$CY175=1),BE175,0))</f>
        <v>x</v>
      </c>
      <c r="BF358" s="48" t="str">
        <f>IF(BF175=-1,"x",IF(OR(BF273=1,BF$197=1,$CZ175=1),BF175,0))</f>
        <v>x</v>
      </c>
      <c r="BG358" s="44" t="str">
        <f>IF(BG175=-1,"x",IF(OR(BG273=1,BG$197=1,$CX175=1),BG175,0))</f>
        <v>x</v>
      </c>
      <c r="BH358" s="45" t="str">
        <f>IF(BH175=-1,"x",IF(OR(BH273=1,BH$197=1,$CY175=1),BH175,0))</f>
        <v>x</v>
      </c>
      <c r="BI358" s="47" t="str">
        <f>IF(BI175=-1,"x",IF(OR(BI273=1,BI$197=1,$CZ175=1),BI175,0))</f>
        <v>x</v>
      </c>
      <c r="BJ358" s="46" t="str">
        <f>IF(BJ175=-1,"x",IF(OR(BJ273=1,BJ$197=1,$CX175=1),BJ175,0))</f>
        <v>x</v>
      </c>
      <c r="BK358" s="45" t="str">
        <f>IF(BK175=-1,"x",IF(OR(BK273=1,BK$197=1,$CY175=1),BK175,0))</f>
        <v>x</v>
      </c>
      <c r="BL358" s="47" t="str">
        <f>IF(BL175=-1,"x",IF(OR(BL273=1,BL$197=1,$CZ175=1),BL175,0))</f>
        <v>x</v>
      </c>
      <c r="BM358" s="46" t="str">
        <f>IF(BM175=-1,"x",IF(OR(BM273=1,BM$197=1,$CX175=1),BM175,0))</f>
        <v>x</v>
      </c>
      <c r="BN358" s="45" t="str">
        <f>IF(BN175=-1,"x",IF(OR(BN273=1,BN$197=1,$CY175=1),BN175,0))</f>
        <v>x</v>
      </c>
      <c r="BO358" s="100" t="str">
        <f>IF(BO175=-1,"x",IF(OR(BO273=1,BO$197=1,$CZ175=1),BO175,0))</f>
        <v>x</v>
      </c>
      <c r="BP358" s="99" t="str">
        <f>IF(BP175=-1,"x",IF(OR(BP273=1,BP$197=1,$CX175=1),BP175,0))</f>
        <v>x</v>
      </c>
      <c r="BQ358" s="45" t="str">
        <f>IF(BQ175=-1,"x",IF(OR(BQ273=1,BQ$197=1,$CY175=1),BQ175,0))</f>
        <v>x</v>
      </c>
      <c r="BR358" s="47" t="str">
        <f>IF(BR175=-1,"x",IF(OR(BR273=1,BR$197=1,$CZ175=1),BR175,0))</f>
        <v>x</v>
      </c>
      <c r="BS358" s="46" t="str">
        <f>IF(BS175=-1,"x",IF(OR(BS273=1,BS$197=1,$CX175=1),BS175,0))</f>
        <v>x</v>
      </c>
      <c r="BT358" s="45" t="str">
        <f>IF(BT175=-1,"x",IF(OR(BT273=1,BT$197=1,$CY175=1),BT175,0))</f>
        <v>x</v>
      </c>
      <c r="BU358" s="47" t="str">
        <f>IF(BU175=-1,"x",IF(OR(BU273=1,BU$197=1,$CZ175=1),BU175,0))</f>
        <v>x</v>
      </c>
      <c r="BV358" s="46" t="str">
        <f>IF(BV175=-1,"x",IF(OR(BV273=1,BV$197=1,$CX175=1),BV175,0))</f>
        <v>x</v>
      </c>
      <c r="BW358" s="45" t="str">
        <f>IF(BW175=-1,"x",IF(OR(BW273=1,BW$197=1,$CY175=1),BW175,0))</f>
        <v>x</v>
      </c>
      <c r="BX358" s="48" t="str">
        <f>IF(BX175=-1,"x",IF(OR(BX273=1,BX$197=1,$CZ175=1),BX175,0))</f>
        <v>x</v>
      </c>
      <c r="BY358" s="44" t="str">
        <f>IF(BY175=-1,"x",IF(OR(BY273=1,BY$197=1,$CX175=1),BY175,0))</f>
        <v>x</v>
      </c>
      <c r="BZ358" s="45" t="str">
        <f>IF(BZ175=-1,"x",IF(OR(BZ273=1,BZ$197=1,$CY175=1),BZ175,0))</f>
        <v>x</v>
      </c>
      <c r="CA358" s="47" t="str">
        <f>IF(CA175=-1,"x",IF(OR(CA273=1,CA$197=1,$CZ175=1),CA175,0))</f>
        <v>x</v>
      </c>
      <c r="CB358" s="46" t="str">
        <f>IF(CB175=-1,"x",IF(OR(CB273=1,CB$197=1,$CX175=1),CB175,0))</f>
        <v>x</v>
      </c>
      <c r="CC358" s="45" t="str">
        <f>IF(CC175=-1,"x",IF(OR(CC273=1,CC$197=1,$CY175=1),CC175,0))</f>
        <v>x</v>
      </c>
      <c r="CD358" s="47" t="str">
        <f>IF(CD175=-1,"x",IF(OR(CD273=1,CD$197=1,$CZ175=1),CD175,0))</f>
        <v>x</v>
      </c>
      <c r="CE358" s="46" t="str">
        <f>IF(CE175=-1,"x",IF(OR(CE273=1,CE$197=1,$CX175=1),CE175,0))</f>
        <v>x</v>
      </c>
      <c r="CF358" s="45" t="str">
        <f>IF(CF175=-1,"x",IF(OR(CF273=1,CF$197=1,$CY175=1),CF175,0))</f>
        <v>x</v>
      </c>
      <c r="CG358" s="48" t="str">
        <f>IF(CG175=-1,"x",IF(OR(CG273=1,CG$197=1,$CZ175=1),CG175,0))</f>
        <v>x</v>
      </c>
      <c r="CH358" s="44" t="str">
        <f>IF(CH175=-1,"x",IF(OR(CH273=1,CH$197=1,$CX175=1),CH175,0))</f>
        <v>x</v>
      </c>
      <c r="CI358" s="45" t="str">
        <f>IF(CI175=-1,"x",IF(OR(CI273=1,CI$197=1,$CY175=1),CI175,0))</f>
        <v>x</v>
      </c>
      <c r="CJ358" s="47" t="str">
        <f>IF(CJ175=-1,"x",IF(OR(CJ273=1,CJ$197=1,$CZ175=1),CJ175,0))</f>
        <v>x</v>
      </c>
      <c r="CK358" s="46" t="str">
        <f>IF(CK175=-1,"x",IF(OR(CK273=1,CK$197=1,$CX175=1),CK175,0))</f>
        <v>x</v>
      </c>
      <c r="CL358" s="45" t="str">
        <f>IF(CL175=-1,"x",IF(OR(CL273=1,CL$197=1,$CY175=1),CL175,0))</f>
        <v>x</v>
      </c>
      <c r="CM358" s="47" t="str">
        <f>IF(CM175=-1,"x",IF(OR(CM273=1,CM$197=1,$CZ175=1),CM175,0))</f>
        <v>x</v>
      </c>
      <c r="CN358" s="46" t="str">
        <f>IF(CN175=-1,"x",IF(OR(CN273=1,CN$197=1,$CX175=1),CN175,0))</f>
        <v>x</v>
      </c>
      <c r="CO358" s="45" t="str">
        <f>IF(CO175=-1,"x",IF(OR(CO273=1,CO$197=1,$CY175=1),CO175,0))</f>
        <v>x</v>
      </c>
      <c r="CP358" s="100" t="str">
        <f>IF(CP175=-1,"x",IF(OR(CP273=1,CP$197=1,$CZ175=1),CP175,0))</f>
        <v>x</v>
      </c>
      <c r="DJ358" s="106" t="str">
        <f>IF(DJ175=-1,"x",IF(OR(DJ273=1,DJ$230=1,$GT175=1),DJ175,0))</f>
        <v>x</v>
      </c>
      <c r="DK358" s="55" t="str">
        <f>IF(DK175=-1,"x",IF(OR(DK273=1,DK$230=1,$GU175=1),DK175,0))</f>
        <v>x</v>
      </c>
      <c r="DL358" s="56" t="str">
        <f>IF(DL175=-1,"x",IF(OR(DL273=1,DL$230=1,$GV175=1),DL175,0))</f>
        <v>x</v>
      </c>
      <c r="DM358" s="57" t="str">
        <f>IF(DM175=-1,"x",IF(OR(DM273=1,DM$230=1,$GT175=1),DM175,0))</f>
        <v>x</v>
      </c>
      <c r="DN358" s="55" t="str">
        <f>IF(DN175=-1,"x",IF(OR(DN273=1,DN$230=1,$GU175=1),DN175,0))</f>
        <v>x</v>
      </c>
      <c r="DO358" s="56" t="str">
        <f>IF(DO175=-1,"x",IF(OR(DO273=1,DO$230=1,$GV175=1),DO175,0))</f>
        <v>x</v>
      </c>
      <c r="DP358" s="57" t="str">
        <f>IF(DP175=-1,"x",IF(OR(DP273=1,DP$230=1,$GT175=1),DP175,0))</f>
        <v>x</v>
      </c>
      <c r="DQ358" s="55" t="str">
        <f>IF(DQ175=-1,"x",IF(OR(DQ273=1,DQ$230=1,$GU175=1),DQ175,0))</f>
        <v>x</v>
      </c>
      <c r="DR358" s="58" t="str">
        <f>IF(DR175=-1,"x",IF(OR(DR273=1,DR$230=1,$GV175=1),DR175,0))</f>
        <v>x</v>
      </c>
      <c r="DS358" s="54" t="str">
        <f>IF(DS175=-1,"x",IF(OR(DS273=1,DS$230=1,$GT175=1),DS175,0))</f>
        <v>x</v>
      </c>
      <c r="DT358" s="55" t="str">
        <f>IF(DT175=-1,"x",IF(OR(DT273=1,DT$230=1,$GU175=1),DT175,0))</f>
        <v>x</v>
      </c>
      <c r="DU358" s="56" t="str">
        <f>IF(DU175=-1,"x",IF(OR(DU273=1,DU$230=1,$GV175=1),DU175,0))</f>
        <v>x</v>
      </c>
      <c r="DV358" s="57" t="str">
        <f>IF(DV175=-1,"x",IF(OR(DV273=1,DV$230=1,$GT175=1),DV175,0))</f>
        <v>x</v>
      </c>
      <c r="DW358" s="55" t="str">
        <f>IF(DW175=-1,"x",IF(OR(DW273=1,DW$230=1,$GU175=1),DW175,0))</f>
        <v>x</v>
      </c>
      <c r="DX358" s="56" t="str">
        <f>IF(DX175=-1,"x",IF(OR(DX273=1,DX$230=1,$GV175=1),DX175,0))</f>
        <v>x</v>
      </c>
      <c r="DY358" s="57" t="str">
        <f>IF(DY175=-1,"x",IF(OR(DY273=1,DY$230=1,$GT175=1),DY175,0))</f>
        <v>x</v>
      </c>
      <c r="DZ358" s="55" t="str">
        <f>IF(DZ175=-1,"x",IF(OR(DZ273=1,DZ$230=1,$GU175=1),DZ175,0))</f>
        <v>x</v>
      </c>
      <c r="EA358" s="58" t="str">
        <f>IF(EA175=-1,"x",IF(OR(EA273=1,EA$230=1,$GV175=1),EA175,0))</f>
        <v>x</v>
      </c>
      <c r="EB358" s="54" t="str">
        <f>IF(EB175=-1,"x",IF(OR(EB273=1,EB$230=1,$GT175=1),EB175,0))</f>
        <v>x</v>
      </c>
      <c r="EC358" s="55" t="str">
        <f>IF(EC175=-1,"x",IF(OR(EC273=1,EC$230=1,$GU175=1),EC175,0))</f>
        <v>x</v>
      </c>
      <c r="ED358" s="56" t="str">
        <f>IF(ED175=-1,"x",IF(OR(ED273=1,ED$230=1,$GV175=1),ED175,0))</f>
        <v>x</v>
      </c>
      <c r="EE358" s="57" t="str">
        <f>IF(EE175=-1,"x",IF(OR(EE273=1,EE$230=1,$GT175=1),EE175,0))</f>
        <v>x</v>
      </c>
      <c r="EF358" s="55" t="str">
        <f>IF(EF175=-1,"x",IF(OR(EF273=1,EF$230=1,$GU175=1),EF175,0))</f>
        <v>x</v>
      </c>
      <c r="EG358" s="56" t="str">
        <f>IF(EG175=-1,"x",IF(OR(EG273=1,EG$230=1,$GV175=1),EG175,0))</f>
        <v>x</v>
      </c>
      <c r="EH358" s="57" t="str">
        <f>IF(EH175=-1,"x",IF(OR(EH273=1,EH$230=1,$GT175=1),EH175,0))</f>
        <v>x</v>
      </c>
      <c r="EI358" s="55" t="str">
        <f>IF(EI175=-1,"x",IF(OR(EI273=1,EI$230=1,$GU175=1),EI175,0))</f>
        <v>x</v>
      </c>
      <c r="EJ358" s="107" t="str">
        <f>IF(EJ175=-1,"x",IF(OR(EJ273=1,EJ$230=1,$GV175=1),EJ175,0))</f>
        <v>x</v>
      </c>
      <c r="EK358" s="106" t="str">
        <f>IF(EK175=-1,"x",IF(OR(EK273=1,EK$230=1,$GT175=1),EK175,0))</f>
        <v>x</v>
      </c>
      <c r="EL358" s="55" t="str">
        <f>IF(EL175=-1,"x",IF(OR(EL273=1,EL$230=1,$GU175=1),EL175,0))</f>
        <v>x</v>
      </c>
      <c r="EM358" s="56" t="str">
        <f>IF(EM175=-1,"x",IF(OR(EM273=1,EM$230=1,$GV175=1),EM175,0))</f>
        <v>x</v>
      </c>
      <c r="EN358" s="57">
        <f>IF(EN175=-1,"x",IF(OR(EN273=1,EN$230=1,$GT175=1),EN175,0))</f>
        <v>0</v>
      </c>
      <c r="EO358" s="55">
        <f>IF(EO175=-1,"x",IF(OR(EO273=1,EO$230=1,$GU175=1),EO175,0))</f>
        <v>0</v>
      </c>
      <c r="EP358" s="56">
        <f>IF(EP175=-1,"x",IF(OR(EP273=1,EP$230=1,$GV175=1),EP175,0))</f>
        <v>0</v>
      </c>
      <c r="EQ358" s="57" t="str">
        <f>IF(EQ175=-1,"x",IF(OR(EQ273=1,EQ$230=1,$GT175=1),EQ175,0))</f>
        <v>x</v>
      </c>
      <c r="ER358" s="55" t="str">
        <f>IF(ER175=-1,"x",IF(OR(ER273=1,ER$230=1,$GU175=1),ER175,0))</f>
        <v>x</v>
      </c>
      <c r="ES358" s="58" t="str">
        <f>IF(ES175=-1,"x",IF(OR(ES273=1,ES$230=1,$GV175=1),ES175,0))</f>
        <v>x</v>
      </c>
      <c r="ET358" s="54">
        <f>IF(ET175=-1,"x",IF(OR(ET273=1,ET$230=1,$GT175=1),ET175,0))</f>
        <v>0</v>
      </c>
      <c r="EU358" s="55">
        <f>IF(EU175=-1,"x",IF(OR(EU273=1,EU$230=1,$GU175=1),EU175,0))</f>
        <v>0</v>
      </c>
      <c r="EV358" s="56">
        <f>IF(EV175=-1,"x",IF(OR(EV273=1,EV$230=1,$GV175=1),EV175,0))</f>
        <v>0</v>
      </c>
      <c r="EW358" s="57">
        <f>IF(EW175=-1,"x",IF(OR(EW273=1,EW$230=1,$GT175=1),EW175,0))</f>
        <v>0</v>
      </c>
      <c r="EX358" s="55">
        <f>IF(EX175=-1,"x",IF(OR(EX273=1,EX$230=1,$GU175=1),EX175,0))</f>
        <v>0</v>
      </c>
      <c r="EY358" s="56">
        <f>IF(EY175=-1,"x",IF(OR(EY273=1,EY$230=1,$GV175=1),EY175,0))</f>
        <v>0</v>
      </c>
      <c r="EZ358" s="57" t="str">
        <f>IF(EZ175=-1,"x",IF(OR(EZ273=1,EZ$230=1,$GT175=1),EZ175,0))</f>
        <v>x</v>
      </c>
      <c r="FA358" s="55" t="str">
        <f>IF(FA175=-1,"x",IF(OR(FA273=1,FA$230=1,$GU175=1),FA175,0))</f>
        <v>x</v>
      </c>
      <c r="FB358" s="58" t="str">
        <f>IF(FB175=-1,"x",IF(OR(FB273=1,FB$230=1,$GV175=1),FB175,0))</f>
        <v>x</v>
      </c>
      <c r="FC358" s="54" t="str">
        <f>IF(FC175=-1,"x",IF(OR(FC273=1,FC$230=1,$GT175=1),FC175,0))</f>
        <v>x</v>
      </c>
      <c r="FD358" s="55" t="str">
        <f>IF(FD175=-1,"x",IF(OR(FD273=1,FD$230=1,$GU175=1),FD175,0))</f>
        <v>x</v>
      </c>
      <c r="FE358" s="56" t="str">
        <f>IF(FE175=-1,"x",IF(OR(FE273=1,FE$230=1,$GV175=1),FE175,0))</f>
        <v>x</v>
      </c>
      <c r="FF358" s="57" t="str">
        <f>IF(FF175=-1,"x",IF(OR(FF273=1,FF$230=1,$GT175=1),FF175,0))</f>
        <v>x</v>
      </c>
      <c r="FG358" s="55" t="str">
        <f>IF(FG175=-1,"x",IF(OR(FG273=1,FG$230=1,$GU175=1),FG175,0))</f>
        <v>x</v>
      </c>
      <c r="FH358" s="56" t="str">
        <f>IF(FH175=-1,"x",IF(OR(FH273=1,FH$230=1,$GV175=1),FH175,0))</f>
        <v>x</v>
      </c>
      <c r="FI358" s="57" t="str">
        <f>IF(FI175=-1,"x",IF(OR(FI273=1,FI$230=1,$GT175=1),FI175,0))</f>
        <v>x</v>
      </c>
      <c r="FJ358" s="55" t="str">
        <f>IF(FJ175=-1,"x",IF(OR(FJ273=1,FJ$230=1,$GU175=1),FJ175,0))</f>
        <v>x</v>
      </c>
      <c r="FK358" s="107" t="str">
        <f>IF(FK175=-1,"x",IF(OR(FK273=1,FK$230=1,$GV175=1),FK175,0))</f>
        <v>x</v>
      </c>
      <c r="FL358" s="106" t="str">
        <f>IF(FL175=-1,"x",IF(OR(FL273=1,FL$230=1,$GT175=1),FL175,0))</f>
        <v>x</v>
      </c>
      <c r="FM358" s="55" t="str">
        <f>IF(FM175=-1,"x",IF(OR(FM273=1,FM$230=1,$GU175=1),FM175,0))</f>
        <v>x</v>
      </c>
      <c r="FN358" s="56" t="str">
        <f>IF(FN175=-1,"x",IF(OR(FN273=1,FN$230=1,$GV175=1),FN175,0))</f>
        <v>x</v>
      </c>
      <c r="FO358" s="57" t="str">
        <f>IF(FO175=-1,"x",IF(OR(FO273=1,FO$230=1,$GT175=1),FO175,0))</f>
        <v>x</v>
      </c>
      <c r="FP358" s="55" t="str">
        <f>IF(FP175=-1,"x",IF(OR(FP273=1,FP$230=1,$GU175=1),FP175,0))</f>
        <v>x</v>
      </c>
      <c r="FQ358" s="56" t="str">
        <f>IF(FQ175=-1,"x",IF(OR(FQ273=1,FQ$230=1,$GV175=1),FQ175,0))</f>
        <v>x</v>
      </c>
      <c r="FR358" s="57" t="str">
        <f>IF(FR175=-1,"x",IF(OR(FR273=1,FR$230=1,$GT175=1),FR175,0))</f>
        <v>x</v>
      </c>
      <c r="FS358" s="55" t="str">
        <f>IF(FS175=-1,"x",IF(OR(FS273=1,FS$230=1,$GU175=1),FS175,0))</f>
        <v>x</v>
      </c>
      <c r="FT358" s="58" t="str">
        <f>IF(FT175=-1,"x",IF(OR(FT273=1,FT$230=1,$GV175=1),FT175,0))</f>
        <v>x</v>
      </c>
      <c r="FU358" s="54" t="str">
        <f>IF(FU175=-1,"x",IF(OR(FU273=1,FU$230=1,$GT175=1),FU175,0))</f>
        <v>x</v>
      </c>
      <c r="FV358" s="55" t="str">
        <f>IF(FV175=-1,"x",IF(OR(FV273=1,FV$230=1,$GU175=1),FV175,0))</f>
        <v>x</v>
      </c>
      <c r="FW358" s="56" t="str">
        <f>IF(FW175=-1,"x",IF(OR(FW273=1,FW$230=1,$GV175=1),FW175,0))</f>
        <v>x</v>
      </c>
      <c r="FX358" s="57" t="str">
        <f>IF(FX175=-1,"x",IF(OR(FX273=1,FX$230=1,$GT175=1),FX175,0))</f>
        <v>x</v>
      </c>
      <c r="FY358" s="55" t="str">
        <f>IF(FY175=-1,"x",IF(OR(FY273=1,FY$230=1,$GU175=1),FY175,0))</f>
        <v>x</v>
      </c>
      <c r="FZ358" s="56" t="str">
        <f>IF(FZ175=-1,"x",IF(OR(FZ273=1,FZ$230=1,$GV175=1),FZ175,0))</f>
        <v>x</v>
      </c>
      <c r="GA358" s="57" t="str">
        <f>IF(GA175=-1,"x",IF(OR(GA273=1,GA$230=1,$GT175=1),GA175,0))</f>
        <v>x</v>
      </c>
      <c r="GB358" s="55" t="str">
        <f>IF(GB175=-1,"x",IF(OR(GB273=1,GB$230=1,$GU175=1),GB175,0))</f>
        <v>x</v>
      </c>
      <c r="GC358" s="58" t="str">
        <f>IF(GC175=-1,"x",IF(OR(GC273=1,GC$230=1,$GV175=1),GC175,0))</f>
        <v>x</v>
      </c>
      <c r="GD358" s="54">
        <f>IF(GD175=-1,"x",IF(OR(GD273=1,GD$230=1,$GT175=1),GD175,0))</f>
        <v>0</v>
      </c>
      <c r="GE358" s="55">
        <f>IF(GE175=-1,"x",IF(OR(GE273=1,GE$230=1,$GU175=1),GE175,0))</f>
        <v>0</v>
      </c>
      <c r="GF358" s="56">
        <f>IF(GF175=-1,"x",IF(OR(GF273=1,GF$230=1,$GV175=1),GF175,0))</f>
        <v>0</v>
      </c>
      <c r="GG358" s="57" t="str">
        <f>IF(GG175=-1,"x",IF(OR(GG273=1,GG$230=1,$GT175=1),GG175,0))</f>
        <v>x</v>
      </c>
      <c r="GH358" s="55" t="str">
        <f>IF(GH175=-1,"x",IF(OR(GH273=1,GH$230=1,$GU175=1),GH175,0))</f>
        <v>x</v>
      </c>
      <c r="GI358" s="56" t="str">
        <f>IF(GI175=-1,"x",IF(OR(GI273=1,GI$230=1,$GV175=1),GI175,0))</f>
        <v>x</v>
      </c>
      <c r="GJ358" s="57" t="str">
        <f>IF(GJ175=-1,"x",IF(OR(GJ273=1,GJ$230=1,$GT175=1),GJ175,0))</f>
        <v>x</v>
      </c>
      <c r="GK358" s="55" t="str">
        <f>IF(GK175=-1,"x",IF(OR(GK273=1,GK$230=1,$GU175=1),GK175,0))</f>
        <v>x</v>
      </c>
      <c r="GL358" s="107" t="str">
        <f>IF(GL175=-1,"x",IF(OR(GL273=1,GL$230=1,$GV175=1),GL175,0))</f>
        <v>x</v>
      </c>
    </row>
    <row r="359" spans="14:194" ht="15" customHeight="1">
      <c r="N359" s="104" t="str">
        <f>IF(N176=-1,"x",IF(OR(N274=1,N$195=1,$CX176=1),N176,0))</f>
        <v>x</v>
      </c>
      <c r="O359" s="50" t="str">
        <f>IF(O176=-1,"x",IF(OR(O274=1,O$195=1,$CY176=1),O176,0))</f>
        <v>x</v>
      </c>
      <c r="P359" s="51" t="str">
        <f>IF(P176=-1,"x",IF(OR(P274=1,P$195=1,$CZ176=1),P176,0))</f>
        <v>x</v>
      </c>
      <c r="Q359" s="52" t="str">
        <f>IF(Q176=-1,"x",IF(OR(Q274=1,Q$195=1,$CX176=1),Q176,0))</f>
        <v>x</v>
      </c>
      <c r="R359" s="50" t="str">
        <f>IF(R176=-1,"x",IF(OR(R274=1,R$195=1,$CY176=1),R176,0))</f>
        <v>x</v>
      </c>
      <c r="S359" s="51" t="str">
        <f>IF(S176=-1,"x",IF(OR(S274=1,S$195=1,$CZ176=1),S176,0))</f>
        <v>x</v>
      </c>
      <c r="T359" s="52" t="str">
        <f>IF(T176=-1,"x",IF(OR(T274=1,T$195=1,$CX176=1),T176,0))</f>
        <v>x</v>
      </c>
      <c r="U359" s="50" t="str">
        <f>IF(U176=-1,"x",IF(OR(U274=1,U$195=1,$CY176=1),U176,0))</f>
        <v>x</v>
      </c>
      <c r="V359" s="53" t="str">
        <f>IF(V176=-1,"x",IF(OR(V274=1,V$195=1,$CZ176=1),V176,0))</f>
        <v>x</v>
      </c>
      <c r="W359" s="49" t="str">
        <f>IF(W176=-1,"x",IF(OR(W274=1,W$195=1,$CX176=1),W176,0))</f>
        <v>x</v>
      </c>
      <c r="X359" s="50" t="str">
        <f>IF(X176=-1,"x",IF(OR(X274=1,X$195=1,$CY176=1),X176,0))</f>
        <v>x</v>
      </c>
      <c r="Y359" s="51" t="str">
        <f>IF(Y176=-1,"x",IF(OR(Y274=1,Y$195=1,$CZ176=1),Y176,0))</f>
        <v>x</v>
      </c>
      <c r="Z359" s="52" t="str">
        <f>IF(Z176=-1,"x",IF(OR(Z274=1,Z$195=1,$CX176=1),Z176,0))</f>
        <v>x</v>
      </c>
      <c r="AA359" s="50" t="str">
        <f>IF(AA176=-1,"x",IF(OR(AA274=1,AA$195=1,$CY176=1),AA176,0))</f>
        <v>x</v>
      </c>
      <c r="AB359" s="51" t="str">
        <f>IF(AB176=-1,"x",IF(OR(AB274=1,AB$195=1,$CZ176=1),AB176,0))</f>
        <v>x</v>
      </c>
      <c r="AC359" s="52" t="str">
        <f>IF(AC176=-1,"x",IF(OR(AC274=1,AC$195=1,$CX176=1),AC176,0))</f>
        <v>x</v>
      </c>
      <c r="AD359" s="50" t="str">
        <f>IF(AD176=-1,"x",IF(OR(AD274=1,AD$195=1,$CY176=1),AD176,0))</f>
        <v>x</v>
      </c>
      <c r="AE359" s="53" t="str">
        <f>IF(AE176=-1,"x",IF(OR(AE274=1,AE$195=1,$CZ176=1),AE176,0))</f>
        <v>x</v>
      </c>
      <c r="AF359" s="49" t="str">
        <f>IF(AF176=-1,"x",IF(OR(AF274=1,AF$195=1,$CX176=1),AF176,0))</f>
        <v>x</v>
      </c>
      <c r="AG359" s="50" t="str">
        <f>IF(AG176=-1,"x",IF(OR(AG274=1,AG$195=1,$CY176=1),AG176,0))</f>
        <v>x</v>
      </c>
      <c r="AH359" s="51" t="str">
        <f>IF(AH176=-1,"x",IF(OR(AH274=1,AH$195=1,$CZ176=1),AH176,0))</f>
        <v>x</v>
      </c>
      <c r="AI359" s="52" t="str">
        <f>IF(AI176=-1,"x",IF(OR(AI274=1,AI$195=1,$CX176=1),AI176,0))</f>
        <v>x</v>
      </c>
      <c r="AJ359" s="50" t="str">
        <f>IF(AJ176=-1,"x",IF(OR(AJ274=1,AJ$195=1,$CY176=1),AJ176,0))</f>
        <v>x</v>
      </c>
      <c r="AK359" s="51" t="str">
        <f>IF(AK176=-1,"x",IF(OR(AK274=1,AK$195=1,$CZ176=1),AK176,0))</f>
        <v>x</v>
      </c>
      <c r="AL359" s="52" t="str">
        <f>IF(AL176=-1,"x",IF(OR(AL274=1,AL$195=1,$CX176=1),AL176,0))</f>
        <v>x</v>
      </c>
      <c r="AM359" s="50" t="str">
        <f>IF(AM176=-1,"x",IF(OR(AM274=1,AM$195=1,$CY176=1),AM176,0))</f>
        <v>x</v>
      </c>
      <c r="AN359" s="105" t="str">
        <f>IF(AN176=-1,"x",IF(OR(AN274=1,AN$195=1,$CZ176=1),AN176,0))</f>
        <v>x</v>
      </c>
      <c r="AO359" s="104" t="str">
        <f>IF(AO176=-1,"x",IF(OR(AO274=1,AO$195=1,$CX176=1),AO176,0))</f>
        <v>x</v>
      </c>
      <c r="AP359" s="50" t="str">
        <f>IF(AP176=-1,"x",IF(OR(AP274=1,AP$195=1,$CY176=1),AP176,0))</f>
        <v>x</v>
      </c>
      <c r="AQ359" s="51" t="str">
        <f>IF(AQ176=-1,"x",IF(OR(AQ274=1,AQ$195=1,$CZ176=1),AQ176,0))</f>
        <v>x</v>
      </c>
      <c r="AR359" s="52" t="str">
        <f>IF(AR176=-1,"x",IF(OR(AR274=1,AR$195=1,$CX176=1),AR176,0))</f>
        <v>x</v>
      </c>
      <c r="AS359" s="50" t="str">
        <f>IF(AS176=-1,"x",IF(OR(AS274=1,AS$195=1,$CY176=1),AS176,0))</f>
        <v>x</v>
      </c>
      <c r="AT359" s="51" t="str">
        <f>IF(AT176=-1,"x",IF(OR(AT274=1,AT$195=1,$CZ176=1),AT176,0))</f>
        <v>x</v>
      </c>
      <c r="AU359" s="52" t="str">
        <f>IF(AU176=-1,"x",IF(OR(AU274=1,AU$195=1,$CX176=1),AU176,0))</f>
        <v>x</v>
      </c>
      <c r="AV359" s="50" t="str">
        <f>IF(AV176=-1,"x",IF(OR(AV274=1,AV$195=1,$CY176=1),AV176,0))</f>
        <v>x</v>
      </c>
      <c r="AW359" s="53" t="str">
        <f>IF(AW176=-1,"x",IF(OR(AW274=1,AW$195=1,$CZ176=1),AW176,0))</f>
        <v>x</v>
      </c>
      <c r="AX359" s="49" t="str">
        <f>IF(AX176=-1,"x",IF(OR(AX274=1,AX$195=1,$CX176=1),AX176,0))</f>
        <v>x</v>
      </c>
      <c r="AY359" s="50" t="str">
        <f>IF(AY176=-1,"x",IF(OR(AY274=1,AY$195=1,$CY176=1),AY176,0))</f>
        <v>x</v>
      </c>
      <c r="AZ359" s="51" t="str">
        <f>IF(AZ176=-1,"x",IF(OR(AZ274=1,AZ$195=1,$CZ176=1),AZ176,0))</f>
        <v>x</v>
      </c>
      <c r="BA359" s="52">
        <f>IF(BA176=-1,"x",IF(OR(BA274=1,BA$195=1,$CX176=1),BA176,0))</f>
        <v>0</v>
      </c>
      <c r="BB359" s="50">
        <f>IF(BB176=-1,"x",IF(OR(BB274=1,BB$195=1,$CY176=1),BB176,0))</f>
        <v>0</v>
      </c>
      <c r="BC359" s="51">
        <f>IF(BC176=-1,"x",IF(OR(BC274=1,BC$195=1,$CZ176=1),BC176,0))</f>
        <v>0</v>
      </c>
      <c r="BD359" s="52">
        <f>IF(BD176=-1,"x",IF(OR(BD274=1,BD$195=1,$CX176=1),BD176,0))</f>
        <v>0</v>
      </c>
      <c r="BE359" s="50">
        <f>IF(BE176=-1,"x",IF(OR(BE274=1,BE$195=1,$CY176=1),BE176,0))</f>
        <v>0</v>
      </c>
      <c r="BF359" s="53">
        <f>IF(BF176=-1,"x",IF(OR(BF274=1,BF$195=1,$CZ176=1),BF176,0))</f>
        <v>0</v>
      </c>
      <c r="BG359" s="49">
        <f>IF(BG176=-1,"x",IF(OR(BG274=1,BG$195=1,$CX176=1),BG176,0))</f>
        <v>0</v>
      </c>
      <c r="BH359" s="50">
        <f>IF(BH176=-1,"x",IF(OR(BH274=1,BH$195=1,$CY176=1),BH176,0))</f>
        <v>0</v>
      </c>
      <c r="BI359" s="51">
        <f>IF(BI176=-1,"x",IF(OR(BI274=1,BI$195=1,$CZ176=1),BI176,0))</f>
        <v>0</v>
      </c>
      <c r="BJ359" s="52" t="str">
        <f>IF(BJ176=-1,"x",IF(OR(BJ274=1,BJ$195=1,$CX176=1),BJ176,0))</f>
        <v>x</v>
      </c>
      <c r="BK359" s="50" t="str">
        <f>IF(BK176=-1,"x",IF(OR(BK274=1,BK$195=1,$CY176=1),BK176,0))</f>
        <v>x</v>
      </c>
      <c r="BL359" s="51" t="str">
        <f>IF(BL176=-1,"x",IF(OR(BL274=1,BL$195=1,$CZ176=1),BL176,0))</f>
        <v>x</v>
      </c>
      <c r="BM359" s="52" t="str">
        <f>IF(BM176=-1,"x",IF(OR(BM274=1,BM$195=1,$CX176=1),BM176,0))</f>
        <v>x</v>
      </c>
      <c r="BN359" s="50" t="str">
        <f>IF(BN176=-1,"x",IF(OR(BN274=1,BN$195=1,$CY176=1),BN176,0))</f>
        <v>x</v>
      </c>
      <c r="BO359" s="105" t="str">
        <f>IF(BO176=-1,"x",IF(OR(BO274=1,BO$195=1,$CZ176=1),BO176,0))</f>
        <v>x</v>
      </c>
      <c r="BP359" s="104" t="str">
        <f>IF(BP176=-1,"x",IF(OR(BP274=1,BP$195=1,$CX176=1),BP176,0))</f>
        <v>x</v>
      </c>
      <c r="BQ359" s="50" t="str">
        <f>IF(BQ176=-1,"x",IF(OR(BQ274=1,BQ$195=1,$CY176=1),BQ176,0))</f>
        <v>x</v>
      </c>
      <c r="BR359" s="51" t="str">
        <f>IF(BR176=-1,"x",IF(OR(BR274=1,BR$195=1,$CZ176=1),BR176,0))</f>
        <v>x</v>
      </c>
      <c r="BS359" s="52" t="str">
        <f>IF(BS176=-1,"x",IF(OR(BS274=1,BS$195=1,$CX176=1),BS176,0))</f>
        <v>x</v>
      </c>
      <c r="BT359" s="50" t="str">
        <f>IF(BT176=-1,"x",IF(OR(BT274=1,BT$195=1,$CY176=1),BT176,0))</f>
        <v>x</v>
      </c>
      <c r="BU359" s="51" t="str">
        <f>IF(BU176=-1,"x",IF(OR(BU274=1,BU$195=1,$CZ176=1),BU176,0))</f>
        <v>x</v>
      </c>
      <c r="BV359" s="52" t="str">
        <f>IF(BV176=-1,"x",IF(OR(BV274=1,BV$195=1,$CX176=1),BV176,0))</f>
        <v>x</v>
      </c>
      <c r="BW359" s="50" t="str">
        <f>IF(BW176=-1,"x",IF(OR(BW274=1,BW$195=1,$CY176=1),BW176,0))</f>
        <v>x</v>
      </c>
      <c r="BX359" s="53" t="str">
        <f>IF(BX176=-1,"x",IF(OR(BX274=1,BX$195=1,$CZ176=1),BX176,0))</f>
        <v>x</v>
      </c>
      <c r="BY359" s="49" t="str">
        <f>IF(BY176=-1,"x",IF(OR(BY274=1,BY$195=1,$CX176=1),BY176,0))</f>
        <v>x</v>
      </c>
      <c r="BZ359" s="50" t="str">
        <f>IF(BZ176=-1,"x",IF(OR(BZ274=1,BZ$195=1,$CY176=1),BZ176,0))</f>
        <v>x</v>
      </c>
      <c r="CA359" s="51" t="str">
        <f>IF(CA176=-1,"x",IF(OR(CA274=1,CA$195=1,$CZ176=1),CA176,0))</f>
        <v>x</v>
      </c>
      <c r="CB359" s="52" t="str">
        <f>IF(CB176=-1,"x",IF(OR(CB274=1,CB$195=1,$CX176=1),CB176,0))</f>
        <v>x</v>
      </c>
      <c r="CC359" s="50" t="str">
        <f>IF(CC176=-1,"x",IF(OR(CC274=1,CC$195=1,$CY176=1),CC176,0))</f>
        <v>x</v>
      </c>
      <c r="CD359" s="51" t="str">
        <f>IF(CD176=-1,"x",IF(OR(CD274=1,CD$195=1,$CZ176=1),CD176,0))</f>
        <v>x</v>
      </c>
      <c r="CE359" s="52" t="str">
        <f>IF(CE176=-1,"x",IF(OR(CE274=1,CE$195=1,$CX176=1),CE176,0))</f>
        <v>x</v>
      </c>
      <c r="CF359" s="50" t="str">
        <f>IF(CF176=-1,"x",IF(OR(CF274=1,CF$195=1,$CY176=1),CF176,0))</f>
        <v>x</v>
      </c>
      <c r="CG359" s="53" t="str">
        <f>IF(CG176=-1,"x",IF(OR(CG274=1,CG$195=1,$CZ176=1),CG176,0))</f>
        <v>x</v>
      </c>
      <c r="CH359" s="49" t="str">
        <f>IF(CH176=-1,"x",IF(OR(CH274=1,CH$195=1,$CX176=1),CH176,0))</f>
        <v>x</v>
      </c>
      <c r="CI359" s="50" t="str">
        <f>IF(CI176=-1,"x",IF(OR(CI274=1,CI$195=1,$CY176=1),CI176,0))</f>
        <v>x</v>
      </c>
      <c r="CJ359" s="51" t="str">
        <f>IF(CJ176=-1,"x",IF(OR(CJ274=1,CJ$195=1,$CZ176=1),CJ176,0))</f>
        <v>x</v>
      </c>
      <c r="CK359" s="52" t="str">
        <f>IF(CK176=-1,"x",IF(OR(CK274=1,CK$195=1,$CX176=1),CK176,0))</f>
        <v>x</v>
      </c>
      <c r="CL359" s="50" t="str">
        <f>IF(CL176=-1,"x",IF(OR(CL274=1,CL$195=1,$CY176=1),CL176,0))</f>
        <v>x</v>
      </c>
      <c r="CM359" s="51" t="str">
        <f>IF(CM176=-1,"x",IF(OR(CM274=1,CM$195=1,$CZ176=1),CM176,0))</f>
        <v>x</v>
      </c>
      <c r="CN359" s="52" t="str">
        <f>IF(CN176=-1,"x",IF(OR(CN274=1,CN$195=1,$CX176=1),CN176,0))</f>
        <v>x</v>
      </c>
      <c r="CO359" s="50" t="str">
        <f>IF(CO176=-1,"x",IF(OR(CO274=1,CO$195=1,$CY176=1),CO176,0))</f>
        <v>x</v>
      </c>
      <c r="CP359" s="105" t="str">
        <f>IF(CP176=-1,"x",IF(OR(CP274=1,CP$195=1,$CZ176=1),CP176,0))</f>
        <v>x</v>
      </c>
      <c r="DJ359" s="108" t="str">
        <f>IF(DJ176=-1,"x",IF(OR(DJ274=1,DJ$228=1,$GT176=1),DJ176,0))</f>
        <v>x</v>
      </c>
      <c r="DK359" s="37" t="str">
        <f>IF(DK176=-1,"x",IF(OR(DK274=1,DK$228=1,$GU176=1),DK176,0))</f>
        <v>x</v>
      </c>
      <c r="DL359" s="35" t="str">
        <f>IF(DL176=-1,"x",IF(OR(DL274=1,DL$228=1,$GV176=1),DL176,0))</f>
        <v>x</v>
      </c>
      <c r="DM359" s="36" t="str">
        <f>IF(DM176=-1,"x",IF(OR(DM274=1,DM$228=1,$GT176=1),DM176,0))</f>
        <v>x</v>
      </c>
      <c r="DN359" s="37" t="str">
        <f>IF(DN176=-1,"x",IF(OR(DN274=1,DN$228=1,$GU176=1),DN176,0))</f>
        <v>x</v>
      </c>
      <c r="DO359" s="35" t="str">
        <f>IF(DO176=-1,"x",IF(OR(DO274=1,DO$228=1,$GV176=1),DO176,0))</f>
        <v>x</v>
      </c>
      <c r="DP359" s="36" t="str">
        <f>IF(DP176=-1,"x",IF(OR(DP274=1,DP$228=1,$GT176=1),DP176,0))</f>
        <v>x</v>
      </c>
      <c r="DQ359" s="37" t="str">
        <f>IF(DQ176=-1,"x",IF(OR(DQ274=1,DQ$228=1,$GU176=1),DQ176,0))</f>
        <v>x</v>
      </c>
      <c r="DR359" s="38" t="str">
        <f>IF(DR176=-1,"x",IF(OR(DR274=1,DR$228=1,$GV176=1),DR176,0))</f>
        <v>x</v>
      </c>
      <c r="DS359" s="416" t="str">
        <f>IF(DS176=-1,"x",IF(OR(DS274=1,DS$228=1,$GT176=1),DS176,0))</f>
        <v>x</v>
      </c>
      <c r="DT359" s="37" t="str">
        <f>IF(DT176=-1,"x",IF(OR(DT274=1,DT$228=1,$GU176=1),DT176,0))</f>
        <v>x</v>
      </c>
      <c r="DU359" s="35" t="str">
        <f>IF(DU176=-1,"x",IF(OR(DU274=1,DU$228=1,$GV176=1),DU176,0))</f>
        <v>x</v>
      </c>
      <c r="DV359" s="36" t="str">
        <f>IF(DV176=-1,"x",IF(OR(DV274=1,DV$228=1,$GT176=1),DV176,0))</f>
        <v>x</v>
      </c>
      <c r="DW359" s="37" t="str">
        <f>IF(DW176=-1,"x",IF(OR(DW274=1,DW$228=1,$GU176=1),DW176,0))</f>
        <v>x</v>
      </c>
      <c r="DX359" s="35" t="str">
        <f>IF(DX176=-1,"x",IF(OR(DX274=1,DX$228=1,$GV176=1),DX176,0))</f>
        <v>x</v>
      </c>
      <c r="DY359" s="36" t="str">
        <f>IF(DY176=-1,"x",IF(OR(DY274=1,DY$228=1,$GT176=1),DY176,0))</f>
        <v>x</v>
      </c>
      <c r="DZ359" s="37" t="str">
        <f>IF(DZ176=-1,"x",IF(OR(DZ274=1,DZ$228=1,$GU176=1),DZ176,0))</f>
        <v>x</v>
      </c>
      <c r="EA359" s="38" t="str">
        <f>IF(EA176=-1,"x",IF(OR(EA274=1,EA$228=1,$GV176=1),EA176,0))</f>
        <v>x</v>
      </c>
      <c r="EB359" s="416" t="str">
        <f>IF(EB176=-1,"x",IF(OR(EB274=1,EB$228=1,$GT176=1),EB176,0))</f>
        <v>x</v>
      </c>
      <c r="EC359" s="37" t="str">
        <f>IF(EC176=-1,"x",IF(OR(EC274=1,EC$228=1,$GU176=1),EC176,0))</f>
        <v>x</v>
      </c>
      <c r="ED359" s="35" t="str">
        <f>IF(ED176=-1,"x",IF(OR(ED274=1,ED$228=1,$GV176=1),ED176,0))</f>
        <v>x</v>
      </c>
      <c r="EE359" s="36" t="str">
        <f>IF(EE176=-1,"x",IF(OR(EE274=1,EE$228=1,$GT176=1),EE176,0))</f>
        <v>x</v>
      </c>
      <c r="EF359" s="37" t="str">
        <f>IF(EF176=-1,"x",IF(OR(EF274=1,EF$228=1,$GU176=1),EF176,0))</f>
        <v>x</v>
      </c>
      <c r="EG359" s="35" t="str">
        <f>IF(EG176=-1,"x",IF(OR(EG274=1,EG$228=1,$GV176=1),EG176,0))</f>
        <v>x</v>
      </c>
      <c r="EH359" s="36" t="str">
        <f>IF(EH176=-1,"x",IF(OR(EH274=1,EH$228=1,$GT176=1),EH176,0))</f>
        <v>x</v>
      </c>
      <c r="EI359" s="37" t="str">
        <f>IF(EI176=-1,"x",IF(OR(EI274=1,EI$228=1,$GU176=1),EI176,0))</f>
        <v>x</v>
      </c>
      <c r="EJ359" s="109" t="str">
        <f>IF(EJ176=-1,"x",IF(OR(EJ274=1,EJ$228=1,$GV176=1),EJ176,0))</f>
        <v>x</v>
      </c>
      <c r="EK359" s="108" t="str">
        <f>IF(EK176=-1,"x",IF(OR(EK274=1,EK$228=1,$GT176=1),EK176,0))</f>
        <v>x</v>
      </c>
      <c r="EL359" s="37" t="str">
        <f>IF(EL176=-1,"x",IF(OR(EL274=1,EL$228=1,$GU176=1),EL176,0))</f>
        <v>x</v>
      </c>
      <c r="EM359" s="35" t="str">
        <f>IF(EM176=-1,"x",IF(OR(EM274=1,EM$228=1,$GV176=1),EM176,0))</f>
        <v>x</v>
      </c>
      <c r="EN359" s="36" t="str">
        <f>IF(EN176=-1,"x",IF(OR(EN274=1,EN$228=1,$GT176=1),EN176,0))</f>
        <v>x</v>
      </c>
      <c r="EO359" s="37" t="str">
        <f>IF(EO176=-1,"x",IF(OR(EO274=1,EO$228=1,$GU176=1),EO176,0))</f>
        <v>x</v>
      </c>
      <c r="EP359" s="35" t="str">
        <f>IF(EP176=-1,"x",IF(OR(EP274=1,EP$228=1,$GV176=1),EP176,0))</f>
        <v>x</v>
      </c>
      <c r="EQ359" s="36">
        <f>IF(EQ176=-1,"x",IF(OR(EQ274=1,EQ$228=1,$GT176=1),EQ176,0))</f>
        <v>0</v>
      </c>
      <c r="ER359" s="37">
        <f>IF(ER176=-1,"x",IF(OR(ER274=1,ER$228=1,$GU176=1),ER176,0))</f>
        <v>0</v>
      </c>
      <c r="ES359" s="38">
        <f>IF(ES176=-1,"x",IF(OR(ES274=1,ES$228=1,$GV176=1),ES176,0))</f>
        <v>0</v>
      </c>
      <c r="ET359" s="416" t="str">
        <f>IF(ET176=-1,"x",IF(OR(ET274=1,ET$228=1,$GT176=1),ET176,0))</f>
        <v>x</v>
      </c>
      <c r="EU359" s="37" t="str">
        <f>IF(EU176=-1,"x",IF(OR(EU274=1,EU$228=1,$GU176=1),EU176,0))</f>
        <v>x</v>
      </c>
      <c r="EV359" s="35" t="str">
        <f>IF(EV176=-1,"x",IF(OR(EV274=1,EV$228=1,$GV176=1),EV176,0))</f>
        <v>x</v>
      </c>
      <c r="EW359" s="36" t="str">
        <f>IF(EW176=-1,"x",IF(OR(EW274=1,EW$228=1,$GT176=1),EW176,0))</f>
        <v>x</v>
      </c>
      <c r="EX359" s="37" t="str">
        <f>IF(EX176=-1,"x",IF(OR(EX274=1,EX$228=1,$GU176=1),EX176,0))</f>
        <v>x</v>
      </c>
      <c r="EY359" s="35" t="str">
        <f>IF(EY176=-1,"x",IF(OR(EY274=1,EY$228=1,$GV176=1),EY176,0))</f>
        <v>x</v>
      </c>
      <c r="EZ359" s="36">
        <f>IF(EZ176=-1,"x",IF(OR(EZ274=1,EZ$228=1,$GT176=1),EZ176,0))</f>
        <v>0</v>
      </c>
      <c r="FA359" s="37">
        <f>IF(FA176=-1,"x",IF(OR(FA274=1,FA$228=1,$GU176=1),FA176,0))</f>
        <v>0</v>
      </c>
      <c r="FB359" s="38">
        <f>IF(FB176=-1,"x",IF(OR(FB274=1,FB$228=1,$GV176=1),FB176,0))</f>
        <v>0</v>
      </c>
      <c r="FC359" s="416" t="str">
        <f>IF(FC176=-1,"x",IF(OR(FC274=1,FC$228=1,$GT176=1),FC176,0))</f>
        <v>x</v>
      </c>
      <c r="FD359" s="37" t="str">
        <f>IF(FD176=-1,"x",IF(OR(FD274=1,FD$228=1,$GU176=1),FD176,0))</f>
        <v>x</v>
      </c>
      <c r="FE359" s="35" t="str">
        <f>IF(FE176=-1,"x",IF(OR(FE274=1,FE$228=1,$GV176=1),FE176,0))</f>
        <v>x</v>
      </c>
      <c r="FF359" s="36" t="str">
        <f>IF(FF176=-1,"x",IF(OR(FF274=1,FF$228=1,$GT176=1),FF176,0))</f>
        <v>x</v>
      </c>
      <c r="FG359" s="37" t="str">
        <f>IF(FG176=-1,"x",IF(OR(FG274=1,FG$228=1,$GU176=1),FG176,0))</f>
        <v>x</v>
      </c>
      <c r="FH359" s="35" t="str">
        <f>IF(FH176=-1,"x",IF(OR(FH274=1,FH$228=1,$GV176=1),FH176,0))</f>
        <v>x</v>
      </c>
      <c r="FI359" s="36" t="str">
        <f>IF(FI176=-1,"x",IF(OR(FI274=1,FI$228=1,$GT176=1),FI176,0))</f>
        <v>x</v>
      </c>
      <c r="FJ359" s="37" t="str">
        <f>IF(FJ176=-1,"x",IF(OR(FJ274=1,FJ$228=1,$GU176=1),FJ176,0))</f>
        <v>x</v>
      </c>
      <c r="FK359" s="109" t="str">
        <f>IF(FK176=-1,"x",IF(OR(FK274=1,FK$228=1,$GV176=1),FK176,0))</f>
        <v>x</v>
      </c>
      <c r="FL359" s="108" t="str">
        <f>IF(FL176=-1,"x",IF(OR(FL274=1,FL$228=1,$GT176=1),FL176,0))</f>
        <v>x</v>
      </c>
      <c r="FM359" s="37" t="str">
        <f>IF(FM176=-1,"x",IF(OR(FM274=1,FM$228=1,$GU176=1),FM176,0))</f>
        <v>x</v>
      </c>
      <c r="FN359" s="35" t="str">
        <f>IF(FN176=-1,"x",IF(OR(FN274=1,FN$228=1,$GV176=1),FN176,0))</f>
        <v>x</v>
      </c>
      <c r="FO359" s="36" t="str">
        <f>IF(FO176=-1,"x",IF(OR(FO274=1,FO$228=1,$GT176=1),FO176,0))</f>
        <v>x</v>
      </c>
      <c r="FP359" s="37" t="str">
        <f>IF(FP176=-1,"x",IF(OR(FP274=1,FP$228=1,$GU176=1),FP176,0))</f>
        <v>x</v>
      </c>
      <c r="FQ359" s="35" t="str">
        <f>IF(FQ176=-1,"x",IF(OR(FQ274=1,FQ$228=1,$GV176=1),FQ176,0))</f>
        <v>x</v>
      </c>
      <c r="FR359" s="36" t="str">
        <f>IF(FR176=-1,"x",IF(OR(FR274=1,FR$228=1,$GT176=1),FR176,0))</f>
        <v>x</v>
      </c>
      <c r="FS359" s="37" t="str">
        <f>IF(FS176=-1,"x",IF(OR(FS274=1,FS$228=1,$GU176=1),FS176,0))</f>
        <v>x</v>
      </c>
      <c r="FT359" s="38" t="str">
        <f>IF(FT176=-1,"x",IF(OR(FT274=1,FT$228=1,$GV176=1),FT176,0))</f>
        <v>x</v>
      </c>
      <c r="FU359" s="416" t="str">
        <f>IF(FU176=-1,"x",IF(OR(FU274=1,FU$228=1,$GT176=1),FU176,0))</f>
        <v>x</v>
      </c>
      <c r="FV359" s="37" t="str">
        <f>IF(FV176=-1,"x",IF(OR(FV274=1,FV$228=1,$GU176=1),FV176,0))</f>
        <v>x</v>
      </c>
      <c r="FW359" s="35" t="str">
        <f>IF(FW176=-1,"x",IF(OR(FW274=1,FW$228=1,$GV176=1),FW176,0))</f>
        <v>x</v>
      </c>
      <c r="FX359" s="36" t="str">
        <f>IF(FX176=-1,"x",IF(OR(FX274=1,FX$228=1,$GT176=1),FX176,0))</f>
        <v>x</v>
      </c>
      <c r="FY359" s="37" t="str">
        <f>IF(FY176=-1,"x",IF(OR(FY274=1,FY$228=1,$GU176=1),FY176,0))</f>
        <v>x</v>
      </c>
      <c r="FZ359" s="35" t="str">
        <f>IF(FZ176=-1,"x",IF(OR(FZ274=1,FZ$228=1,$GV176=1),FZ176,0))</f>
        <v>x</v>
      </c>
      <c r="GA359" s="36" t="str">
        <f>IF(GA176=-1,"x",IF(OR(GA274=1,GA$228=1,$GT176=1),GA176,0))</f>
        <v>x</v>
      </c>
      <c r="GB359" s="37" t="str">
        <f>IF(GB176=-1,"x",IF(OR(GB274=1,GB$228=1,$GU176=1),GB176,0))</f>
        <v>x</v>
      </c>
      <c r="GC359" s="38" t="str">
        <f>IF(GC176=-1,"x",IF(OR(GC274=1,GC$228=1,$GV176=1),GC176,0))</f>
        <v>x</v>
      </c>
      <c r="GD359" s="416">
        <f>IF(GD176=-1,"x",IF(OR(GD274=1,GD$228=1,$GT176=1),GD176,0))</f>
        <v>0</v>
      </c>
      <c r="GE359" s="37">
        <f>IF(GE176=-1,"x",IF(OR(GE274=1,GE$228=1,$GU176=1),GE176,0))</f>
        <v>0</v>
      </c>
      <c r="GF359" s="35">
        <f>IF(GF176=-1,"x",IF(OR(GF274=1,GF$228=1,$GV176=1),GF176,0))</f>
        <v>0</v>
      </c>
      <c r="GG359" s="36" t="str">
        <f>IF(GG176=-1,"x",IF(OR(GG274=1,GG$228=1,$GT176=1),GG176,0))</f>
        <v>x</v>
      </c>
      <c r="GH359" s="37" t="str">
        <f>IF(GH176=-1,"x",IF(OR(GH274=1,GH$228=1,$GU176=1),GH176,0))</f>
        <v>x</v>
      </c>
      <c r="GI359" s="35" t="str">
        <f>IF(GI176=-1,"x",IF(OR(GI274=1,GI$228=1,$GV176=1),GI176,0))</f>
        <v>x</v>
      </c>
      <c r="GJ359" s="36" t="str">
        <f>IF(GJ176=-1,"x",IF(OR(GJ274=1,GJ$228=1,$GT176=1),GJ176,0))</f>
        <v>x</v>
      </c>
      <c r="GK359" s="37" t="str">
        <f>IF(GK176=-1,"x",IF(OR(GK274=1,GK$228=1,$GU176=1),GK176,0))</f>
        <v>x</v>
      </c>
      <c r="GL359" s="109" t="str">
        <f>IF(GL176=-1,"x",IF(OR(GL274=1,GL$228=1,$GV176=1),GL176,0))</f>
        <v>x</v>
      </c>
    </row>
    <row r="360" spans="14:194" ht="15" customHeight="1">
      <c r="N360" s="94" t="str">
        <f>IF(N177=-1,"x",IF(OR(N275=1,N$196=1,$CX177=1),N177,0))</f>
        <v>x</v>
      </c>
      <c r="O360" s="39" t="str">
        <f>IF(O177=-1,"x",IF(OR(O275=1,O$196=1,$CY177=1),O177,0))</f>
        <v>x</v>
      </c>
      <c r="P360" s="41" t="str">
        <f>IF(P177=-1,"x",IF(OR(P275=1,P$196=1,$CZ177=1),P177,0))</f>
        <v>x</v>
      </c>
      <c r="Q360" s="40" t="str">
        <f>IF(Q177=-1,"x",IF(OR(Q275=1,Q$196=1,$CX177=1),Q177,0))</f>
        <v>x</v>
      </c>
      <c r="R360" s="39" t="str">
        <f>IF(R177=-1,"x",IF(OR(R275=1,R$196=1,$CY177=1),R177,0))</f>
        <v>x</v>
      </c>
      <c r="S360" s="41" t="str">
        <f>IF(S177=-1,"x",IF(OR(S275=1,S$196=1,$CZ177=1),S177,0))</f>
        <v>x</v>
      </c>
      <c r="T360" s="40" t="str">
        <f>IF(T177=-1,"x",IF(OR(T275=1,T$196=1,$CX177=1),T177,0))</f>
        <v>x</v>
      </c>
      <c r="U360" s="39" t="str">
        <f>IF(U177=-1,"x",IF(OR(U275=1,U$196=1,$CY177=1),U177,0))</f>
        <v>x</v>
      </c>
      <c r="V360" s="42" t="str">
        <f>IF(V177=-1,"x",IF(OR(V275=1,V$196=1,$CZ177=1),V177,0))</f>
        <v>x</v>
      </c>
      <c r="W360" s="43" t="str">
        <f>IF(W177=-1,"x",IF(OR(W275=1,W$196=1,$CX177=1),W177,0))</f>
        <v>x</v>
      </c>
      <c r="X360" s="39" t="str">
        <f>IF(X177=-1,"x",IF(OR(X275=1,X$196=1,$CY177=1),X177,0))</f>
        <v>x</v>
      </c>
      <c r="Y360" s="41" t="str">
        <f>IF(Y177=-1,"x",IF(OR(Y275=1,Y$196=1,$CZ177=1),Y177,0))</f>
        <v>x</v>
      </c>
      <c r="Z360" s="40" t="str">
        <f>IF(Z177=-1,"x",IF(OR(Z275=1,Z$196=1,$CX177=1),Z177,0))</f>
        <v>x</v>
      </c>
      <c r="AA360" s="39" t="str">
        <f>IF(AA177=-1,"x",IF(OR(AA275=1,AA$196=1,$CY177=1),AA177,0))</f>
        <v>x</v>
      </c>
      <c r="AB360" s="41" t="str">
        <f>IF(AB177=-1,"x",IF(OR(AB275=1,AB$196=1,$CZ177=1),AB177,0))</f>
        <v>x</v>
      </c>
      <c r="AC360" s="40" t="str">
        <f>IF(AC177=-1,"x",IF(OR(AC275=1,AC$196=1,$CX177=1),AC177,0))</f>
        <v>x</v>
      </c>
      <c r="AD360" s="39" t="str">
        <f>IF(AD177=-1,"x",IF(OR(AD275=1,AD$196=1,$CY177=1),AD177,0))</f>
        <v>x</v>
      </c>
      <c r="AE360" s="42" t="str">
        <f>IF(AE177=-1,"x",IF(OR(AE275=1,AE$196=1,$CZ177=1),AE177,0))</f>
        <v>x</v>
      </c>
      <c r="AF360" s="43" t="str">
        <f>IF(AF177=-1,"x",IF(OR(AF275=1,AF$196=1,$CX177=1),AF177,0))</f>
        <v>x</v>
      </c>
      <c r="AG360" s="39" t="str">
        <f>IF(AG177=-1,"x",IF(OR(AG275=1,AG$196=1,$CY177=1),AG177,0))</f>
        <v>x</v>
      </c>
      <c r="AH360" s="41" t="str">
        <f>IF(AH177=-1,"x",IF(OR(AH275=1,AH$196=1,$CZ177=1),AH177,0))</f>
        <v>x</v>
      </c>
      <c r="AI360" s="40" t="str">
        <f>IF(AI177=-1,"x",IF(OR(AI275=1,AI$196=1,$CX177=1),AI177,0))</f>
        <v>x</v>
      </c>
      <c r="AJ360" s="39" t="str">
        <f>IF(AJ177=-1,"x",IF(OR(AJ275=1,AJ$196=1,$CY177=1),AJ177,0))</f>
        <v>x</v>
      </c>
      <c r="AK360" s="41" t="str">
        <f>IF(AK177=-1,"x",IF(OR(AK275=1,AK$196=1,$CZ177=1),AK177,0))</f>
        <v>x</v>
      </c>
      <c r="AL360" s="40" t="str">
        <f>IF(AL177=-1,"x",IF(OR(AL275=1,AL$196=1,$CX177=1),AL177,0))</f>
        <v>x</v>
      </c>
      <c r="AM360" s="39" t="str">
        <f>IF(AM177=-1,"x",IF(OR(AM275=1,AM$196=1,$CY177=1),AM177,0))</f>
        <v>x</v>
      </c>
      <c r="AN360" s="95" t="str">
        <f>IF(AN177=-1,"x",IF(OR(AN275=1,AN$196=1,$CZ177=1),AN177,0))</f>
        <v>x</v>
      </c>
      <c r="AO360" s="94" t="str">
        <f>IF(AO177=-1,"x",IF(OR(AO275=1,AO$196=1,$CX177=1),AO177,0))</f>
        <v>x</v>
      </c>
      <c r="AP360" s="39" t="str">
        <f>IF(AP177=-1,"x",IF(OR(AP275=1,AP$196=1,$CY177=1),AP177,0))</f>
        <v>x</v>
      </c>
      <c r="AQ360" s="41" t="str">
        <f>IF(AQ177=-1,"x",IF(OR(AQ275=1,AQ$196=1,$CZ177=1),AQ177,0))</f>
        <v>x</v>
      </c>
      <c r="AR360" s="40" t="str">
        <f>IF(AR177=-1,"x",IF(OR(AR275=1,AR$196=1,$CX177=1),AR177,0))</f>
        <v>x</v>
      </c>
      <c r="AS360" s="39" t="str">
        <f>IF(AS177=-1,"x",IF(OR(AS275=1,AS$196=1,$CY177=1),AS177,0))</f>
        <v>x</v>
      </c>
      <c r="AT360" s="41" t="str">
        <f>IF(AT177=-1,"x",IF(OR(AT275=1,AT$196=1,$CZ177=1),AT177,0))</f>
        <v>x</v>
      </c>
      <c r="AU360" s="40" t="str">
        <f>IF(AU177=-1,"x",IF(OR(AU275=1,AU$196=1,$CX177=1),AU177,0))</f>
        <v>x</v>
      </c>
      <c r="AV360" s="39" t="str">
        <f>IF(AV177=-1,"x",IF(OR(AV275=1,AV$196=1,$CY177=1),AV177,0))</f>
        <v>x</v>
      </c>
      <c r="AW360" s="42" t="str">
        <f>IF(AW177=-1,"x",IF(OR(AW275=1,AW$196=1,$CZ177=1),AW177,0))</f>
        <v>x</v>
      </c>
      <c r="AX360" s="43" t="str">
        <f>IF(AX177=-1,"x",IF(OR(AX275=1,AX$196=1,$CX177=1),AX177,0))</f>
        <v>x</v>
      </c>
      <c r="AY360" s="39" t="str">
        <f>IF(AY177=-1,"x",IF(OR(AY275=1,AY$196=1,$CY177=1),AY177,0))</f>
        <v>x</v>
      </c>
      <c r="AZ360" s="41" t="str">
        <f>IF(AZ177=-1,"x",IF(OR(AZ275=1,AZ$196=1,$CZ177=1),AZ177,0))</f>
        <v>x</v>
      </c>
      <c r="BA360" s="40">
        <f>IF(BA177=-1,"x",IF(OR(BA275=1,BA$196=1,$CX177=1),BA177,0))</f>
        <v>0</v>
      </c>
      <c r="BB360" s="39">
        <f>IF(BB177=-1,"x",IF(OR(BB275=1,BB$196=1,$CY177=1),BB177,0))</f>
        <v>0</v>
      </c>
      <c r="BC360" s="41">
        <f>IF(BC177=-1,"x",IF(OR(BC275=1,BC$196=1,$CZ177=1),BC177,0))</f>
        <v>0</v>
      </c>
      <c r="BD360" s="40">
        <f>IF(BD177=-1,"x",IF(OR(BD275=1,BD$196=1,$CX177=1),BD177,0))</f>
        <v>0</v>
      </c>
      <c r="BE360" s="39">
        <f>IF(BE177=-1,"x",IF(OR(BE275=1,BE$196=1,$CY177=1),BE177,0))</f>
        <v>0</v>
      </c>
      <c r="BF360" s="42">
        <f>IF(BF177=-1,"x",IF(OR(BF275=1,BF$196=1,$CZ177=1),BF177,0))</f>
        <v>0</v>
      </c>
      <c r="BG360" s="43">
        <f>IF(BG177=-1,"x",IF(OR(BG275=1,BG$196=1,$CX177=1),BG177,0))</f>
        <v>0</v>
      </c>
      <c r="BH360" s="39">
        <f>IF(BH177=-1,"x",IF(OR(BH275=1,BH$196=1,$CY177=1),BH177,0))</f>
        <v>0</v>
      </c>
      <c r="BI360" s="41">
        <f>IF(BI177=-1,"x",IF(OR(BI275=1,BI$196=1,$CZ177=1),BI177,0))</f>
        <v>0</v>
      </c>
      <c r="BJ360" s="40" t="str">
        <f>IF(BJ177=-1,"x",IF(OR(BJ275=1,BJ$196=1,$CX177=1),BJ177,0))</f>
        <v>x</v>
      </c>
      <c r="BK360" s="39" t="str">
        <f>IF(BK177=-1,"x",IF(OR(BK275=1,BK$196=1,$CY177=1),BK177,0))</f>
        <v>x</v>
      </c>
      <c r="BL360" s="41" t="str">
        <f>IF(BL177=-1,"x",IF(OR(BL275=1,BL$196=1,$CZ177=1),BL177,0))</f>
        <v>x</v>
      </c>
      <c r="BM360" s="40" t="str">
        <f>IF(BM177=-1,"x",IF(OR(BM275=1,BM$196=1,$CX177=1),BM177,0))</f>
        <v>x</v>
      </c>
      <c r="BN360" s="39" t="str">
        <f>IF(BN177=-1,"x",IF(OR(BN275=1,BN$196=1,$CY177=1),BN177,0))</f>
        <v>x</v>
      </c>
      <c r="BO360" s="95" t="str">
        <f>IF(BO177=-1,"x",IF(OR(BO275=1,BO$196=1,$CZ177=1),BO177,0))</f>
        <v>x</v>
      </c>
      <c r="BP360" s="94" t="str">
        <f>IF(BP177=-1,"x",IF(OR(BP275=1,BP$196=1,$CX177=1),BP177,0))</f>
        <v>x</v>
      </c>
      <c r="BQ360" s="39" t="str">
        <f>IF(BQ177=-1,"x",IF(OR(BQ275=1,BQ$196=1,$CY177=1),BQ177,0))</f>
        <v>x</v>
      </c>
      <c r="BR360" s="41" t="str">
        <f>IF(BR177=-1,"x",IF(OR(BR275=1,BR$196=1,$CZ177=1),BR177,0))</f>
        <v>x</v>
      </c>
      <c r="BS360" s="40" t="str">
        <f>IF(BS177=-1,"x",IF(OR(BS275=1,BS$196=1,$CX177=1),BS177,0))</f>
        <v>x</v>
      </c>
      <c r="BT360" s="39" t="str">
        <f>IF(BT177=-1,"x",IF(OR(BT275=1,BT$196=1,$CY177=1),BT177,0))</f>
        <v>x</v>
      </c>
      <c r="BU360" s="41" t="str">
        <f>IF(BU177=-1,"x",IF(OR(BU275=1,BU$196=1,$CZ177=1),BU177,0))</f>
        <v>x</v>
      </c>
      <c r="BV360" s="40" t="str">
        <f>IF(BV177=-1,"x",IF(OR(BV275=1,BV$196=1,$CX177=1),BV177,0))</f>
        <v>x</v>
      </c>
      <c r="BW360" s="39" t="str">
        <f>IF(BW177=-1,"x",IF(OR(BW275=1,BW$196=1,$CY177=1),BW177,0))</f>
        <v>x</v>
      </c>
      <c r="BX360" s="42" t="str">
        <f>IF(BX177=-1,"x",IF(OR(BX275=1,BX$196=1,$CZ177=1),BX177,0))</f>
        <v>x</v>
      </c>
      <c r="BY360" s="43" t="str">
        <f>IF(BY177=-1,"x",IF(OR(BY275=1,BY$196=1,$CX177=1),BY177,0))</f>
        <v>x</v>
      </c>
      <c r="BZ360" s="39" t="str">
        <f>IF(BZ177=-1,"x",IF(OR(BZ275=1,BZ$196=1,$CY177=1),BZ177,0))</f>
        <v>x</v>
      </c>
      <c r="CA360" s="41" t="str">
        <f>IF(CA177=-1,"x",IF(OR(CA275=1,CA$196=1,$CZ177=1),CA177,0))</f>
        <v>x</v>
      </c>
      <c r="CB360" s="40" t="str">
        <f>IF(CB177=-1,"x",IF(OR(CB275=1,CB$196=1,$CX177=1),CB177,0))</f>
        <v>x</v>
      </c>
      <c r="CC360" s="39" t="str">
        <f>IF(CC177=-1,"x",IF(OR(CC275=1,CC$196=1,$CY177=1),CC177,0))</f>
        <v>x</v>
      </c>
      <c r="CD360" s="41" t="str">
        <f>IF(CD177=-1,"x",IF(OR(CD275=1,CD$196=1,$CZ177=1),CD177,0))</f>
        <v>x</v>
      </c>
      <c r="CE360" s="40" t="str">
        <f>IF(CE177=-1,"x",IF(OR(CE275=1,CE$196=1,$CX177=1),CE177,0))</f>
        <v>x</v>
      </c>
      <c r="CF360" s="39" t="str">
        <f>IF(CF177=-1,"x",IF(OR(CF275=1,CF$196=1,$CY177=1),CF177,0))</f>
        <v>x</v>
      </c>
      <c r="CG360" s="42" t="str">
        <f>IF(CG177=-1,"x",IF(OR(CG275=1,CG$196=1,$CZ177=1),CG177,0))</f>
        <v>x</v>
      </c>
      <c r="CH360" s="43" t="str">
        <f>IF(CH177=-1,"x",IF(OR(CH275=1,CH$196=1,$CX177=1),CH177,0))</f>
        <v>x</v>
      </c>
      <c r="CI360" s="39" t="str">
        <f>IF(CI177=-1,"x",IF(OR(CI275=1,CI$196=1,$CY177=1),CI177,0))</f>
        <v>x</v>
      </c>
      <c r="CJ360" s="41" t="str">
        <f>IF(CJ177=-1,"x",IF(OR(CJ275=1,CJ$196=1,$CZ177=1),CJ177,0))</f>
        <v>x</v>
      </c>
      <c r="CK360" s="40" t="str">
        <f>IF(CK177=-1,"x",IF(OR(CK275=1,CK$196=1,$CX177=1),CK177,0))</f>
        <v>x</v>
      </c>
      <c r="CL360" s="39" t="str">
        <f>IF(CL177=-1,"x",IF(OR(CL275=1,CL$196=1,$CY177=1),CL177,0))</f>
        <v>x</v>
      </c>
      <c r="CM360" s="41" t="str">
        <f>IF(CM177=-1,"x",IF(OR(CM275=1,CM$196=1,$CZ177=1),CM177,0))</f>
        <v>x</v>
      </c>
      <c r="CN360" s="40" t="str">
        <f>IF(CN177=-1,"x",IF(OR(CN275=1,CN$196=1,$CX177=1),CN177,0))</f>
        <v>x</v>
      </c>
      <c r="CO360" s="39" t="str">
        <f>IF(CO177=-1,"x",IF(OR(CO275=1,CO$196=1,$CY177=1),CO177,0))</f>
        <v>x</v>
      </c>
      <c r="CP360" s="95" t="str">
        <f>IF(CP177=-1,"x",IF(OR(CP275=1,CP$196=1,$CZ177=1),CP177,0))</f>
        <v>x</v>
      </c>
      <c r="DJ360" s="94" t="str">
        <f>IF(DJ177=-1,"x",IF(OR(DJ275=1,DJ$229=1,$GT177=1),DJ177,0))</f>
        <v>x</v>
      </c>
      <c r="DK360" s="39" t="str">
        <f>IF(DK177=-1,"x",IF(OR(DK275=1,DK$229=1,$GU177=1),DK177,0))</f>
        <v>x</v>
      </c>
      <c r="DL360" s="41" t="str">
        <f>IF(DL177=-1,"x",IF(OR(DL275=1,DL$229=1,$GV177=1),DL177,0))</f>
        <v>x</v>
      </c>
      <c r="DM360" s="40" t="str">
        <f>IF(DM177=-1,"x",IF(OR(DM275=1,DM$229=1,$GT177=1),DM177,0))</f>
        <v>x</v>
      </c>
      <c r="DN360" s="39" t="str">
        <f>IF(DN177=-1,"x",IF(OR(DN275=1,DN$229=1,$GU177=1),DN177,0))</f>
        <v>x</v>
      </c>
      <c r="DO360" s="41" t="str">
        <f>IF(DO177=-1,"x",IF(OR(DO275=1,DO$229=1,$GV177=1),DO177,0))</f>
        <v>x</v>
      </c>
      <c r="DP360" s="40" t="str">
        <f>IF(DP177=-1,"x",IF(OR(DP275=1,DP$229=1,$GT177=1),DP177,0))</f>
        <v>x</v>
      </c>
      <c r="DQ360" s="39" t="str">
        <f>IF(DQ177=-1,"x",IF(OR(DQ275=1,DQ$229=1,$GU177=1),DQ177,0))</f>
        <v>x</v>
      </c>
      <c r="DR360" s="42" t="str">
        <f>IF(DR177=-1,"x",IF(OR(DR275=1,DR$229=1,$GV177=1),DR177,0))</f>
        <v>x</v>
      </c>
      <c r="DS360" s="43" t="str">
        <f>IF(DS177=-1,"x",IF(OR(DS275=1,DS$229=1,$GT177=1),DS177,0))</f>
        <v>x</v>
      </c>
      <c r="DT360" s="39" t="str">
        <f>IF(DT177=-1,"x",IF(OR(DT275=1,DT$229=1,$GU177=1),DT177,0))</f>
        <v>x</v>
      </c>
      <c r="DU360" s="41" t="str">
        <f>IF(DU177=-1,"x",IF(OR(DU275=1,DU$229=1,$GV177=1),DU177,0))</f>
        <v>x</v>
      </c>
      <c r="DV360" s="40" t="str">
        <f>IF(DV177=-1,"x",IF(OR(DV275=1,DV$229=1,$GT177=1),DV177,0))</f>
        <v>x</v>
      </c>
      <c r="DW360" s="39" t="str">
        <f>IF(DW177=-1,"x",IF(OR(DW275=1,DW$229=1,$GU177=1),DW177,0))</f>
        <v>x</v>
      </c>
      <c r="DX360" s="41" t="str">
        <f>IF(DX177=-1,"x",IF(OR(DX275=1,DX$229=1,$GV177=1),DX177,0))</f>
        <v>x</v>
      </c>
      <c r="DY360" s="40" t="str">
        <f>IF(DY177=-1,"x",IF(OR(DY275=1,DY$229=1,$GT177=1),DY177,0))</f>
        <v>x</v>
      </c>
      <c r="DZ360" s="39" t="str">
        <f>IF(DZ177=-1,"x",IF(OR(DZ275=1,DZ$229=1,$GU177=1),DZ177,0))</f>
        <v>x</v>
      </c>
      <c r="EA360" s="42" t="str">
        <f>IF(EA177=-1,"x",IF(OR(EA275=1,EA$229=1,$GV177=1),EA177,0))</f>
        <v>x</v>
      </c>
      <c r="EB360" s="43" t="str">
        <f>IF(EB177=-1,"x",IF(OR(EB275=1,EB$229=1,$GT177=1),EB177,0))</f>
        <v>x</v>
      </c>
      <c r="EC360" s="39" t="str">
        <f>IF(EC177=-1,"x",IF(OR(EC275=1,EC$229=1,$GU177=1),EC177,0))</f>
        <v>x</v>
      </c>
      <c r="ED360" s="41" t="str">
        <f>IF(ED177=-1,"x",IF(OR(ED275=1,ED$229=1,$GV177=1),ED177,0))</f>
        <v>x</v>
      </c>
      <c r="EE360" s="40" t="str">
        <f>IF(EE177=-1,"x",IF(OR(EE275=1,EE$229=1,$GT177=1),EE177,0))</f>
        <v>x</v>
      </c>
      <c r="EF360" s="39" t="str">
        <f>IF(EF177=-1,"x",IF(OR(EF275=1,EF$229=1,$GU177=1),EF177,0))</f>
        <v>x</v>
      </c>
      <c r="EG360" s="41" t="str">
        <f>IF(EG177=-1,"x",IF(OR(EG275=1,EG$229=1,$GV177=1),EG177,0))</f>
        <v>x</v>
      </c>
      <c r="EH360" s="40" t="str">
        <f>IF(EH177=-1,"x",IF(OR(EH275=1,EH$229=1,$GT177=1),EH177,0))</f>
        <v>x</v>
      </c>
      <c r="EI360" s="39" t="str">
        <f>IF(EI177=-1,"x",IF(OR(EI275=1,EI$229=1,$GU177=1),EI177,0))</f>
        <v>x</v>
      </c>
      <c r="EJ360" s="95" t="str">
        <f>IF(EJ177=-1,"x",IF(OR(EJ275=1,EJ$229=1,$GV177=1),EJ177,0))</f>
        <v>x</v>
      </c>
      <c r="EK360" s="94" t="str">
        <f>IF(EK177=-1,"x",IF(OR(EK275=1,EK$229=1,$GT177=1),EK177,0))</f>
        <v>x</v>
      </c>
      <c r="EL360" s="39" t="str">
        <f>IF(EL177=-1,"x",IF(OR(EL275=1,EL$229=1,$GU177=1),EL177,0))</f>
        <v>x</v>
      </c>
      <c r="EM360" s="41" t="str">
        <f>IF(EM177=-1,"x",IF(OR(EM275=1,EM$229=1,$GV177=1),EM177,0))</f>
        <v>x</v>
      </c>
      <c r="EN360" s="40" t="str">
        <f>IF(EN177=-1,"x",IF(OR(EN275=1,EN$229=1,$GT177=1),EN177,0))</f>
        <v>x</v>
      </c>
      <c r="EO360" s="39" t="str">
        <f>IF(EO177=-1,"x",IF(OR(EO275=1,EO$229=1,$GU177=1),EO177,0))</f>
        <v>x</v>
      </c>
      <c r="EP360" s="41" t="str">
        <f>IF(EP177=-1,"x",IF(OR(EP275=1,EP$229=1,$GV177=1),EP177,0))</f>
        <v>x</v>
      </c>
      <c r="EQ360" s="40">
        <f>IF(EQ177=-1,"x",IF(OR(EQ275=1,EQ$229=1,$GT177=1),EQ177,0))</f>
        <v>0</v>
      </c>
      <c r="ER360" s="39">
        <f>IF(ER177=-1,"x",IF(OR(ER275=1,ER$229=1,$GU177=1),ER177,0))</f>
        <v>0</v>
      </c>
      <c r="ES360" s="42">
        <f>IF(ES177=-1,"x",IF(OR(ES275=1,ES$229=1,$GV177=1),ES177,0))</f>
        <v>0</v>
      </c>
      <c r="ET360" s="43" t="str">
        <f>IF(ET177=-1,"x",IF(OR(ET275=1,ET$229=1,$GT177=1),ET177,0))</f>
        <v>x</v>
      </c>
      <c r="EU360" s="39" t="str">
        <f>IF(EU177=-1,"x",IF(OR(EU275=1,EU$229=1,$GU177=1),EU177,0))</f>
        <v>x</v>
      </c>
      <c r="EV360" s="41" t="str">
        <f>IF(EV177=-1,"x",IF(OR(EV275=1,EV$229=1,$GV177=1),EV177,0))</f>
        <v>x</v>
      </c>
      <c r="EW360" s="40" t="str">
        <f>IF(EW177=-1,"x",IF(OR(EW275=1,EW$229=1,$GT177=1),EW177,0))</f>
        <v>x</v>
      </c>
      <c r="EX360" s="39" t="str">
        <f>IF(EX177=-1,"x",IF(OR(EX275=1,EX$229=1,$GU177=1),EX177,0))</f>
        <v>x</v>
      </c>
      <c r="EY360" s="41" t="str">
        <f>IF(EY177=-1,"x",IF(OR(EY275=1,EY$229=1,$GV177=1),EY177,0))</f>
        <v>x</v>
      </c>
      <c r="EZ360" s="40">
        <f>IF(EZ177=-1,"x",IF(OR(EZ275=1,EZ$229=1,$GT177=1),EZ177,0))</f>
        <v>0</v>
      </c>
      <c r="FA360" s="39">
        <f>IF(FA177=-1,"x",IF(OR(FA275=1,FA$229=1,$GU177=1),FA177,0))</f>
        <v>0</v>
      </c>
      <c r="FB360" s="42">
        <f>IF(FB177=-1,"x",IF(OR(FB275=1,FB$229=1,$GV177=1),FB177,0))</f>
        <v>0</v>
      </c>
      <c r="FC360" s="43" t="str">
        <f>IF(FC177=-1,"x",IF(OR(FC275=1,FC$229=1,$GT177=1),FC177,0))</f>
        <v>x</v>
      </c>
      <c r="FD360" s="39" t="str">
        <f>IF(FD177=-1,"x",IF(OR(FD275=1,FD$229=1,$GU177=1),FD177,0))</f>
        <v>x</v>
      </c>
      <c r="FE360" s="41" t="str">
        <f>IF(FE177=-1,"x",IF(OR(FE275=1,FE$229=1,$GV177=1),FE177,0))</f>
        <v>x</v>
      </c>
      <c r="FF360" s="40" t="str">
        <f>IF(FF177=-1,"x",IF(OR(FF275=1,FF$229=1,$GT177=1),FF177,0))</f>
        <v>x</v>
      </c>
      <c r="FG360" s="39" t="str">
        <f>IF(FG177=-1,"x",IF(OR(FG275=1,FG$229=1,$GU177=1),FG177,0))</f>
        <v>x</v>
      </c>
      <c r="FH360" s="41" t="str">
        <f>IF(FH177=-1,"x",IF(OR(FH275=1,FH$229=1,$GV177=1),FH177,0))</f>
        <v>x</v>
      </c>
      <c r="FI360" s="40" t="str">
        <f>IF(FI177=-1,"x",IF(OR(FI275=1,FI$229=1,$GT177=1),FI177,0))</f>
        <v>x</v>
      </c>
      <c r="FJ360" s="39" t="str">
        <f>IF(FJ177=-1,"x",IF(OR(FJ275=1,FJ$229=1,$GU177=1),FJ177,0))</f>
        <v>x</v>
      </c>
      <c r="FK360" s="95" t="str">
        <f>IF(FK177=-1,"x",IF(OR(FK275=1,FK$229=1,$GV177=1),FK177,0))</f>
        <v>x</v>
      </c>
      <c r="FL360" s="94" t="str">
        <f>IF(FL177=-1,"x",IF(OR(FL275=1,FL$229=1,$GT177=1),FL177,0))</f>
        <v>x</v>
      </c>
      <c r="FM360" s="39" t="str">
        <f>IF(FM177=-1,"x",IF(OR(FM275=1,FM$229=1,$GU177=1),FM177,0))</f>
        <v>x</v>
      </c>
      <c r="FN360" s="41" t="str">
        <f>IF(FN177=-1,"x",IF(OR(FN275=1,FN$229=1,$GV177=1),FN177,0))</f>
        <v>x</v>
      </c>
      <c r="FO360" s="40" t="str">
        <f>IF(FO177=-1,"x",IF(OR(FO275=1,FO$229=1,$GT177=1),FO177,0))</f>
        <v>x</v>
      </c>
      <c r="FP360" s="39" t="str">
        <f>IF(FP177=-1,"x",IF(OR(FP275=1,FP$229=1,$GU177=1),FP177,0))</f>
        <v>x</v>
      </c>
      <c r="FQ360" s="41" t="str">
        <f>IF(FQ177=-1,"x",IF(OR(FQ275=1,FQ$229=1,$GV177=1),FQ177,0))</f>
        <v>x</v>
      </c>
      <c r="FR360" s="40" t="str">
        <f>IF(FR177=-1,"x",IF(OR(FR275=1,FR$229=1,$GT177=1),FR177,0))</f>
        <v>x</v>
      </c>
      <c r="FS360" s="39" t="str">
        <f>IF(FS177=-1,"x",IF(OR(FS275=1,FS$229=1,$GU177=1),FS177,0))</f>
        <v>x</v>
      </c>
      <c r="FT360" s="42" t="str">
        <f>IF(FT177=-1,"x",IF(OR(FT275=1,FT$229=1,$GV177=1),FT177,0))</f>
        <v>x</v>
      </c>
      <c r="FU360" s="43" t="str">
        <f>IF(FU177=-1,"x",IF(OR(FU275=1,FU$229=1,$GT177=1),FU177,0))</f>
        <v>x</v>
      </c>
      <c r="FV360" s="39" t="str">
        <f>IF(FV177=-1,"x",IF(OR(FV275=1,FV$229=1,$GU177=1),FV177,0))</f>
        <v>x</v>
      </c>
      <c r="FW360" s="41" t="str">
        <f>IF(FW177=-1,"x",IF(OR(FW275=1,FW$229=1,$GV177=1),FW177,0))</f>
        <v>x</v>
      </c>
      <c r="FX360" s="40" t="str">
        <f>IF(FX177=-1,"x",IF(OR(FX275=1,FX$229=1,$GT177=1),FX177,0))</f>
        <v>x</v>
      </c>
      <c r="FY360" s="39" t="str">
        <f>IF(FY177=-1,"x",IF(OR(FY275=1,FY$229=1,$GU177=1),FY177,0))</f>
        <v>x</v>
      </c>
      <c r="FZ360" s="41" t="str">
        <f>IF(FZ177=-1,"x",IF(OR(FZ275=1,FZ$229=1,$GV177=1),FZ177,0))</f>
        <v>x</v>
      </c>
      <c r="GA360" s="40" t="str">
        <f>IF(GA177=-1,"x",IF(OR(GA275=1,GA$229=1,$GT177=1),GA177,0))</f>
        <v>x</v>
      </c>
      <c r="GB360" s="39" t="str">
        <f>IF(GB177=-1,"x",IF(OR(GB275=1,GB$229=1,$GU177=1),GB177,0))</f>
        <v>x</v>
      </c>
      <c r="GC360" s="42" t="str">
        <f>IF(GC177=-1,"x",IF(OR(GC275=1,GC$229=1,$GV177=1),GC177,0))</f>
        <v>x</v>
      </c>
      <c r="GD360" s="43">
        <f>IF(GD177=-1,"x",IF(OR(GD275=1,GD$229=1,$GT177=1),GD177,0))</f>
        <v>0</v>
      </c>
      <c r="GE360" s="39">
        <f>IF(GE177=-1,"x",IF(OR(GE275=1,GE$229=1,$GU177=1),GE177,0))</f>
        <v>0</v>
      </c>
      <c r="GF360" s="41">
        <f>IF(GF177=-1,"x",IF(OR(GF275=1,GF$229=1,$GV177=1),GF177,0))</f>
        <v>0</v>
      </c>
      <c r="GG360" s="40" t="str">
        <f>IF(GG177=-1,"x",IF(OR(GG275=1,GG$229=1,$GT177=1),GG177,0))</f>
        <v>x</v>
      </c>
      <c r="GH360" s="39" t="str">
        <f>IF(GH177=-1,"x",IF(OR(GH275=1,GH$229=1,$GU177=1),GH177,0))</f>
        <v>x</v>
      </c>
      <c r="GI360" s="41" t="str">
        <f>IF(GI177=-1,"x",IF(OR(GI275=1,GI$229=1,$GV177=1),GI177,0))</f>
        <v>x</v>
      </c>
      <c r="GJ360" s="40" t="str">
        <f>IF(GJ177=-1,"x",IF(OR(GJ275=1,GJ$229=1,$GT177=1),GJ177,0))</f>
        <v>x</v>
      </c>
      <c r="GK360" s="39" t="str">
        <f>IF(GK177=-1,"x",IF(OR(GK275=1,GK$229=1,$GU177=1),GK177,0))</f>
        <v>x</v>
      </c>
      <c r="GL360" s="95" t="str">
        <f>IF(GL177=-1,"x",IF(OR(GL275=1,GL$229=1,$GV177=1),GL177,0))</f>
        <v>x</v>
      </c>
    </row>
    <row r="361" spans="14:194" ht="15" customHeight="1" thickBot="1">
      <c r="N361" s="106" t="str">
        <f>IF(N178=-1,"x",IF(OR(N276=1,N$197=1,$CX178=1),N178,0))</f>
        <v>x</v>
      </c>
      <c r="O361" s="55" t="str">
        <f>IF(O178=-1,"x",IF(OR(O276=1,O$197=1,$CY178=1),O178,0))</f>
        <v>x</v>
      </c>
      <c r="P361" s="56" t="str">
        <f>IF(P178=-1,"x",IF(OR(P276=1,P$197=1,$CZ178=1),P178,0))</f>
        <v>x</v>
      </c>
      <c r="Q361" s="57" t="str">
        <f>IF(Q178=-1,"x",IF(OR(Q276=1,Q$197=1,$CX178=1),Q178,0))</f>
        <v>x</v>
      </c>
      <c r="R361" s="55" t="str">
        <f>IF(R178=-1,"x",IF(OR(R276=1,R$197=1,$CY178=1),R178,0))</f>
        <v>x</v>
      </c>
      <c r="S361" s="56" t="str">
        <f>IF(S178=-1,"x",IF(OR(S276=1,S$197=1,$CZ178=1),S178,0))</f>
        <v>x</v>
      </c>
      <c r="T361" s="57" t="str">
        <f>IF(T178=-1,"x",IF(OR(T276=1,T$197=1,$CX178=1),T178,0))</f>
        <v>x</v>
      </c>
      <c r="U361" s="55" t="str">
        <f>IF(U178=-1,"x",IF(OR(U276=1,U$197=1,$CY178=1),U178,0))</f>
        <v>x</v>
      </c>
      <c r="V361" s="58" t="str">
        <f>IF(V178=-1,"x",IF(OR(V276=1,V$197=1,$CZ178=1),V178,0))</f>
        <v>x</v>
      </c>
      <c r="W361" s="54" t="str">
        <f>IF(W178=-1,"x",IF(OR(W276=1,W$197=1,$CX178=1),W178,0))</f>
        <v>x</v>
      </c>
      <c r="X361" s="55" t="str">
        <f>IF(X178=-1,"x",IF(OR(X276=1,X$197=1,$CY178=1),X178,0))</f>
        <v>x</v>
      </c>
      <c r="Y361" s="56" t="str">
        <f>IF(Y178=-1,"x",IF(OR(Y276=1,Y$197=1,$CZ178=1),Y178,0))</f>
        <v>x</v>
      </c>
      <c r="Z361" s="57" t="str">
        <f>IF(Z178=-1,"x",IF(OR(Z276=1,Z$197=1,$CX178=1),Z178,0))</f>
        <v>x</v>
      </c>
      <c r="AA361" s="55" t="str">
        <f>IF(AA178=-1,"x",IF(OR(AA276=1,AA$197=1,$CY178=1),AA178,0))</f>
        <v>x</v>
      </c>
      <c r="AB361" s="56" t="str">
        <f>IF(AB178=-1,"x",IF(OR(AB276=1,AB$197=1,$CZ178=1),AB178,0))</f>
        <v>x</v>
      </c>
      <c r="AC361" s="57" t="str">
        <f>IF(AC178=-1,"x",IF(OR(AC276=1,AC$197=1,$CX178=1),AC178,0))</f>
        <v>x</v>
      </c>
      <c r="AD361" s="55" t="str">
        <f>IF(AD178=-1,"x",IF(OR(AD276=1,AD$197=1,$CY178=1),AD178,0))</f>
        <v>x</v>
      </c>
      <c r="AE361" s="58" t="str">
        <f>IF(AE178=-1,"x",IF(OR(AE276=1,AE$197=1,$CZ178=1),AE178,0))</f>
        <v>x</v>
      </c>
      <c r="AF361" s="54" t="str">
        <f>IF(AF178=-1,"x",IF(OR(AF276=1,AF$197=1,$CX178=1),AF178,0))</f>
        <v>x</v>
      </c>
      <c r="AG361" s="55" t="str">
        <f>IF(AG178=-1,"x",IF(OR(AG276=1,AG$197=1,$CY178=1),AG178,0))</f>
        <v>x</v>
      </c>
      <c r="AH361" s="56" t="str">
        <f>IF(AH178=-1,"x",IF(OR(AH276=1,AH$197=1,$CZ178=1),AH178,0))</f>
        <v>x</v>
      </c>
      <c r="AI361" s="57" t="str">
        <f>IF(AI178=-1,"x",IF(OR(AI276=1,AI$197=1,$CX178=1),AI178,0))</f>
        <v>x</v>
      </c>
      <c r="AJ361" s="55" t="str">
        <f>IF(AJ178=-1,"x",IF(OR(AJ276=1,AJ$197=1,$CY178=1),AJ178,0))</f>
        <v>x</v>
      </c>
      <c r="AK361" s="56" t="str">
        <f>IF(AK178=-1,"x",IF(OR(AK276=1,AK$197=1,$CZ178=1),AK178,0))</f>
        <v>x</v>
      </c>
      <c r="AL361" s="57" t="str">
        <f>IF(AL178=-1,"x",IF(OR(AL276=1,AL$197=1,$CX178=1),AL178,0))</f>
        <v>x</v>
      </c>
      <c r="AM361" s="55" t="str">
        <f>IF(AM178=-1,"x",IF(OR(AM276=1,AM$197=1,$CY178=1),AM178,0))</f>
        <v>x</v>
      </c>
      <c r="AN361" s="107" t="str">
        <f>IF(AN178=-1,"x",IF(OR(AN276=1,AN$197=1,$CZ178=1),AN178,0))</f>
        <v>x</v>
      </c>
      <c r="AO361" s="106" t="str">
        <f>IF(AO178=-1,"x",IF(OR(AO276=1,AO$197=1,$CX178=1),AO178,0))</f>
        <v>x</v>
      </c>
      <c r="AP361" s="55" t="str">
        <f>IF(AP178=-1,"x",IF(OR(AP276=1,AP$197=1,$CY178=1),AP178,0))</f>
        <v>x</v>
      </c>
      <c r="AQ361" s="56" t="str">
        <f>IF(AQ178=-1,"x",IF(OR(AQ276=1,AQ$197=1,$CZ178=1),AQ178,0))</f>
        <v>x</v>
      </c>
      <c r="AR361" s="57" t="str">
        <f>IF(AR178=-1,"x",IF(OR(AR276=1,AR$197=1,$CX178=1),AR178,0))</f>
        <v>x</v>
      </c>
      <c r="AS361" s="55" t="str">
        <f>IF(AS178=-1,"x",IF(OR(AS276=1,AS$197=1,$CY178=1),AS178,0))</f>
        <v>x</v>
      </c>
      <c r="AT361" s="56" t="str">
        <f>IF(AT178=-1,"x",IF(OR(AT276=1,AT$197=1,$CZ178=1),AT178,0))</f>
        <v>x</v>
      </c>
      <c r="AU361" s="57" t="str">
        <f>IF(AU178=-1,"x",IF(OR(AU276=1,AU$197=1,$CX178=1),AU178,0))</f>
        <v>x</v>
      </c>
      <c r="AV361" s="55" t="str">
        <f>IF(AV178=-1,"x",IF(OR(AV276=1,AV$197=1,$CY178=1),AV178,0))</f>
        <v>x</v>
      </c>
      <c r="AW361" s="58" t="str">
        <f>IF(AW178=-1,"x",IF(OR(AW276=1,AW$197=1,$CZ178=1),AW178,0))</f>
        <v>x</v>
      </c>
      <c r="AX361" s="54" t="str">
        <f>IF(AX178=-1,"x",IF(OR(AX276=1,AX$197=1,$CX178=1),AX178,0))</f>
        <v>x</v>
      </c>
      <c r="AY361" s="55" t="str">
        <f>IF(AY178=-1,"x",IF(OR(AY276=1,AY$197=1,$CY178=1),AY178,0))</f>
        <v>x</v>
      </c>
      <c r="AZ361" s="56" t="str">
        <f>IF(AZ178=-1,"x",IF(OR(AZ276=1,AZ$197=1,$CZ178=1),AZ178,0))</f>
        <v>x</v>
      </c>
      <c r="BA361" s="57">
        <f>IF(BA178=-1,"x",IF(OR(BA276=1,BA$197=1,$CX178=1),BA178,0))</f>
        <v>0</v>
      </c>
      <c r="BB361" s="55">
        <f>IF(BB178=-1,"x",IF(OR(BB276=1,BB$197=1,$CY178=1),BB178,0))</f>
        <v>0</v>
      </c>
      <c r="BC361" s="56">
        <f>IF(BC178=-1,"x",IF(OR(BC276=1,BC$197=1,$CZ178=1),BC178,0))</f>
        <v>0</v>
      </c>
      <c r="BD361" s="57">
        <f>IF(BD178=-1,"x",IF(OR(BD276=1,BD$197=1,$CX178=1),BD178,0))</f>
        <v>0</v>
      </c>
      <c r="BE361" s="55">
        <f>IF(BE178=-1,"x",IF(OR(BE276=1,BE$197=1,$CY178=1),BE178,0))</f>
        <v>0</v>
      </c>
      <c r="BF361" s="58">
        <f>IF(BF178=-1,"x",IF(OR(BF276=1,BF$197=1,$CZ178=1),BF178,0))</f>
        <v>0</v>
      </c>
      <c r="BG361" s="54">
        <f>IF(BG178=-1,"x",IF(OR(BG276=1,BG$197=1,$CX178=1),BG178,0))</f>
        <v>0</v>
      </c>
      <c r="BH361" s="55">
        <f>IF(BH178=-1,"x",IF(OR(BH276=1,BH$197=1,$CY178=1),BH178,0))</f>
        <v>0</v>
      </c>
      <c r="BI361" s="56">
        <f>IF(BI178=-1,"x",IF(OR(BI276=1,BI$197=1,$CZ178=1),BI178,0))</f>
        <v>0</v>
      </c>
      <c r="BJ361" s="57" t="str">
        <f>IF(BJ178=-1,"x",IF(OR(BJ276=1,BJ$197=1,$CX178=1),BJ178,0))</f>
        <v>x</v>
      </c>
      <c r="BK361" s="55" t="str">
        <f>IF(BK178=-1,"x",IF(OR(BK276=1,BK$197=1,$CY178=1),BK178,0))</f>
        <v>x</v>
      </c>
      <c r="BL361" s="56" t="str">
        <f>IF(BL178=-1,"x",IF(OR(BL276=1,BL$197=1,$CZ178=1),BL178,0))</f>
        <v>x</v>
      </c>
      <c r="BM361" s="57" t="str">
        <f>IF(BM178=-1,"x",IF(OR(BM276=1,BM$197=1,$CX178=1),BM178,0))</f>
        <v>x</v>
      </c>
      <c r="BN361" s="55" t="str">
        <f>IF(BN178=-1,"x",IF(OR(BN276=1,BN$197=1,$CY178=1),BN178,0))</f>
        <v>x</v>
      </c>
      <c r="BO361" s="107" t="str">
        <f>IF(BO178=-1,"x",IF(OR(BO276=1,BO$197=1,$CZ178=1),BO178,0))</f>
        <v>x</v>
      </c>
      <c r="BP361" s="106" t="str">
        <f>IF(BP178=-1,"x",IF(OR(BP276=1,BP$197=1,$CX178=1),BP178,0))</f>
        <v>x</v>
      </c>
      <c r="BQ361" s="55" t="str">
        <f>IF(BQ178=-1,"x",IF(OR(BQ276=1,BQ$197=1,$CY178=1),BQ178,0))</f>
        <v>x</v>
      </c>
      <c r="BR361" s="56" t="str">
        <f>IF(BR178=-1,"x",IF(OR(BR276=1,BR$197=1,$CZ178=1),BR178,0))</f>
        <v>x</v>
      </c>
      <c r="BS361" s="57" t="str">
        <f>IF(BS178=-1,"x",IF(OR(BS276=1,BS$197=1,$CX178=1),BS178,0))</f>
        <v>x</v>
      </c>
      <c r="BT361" s="55" t="str">
        <f>IF(BT178=-1,"x",IF(OR(BT276=1,BT$197=1,$CY178=1),BT178,0))</f>
        <v>x</v>
      </c>
      <c r="BU361" s="56" t="str">
        <f>IF(BU178=-1,"x",IF(OR(BU276=1,BU$197=1,$CZ178=1),BU178,0))</f>
        <v>x</v>
      </c>
      <c r="BV361" s="57" t="str">
        <f>IF(BV178=-1,"x",IF(OR(BV276=1,BV$197=1,$CX178=1),BV178,0))</f>
        <v>x</v>
      </c>
      <c r="BW361" s="55" t="str">
        <f>IF(BW178=-1,"x",IF(OR(BW276=1,BW$197=1,$CY178=1),BW178,0))</f>
        <v>x</v>
      </c>
      <c r="BX361" s="58" t="str">
        <f>IF(BX178=-1,"x",IF(OR(BX276=1,BX$197=1,$CZ178=1),BX178,0))</f>
        <v>x</v>
      </c>
      <c r="BY361" s="54" t="str">
        <f>IF(BY178=-1,"x",IF(OR(BY276=1,BY$197=1,$CX178=1),BY178,0))</f>
        <v>x</v>
      </c>
      <c r="BZ361" s="55" t="str">
        <f>IF(BZ178=-1,"x",IF(OR(BZ276=1,BZ$197=1,$CY178=1),BZ178,0))</f>
        <v>x</v>
      </c>
      <c r="CA361" s="56" t="str">
        <f>IF(CA178=-1,"x",IF(OR(CA276=1,CA$197=1,$CZ178=1),CA178,0))</f>
        <v>x</v>
      </c>
      <c r="CB361" s="57" t="str">
        <f>IF(CB178=-1,"x",IF(OR(CB276=1,CB$197=1,$CX178=1),CB178,0))</f>
        <v>x</v>
      </c>
      <c r="CC361" s="55" t="str">
        <f>IF(CC178=-1,"x",IF(OR(CC276=1,CC$197=1,$CY178=1),CC178,0))</f>
        <v>x</v>
      </c>
      <c r="CD361" s="56" t="str">
        <f>IF(CD178=-1,"x",IF(OR(CD276=1,CD$197=1,$CZ178=1),CD178,0))</f>
        <v>x</v>
      </c>
      <c r="CE361" s="57" t="str">
        <f>IF(CE178=-1,"x",IF(OR(CE276=1,CE$197=1,$CX178=1),CE178,0))</f>
        <v>x</v>
      </c>
      <c r="CF361" s="55" t="str">
        <f>IF(CF178=-1,"x",IF(OR(CF276=1,CF$197=1,$CY178=1),CF178,0))</f>
        <v>x</v>
      </c>
      <c r="CG361" s="58" t="str">
        <f>IF(CG178=-1,"x",IF(OR(CG276=1,CG$197=1,$CZ178=1),CG178,0))</f>
        <v>x</v>
      </c>
      <c r="CH361" s="54" t="str">
        <f>IF(CH178=-1,"x",IF(OR(CH276=1,CH$197=1,$CX178=1),CH178,0))</f>
        <v>x</v>
      </c>
      <c r="CI361" s="55" t="str">
        <f>IF(CI178=-1,"x",IF(OR(CI276=1,CI$197=1,$CY178=1),CI178,0))</f>
        <v>x</v>
      </c>
      <c r="CJ361" s="56" t="str">
        <f>IF(CJ178=-1,"x",IF(OR(CJ276=1,CJ$197=1,$CZ178=1),CJ178,0))</f>
        <v>x</v>
      </c>
      <c r="CK361" s="57" t="str">
        <f>IF(CK178=-1,"x",IF(OR(CK276=1,CK$197=1,$CX178=1),CK178,0))</f>
        <v>x</v>
      </c>
      <c r="CL361" s="55" t="str">
        <f>IF(CL178=-1,"x",IF(OR(CL276=1,CL$197=1,$CY178=1),CL178,0))</f>
        <v>x</v>
      </c>
      <c r="CM361" s="56" t="str">
        <f>IF(CM178=-1,"x",IF(OR(CM276=1,CM$197=1,$CZ178=1),CM178,0))</f>
        <v>x</v>
      </c>
      <c r="CN361" s="57" t="str">
        <f>IF(CN178=-1,"x",IF(OR(CN276=1,CN$197=1,$CX178=1),CN178,0))</f>
        <v>x</v>
      </c>
      <c r="CO361" s="55" t="str">
        <f>IF(CO178=-1,"x",IF(OR(CO276=1,CO$197=1,$CY178=1),CO178,0))</f>
        <v>x</v>
      </c>
      <c r="CP361" s="107" t="str">
        <f>IF(CP178=-1,"x",IF(OR(CP276=1,CP$197=1,$CZ178=1),CP178,0))</f>
        <v>x</v>
      </c>
      <c r="DJ361" s="99" t="str">
        <f>IF(DJ178=-1,"x",IF(OR(DJ276=1,DJ$230=1,$GT178=1),DJ178,0))</f>
        <v>x</v>
      </c>
      <c r="DK361" s="45" t="str">
        <f>IF(DK178=-1,"x",IF(OR(DK276=1,DK$230=1,$GU178=1),DK178,0))</f>
        <v>x</v>
      </c>
      <c r="DL361" s="47" t="str">
        <f>IF(DL178=-1,"x",IF(OR(DL276=1,DL$230=1,$GV178=1),DL178,0))</f>
        <v>x</v>
      </c>
      <c r="DM361" s="46" t="str">
        <f>IF(DM178=-1,"x",IF(OR(DM276=1,DM$230=1,$GT178=1),DM178,0))</f>
        <v>x</v>
      </c>
      <c r="DN361" s="45" t="str">
        <f>IF(DN178=-1,"x",IF(OR(DN276=1,DN$230=1,$GU178=1),DN178,0))</f>
        <v>x</v>
      </c>
      <c r="DO361" s="47" t="str">
        <f>IF(DO178=-1,"x",IF(OR(DO276=1,DO$230=1,$GV178=1),DO178,0))</f>
        <v>x</v>
      </c>
      <c r="DP361" s="46" t="str">
        <f>IF(DP178=-1,"x",IF(OR(DP276=1,DP$230=1,$GT178=1),DP178,0))</f>
        <v>x</v>
      </c>
      <c r="DQ361" s="45" t="str">
        <f>IF(DQ178=-1,"x",IF(OR(DQ276=1,DQ$230=1,$GU178=1),DQ178,0))</f>
        <v>x</v>
      </c>
      <c r="DR361" s="48" t="str">
        <f>IF(DR178=-1,"x",IF(OR(DR276=1,DR$230=1,$GV178=1),DR178,0))</f>
        <v>x</v>
      </c>
      <c r="DS361" s="44" t="str">
        <f>IF(DS178=-1,"x",IF(OR(DS276=1,DS$230=1,$GT178=1),DS178,0))</f>
        <v>x</v>
      </c>
      <c r="DT361" s="45" t="str">
        <f>IF(DT178=-1,"x",IF(OR(DT276=1,DT$230=1,$GU178=1),DT178,0))</f>
        <v>x</v>
      </c>
      <c r="DU361" s="47" t="str">
        <f>IF(DU178=-1,"x",IF(OR(DU276=1,DU$230=1,$GV178=1),DU178,0))</f>
        <v>x</v>
      </c>
      <c r="DV361" s="46" t="str">
        <f>IF(DV178=-1,"x",IF(OR(DV276=1,DV$230=1,$GT178=1),DV178,0))</f>
        <v>x</v>
      </c>
      <c r="DW361" s="45" t="str">
        <f>IF(DW178=-1,"x",IF(OR(DW276=1,DW$230=1,$GU178=1),DW178,0))</f>
        <v>x</v>
      </c>
      <c r="DX361" s="47" t="str">
        <f>IF(DX178=-1,"x",IF(OR(DX276=1,DX$230=1,$GV178=1),DX178,0))</f>
        <v>x</v>
      </c>
      <c r="DY361" s="46" t="str">
        <f>IF(DY178=-1,"x",IF(OR(DY276=1,DY$230=1,$GT178=1),DY178,0))</f>
        <v>x</v>
      </c>
      <c r="DZ361" s="45" t="str">
        <f>IF(DZ178=-1,"x",IF(OR(DZ276=1,DZ$230=1,$GU178=1),DZ178,0))</f>
        <v>x</v>
      </c>
      <c r="EA361" s="48" t="str">
        <f>IF(EA178=-1,"x",IF(OR(EA276=1,EA$230=1,$GV178=1),EA178,0))</f>
        <v>x</v>
      </c>
      <c r="EB361" s="44" t="str">
        <f>IF(EB178=-1,"x",IF(OR(EB276=1,EB$230=1,$GT178=1),EB178,0))</f>
        <v>x</v>
      </c>
      <c r="EC361" s="45" t="str">
        <f>IF(EC178=-1,"x",IF(OR(EC276=1,EC$230=1,$GU178=1),EC178,0))</f>
        <v>x</v>
      </c>
      <c r="ED361" s="47" t="str">
        <f>IF(ED178=-1,"x",IF(OR(ED276=1,ED$230=1,$GV178=1),ED178,0))</f>
        <v>x</v>
      </c>
      <c r="EE361" s="46" t="str">
        <f>IF(EE178=-1,"x",IF(OR(EE276=1,EE$230=1,$GT178=1),EE178,0))</f>
        <v>x</v>
      </c>
      <c r="EF361" s="45" t="str">
        <f>IF(EF178=-1,"x",IF(OR(EF276=1,EF$230=1,$GU178=1),EF178,0))</f>
        <v>x</v>
      </c>
      <c r="EG361" s="47" t="str">
        <f>IF(EG178=-1,"x",IF(OR(EG276=1,EG$230=1,$GV178=1),EG178,0))</f>
        <v>x</v>
      </c>
      <c r="EH361" s="46" t="str">
        <f>IF(EH178=-1,"x",IF(OR(EH276=1,EH$230=1,$GT178=1),EH178,0))</f>
        <v>x</v>
      </c>
      <c r="EI361" s="45" t="str">
        <f>IF(EI178=-1,"x",IF(OR(EI276=1,EI$230=1,$GU178=1),EI178,0))</f>
        <v>x</v>
      </c>
      <c r="EJ361" s="100" t="str">
        <f>IF(EJ178=-1,"x",IF(OR(EJ276=1,EJ$230=1,$GV178=1),EJ178,0))</f>
        <v>x</v>
      </c>
      <c r="EK361" s="99" t="str">
        <f>IF(EK178=-1,"x",IF(OR(EK276=1,EK$230=1,$GT178=1),EK178,0))</f>
        <v>x</v>
      </c>
      <c r="EL361" s="45" t="str">
        <f>IF(EL178=-1,"x",IF(OR(EL276=1,EL$230=1,$GU178=1),EL178,0))</f>
        <v>x</v>
      </c>
      <c r="EM361" s="47" t="str">
        <f>IF(EM178=-1,"x",IF(OR(EM276=1,EM$230=1,$GV178=1),EM178,0))</f>
        <v>x</v>
      </c>
      <c r="EN361" s="46" t="str">
        <f>IF(EN178=-1,"x",IF(OR(EN276=1,EN$230=1,$GT178=1),EN178,0))</f>
        <v>x</v>
      </c>
      <c r="EO361" s="45" t="str">
        <f>IF(EO178=-1,"x",IF(OR(EO276=1,EO$230=1,$GU178=1),EO178,0))</f>
        <v>x</v>
      </c>
      <c r="EP361" s="47" t="str">
        <f>IF(EP178=-1,"x",IF(OR(EP276=1,EP$230=1,$GV178=1),EP178,0))</f>
        <v>x</v>
      </c>
      <c r="EQ361" s="46">
        <f>IF(EQ178=-1,"x",IF(OR(EQ276=1,EQ$230=1,$GT178=1),EQ178,0))</f>
        <v>0</v>
      </c>
      <c r="ER361" s="45">
        <f>IF(ER178=-1,"x",IF(OR(ER276=1,ER$230=1,$GU178=1),ER178,0))</f>
        <v>0</v>
      </c>
      <c r="ES361" s="48">
        <f>IF(ES178=-1,"x",IF(OR(ES276=1,ES$230=1,$GV178=1),ES178,0))</f>
        <v>0</v>
      </c>
      <c r="ET361" s="44" t="str">
        <f>IF(ET178=-1,"x",IF(OR(ET276=1,ET$230=1,$GT178=1),ET178,0))</f>
        <v>x</v>
      </c>
      <c r="EU361" s="45" t="str">
        <f>IF(EU178=-1,"x",IF(OR(EU276=1,EU$230=1,$GU178=1),EU178,0))</f>
        <v>x</v>
      </c>
      <c r="EV361" s="47" t="str">
        <f>IF(EV178=-1,"x",IF(OR(EV276=1,EV$230=1,$GV178=1),EV178,0))</f>
        <v>x</v>
      </c>
      <c r="EW361" s="46" t="str">
        <f>IF(EW178=-1,"x",IF(OR(EW276=1,EW$230=1,$GT178=1),EW178,0))</f>
        <v>x</v>
      </c>
      <c r="EX361" s="45" t="str">
        <f>IF(EX178=-1,"x",IF(OR(EX276=1,EX$230=1,$GU178=1),EX178,0))</f>
        <v>x</v>
      </c>
      <c r="EY361" s="47" t="str">
        <f>IF(EY178=-1,"x",IF(OR(EY276=1,EY$230=1,$GV178=1),EY178,0))</f>
        <v>x</v>
      </c>
      <c r="EZ361" s="46">
        <f>IF(EZ178=-1,"x",IF(OR(EZ276=1,EZ$230=1,$GT178=1),EZ178,0))</f>
        <v>0</v>
      </c>
      <c r="FA361" s="45">
        <f>IF(FA178=-1,"x",IF(OR(FA276=1,FA$230=1,$GU178=1),FA178,0))</f>
        <v>0</v>
      </c>
      <c r="FB361" s="48">
        <f>IF(FB178=-1,"x",IF(OR(FB276=1,FB$230=1,$GV178=1),FB178,0))</f>
        <v>0</v>
      </c>
      <c r="FC361" s="44" t="str">
        <f>IF(FC178=-1,"x",IF(OR(FC276=1,FC$230=1,$GT178=1),FC178,0))</f>
        <v>x</v>
      </c>
      <c r="FD361" s="45" t="str">
        <f>IF(FD178=-1,"x",IF(OR(FD276=1,FD$230=1,$GU178=1),FD178,0))</f>
        <v>x</v>
      </c>
      <c r="FE361" s="47" t="str">
        <f>IF(FE178=-1,"x",IF(OR(FE276=1,FE$230=1,$GV178=1),FE178,0))</f>
        <v>x</v>
      </c>
      <c r="FF361" s="46" t="str">
        <f>IF(FF178=-1,"x",IF(OR(FF276=1,FF$230=1,$GT178=1),FF178,0))</f>
        <v>x</v>
      </c>
      <c r="FG361" s="45" t="str">
        <f>IF(FG178=-1,"x",IF(OR(FG276=1,FG$230=1,$GU178=1),FG178,0))</f>
        <v>x</v>
      </c>
      <c r="FH361" s="47" t="str">
        <f>IF(FH178=-1,"x",IF(OR(FH276=1,FH$230=1,$GV178=1),FH178,0))</f>
        <v>x</v>
      </c>
      <c r="FI361" s="46" t="str">
        <f>IF(FI178=-1,"x",IF(OR(FI276=1,FI$230=1,$GT178=1),FI178,0))</f>
        <v>x</v>
      </c>
      <c r="FJ361" s="45" t="str">
        <f>IF(FJ178=-1,"x",IF(OR(FJ276=1,FJ$230=1,$GU178=1),FJ178,0))</f>
        <v>x</v>
      </c>
      <c r="FK361" s="100" t="str">
        <f>IF(FK178=-1,"x",IF(OR(FK276=1,FK$230=1,$GV178=1),FK178,0))</f>
        <v>x</v>
      </c>
      <c r="FL361" s="99" t="str">
        <f>IF(FL178=-1,"x",IF(OR(FL276=1,FL$230=1,$GT178=1),FL178,0))</f>
        <v>x</v>
      </c>
      <c r="FM361" s="45" t="str">
        <f>IF(FM178=-1,"x",IF(OR(FM276=1,FM$230=1,$GU178=1),FM178,0))</f>
        <v>x</v>
      </c>
      <c r="FN361" s="47" t="str">
        <f>IF(FN178=-1,"x",IF(OR(FN276=1,FN$230=1,$GV178=1),FN178,0))</f>
        <v>x</v>
      </c>
      <c r="FO361" s="46" t="str">
        <f>IF(FO178=-1,"x",IF(OR(FO276=1,FO$230=1,$GT178=1),FO178,0))</f>
        <v>x</v>
      </c>
      <c r="FP361" s="45" t="str">
        <f>IF(FP178=-1,"x",IF(OR(FP276=1,FP$230=1,$GU178=1),FP178,0))</f>
        <v>x</v>
      </c>
      <c r="FQ361" s="47" t="str">
        <f>IF(FQ178=-1,"x",IF(OR(FQ276=1,FQ$230=1,$GV178=1),FQ178,0))</f>
        <v>x</v>
      </c>
      <c r="FR361" s="46" t="str">
        <f>IF(FR178=-1,"x",IF(OR(FR276=1,FR$230=1,$GT178=1),FR178,0))</f>
        <v>x</v>
      </c>
      <c r="FS361" s="45" t="str">
        <f>IF(FS178=-1,"x",IF(OR(FS276=1,FS$230=1,$GU178=1),FS178,0))</f>
        <v>x</v>
      </c>
      <c r="FT361" s="48" t="str">
        <f>IF(FT178=-1,"x",IF(OR(FT276=1,FT$230=1,$GV178=1),FT178,0))</f>
        <v>x</v>
      </c>
      <c r="FU361" s="44" t="str">
        <f>IF(FU178=-1,"x",IF(OR(FU276=1,FU$230=1,$GT178=1),FU178,0))</f>
        <v>x</v>
      </c>
      <c r="FV361" s="45" t="str">
        <f>IF(FV178=-1,"x",IF(OR(FV276=1,FV$230=1,$GU178=1),FV178,0))</f>
        <v>x</v>
      </c>
      <c r="FW361" s="47" t="str">
        <f>IF(FW178=-1,"x",IF(OR(FW276=1,FW$230=1,$GV178=1),FW178,0))</f>
        <v>x</v>
      </c>
      <c r="FX361" s="46" t="str">
        <f>IF(FX178=-1,"x",IF(OR(FX276=1,FX$230=1,$GT178=1),FX178,0))</f>
        <v>x</v>
      </c>
      <c r="FY361" s="45" t="str">
        <f>IF(FY178=-1,"x",IF(OR(FY276=1,FY$230=1,$GU178=1),FY178,0))</f>
        <v>x</v>
      </c>
      <c r="FZ361" s="47" t="str">
        <f>IF(FZ178=-1,"x",IF(OR(FZ276=1,FZ$230=1,$GV178=1),FZ178,0))</f>
        <v>x</v>
      </c>
      <c r="GA361" s="46" t="str">
        <f>IF(GA178=-1,"x",IF(OR(GA276=1,GA$230=1,$GT178=1),GA178,0))</f>
        <v>x</v>
      </c>
      <c r="GB361" s="45" t="str">
        <f>IF(GB178=-1,"x",IF(OR(GB276=1,GB$230=1,$GU178=1),GB178,0))</f>
        <v>x</v>
      </c>
      <c r="GC361" s="48" t="str">
        <f>IF(GC178=-1,"x",IF(OR(GC276=1,GC$230=1,$GV178=1),GC178,0))</f>
        <v>x</v>
      </c>
      <c r="GD361" s="44">
        <f>IF(GD178=-1,"x",IF(OR(GD276=1,GD$230=1,$GT178=1),GD178,0))</f>
        <v>0</v>
      </c>
      <c r="GE361" s="45">
        <f>IF(GE178=-1,"x",IF(OR(GE276=1,GE$230=1,$GU178=1),GE178,0))</f>
        <v>0</v>
      </c>
      <c r="GF361" s="47">
        <f>IF(GF178=-1,"x",IF(OR(GF276=1,GF$230=1,$GV178=1),GF178,0))</f>
        <v>0</v>
      </c>
      <c r="GG361" s="46" t="str">
        <f>IF(GG178=-1,"x",IF(OR(GG276=1,GG$230=1,$GT178=1),GG178,0))</f>
        <v>x</v>
      </c>
      <c r="GH361" s="45" t="str">
        <f>IF(GH178=-1,"x",IF(OR(GH276=1,GH$230=1,$GU178=1),GH178,0))</f>
        <v>x</v>
      </c>
      <c r="GI361" s="47" t="str">
        <f>IF(GI178=-1,"x",IF(OR(GI276=1,GI$230=1,$GV178=1),GI178,0))</f>
        <v>x</v>
      </c>
      <c r="GJ361" s="46" t="str">
        <f>IF(GJ178=-1,"x",IF(OR(GJ276=1,GJ$230=1,$GT178=1),GJ178,0))</f>
        <v>x</v>
      </c>
      <c r="GK361" s="45" t="str">
        <f>IF(GK178=-1,"x",IF(OR(GK276=1,GK$230=1,$GU178=1),GK178,0))</f>
        <v>x</v>
      </c>
      <c r="GL361" s="100" t="str">
        <f>IF(GL178=-1,"x",IF(OR(GL276=1,GL$230=1,$GV178=1),GL178,0))</f>
        <v>x</v>
      </c>
    </row>
    <row r="362" spans="14:194" ht="15" customHeight="1">
      <c r="N362" s="108" t="str">
        <f>IF(N179=-1,"x",IF(OR(N277=1,N$195=1,$CX179=1),N179,0))</f>
        <v>x</v>
      </c>
      <c r="O362" s="37" t="str">
        <f>IF(O179=-1,"x",IF(OR(O277=1,O$195=1,$CY179=1),O179,0))</f>
        <v>x</v>
      </c>
      <c r="P362" s="35" t="str">
        <f>IF(P179=-1,"x",IF(OR(P277=1,P$195=1,$CZ179=1),P179,0))</f>
        <v>x</v>
      </c>
      <c r="Q362" s="36" t="str">
        <f>IF(Q179=-1,"x",IF(OR(Q277=1,Q$195=1,$CX179=1),Q179,0))</f>
        <v>x</v>
      </c>
      <c r="R362" s="37" t="str">
        <f>IF(R179=-1,"x",IF(OR(R277=1,R$195=1,$CY179=1),R179,0))</f>
        <v>x</v>
      </c>
      <c r="S362" s="35" t="str">
        <f>IF(S179=-1,"x",IF(OR(S277=1,S$195=1,$CZ179=1),S179,0))</f>
        <v>x</v>
      </c>
      <c r="T362" s="36" t="str">
        <f>IF(T179=-1,"x",IF(OR(T277=1,T$195=1,$CX179=1),T179,0))</f>
        <v>x</v>
      </c>
      <c r="U362" s="37" t="str">
        <f>IF(U179=-1,"x",IF(OR(U277=1,U$195=1,$CY179=1),U179,0))</f>
        <v>x</v>
      </c>
      <c r="V362" s="38" t="str">
        <f>IF(V179=-1,"x",IF(OR(V277=1,V$195=1,$CZ179=1),V179,0))</f>
        <v>x</v>
      </c>
      <c r="W362" s="34" t="str">
        <f>IF(W179=-1,"x",IF(OR(W277=1,W$195=1,$CX179=1),W179,0))</f>
        <v>x</v>
      </c>
      <c r="X362" s="37" t="str">
        <f>IF(X179=-1,"x",IF(OR(X277=1,X$195=1,$CY179=1),X179,0))</f>
        <v>x</v>
      </c>
      <c r="Y362" s="35" t="str">
        <f>IF(Y179=-1,"x",IF(OR(Y277=1,Y$195=1,$CZ179=1),Y179,0))</f>
        <v>x</v>
      </c>
      <c r="Z362" s="36" t="str">
        <f>IF(Z179=-1,"x",IF(OR(Z277=1,Z$195=1,$CX179=1),Z179,0))</f>
        <v>x</v>
      </c>
      <c r="AA362" s="37" t="str">
        <f>IF(AA179=-1,"x",IF(OR(AA277=1,AA$195=1,$CY179=1),AA179,0))</f>
        <v>x</v>
      </c>
      <c r="AB362" s="35" t="str">
        <f>IF(AB179=-1,"x",IF(OR(AB277=1,AB$195=1,$CZ179=1),AB179,0))</f>
        <v>x</v>
      </c>
      <c r="AC362" s="36">
        <f>IF(AC179=-1,"x",IF(OR(AC277=1,AC$195=1,$CX179=1),AC179,0))</f>
        <v>0</v>
      </c>
      <c r="AD362" s="37">
        <f>IF(AD179=-1,"x",IF(OR(AD277=1,AD$195=1,$CY179=1),AD179,0))</f>
        <v>0</v>
      </c>
      <c r="AE362" s="38">
        <f>IF(AE179=-1,"x",IF(OR(AE277=1,AE$195=1,$CZ179=1),AE179,0))</f>
        <v>0</v>
      </c>
      <c r="AF362" s="34" t="str">
        <f>IF(AF179=-1,"x",IF(OR(AF277=1,AF$195=1,$CX179=1),AF179,0))</f>
        <v>x</v>
      </c>
      <c r="AG362" s="37" t="str">
        <f>IF(AG179=-1,"x",IF(OR(AG277=1,AG$195=1,$CY179=1),AG179,0))</f>
        <v>x</v>
      </c>
      <c r="AH362" s="35" t="str">
        <f>IF(AH179=-1,"x",IF(OR(AH277=1,AH$195=1,$CZ179=1),AH179,0))</f>
        <v>x</v>
      </c>
      <c r="AI362" s="36" t="str">
        <f>IF(AI179=-1,"x",IF(OR(AI277=1,AI$195=1,$CX179=1),AI179,0))</f>
        <v>x</v>
      </c>
      <c r="AJ362" s="37" t="str">
        <f>IF(AJ179=-1,"x",IF(OR(AJ277=1,AJ$195=1,$CY179=1),AJ179,0))</f>
        <v>x</v>
      </c>
      <c r="AK362" s="35" t="str">
        <f>IF(AK179=-1,"x",IF(OR(AK277=1,AK$195=1,$CZ179=1),AK179,0))</f>
        <v>x</v>
      </c>
      <c r="AL362" s="36" t="str">
        <f>IF(AL179=-1,"x",IF(OR(AL277=1,AL$195=1,$CX179=1),AL179,0))</f>
        <v>x</v>
      </c>
      <c r="AM362" s="37" t="str">
        <f>IF(AM179=-1,"x",IF(OR(AM277=1,AM$195=1,$CY179=1),AM179,0))</f>
        <v>x</v>
      </c>
      <c r="AN362" s="109" t="str">
        <f>IF(AN179=-1,"x",IF(OR(AN277=1,AN$195=1,$CZ179=1),AN179,0))</f>
        <v>x</v>
      </c>
      <c r="AO362" s="108" t="str">
        <f>IF(AO179=-1,"x",IF(OR(AO277=1,AO$195=1,$CX179=1),AO179,0))</f>
        <v>x</v>
      </c>
      <c r="AP362" s="37" t="str">
        <f>IF(AP179=-1,"x",IF(OR(AP277=1,AP$195=1,$CY179=1),AP179,0))</f>
        <v>x</v>
      </c>
      <c r="AQ362" s="35" t="str">
        <f>IF(AQ179=-1,"x",IF(OR(AQ277=1,AQ$195=1,$CZ179=1),AQ179,0))</f>
        <v>x</v>
      </c>
      <c r="AR362" s="36" t="str">
        <f>IF(AR179=-1,"x",IF(OR(AR277=1,AR$195=1,$CX179=1),AR179,0))</f>
        <v>x</v>
      </c>
      <c r="AS362" s="37" t="str">
        <f>IF(AS179=-1,"x",IF(OR(AS277=1,AS$195=1,$CY179=1),AS179,0))</f>
        <v>x</v>
      </c>
      <c r="AT362" s="35" t="str">
        <f>IF(AT179=-1,"x",IF(OR(AT277=1,AT$195=1,$CZ179=1),AT179,0))</f>
        <v>x</v>
      </c>
      <c r="AU362" s="36" t="str">
        <f>IF(AU179=-1,"x",IF(OR(AU277=1,AU$195=1,$CX179=1),AU179,0))</f>
        <v>x</v>
      </c>
      <c r="AV362" s="37" t="str">
        <f>IF(AV179=-1,"x",IF(OR(AV277=1,AV$195=1,$CY179=1),AV179,0))</f>
        <v>x</v>
      </c>
      <c r="AW362" s="38" t="str">
        <f>IF(AW179=-1,"x",IF(OR(AW277=1,AW$195=1,$CZ179=1),AW179,0))</f>
        <v>x</v>
      </c>
      <c r="AX362" s="34">
        <f>IF(AX179=-1,"x",IF(OR(AX277=1,AX$195=1,$CX179=1),AX179,0))</f>
        <v>0</v>
      </c>
      <c r="AY362" s="37">
        <f>IF(AY179=-1,"x",IF(OR(AY277=1,AY$195=1,$CY179=1),AY179,0))</f>
        <v>0</v>
      </c>
      <c r="AZ362" s="35">
        <f>IF(AZ179=-1,"x",IF(OR(AZ277=1,AZ$195=1,$CZ179=1),AZ179,0))</f>
        <v>0</v>
      </c>
      <c r="BA362" s="36">
        <f>IF(BA179=-1,"x",IF(OR(BA277=1,BA$195=1,$CX179=1),BA179,0))</f>
        <v>0</v>
      </c>
      <c r="BB362" s="37">
        <f>IF(BB179=-1,"x",IF(OR(BB277=1,BB$195=1,$CY179=1),BB179,0))</f>
        <v>0</v>
      </c>
      <c r="BC362" s="35">
        <f>IF(BC179=-1,"x",IF(OR(BC277=1,BC$195=1,$CZ179=1),BC179,0))</f>
        <v>0</v>
      </c>
      <c r="BD362" s="36" t="str">
        <f>IF(BD179=-1,"x",IF(OR(BD277=1,BD$195=1,$CX179=1),BD179,0))</f>
        <v>x</v>
      </c>
      <c r="BE362" s="37" t="str">
        <f>IF(BE179=-1,"x",IF(OR(BE277=1,BE$195=1,$CY179=1),BE179,0))</f>
        <v>x</v>
      </c>
      <c r="BF362" s="38" t="str">
        <f>IF(BF179=-1,"x",IF(OR(BF277=1,BF$195=1,$CZ179=1),BF179,0))</f>
        <v>x</v>
      </c>
      <c r="BG362" s="34" t="str">
        <f>IF(BG179=-1,"x",IF(OR(BG277=1,BG$195=1,$CX179=1),BG179,0))</f>
        <v>x</v>
      </c>
      <c r="BH362" s="37" t="str">
        <f>IF(BH179=-1,"x",IF(OR(BH277=1,BH$195=1,$CY179=1),BH179,0))</f>
        <v>x</v>
      </c>
      <c r="BI362" s="35" t="str">
        <f>IF(BI179=-1,"x",IF(OR(BI277=1,BI$195=1,$CZ179=1),BI179,0))</f>
        <v>x</v>
      </c>
      <c r="BJ362" s="36">
        <f>IF(BJ179=-1,"x",IF(OR(BJ277=1,BJ$195=1,$CX179=1),BJ179,0))</f>
        <v>0</v>
      </c>
      <c r="BK362" s="37">
        <f>IF(BK179=-1,"x",IF(OR(BK277=1,BK$195=1,$CY179=1),BK179,0))</f>
        <v>0</v>
      </c>
      <c r="BL362" s="35">
        <f>IF(BL179=-1,"x",IF(OR(BL277=1,BL$195=1,$CZ179=1),BL179,0))</f>
        <v>0</v>
      </c>
      <c r="BM362" s="36" t="str">
        <f>IF(BM179=-1,"x",IF(OR(BM277=1,BM$195=1,$CX179=1),BM179,0))</f>
        <v>x</v>
      </c>
      <c r="BN362" s="37" t="str">
        <f>IF(BN179=-1,"x",IF(OR(BN277=1,BN$195=1,$CY179=1),BN179,0))</f>
        <v>x</v>
      </c>
      <c r="BO362" s="109" t="str">
        <f>IF(BO179=-1,"x",IF(OR(BO277=1,BO$195=1,$CZ179=1),BO179,0))</f>
        <v>x</v>
      </c>
      <c r="BP362" s="108" t="str">
        <f>IF(BP179=-1,"x",IF(OR(BP277=1,BP$195=1,$CX179=1),BP179,0))</f>
        <v>x</v>
      </c>
      <c r="BQ362" s="37" t="str">
        <f>IF(BQ179=-1,"x",IF(OR(BQ277=1,BQ$195=1,$CY179=1),BQ179,0))</f>
        <v>x</v>
      </c>
      <c r="BR362" s="35" t="str">
        <f>IF(BR179=-1,"x",IF(OR(BR277=1,BR$195=1,$CZ179=1),BR179,0))</f>
        <v>x</v>
      </c>
      <c r="BS362" s="36" t="str">
        <f>IF(BS179=-1,"x",IF(OR(BS277=1,BS$195=1,$CX179=1),BS179,0))</f>
        <v>x</v>
      </c>
      <c r="BT362" s="37" t="str">
        <f>IF(BT179=-1,"x",IF(OR(BT277=1,BT$195=1,$CY179=1),BT179,0))</f>
        <v>x</v>
      </c>
      <c r="BU362" s="35" t="str">
        <f>IF(BU179=-1,"x",IF(OR(BU277=1,BU$195=1,$CZ179=1),BU179,0))</f>
        <v>x</v>
      </c>
      <c r="BV362" s="36" t="str">
        <f>IF(BV179=-1,"x",IF(OR(BV277=1,BV$195=1,$CX179=1),BV179,0))</f>
        <v>x</v>
      </c>
      <c r="BW362" s="37" t="str">
        <f>IF(BW179=-1,"x",IF(OR(BW277=1,BW$195=1,$CY179=1),BW179,0))</f>
        <v>x</v>
      </c>
      <c r="BX362" s="38" t="str">
        <f>IF(BX179=-1,"x",IF(OR(BX277=1,BX$195=1,$CZ179=1),BX179,0))</f>
        <v>x</v>
      </c>
      <c r="BY362" s="34" t="str">
        <f>IF(BY179=-1,"x",IF(OR(BY277=1,BY$195=1,$CX179=1),BY179,0))</f>
        <v>x</v>
      </c>
      <c r="BZ362" s="37" t="str">
        <f>IF(BZ179=-1,"x",IF(OR(BZ277=1,BZ$195=1,$CY179=1),BZ179,0))</f>
        <v>x</v>
      </c>
      <c r="CA362" s="35" t="str">
        <f>IF(CA179=-1,"x",IF(OR(CA277=1,CA$195=1,$CZ179=1),CA179,0))</f>
        <v>x</v>
      </c>
      <c r="CB362" s="36" t="str">
        <f>IF(CB179=-1,"x",IF(OR(CB277=1,CB$195=1,$CX179=1),CB179,0))</f>
        <v>x</v>
      </c>
      <c r="CC362" s="37" t="str">
        <f>IF(CC179=-1,"x",IF(OR(CC277=1,CC$195=1,$CY179=1),CC179,0))</f>
        <v>x</v>
      </c>
      <c r="CD362" s="35" t="str">
        <f>IF(CD179=-1,"x",IF(OR(CD277=1,CD$195=1,$CZ179=1),CD179,0))</f>
        <v>x</v>
      </c>
      <c r="CE362" s="36" t="str">
        <f>IF(CE179=-1,"x",IF(OR(CE277=1,CE$195=1,$CX179=1),CE179,0))</f>
        <v>x</v>
      </c>
      <c r="CF362" s="37" t="str">
        <f>IF(CF179=-1,"x",IF(OR(CF277=1,CF$195=1,$CY179=1),CF179,0))</f>
        <v>x</v>
      </c>
      <c r="CG362" s="38" t="str">
        <f>IF(CG179=-1,"x",IF(OR(CG277=1,CG$195=1,$CZ179=1),CG179,0))</f>
        <v>x</v>
      </c>
      <c r="CH362" s="34" t="str">
        <f>IF(CH179=-1,"x",IF(OR(CH277=1,CH$195=1,$CX179=1),CH179,0))</f>
        <v>x</v>
      </c>
      <c r="CI362" s="37" t="str">
        <f>IF(CI179=-1,"x",IF(OR(CI277=1,CI$195=1,$CY179=1),CI179,0))</f>
        <v>x</v>
      </c>
      <c r="CJ362" s="35" t="str">
        <f>IF(CJ179=-1,"x",IF(OR(CJ277=1,CJ$195=1,$CZ179=1),CJ179,0))</f>
        <v>x</v>
      </c>
      <c r="CK362" s="36" t="str">
        <f>IF(CK179=-1,"x",IF(OR(CK277=1,CK$195=1,$CX179=1),CK179,0))</f>
        <v>x</v>
      </c>
      <c r="CL362" s="37" t="str">
        <f>IF(CL179=-1,"x",IF(OR(CL277=1,CL$195=1,$CY179=1),CL179,0))</f>
        <v>x</v>
      </c>
      <c r="CM362" s="35" t="str">
        <f>IF(CM179=-1,"x",IF(OR(CM277=1,CM$195=1,$CZ179=1),CM179,0))</f>
        <v>x</v>
      </c>
      <c r="CN362" s="36" t="str">
        <f>IF(CN179=-1,"x",IF(OR(CN277=1,CN$195=1,$CX179=1),CN179,0))</f>
        <v>x</v>
      </c>
      <c r="CO362" s="37" t="str">
        <f>IF(CO179=-1,"x",IF(OR(CO277=1,CO$195=1,$CY179=1),CO179,0))</f>
        <v>x</v>
      </c>
      <c r="CP362" s="109" t="str">
        <f>IF(CP179=-1,"x",IF(OR(CP277=1,CP$195=1,$CZ179=1),CP179,0))</f>
        <v>x</v>
      </c>
      <c r="DJ362" s="104" t="str">
        <f>IF(DJ179=-1,"x",IF(OR(DJ277=1,DJ$228=1,$GT179=1),DJ179,0))</f>
        <v>x</v>
      </c>
      <c r="DK362" s="50" t="str">
        <f>IF(DK179=-1,"x",IF(OR(DK277=1,DK$228=1,$GU179=1),DK179,0))</f>
        <v>x</v>
      </c>
      <c r="DL362" s="51" t="str">
        <f>IF(DL179=-1,"x",IF(OR(DL277=1,DL$228=1,$GV179=1),DL179,0))</f>
        <v>x</v>
      </c>
      <c r="DM362" s="52" t="str">
        <f>IF(DM179=-1,"x",IF(OR(DM277=1,DM$228=1,$GT179=1),DM179,0))</f>
        <v>x</v>
      </c>
      <c r="DN362" s="50" t="str">
        <f>IF(DN179=-1,"x",IF(OR(DN277=1,DN$228=1,$GU179=1),DN179,0))</f>
        <v>x</v>
      </c>
      <c r="DO362" s="51" t="str">
        <f>IF(DO179=-1,"x",IF(OR(DO277=1,DO$228=1,$GV179=1),DO179,0))</f>
        <v>x</v>
      </c>
      <c r="DP362" s="52">
        <f>IF(DP179=-1,"x",IF(OR(DP277=1,DP$228=1,$GT179=1),DP179,0))</f>
        <v>0</v>
      </c>
      <c r="DQ362" s="50">
        <f>IF(DQ179=-1,"x",IF(OR(DQ277=1,DQ$228=1,$GU179=1),DQ179,0))</f>
        <v>0</v>
      </c>
      <c r="DR362" s="53">
        <f>IF(DR179=-1,"x",IF(OR(DR277=1,DR$228=1,$GV179=1),DR179,0))</f>
        <v>0</v>
      </c>
      <c r="DS362" s="49" t="str">
        <f>IF(DS179=-1,"x",IF(OR(DS277=1,DS$228=1,$GT179=1),DS179,0))</f>
        <v>x</v>
      </c>
      <c r="DT362" s="50" t="str">
        <f>IF(DT179=-1,"x",IF(OR(DT277=1,DT$228=1,$GU179=1),DT179,0))</f>
        <v>x</v>
      </c>
      <c r="DU362" s="51" t="str">
        <f>IF(DU179=-1,"x",IF(OR(DU277=1,DU$228=1,$GV179=1),DU179,0))</f>
        <v>x</v>
      </c>
      <c r="DV362" s="52" t="str">
        <f>IF(DV179=-1,"x",IF(OR(DV277=1,DV$228=1,$GT179=1),DV179,0))</f>
        <v>x</v>
      </c>
      <c r="DW362" s="50" t="str">
        <f>IF(DW179=-1,"x",IF(OR(DW277=1,DW$228=1,$GU179=1),DW179,0))</f>
        <v>x</v>
      </c>
      <c r="DX362" s="51" t="str">
        <f>IF(DX179=-1,"x",IF(OR(DX277=1,DX$228=1,$GV179=1),DX179,0))</f>
        <v>x</v>
      </c>
      <c r="DY362" s="52" t="str">
        <f>IF(DY179=-1,"x",IF(OR(DY277=1,DY$228=1,$GT179=1),DY179,0))</f>
        <v>x</v>
      </c>
      <c r="DZ362" s="50" t="str">
        <f>IF(DZ179=-1,"x",IF(OR(DZ277=1,DZ$228=1,$GU179=1),DZ179,0))</f>
        <v>x</v>
      </c>
      <c r="EA362" s="53" t="str">
        <f>IF(EA179=-1,"x",IF(OR(EA277=1,EA$228=1,$GV179=1),EA179,0))</f>
        <v>x</v>
      </c>
      <c r="EB362" s="49" t="str">
        <f>IF(EB179=-1,"x",IF(OR(EB277=1,EB$228=1,$GT179=1),EB179,0))</f>
        <v>x</v>
      </c>
      <c r="EC362" s="50" t="str">
        <f>IF(EC179=-1,"x",IF(OR(EC277=1,EC$228=1,$GU179=1),EC179,0))</f>
        <v>x</v>
      </c>
      <c r="ED362" s="51" t="str">
        <f>IF(ED179=-1,"x",IF(OR(ED277=1,ED$228=1,$GV179=1),ED179,0))</f>
        <v>x</v>
      </c>
      <c r="EE362" s="52" t="str">
        <f>IF(EE179=-1,"x",IF(OR(EE277=1,EE$228=1,$GT179=1),EE179,0))</f>
        <v>x</v>
      </c>
      <c r="EF362" s="50" t="str">
        <f>IF(EF179=-1,"x",IF(OR(EF277=1,EF$228=1,$GU179=1),EF179,0))</f>
        <v>x</v>
      </c>
      <c r="EG362" s="51" t="str">
        <f>IF(EG179=-1,"x",IF(OR(EG277=1,EG$228=1,$GV179=1),EG179,0))</f>
        <v>x</v>
      </c>
      <c r="EH362" s="52" t="str">
        <f>IF(EH179=-1,"x",IF(OR(EH277=1,EH$228=1,$GT179=1),EH179,0))</f>
        <v>x</v>
      </c>
      <c r="EI362" s="50" t="str">
        <f>IF(EI179=-1,"x",IF(OR(EI277=1,EI$228=1,$GU179=1),EI179,0))</f>
        <v>x</v>
      </c>
      <c r="EJ362" s="105" t="str">
        <f>IF(EJ179=-1,"x",IF(OR(EJ277=1,EJ$228=1,$GV179=1),EJ179,0))</f>
        <v>x</v>
      </c>
      <c r="EK362" s="104" t="str">
        <f>IF(EK179=-1,"x",IF(OR(EK277=1,EK$228=1,$GT179=1),EK179,0))</f>
        <v>x</v>
      </c>
      <c r="EL362" s="50" t="str">
        <f>IF(EL179=-1,"x",IF(OR(EL277=1,EL$228=1,$GU179=1),EL179,0))</f>
        <v>x</v>
      </c>
      <c r="EM362" s="51" t="str">
        <f>IF(EM179=-1,"x",IF(OR(EM277=1,EM$228=1,$GV179=1),EM179,0))</f>
        <v>x</v>
      </c>
      <c r="EN362" s="52" t="str">
        <f>IF(EN179=-1,"x",IF(OR(EN277=1,EN$228=1,$GT179=1),EN179,0))</f>
        <v>x</v>
      </c>
      <c r="EO362" s="50" t="str">
        <f>IF(EO179=-1,"x",IF(OR(EO277=1,EO$228=1,$GU179=1),EO179,0))</f>
        <v>x</v>
      </c>
      <c r="EP362" s="51" t="str">
        <f>IF(EP179=-1,"x",IF(OR(EP277=1,EP$228=1,$GV179=1),EP179,0))</f>
        <v>x</v>
      </c>
      <c r="EQ362" s="52" t="str">
        <f>IF(EQ179=-1,"x",IF(OR(EQ277=1,EQ$228=1,$GT179=1),EQ179,0))</f>
        <v>x</v>
      </c>
      <c r="ER362" s="50" t="str">
        <f>IF(ER179=-1,"x",IF(OR(ER277=1,ER$228=1,$GU179=1),ER179,0))</f>
        <v>x</v>
      </c>
      <c r="ES362" s="53" t="str">
        <f>IF(ES179=-1,"x",IF(OR(ES277=1,ES$228=1,$GV179=1),ES179,0))</f>
        <v>x</v>
      </c>
      <c r="ET362" s="49" t="str">
        <f>IF(ET179=-1,"x",IF(OR(ET277=1,ET$228=1,$GT179=1),ET179,0))</f>
        <v>x</v>
      </c>
      <c r="EU362" s="50" t="str">
        <f>IF(EU179=-1,"x",IF(OR(EU277=1,EU$228=1,$GU179=1),EU179,0))</f>
        <v>x</v>
      </c>
      <c r="EV362" s="51" t="str">
        <f>IF(EV179=-1,"x",IF(OR(EV277=1,EV$228=1,$GV179=1),EV179,0))</f>
        <v>x</v>
      </c>
      <c r="EW362" s="52" t="str">
        <f>IF(EW179=-1,"x",IF(OR(EW277=1,EW$228=1,$GT179=1),EW179,0))</f>
        <v>x</v>
      </c>
      <c r="EX362" s="50" t="str">
        <f>IF(EX179=-1,"x",IF(OR(EX277=1,EX$228=1,$GU179=1),EX179,0))</f>
        <v>x</v>
      </c>
      <c r="EY362" s="51" t="str">
        <f>IF(EY179=-1,"x",IF(OR(EY277=1,EY$228=1,$GV179=1),EY179,0))</f>
        <v>x</v>
      </c>
      <c r="EZ362" s="52" t="str">
        <f>IF(EZ179=-1,"x",IF(OR(EZ277=1,EZ$228=1,$GT179=1),EZ179,0))</f>
        <v>x</v>
      </c>
      <c r="FA362" s="50" t="str">
        <f>IF(FA179=-1,"x",IF(OR(FA277=1,FA$228=1,$GU179=1),FA179,0))</f>
        <v>x</v>
      </c>
      <c r="FB362" s="53" t="str">
        <f>IF(FB179=-1,"x",IF(OR(FB277=1,FB$228=1,$GV179=1),FB179,0))</f>
        <v>x</v>
      </c>
      <c r="FC362" s="49" t="str">
        <f>IF(FC179=-1,"x",IF(OR(FC277=1,FC$228=1,$GT179=1),FC179,0))</f>
        <v>x</v>
      </c>
      <c r="FD362" s="50" t="str">
        <f>IF(FD179=-1,"x",IF(OR(FD277=1,FD$228=1,$GU179=1),FD179,0))</f>
        <v>x</v>
      </c>
      <c r="FE362" s="51" t="str">
        <f>IF(FE179=-1,"x",IF(OR(FE277=1,FE$228=1,$GV179=1),FE179,0))</f>
        <v>x</v>
      </c>
      <c r="FF362" s="52" t="str">
        <f>IF(FF179=-1,"x",IF(OR(FF277=1,FF$228=1,$GT179=1),FF179,0))</f>
        <v>x</v>
      </c>
      <c r="FG362" s="50" t="str">
        <f>IF(FG179=-1,"x",IF(OR(FG277=1,FG$228=1,$GU179=1),FG179,0))</f>
        <v>x</v>
      </c>
      <c r="FH362" s="51" t="str">
        <f>IF(FH179=-1,"x",IF(OR(FH277=1,FH$228=1,$GV179=1),FH179,0))</f>
        <v>x</v>
      </c>
      <c r="FI362" s="52" t="str">
        <f>IF(FI179=-1,"x",IF(OR(FI277=1,FI$228=1,$GT179=1),FI179,0))</f>
        <v>x</v>
      </c>
      <c r="FJ362" s="50" t="str">
        <f>IF(FJ179=-1,"x",IF(OR(FJ277=1,FJ$228=1,$GU179=1),FJ179,0))</f>
        <v>x</v>
      </c>
      <c r="FK362" s="105" t="str">
        <f>IF(FK179=-1,"x",IF(OR(FK277=1,FK$228=1,$GV179=1),FK179,0))</f>
        <v>x</v>
      </c>
      <c r="FL362" s="104" t="str">
        <f>IF(FL179=-1,"x",IF(OR(FL277=1,FL$228=1,$GT179=1),FL179,0))</f>
        <v>x</v>
      </c>
      <c r="FM362" s="50" t="str">
        <f>IF(FM179=-1,"x",IF(OR(FM277=1,FM$228=1,$GU179=1),FM179,0))</f>
        <v>x</v>
      </c>
      <c r="FN362" s="51" t="str">
        <f>IF(FN179=-1,"x",IF(OR(FN277=1,FN$228=1,$GV179=1),FN179,0))</f>
        <v>x</v>
      </c>
      <c r="FO362" s="52" t="str">
        <f>IF(FO179=-1,"x",IF(OR(FO277=1,FO$228=1,$GT179=1),FO179,0))</f>
        <v>x</v>
      </c>
      <c r="FP362" s="50" t="str">
        <f>IF(FP179=-1,"x",IF(OR(FP277=1,FP$228=1,$GU179=1),FP179,0))</f>
        <v>x</v>
      </c>
      <c r="FQ362" s="51" t="str">
        <f>IF(FQ179=-1,"x",IF(OR(FQ277=1,FQ$228=1,$GV179=1),FQ179,0))</f>
        <v>x</v>
      </c>
      <c r="FR362" s="52" t="str">
        <f>IF(FR179=-1,"x",IF(OR(FR277=1,FR$228=1,$GT179=1),FR179,0))</f>
        <v>x</v>
      </c>
      <c r="FS362" s="50" t="str">
        <f>IF(FS179=-1,"x",IF(OR(FS277=1,FS$228=1,$GU179=1),FS179,0))</f>
        <v>x</v>
      </c>
      <c r="FT362" s="53" t="str">
        <f>IF(FT179=-1,"x",IF(OR(FT277=1,FT$228=1,$GV179=1),FT179,0))</f>
        <v>x</v>
      </c>
      <c r="FU362" s="49" t="str">
        <f>IF(FU179=-1,"x",IF(OR(FU277=1,FU$228=1,$GT179=1),FU179,0))</f>
        <v>x</v>
      </c>
      <c r="FV362" s="50" t="str">
        <f>IF(FV179=-1,"x",IF(OR(FV277=1,FV$228=1,$GU179=1),FV179,0))</f>
        <v>x</v>
      </c>
      <c r="FW362" s="51" t="str">
        <f>IF(FW179=-1,"x",IF(OR(FW277=1,FW$228=1,$GV179=1),FW179,0))</f>
        <v>x</v>
      </c>
      <c r="FX362" s="52" t="str">
        <f>IF(FX179=-1,"x",IF(OR(FX277=1,FX$228=1,$GT179=1),FX179,0))</f>
        <v>x</v>
      </c>
      <c r="FY362" s="50" t="str">
        <f>IF(FY179=-1,"x",IF(OR(FY277=1,FY$228=1,$GU179=1),FY179,0))</f>
        <v>x</v>
      </c>
      <c r="FZ362" s="51" t="str">
        <f>IF(FZ179=-1,"x",IF(OR(FZ277=1,FZ$228=1,$GV179=1),FZ179,0))</f>
        <v>x</v>
      </c>
      <c r="GA362" s="52" t="str">
        <f>IF(GA179=-1,"x",IF(OR(GA277=1,GA$228=1,$GT179=1),GA179,0))</f>
        <v>x</v>
      </c>
      <c r="GB362" s="50" t="str">
        <f>IF(GB179=-1,"x",IF(OR(GB277=1,GB$228=1,$GU179=1),GB179,0))</f>
        <v>x</v>
      </c>
      <c r="GC362" s="53" t="str">
        <f>IF(GC179=-1,"x",IF(OR(GC277=1,GC$228=1,$GV179=1),GC179,0))</f>
        <v>x</v>
      </c>
      <c r="GD362" s="49">
        <f>IF(GD179=-1,"x",IF(OR(GD277=1,GD$228=1,$GT179=1),GD179,0))</f>
        <v>0</v>
      </c>
      <c r="GE362" s="50">
        <f>IF(GE179=-1,"x",IF(OR(GE277=1,GE$228=1,$GU179=1),GE179,0))</f>
        <v>0</v>
      </c>
      <c r="GF362" s="51">
        <f>IF(GF179=-1,"x",IF(OR(GF277=1,GF$228=1,$GV179=1),GF179,0))</f>
        <v>0</v>
      </c>
      <c r="GG362" s="52">
        <f>IF(GG179=-1,"x",IF(OR(GG277=1,GG$228=1,$GT179=1),GG179,0))</f>
        <v>0</v>
      </c>
      <c r="GH362" s="50">
        <f>IF(GH179=-1,"x",IF(OR(GH277=1,GH$228=1,$GU179=1),GH179,0))</f>
        <v>0</v>
      </c>
      <c r="GI362" s="51">
        <f>IF(GI179=-1,"x",IF(OR(GI277=1,GI$228=1,$GV179=1),GI179,0))</f>
        <v>0</v>
      </c>
      <c r="GJ362" s="52" t="str">
        <f>IF(GJ179=-1,"x",IF(OR(GJ277=1,GJ$228=1,$GT179=1),GJ179,0))</f>
        <v>x</v>
      </c>
      <c r="GK362" s="50" t="str">
        <f>IF(GK179=-1,"x",IF(OR(GK277=1,GK$228=1,$GU179=1),GK179,0))</f>
        <v>x</v>
      </c>
      <c r="GL362" s="105" t="str">
        <f>IF(GL179=-1,"x",IF(OR(GL277=1,GL$228=1,$GV179=1),GL179,0))</f>
        <v>x</v>
      </c>
    </row>
    <row r="363" spans="14:194" ht="15" customHeight="1">
      <c r="N363" s="94" t="str">
        <f>IF(N180=-1,"x",IF(OR(N278=1,N$196=1,$CX180=1),N180,0))</f>
        <v>x</v>
      </c>
      <c r="O363" s="39" t="str">
        <f>IF(O180=-1,"x",IF(OR(O278=1,O$196=1,$CY180=1),O180,0))</f>
        <v>x</v>
      </c>
      <c r="P363" s="41" t="str">
        <f>IF(P180=-1,"x",IF(OR(P278=1,P$196=1,$CZ180=1),P180,0))</f>
        <v>x</v>
      </c>
      <c r="Q363" s="40" t="str">
        <f>IF(Q180=-1,"x",IF(OR(Q278=1,Q$196=1,$CX180=1),Q180,0))</f>
        <v>x</v>
      </c>
      <c r="R363" s="39" t="str">
        <f>IF(R180=-1,"x",IF(OR(R278=1,R$196=1,$CY180=1),R180,0))</f>
        <v>x</v>
      </c>
      <c r="S363" s="41" t="str">
        <f>IF(S180=-1,"x",IF(OR(S278=1,S$196=1,$CZ180=1),S180,0))</f>
        <v>x</v>
      </c>
      <c r="T363" s="40" t="str">
        <f>IF(T180=-1,"x",IF(OR(T278=1,T$196=1,$CX180=1),T180,0))</f>
        <v>x</v>
      </c>
      <c r="U363" s="39" t="str">
        <f>IF(U180=-1,"x",IF(OR(U278=1,U$196=1,$CY180=1),U180,0))</f>
        <v>x</v>
      </c>
      <c r="V363" s="42" t="str">
        <f>IF(V180=-1,"x",IF(OR(V278=1,V$196=1,$CZ180=1),V180,0))</f>
        <v>x</v>
      </c>
      <c r="W363" s="43" t="str">
        <f>IF(W180=-1,"x",IF(OR(W278=1,W$196=1,$CX180=1),W180,0))</f>
        <v>x</v>
      </c>
      <c r="X363" s="39" t="str">
        <f>IF(X180=-1,"x",IF(OR(X278=1,X$196=1,$CY180=1),X180,0))</f>
        <v>x</v>
      </c>
      <c r="Y363" s="41" t="str">
        <f>IF(Y180=-1,"x",IF(OR(Y278=1,Y$196=1,$CZ180=1),Y180,0))</f>
        <v>x</v>
      </c>
      <c r="Z363" s="40" t="str">
        <f>IF(Z180=-1,"x",IF(OR(Z278=1,Z$196=1,$CX180=1),Z180,0))</f>
        <v>x</v>
      </c>
      <c r="AA363" s="39" t="str">
        <f>IF(AA180=-1,"x",IF(OR(AA278=1,AA$196=1,$CY180=1),AA180,0))</f>
        <v>x</v>
      </c>
      <c r="AB363" s="41" t="str">
        <f>IF(AB180=-1,"x",IF(OR(AB278=1,AB$196=1,$CZ180=1),AB180,0))</f>
        <v>x</v>
      </c>
      <c r="AC363" s="40">
        <f>IF(AC180=-1,"x",IF(OR(AC278=1,AC$196=1,$CX180=1),AC180,0))</f>
        <v>0</v>
      </c>
      <c r="AD363" s="39">
        <f>IF(AD180=-1,"x",IF(OR(AD278=1,AD$196=1,$CY180=1),AD180,0))</f>
        <v>0</v>
      </c>
      <c r="AE363" s="42">
        <f>IF(AE180=-1,"x",IF(OR(AE278=1,AE$196=1,$CZ180=1),AE180,0))</f>
        <v>0</v>
      </c>
      <c r="AF363" s="43" t="str">
        <f>IF(AF180=-1,"x",IF(OR(AF278=1,AF$196=1,$CX180=1),AF180,0))</f>
        <v>x</v>
      </c>
      <c r="AG363" s="39" t="str">
        <f>IF(AG180=-1,"x",IF(OR(AG278=1,AG$196=1,$CY180=1),AG180,0))</f>
        <v>x</v>
      </c>
      <c r="AH363" s="41" t="str">
        <f>IF(AH180=-1,"x",IF(OR(AH278=1,AH$196=1,$CZ180=1),AH180,0))</f>
        <v>x</v>
      </c>
      <c r="AI363" s="40" t="str">
        <f>IF(AI180=-1,"x",IF(OR(AI278=1,AI$196=1,$CX180=1),AI180,0))</f>
        <v>x</v>
      </c>
      <c r="AJ363" s="39" t="str">
        <f>IF(AJ180=-1,"x",IF(OR(AJ278=1,AJ$196=1,$CY180=1),AJ180,0))</f>
        <v>x</v>
      </c>
      <c r="AK363" s="41" t="str">
        <f>IF(AK180=-1,"x",IF(OR(AK278=1,AK$196=1,$CZ180=1),AK180,0))</f>
        <v>x</v>
      </c>
      <c r="AL363" s="40" t="str">
        <f>IF(AL180=-1,"x",IF(OR(AL278=1,AL$196=1,$CX180=1),AL180,0))</f>
        <v>x</v>
      </c>
      <c r="AM363" s="39" t="str">
        <f>IF(AM180=-1,"x",IF(OR(AM278=1,AM$196=1,$CY180=1),AM180,0))</f>
        <v>x</v>
      </c>
      <c r="AN363" s="95" t="str">
        <f>IF(AN180=-1,"x",IF(OR(AN278=1,AN$196=1,$CZ180=1),AN180,0))</f>
        <v>x</v>
      </c>
      <c r="AO363" s="94" t="str">
        <f>IF(AO180=-1,"x",IF(OR(AO278=1,AO$196=1,$CX180=1),AO180,0))</f>
        <v>x</v>
      </c>
      <c r="AP363" s="39" t="str">
        <f>IF(AP180=-1,"x",IF(OR(AP278=1,AP$196=1,$CY180=1),AP180,0))</f>
        <v>x</v>
      </c>
      <c r="AQ363" s="41" t="str">
        <f>IF(AQ180=-1,"x",IF(OR(AQ278=1,AQ$196=1,$CZ180=1),AQ180,0))</f>
        <v>x</v>
      </c>
      <c r="AR363" s="40" t="str">
        <f>IF(AR180=-1,"x",IF(OR(AR278=1,AR$196=1,$CX180=1),AR180,0))</f>
        <v>x</v>
      </c>
      <c r="AS363" s="39" t="str">
        <f>IF(AS180=-1,"x",IF(OR(AS278=1,AS$196=1,$CY180=1),AS180,0))</f>
        <v>x</v>
      </c>
      <c r="AT363" s="41" t="str">
        <f>IF(AT180=-1,"x",IF(OR(AT278=1,AT$196=1,$CZ180=1),AT180,0))</f>
        <v>x</v>
      </c>
      <c r="AU363" s="40" t="str">
        <f>IF(AU180=-1,"x",IF(OR(AU278=1,AU$196=1,$CX180=1),AU180,0))</f>
        <v>x</v>
      </c>
      <c r="AV363" s="39" t="str">
        <f>IF(AV180=-1,"x",IF(OR(AV278=1,AV$196=1,$CY180=1),AV180,0))</f>
        <v>x</v>
      </c>
      <c r="AW363" s="42" t="str">
        <f>IF(AW180=-1,"x",IF(OR(AW278=1,AW$196=1,$CZ180=1),AW180,0))</f>
        <v>x</v>
      </c>
      <c r="AX363" s="43">
        <f>IF(AX180=-1,"x",IF(OR(AX278=1,AX$196=1,$CX180=1),AX180,0))</f>
        <v>0</v>
      </c>
      <c r="AY363" s="39">
        <f>IF(AY180=-1,"x",IF(OR(AY278=1,AY$196=1,$CY180=1),AY180,0))</f>
        <v>0</v>
      </c>
      <c r="AZ363" s="41">
        <f>IF(AZ180=-1,"x",IF(OR(AZ278=1,AZ$196=1,$CZ180=1),AZ180,0))</f>
        <v>0</v>
      </c>
      <c r="BA363" s="40">
        <f>IF(BA180=-1,"x",IF(OR(BA278=1,BA$196=1,$CX180=1),BA180,0))</f>
        <v>0</v>
      </c>
      <c r="BB363" s="39">
        <f>IF(BB180=-1,"x",IF(OR(BB278=1,BB$196=1,$CY180=1),BB180,0))</f>
        <v>0</v>
      </c>
      <c r="BC363" s="41">
        <f>IF(BC180=-1,"x",IF(OR(BC278=1,BC$196=1,$CZ180=1),BC180,0))</f>
        <v>0</v>
      </c>
      <c r="BD363" s="40" t="str">
        <f>IF(BD180=-1,"x",IF(OR(BD278=1,BD$196=1,$CX180=1),BD180,0))</f>
        <v>x</v>
      </c>
      <c r="BE363" s="39" t="str">
        <f>IF(BE180=-1,"x",IF(OR(BE278=1,BE$196=1,$CY180=1),BE180,0))</f>
        <v>x</v>
      </c>
      <c r="BF363" s="42" t="str">
        <f>IF(BF180=-1,"x",IF(OR(BF278=1,BF$196=1,$CZ180=1),BF180,0))</f>
        <v>x</v>
      </c>
      <c r="BG363" s="43" t="str">
        <f>IF(BG180=-1,"x",IF(OR(BG278=1,BG$196=1,$CX180=1),BG180,0))</f>
        <v>x</v>
      </c>
      <c r="BH363" s="39" t="str">
        <f>IF(BH180=-1,"x",IF(OR(BH278=1,BH$196=1,$CY180=1),BH180,0))</f>
        <v>x</v>
      </c>
      <c r="BI363" s="41" t="str">
        <f>IF(BI180=-1,"x",IF(OR(BI278=1,BI$196=1,$CZ180=1),BI180,0))</f>
        <v>x</v>
      </c>
      <c r="BJ363" s="40">
        <f>IF(BJ180=-1,"x",IF(OR(BJ278=1,BJ$196=1,$CX180=1),BJ180,0))</f>
        <v>0</v>
      </c>
      <c r="BK363" s="39">
        <f>IF(BK180=-1,"x",IF(OR(BK278=1,BK$196=1,$CY180=1),BK180,0))</f>
        <v>0</v>
      </c>
      <c r="BL363" s="41">
        <f>IF(BL180=-1,"x",IF(OR(BL278=1,BL$196=1,$CZ180=1),BL180,0))</f>
        <v>0</v>
      </c>
      <c r="BM363" s="40" t="str">
        <f>IF(BM180=-1,"x",IF(OR(BM278=1,BM$196=1,$CX180=1),BM180,0))</f>
        <v>x</v>
      </c>
      <c r="BN363" s="39" t="str">
        <f>IF(BN180=-1,"x",IF(OR(BN278=1,BN$196=1,$CY180=1),BN180,0))</f>
        <v>x</v>
      </c>
      <c r="BO363" s="95" t="str">
        <f>IF(BO180=-1,"x",IF(OR(BO278=1,BO$196=1,$CZ180=1),BO180,0))</f>
        <v>x</v>
      </c>
      <c r="BP363" s="94" t="str">
        <f>IF(BP180=-1,"x",IF(OR(BP278=1,BP$196=1,$CX180=1),BP180,0))</f>
        <v>x</v>
      </c>
      <c r="BQ363" s="39" t="str">
        <f>IF(BQ180=-1,"x",IF(OR(BQ278=1,BQ$196=1,$CY180=1),BQ180,0))</f>
        <v>x</v>
      </c>
      <c r="BR363" s="41" t="str">
        <f>IF(BR180=-1,"x",IF(OR(BR278=1,BR$196=1,$CZ180=1),BR180,0))</f>
        <v>x</v>
      </c>
      <c r="BS363" s="40" t="str">
        <f>IF(BS180=-1,"x",IF(OR(BS278=1,BS$196=1,$CX180=1),BS180,0))</f>
        <v>x</v>
      </c>
      <c r="BT363" s="39" t="str">
        <f>IF(BT180=-1,"x",IF(OR(BT278=1,BT$196=1,$CY180=1),BT180,0))</f>
        <v>x</v>
      </c>
      <c r="BU363" s="41" t="str">
        <f>IF(BU180=-1,"x",IF(OR(BU278=1,BU$196=1,$CZ180=1),BU180,0))</f>
        <v>x</v>
      </c>
      <c r="BV363" s="40" t="str">
        <f>IF(BV180=-1,"x",IF(OR(BV278=1,BV$196=1,$CX180=1),BV180,0))</f>
        <v>x</v>
      </c>
      <c r="BW363" s="39" t="str">
        <f>IF(BW180=-1,"x",IF(OR(BW278=1,BW$196=1,$CY180=1),BW180,0))</f>
        <v>x</v>
      </c>
      <c r="BX363" s="42" t="str">
        <f>IF(BX180=-1,"x",IF(OR(BX278=1,BX$196=1,$CZ180=1),BX180,0))</f>
        <v>x</v>
      </c>
      <c r="BY363" s="43" t="str">
        <f>IF(BY180=-1,"x",IF(OR(BY278=1,BY$196=1,$CX180=1),BY180,0))</f>
        <v>x</v>
      </c>
      <c r="BZ363" s="39" t="str">
        <f>IF(BZ180=-1,"x",IF(OR(BZ278=1,BZ$196=1,$CY180=1),BZ180,0))</f>
        <v>x</v>
      </c>
      <c r="CA363" s="41" t="str">
        <f>IF(CA180=-1,"x",IF(OR(CA278=1,CA$196=1,$CZ180=1),CA180,0))</f>
        <v>x</v>
      </c>
      <c r="CB363" s="40" t="str">
        <f>IF(CB180=-1,"x",IF(OR(CB278=1,CB$196=1,$CX180=1),CB180,0))</f>
        <v>x</v>
      </c>
      <c r="CC363" s="39" t="str">
        <f>IF(CC180=-1,"x",IF(OR(CC278=1,CC$196=1,$CY180=1),CC180,0))</f>
        <v>x</v>
      </c>
      <c r="CD363" s="41" t="str">
        <f>IF(CD180=-1,"x",IF(OR(CD278=1,CD$196=1,$CZ180=1),CD180,0))</f>
        <v>x</v>
      </c>
      <c r="CE363" s="40" t="str">
        <f>IF(CE180=-1,"x",IF(OR(CE278=1,CE$196=1,$CX180=1),CE180,0))</f>
        <v>x</v>
      </c>
      <c r="CF363" s="39" t="str">
        <f>IF(CF180=-1,"x",IF(OR(CF278=1,CF$196=1,$CY180=1),CF180,0))</f>
        <v>x</v>
      </c>
      <c r="CG363" s="42" t="str">
        <f>IF(CG180=-1,"x",IF(OR(CG278=1,CG$196=1,$CZ180=1),CG180,0))</f>
        <v>x</v>
      </c>
      <c r="CH363" s="43" t="str">
        <f>IF(CH180=-1,"x",IF(OR(CH278=1,CH$196=1,$CX180=1),CH180,0))</f>
        <v>x</v>
      </c>
      <c r="CI363" s="39" t="str">
        <f>IF(CI180=-1,"x",IF(OR(CI278=1,CI$196=1,$CY180=1),CI180,0))</f>
        <v>x</v>
      </c>
      <c r="CJ363" s="41" t="str">
        <f>IF(CJ180=-1,"x",IF(OR(CJ278=1,CJ$196=1,$CZ180=1),CJ180,0))</f>
        <v>x</v>
      </c>
      <c r="CK363" s="40" t="str">
        <f>IF(CK180=-1,"x",IF(OR(CK278=1,CK$196=1,$CX180=1),CK180,0))</f>
        <v>x</v>
      </c>
      <c r="CL363" s="39" t="str">
        <f>IF(CL180=-1,"x",IF(OR(CL278=1,CL$196=1,$CY180=1),CL180,0))</f>
        <v>x</v>
      </c>
      <c r="CM363" s="41" t="str">
        <f>IF(CM180=-1,"x",IF(OR(CM278=1,CM$196=1,$CZ180=1),CM180,0))</f>
        <v>x</v>
      </c>
      <c r="CN363" s="40" t="str">
        <f>IF(CN180=-1,"x",IF(OR(CN278=1,CN$196=1,$CX180=1),CN180,0))</f>
        <v>x</v>
      </c>
      <c r="CO363" s="39" t="str">
        <f>IF(CO180=-1,"x",IF(OR(CO278=1,CO$196=1,$CY180=1),CO180,0))</f>
        <v>x</v>
      </c>
      <c r="CP363" s="95" t="str">
        <f>IF(CP180=-1,"x",IF(OR(CP278=1,CP$196=1,$CZ180=1),CP180,0))</f>
        <v>x</v>
      </c>
      <c r="DJ363" s="94" t="str">
        <f>IF(DJ180=-1,"x",IF(OR(DJ278=1,DJ$229=1,$GT180=1),DJ180,0))</f>
        <v>x</v>
      </c>
      <c r="DK363" s="39" t="str">
        <f>IF(DK180=-1,"x",IF(OR(DK278=1,DK$229=1,$GU180=1),DK180,0))</f>
        <v>x</v>
      </c>
      <c r="DL363" s="41" t="str">
        <f>IF(DL180=-1,"x",IF(OR(DL278=1,DL$229=1,$GV180=1),DL180,0))</f>
        <v>x</v>
      </c>
      <c r="DM363" s="40" t="str">
        <f>IF(DM180=-1,"x",IF(OR(DM278=1,DM$229=1,$GT180=1),DM180,0))</f>
        <v>x</v>
      </c>
      <c r="DN363" s="39" t="str">
        <f>IF(DN180=-1,"x",IF(OR(DN278=1,DN$229=1,$GU180=1),DN180,0))</f>
        <v>x</v>
      </c>
      <c r="DO363" s="41" t="str">
        <f>IF(DO180=-1,"x",IF(OR(DO278=1,DO$229=1,$GV180=1),DO180,0))</f>
        <v>x</v>
      </c>
      <c r="DP363" s="40">
        <f>IF(DP180=-1,"x",IF(OR(DP278=1,DP$229=1,$GT180=1),DP180,0))</f>
        <v>0</v>
      </c>
      <c r="DQ363" s="39">
        <f>IF(DQ180=-1,"x",IF(OR(DQ278=1,DQ$229=1,$GU180=1),DQ180,0))</f>
        <v>0</v>
      </c>
      <c r="DR363" s="42">
        <f>IF(DR180=-1,"x",IF(OR(DR278=1,DR$229=1,$GV180=1),DR180,0))</f>
        <v>0</v>
      </c>
      <c r="DS363" s="43" t="str">
        <f>IF(DS180=-1,"x",IF(OR(DS278=1,DS$229=1,$GT180=1),DS180,0))</f>
        <v>x</v>
      </c>
      <c r="DT363" s="39" t="str">
        <f>IF(DT180=-1,"x",IF(OR(DT278=1,DT$229=1,$GU180=1),DT180,0))</f>
        <v>x</v>
      </c>
      <c r="DU363" s="41" t="str">
        <f>IF(DU180=-1,"x",IF(OR(DU278=1,DU$229=1,$GV180=1),DU180,0))</f>
        <v>x</v>
      </c>
      <c r="DV363" s="40" t="str">
        <f>IF(DV180=-1,"x",IF(OR(DV278=1,DV$229=1,$GT180=1),DV180,0))</f>
        <v>x</v>
      </c>
      <c r="DW363" s="39" t="str">
        <f>IF(DW180=-1,"x",IF(OR(DW278=1,DW$229=1,$GU180=1),DW180,0))</f>
        <v>x</v>
      </c>
      <c r="DX363" s="41" t="str">
        <f>IF(DX180=-1,"x",IF(OR(DX278=1,DX$229=1,$GV180=1),DX180,0))</f>
        <v>x</v>
      </c>
      <c r="DY363" s="40" t="str">
        <f>IF(DY180=-1,"x",IF(OR(DY278=1,DY$229=1,$GT180=1),DY180,0))</f>
        <v>x</v>
      </c>
      <c r="DZ363" s="39" t="str">
        <f>IF(DZ180=-1,"x",IF(OR(DZ278=1,DZ$229=1,$GU180=1),DZ180,0))</f>
        <v>x</v>
      </c>
      <c r="EA363" s="42" t="str">
        <f>IF(EA180=-1,"x",IF(OR(EA278=1,EA$229=1,$GV180=1),EA180,0))</f>
        <v>x</v>
      </c>
      <c r="EB363" s="43" t="str">
        <f>IF(EB180=-1,"x",IF(OR(EB278=1,EB$229=1,$GT180=1),EB180,0))</f>
        <v>x</v>
      </c>
      <c r="EC363" s="39" t="str">
        <f>IF(EC180=-1,"x",IF(OR(EC278=1,EC$229=1,$GU180=1),EC180,0))</f>
        <v>x</v>
      </c>
      <c r="ED363" s="41" t="str">
        <f>IF(ED180=-1,"x",IF(OR(ED278=1,ED$229=1,$GV180=1),ED180,0))</f>
        <v>x</v>
      </c>
      <c r="EE363" s="40" t="str">
        <f>IF(EE180=-1,"x",IF(OR(EE278=1,EE$229=1,$GT180=1),EE180,0))</f>
        <v>x</v>
      </c>
      <c r="EF363" s="39" t="str">
        <f>IF(EF180=-1,"x",IF(OR(EF278=1,EF$229=1,$GU180=1),EF180,0))</f>
        <v>x</v>
      </c>
      <c r="EG363" s="41" t="str">
        <f>IF(EG180=-1,"x",IF(OR(EG278=1,EG$229=1,$GV180=1),EG180,0))</f>
        <v>x</v>
      </c>
      <c r="EH363" s="40" t="str">
        <f>IF(EH180=-1,"x",IF(OR(EH278=1,EH$229=1,$GT180=1),EH180,0))</f>
        <v>x</v>
      </c>
      <c r="EI363" s="39" t="str">
        <f>IF(EI180=-1,"x",IF(OR(EI278=1,EI$229=1,$GU180=1),EI180,0))</f>
        <v>x</v>
      </c>
      <c r="EJ363" s="95" t="str">
        <f>IF(EJ180=-1,"x",IF(OR(EJ278=1,EJ$229=1,$GV180=1),EJ180,0))</f>
        <v>x</v>
      </c>
      <c r="EK363" s="94" t="str">
        <f>IF(EK180=-1,"x",IF(OR(EK278=1,EK$229=1,$GT180=1),EK180,0))</f>
        <v>x</v>
      </c>
      <c r="EL363" s="39" t="str">
        <f>IF(EL180=-1,"x",IF(OR(EL278=1,EL$229=1,$GU180=1),EL180,0))</f>
        <v>x</v>
      </c>
      <c r="EM363" s="41" t="str">
        <f>IF(EM180=-1,"x",IF(OR(EM278=1,EM$229=1,$GV180=1),EM180,0))</f>
        <v>x</v>
      </c>
      <c r="EN363" s="40" t="str">
        <f>IF(EN180=-1,"x",IF(OR(EN278=1,EN$229=1,$GT180=1),EN180,0))</f>
        <v>x</v>
      </c>
      <c r="EO363" s="39" t="str">
        <f>IF(EO180=-1,"x",IF(OR(EO278=1,EO$229=1,$GU180=1),EO180,0))</f>
        <v>x</v>
      </c>
      <c r="EP363" s="41" t="str">
        <f>IF(EP180=-1,"x",IF(OR(EP278=1,EP$229=1,$GV180=1),EP180,0))</f>
        <v>x</v>
      </c>
      <c r="EQ363" s="40" t="str">
        <f>IF(EQ180=-1,"x",IF(OR(EQ278=1,EQ$229=1,$GT180=1),EQ180,0))</f>
        <v>x</v>
      </c>
      <c r="ER363" s="39" t="str">
        <f>IF(ER180=-1,"x",IF(OR(ER278=1,ER$229=1,$GU180=1),ER180,0))</f>
        <v>x</v>
      </c>
      <c r="ES363" s="42" t="str">
        <f>IF(ES180=-1,"x",IF(OR(ES278=1,ES$229=1,$GV180=1),ES180,0))</f>
        <v>x</v>
      </c>
      <c r="ET363" s="43" t="str">
        <f>IF(ET180=-1,"x",IF(OR(ET278=1,ET$229=1,$GT180=1),ET180,0))</f>
        <v>x</v>
      </c>
      <c r="EU363" s="39" t="str">
        <f>IF(EU180=-1,"x",IF(OR(EU278=1,EU$229=1,$GU180=1),EU180,0))</f>
        <v>x</v>
      </c>
      <c r="EV363" s="41" t="str">
        <f>IF(EV180=-1,"x",IF(OR(EV278=1,EV$229=1,$GV180=1),EV180,0))</f>
        <v>x</v>
      </c>
      <c r="EW363" s="40" t="str">
        <f>IF(EW180=-1,"x",IF(OR(EW278=1,EW$229=1,$GT180=1),EW180,0))</f>
        <v>x</v>
      </c>
      <c r="EX363" s="39" t="str">
        <f>IF(EX180=-1,"x",IF(OR(EX278=1,EX$229=1,$GU180=1),EX180,0))</f>
        <v>x</v>
      </c>
      <c r="EY363" s="41" t="str">
        <f>IF(EY180=-1,"x",IF(OR(EY278=1,EY$229=1,$GV180=1),EY180,0))</f>
        <v>x</v>
      </c>
      <c r="EZ363" s="40" t="str">
        <f>IF(EZ180=-1,"x",IF(OR(EZ278=1,EZ$229=1,$GT180=1),EZ180,0))</f>
        <v>x</v>
      </c>
      <c r="FA363" s="39" t="str">
        <f>IF(FA180=-1,"x",IF(OR(FA278=1,FA$229=1,$GU180=1),FA180,0))</f>
        <v>x</v>
      </c>
      <c r="FB363" s="42" t="str">
        <f>IF(FB180=-1,"x",IF(OR(FB278=1,FB$229=1,$GV180=1),FB180,0))</f>
        <v>x</v>
      </c>
      <c r="FC363" s="43" t="str">
        <f>IF(FC180=-1,"x",IF(OR(FC278=1,FC$229=1,$GT180=1),FC180,0))</f>
        <v>x</v>
      </c>
      <c r="FD363" s="39" t="str">
        <f>IF(FD180=-1,"x",IF(OR(FD278=1,FD$229=1,$GU180=1),FD180,0))</f>
        <v>x</v>
      </c>
      <c r="FE363" s="41" t="str">
        <f>IF(FE180=-1,"x",IF(OR(FE278=1,FE$229=1,$GV180=1),FE180,0))</f>
        <v>x</v>
      </c>
      <c r="FF363" s="40" t="str">
        <f>IF(FF180=-1,"x",IF(OR(FF278=1,FF$229=1,$GT180=1),FF180,0))</f>
        <v>x</v>
      </c>
      <c r="FG363" s="39" t="str">
        <f>IF(FG180=-1,"x",IF(OR(FG278=1,FG$229=1,$GU180=1),FG180,0))</f>
        <v>x</v>
      </c>
      <c r="FH363" s="41" t="str">
        <f>IF(FH180=-1,"x",IF(OR(FH278=1,FH$229=1,$GV180=1),FH180,0))</f>
        <v>x</v>
      </c>
      <c r="FI363" s="40" t="str">
        <f>IF(FI180=-1,"x",IF(OR(FI278=1,FI$229=1,$GT180=1),FI180,0))</f>
        <v>x</v>
      </c>
      <c r="FJ363" s="39" t="str">
        <f>IF(FJ180=-1,"x",IF(OR(FJ278=1,FJ$229=1,$GU180=1),FJ180,0))</f>
        <v>x</v>
      </c>
      <c r="FK363" s="95" t="str">
        <f>IF(FK180=-1,"x",IF(OR(FK278=1,FK$229=1,$GV180=1),FK180,0))</f>
        <v>x</v>
      </c>
      <c r="FL363" s="94" t="str">
        <f>IF(FL180=-1,"x",IF(OR(FL278=1,FL$229=1,$GT180=1),FL180,0))</f>
        <v>x</v>
      </c>
      <c r="FM363" s="39" t="str">
        <f>IF(FM180=-1,"x",IF(OR(FM278=1,FM$229=1,$GU180=1),FM180,0))</f>
        <v>x</v>
      </c>
      <c r="FN363" s="41" t="str">
        <f>IF(FN180=-1,"x",IF(OR(FN278=1,FN$229=1,$GV180=1),FN180,0))</f>
        <v>x</v>
      </c>
      <c r="FO363" s="40" t="str">
        <f>IF(FO180=-1,"x",IF(OR(FO278=1,FO$229=1,$GT180=1),FO180,0))</f>
        <v>x</v>
      </c>
      <c r="FP363" s="39" t="str">
        <f>IF(FP180=-1,"x",IF(OR(FP278=1,FP$229=1,$GU180=1),FP180,0))</f>
        <v>x</v>
      </c>
      <c r="FQ363" s="41" t="str">
        <f>IF(FQ180=-1,"x",IF(OR(FQ278=1,FQ$229=1,$GV180=1),FQ180,0))</f>
        <v>x</v>
      </c>
      <c r="FR363" s="40" t="str">
        <f>IF(FR180=-1,"x",IF(OR(FR278=1,FR$229=1,$GT180=1),FR180,0))</f>
        <v>x</v>
      </c>
      <c r="FS363" s="39" t="str">
        <f>IF(FS180=-1,"x",IF(OR(FS278=1,FS$229=1,$GU180=1),FS180,0))</f>
        <v>x</v>
      </c>
      <c r="FT363" s="42" t="str">
        <f>IF(FT180=-1,"x",IF(OR(FT278=1,FT$229=1,$GV180=1),FT180,0))</f>
        <v>x</v>
      </c>
      <c r="FU363" s="43" t="str">
        <f>IF(FU180=-1,"x",IF(OR(FU278=1,FU$229=1,$GT180=1),FU180,0))</f>
        <v>x</v>
      </c>
      <c r="FV363" s="39" t="str">
        <f>IF(FV180=-1,"x",IF(OR(FV278=1,FV$229=1,$GU180=1),FV180,0))</f>
        <v>x</v>
      </c>
      <c r="FW363" s="41" t="str">
        <f>IF(FW180=-1,"x",IF(OR(FW278=1,FW$229=1,$GV180=1),FW180,0))</f>
        <v>x</v>
      </c>
      <c r="FX363" s="40" t="str">
        <f>IF(FX180=-1,"x",IF(OR(FX278=1,FX$229=1,$GT180=1),FX180,0))</f>
        <v>x</v>
      </c>
      <c r="FY363" s="39" t="str">
        <f>IF(FY180=-1,"x",IF(OR(FY278=1,FY$229=1,$GU180=1),FY180,0))</f>
        <v>x</v>
      </c>
      <c r="FZ363" s="41" t="str">
        <f>IF(FZ180=-1,"x",IF(OR(FZ278=1,FZ$229=1,$GV180=1),FZ180,0))</f>
        <v>x</v>
      </c>
      <c r="GA363" s="40" t="str">
        <f>IF(GA180=-1,"x",IF(OR(GA278=1,GA$229=1,$GT180=1),GA180,0))</f>
        <v>x</v>
      </c>
      <c r="GB363" s="39" t="str">
        <f>IF(GB180=-1,"x",IF(OR(GB278=1,GB$229=1,$GU180=1),GB180,0))</f>
        <v>x</v>
      </c>
      <c r="GC363" s="42" t="str">
        <f>IF(GC180=-1,"x",IF(OR(GC278=1,GC$229=1,$GV180=1),GC180,0))</f>
        <v>x</v>
      </c>
      <c r="GD363" s="43">
        <f>IF(GD180=-1,"x",IF(OR(GD278=1,GD$229=1,$GT180=1),GD180,0))</f>
        <v>0</v>
      </c>
      <c r="GE363" s="39">
        <f>IF(GE180=-1,"x",IF(OR(GE278=1,GE$229=1,$GU180=1),GE180,0))</f>
        <v>0</v>
      </c>
      <c r="GF363" s="41">
        <f>IF(GF180=-1,"x",IF(OR(GF278=1,GF$229=1,$GV180=1),GF180,0))</f>
        <v>0</v>
      </c>
      <c r="GG363" s="40">
        <f>IF(GG180=-1,"x",IF(OR(GG278=1,GG$229=1,$GT180=1),GG180,0))</f>
        <v>0</v>
      </c>
      <c r="GH363" s="39">
        <f>IF(GH180=-1,"x",IF(OR(GH278=1,GH$229=1,$GU180=1),GH180,0))</f>
        <v>0</v>
      </c>
      <c r="GI363" s="41">
        <f>IF(GI180=-1,"x",IF(OR(GI278=1,GI$229=1,$GV180=1),GI180,0))</f>
        <v>0</v>
      </c>
      <c r="GJ363" s="40" t="str">
        <f>IF(GJ180=-1,"x",IF(OR(GJ278=1,GJ$229=1,$GT180=1),GJ180,0))</f>
        <v>x</v>
      </c>
      <c r="GK363" s="39" t="str">
        <f>IF(GK180=-1,"x",IF(OR(GK278=1,GK$229=1,$GU180=1),GK180,0))</f>
        <v>x</v>
      </c>
      <c r="GL363" s="95" t="str">
        <f>IF(GL180=-1,"x",IF(OR(GL278=1,GL$229=1,$GV180=1),GL180,0))</f>
        <v>x</v>
      </c>
    </row>
    <row r="364" spans="14:194" ht="15" customHeight="1">
      <c r="N364" s="99" t="str">
        <f>IF(N181=-1,"x",IF(OR(N279=1,N$197=1,$CX181=1),N181,0))</f>
        <v>x</v>
      </c>
      <c r="O364" s="45" t="str">
        <f>IF(O181=-1,"x",IF(OR(O279=1,O$197=1,$CY181=1),O181,0))</f>
        <v>x</v>
      </c>
      <c r="P364" s="47" t="str">
        <f>IF(P181=-1,"x",IF(OR(P279=1,P$197=1,$CZ181=1),P181,0))</f>
        <v>x</v>
      </c>
      <c r="Q364" s="46" t="str">
        <f>IF(Q181=-1,"x",IF(OR(Q279=1,Q$197=1,$CX181=1),Q181,0))</f>
        <v>x</v>
      </c>
      <c r="R364" s="45" t="str">
        <f>IF(R181=-1,"x",IF(OR(R279=1,R$197=1,$CY181=1),R181,0))</f>
        <v>x</v>
      </c>
      <c r="S364" s="47" t="str">
        <f>IF(S181=-1,"x",IF(OR(S279=1,S$197=1,$CZ181=1),S181,0))</f>
        <v>x</v>
      </c>
      <c r="T364" s="46" t="str">
        <f>IF(T181=-1,"x",IF(OR(T279=1,T$197=1,$CX181=1),T181,0))</f>
        <v>x</v>
      </c>
      <c r="U364" s="45" t="str">
        <f>IF(U181=-1,"x",IF(OR(U279=1,U$197=1,$CY181=1),U181,0))</f>
        <v>x</v>
      </c>
      <c r="V364" s="48" t="str">
        <f>IF(V181=-1,"x",IF(OR(V279=1,V$197=1,$CZ181=1),V181,0))</f>
        <v>x</v>
      </c>
      <c r="W364" s="44" t="str">
        <f>IF(W181=-1,"x",IF(OR(W279=1,W$197=1,$CX181=1),W181,0))</f>
        <v>x</v>
      </c>
      <c r="X364" s="45" t="str">
        <f>IF(X181=-1,"x",IF(OR(X279=1,X$197=1,$CY181=1),X181,0))</f>
        <v>x</v>
      </c>
      <c r="Y364" s="47" t="str">
        <f>IF(Y181=-1,"x",IF(OR(Y279=1,Y$197=1,$CZ181=1),Y181,0))</f>
        <v>x</v>
      </c>
      <c r="Z364" s="46" t="str">
        <f>IF(Z181=-1,"x",IF(OR(Z279=1,Z$197=1,$CX181=1),Z181,0))</f>
        <v>x</v>
      </c>
      <c r="AA364" s="45" t="str">
        <f>IF(AA181=-1,"x",IF(OR(AA279=1,AA$197=1,$CY181=1),AA181,0))</f>
        <v>x</v>
      </c>
      <c r="AB364" s="47" t="str">
        <f>IF(AB181=-1,"x",IF(OR(AB279=1,AB$197=1,$CZ181=1),AB181,0))</f>
        <v>x</v>
      </c>
      <c r="AC364" s="46">
        <f>IF(AC181=-1,"x",IF(OR(AC279=1,AC$197=1,$CX181=1),AC181,0))</f>
        <v>0</v>
      </c>
      <c r="AD364" s="45">
        <f>IF(AD181=-1,"x",IF(OR(AD279=1,AD$197=1,$CY181=1),AD181,0))</f>
        <v>0</v>
      </c>
      <c r="AE364" s="48">
        <f>IF(AE181=-1,"x",IF(OR(AE279=1,AE$197=1,$CZ181=1),AE181,0))</f>
        <v>0</v>
      </c>
      <c r="AF364" s="44" t="str">
        <f>IF(AF181=-1,"x",IF(OR(AF279=1,AF$197=1,$CX181=1),AF181,0))</f>
        <v>x</v>
      </c>
      <c r="AG364" s="45" t="str">
        <f>IF(AG181=-1,"x",IF(OR(AG279=1,AG$197=1,$CY181=1),AG181,0))</f>
        <v>x</v>
      </c>
      <c r="AH364" s="47" t="str">
        <f>IF(AH181=-1,"x",IF(OR(AH279=1,AH$197=1,$CZ181=1),AH181,0))</f>
        <v>x</v>
      </c>
      <c r="AI364" s="46" t="str">
        <f>IF(AI181=-1,"x",IF(OR(AI279=1,AI$197=1,$CX181=1),AI181,0))</f>
        <v>x</v>
      </c>
      <c r="AJ364" s="45" t="str">
        <f>IF(AJ181=-1,"x",IF(OR(AJ279=1,AJ$197=1,$CY181=1),AJ181,0))</f>
        <v>x</v>
      </c>
      <c r="AK364" s="47" t="str">
        <f>IF(AK181=-1,"x",IF(OR(AK279=1,AK$197=1,$CZ181=1),AK181,0))</f>
        <v>x</v>
      </c>
      <c r="AL364" s="46" t="str">
        <f>IF(AL181=-1,"x",IF(OR(AL279=1,AL$197=1,$CX181=1),AL181,0))</f>
        <v>x</v>
      </c>
      <c r="AM364" s="45" t="str">
        <f>IF(AM181=-1,"x",IF(OR(AM279=1,AM$197=1,$CY181=1),AM181,0))</f>
        <v>x</v>
      </c>
      <c r="AN364" s="100" t="str">
        <f>IF(AN181=-1,"x",IF(OR(AN279=1,AN$197=1,$CZ181=1),AN181,0))</f>
        <v>x</v>
      </c>
      <c r="AO364" s="99" t="str">
        <f>IF(AO181=-1,"x",IF(OR(AO279=1,AO$197=1,$CX181=1),AO181,0))</f>
        <v>x</v>
      </c>
      <c r="AP364" s="45" t="str">
        <f>IF(AP181=-1,"x",IF(OR(AP279=1,AP$197=1,$CY181=1),AP181,0))</f>
        <v>x</v>
      </c>
      <c r="AQ364" s="47" t="str">
        <f>IF(AQ181=-1,"x",IF(OR(AQ279=1,AQ$197=1,$CZ181=1),AQ181,0))</f>
        <v>x</v>
      </c>
      <c r="AR364" s="46" t="str">
        <f>IF(AR181=-1,"x",IF(OR(AR279=1,AR$197=1,$CX181=1),AR181,0))</f>
        <v>x</v>
      </c>
      <c r="AS364" s="45" t="str">
        <f>IF(AS181=-1,"x",IF(OR(AS279=1,AS$197=1,$CY181=1),AS181,0))</f>
        <v>x</v>
      </c>
      <c r="AT364" s="47" t="str">
        <f>IF(AT181=-1,"x",IF(OR(AT279=1,AT$197=1,$CZ181=1),AT181,0))</f>
        <v>x</v>
      </c>
      <c r="AU364" s="46" t="str">
        <f>IF(AU181=-1,"x",IF(OR(AU279=1,AU$197=1,$CX181=1),AU181,0))</f>
        <v>x</v>
      </c>
      <c r="AV364" s="45" t="str">
        <f>IF(AV181=-1,"x",IF(OR(AV279=1,AV$197=1,$CY181=1),AV181,0))</f>
        <v>x</v>
      </c>
      <c r="AW364" s="48" t="str">
        <f>IF(AW181=-1,"x",IF(OR(AW279=1,AW$197=1,$CZ181=1),AW181,0))</f>
        <v>x</v>
      </c>
      <c r="AX364" s="44">
        <f>IF(AX181=-1,"x",IF(OR(AX279=1,AX$197=1,$CX181=1),AX181,0))</f>
        <v>0</v>
      </c>
      <c r="AY364" s="45">
        <f>IF(AY181=-1,"x",IF(OR(AY279=1,AY$197=1,$CY181=1),AY181,0))</f>
        <v>0</v>
      </c>
      <c r="AZ364" s="47">
        <f>IF(AZ181=-1,"x",IF(OR(AZ279=1,AZ$197=1,$CZ181=1),AZ181,0))</f>
        <v>0</v>
      </c>
      <c r="BA364" s="46">
        <f>IF(BA181=-1,"x",IF(OR(BA279=1,BA$197=1,$CX181=1),BA181,0))</f>
        <v>0</v>
      </c>
      <c r="BB364" s="45">
        <f>IF(BB181=-1,"x",IF(OR(BB279=1,BB$197=1,$CY181=1),BB181,0))</f>
        <v>0</v>
      </c>
      <c r="BC364" s="47">
        <f>IF(BC181=-1,"x",IF(OR(BC279=1,BC$197=1,$CZ181=1),BC181,0))</f>
        <v>0</v>
      </c>
      <c r="BD364" s="46" t="str">
        <f>IF(BD181=-1,"x",IF(OR(BD279=1,BD$197=1,$CX181=1),BD181,0))</f>
        <v>x</v>
      </c>
      <c r="BE364" s="45" t="str">
        <f>IF(BE181=-1,"x",IF(OR(BE279=1,BE$197=1,$CY181=1),BE181,0))</f>
        <v>x</v>
      </c>
      <c r="BF364" s="48" t="str">
        <f>IF(BF181=-1,"x",IF(OR(BF279=1,BF$197=1,$CZ181=1),BF181,0))</f>
        <v>x</v>
      </c>
      <c r="BG364" s="44" t="str">
        <f>IF(BG181=-1,"x",IF(OR(BG279=1,BG$197=1,$CX181=1),BG181,0))</f>
        <v>x</v>
      </c>
      <c r="BH364" s="45" t="str">
        <f>IF(BH181=-1,"x",IF(OR(BH279=1,BH$197=1,$CY181=1),BH181,0))</f>
        <v>x</v>
      </c>
      <c r="BI364" s="47" t="str">
        <f>IF(BI181=-1,"x",IF(OR(BI279=1,BI$197=1,$CZ181=1),BI181,0))</f>
        <v>x</v>
      </c>
      <c r="BJ364" s="46">
        <f>IF(BJ181=-1,"x",IF(OR(BJ279=1,BJ$197=1,$CX181=1),BJ181,0))</f>
        <v>0</v>
      </c>
      <c r="BK364" s="45">
        <f>IF(BK181=-1,"x",IF(OR(BK279=1,BK$197=1,$CY181=1),BK181,0))</f>
        <v>0</v>
      </c>
      <c r="BL364" s="47">
        <f>IF(BL181=-1,"x",IF(OR(BL279=1,BL$197=1,$CZ181=1),BL181,0))</f>
        <v>0</v>
      </c>
      <c r="BM364" s="46" t="str">
        <f>IF(BM181=-1,"x",IF(OR(BM279=1,BM$197=1,$CX181=1),BM181,0))</f>
        <v>x</v>
      </c>
      <c r="BN364" s="45" t="str">
        <f>IF(BN181=-1,"x",IF(OR(BN279=1,BN$197=1,$CY181=1),BN181,0))</f>
        <v>x</v>
      </c>
      <c r="BO364" s="100" t="str">
        <f>IF(BO181=-1,"x",IF(OR(BO279=1,BO$197=1,$CZ181=1),BO181,0))</f>
        <v>x</v>
      </c>
      <c r="BP364" s="99" t="str">
        <f>IF(BP181=-1,"x",IF(OR(BP279=1,BP$197=1,$CX181=1),BP181,0))</f>
        <v>x</v>
      </c>
      <c r="BQ364" s="45" t="str">
        <f>IF(BQ181=-1,"x",IF(OR(BQ279=1,BQ$197=1,$CY181=1),BQ181,0))</f>
        <v>x</v>
      </c>
      <c r="BR364" s="47" t="str">
        <f>IF(BR181=-1,"x",IF(OR(BR279=1,BR$197=1,$CZ181=1),BR181,0))</f>
        <v>x</v>
      </c>
      <c r="BS364" s="46" t="str">
        <f>IF(BS181=-1,"x",IF(OR(BS279=1,BS$197=1,$CX181=1),BS181,0))</f>
        <v>x</v>
      </c>
      <c r="BT364" s="45" t="str">
        <f>IF(BT181=-1,"x",IF(OR(BT279=1,BT$197=1,$CY181=1),BT181,0))</f>
        <v>x</v>
      </c>
      <c r="BU364" s="47" t="str">
        <f>IF(BU181=-1,"x",IF(OR(BU279=1,BU$197=1,$CZ181=1),BU181,0))</f>
        <v>x</v>
      </c>
      <c r="BV364" s="46" t="str">
        <f>IF(BV181=-1,"x",IF(OR(BV279=1,BV$197=1,$CX181=1),BV181,0))</f>
        <v>x</v>
      </c>
      <c r="BW364" s="45" t="str">
        <f>IF(BW181=-1,"x",IF(OR(BW279=1,BW$197=1,$CY181=1),BW181,0))</f>
        <v>x</v>
      </c>
      <c r="BX364" s="48" t="str">
        <f>IF(BX181=-1,"x",IF(OR(BX279=1,BX$197=1,$CZ181=1),BX181,0))</f>
        <v>x</v>
      </c>
      <c r="BY364" s="44" t="str">
        <f>IF(BY181=-1,"x",IF(OR(BY279=1,BY$197=1,$CX181=1),BY181,0))</f>
        <v>x</v>
      </c>
      <c r="BZ364" s="45" t="str">
        <f>IF(BZ181=-1,"x",IF(OR(BZ279=1,BZ$197=1,$CY181=1),BZ181,0))</f>
        <v>x</v>
      </c>
      <c r="CA364" s="47" t="str">
        <f>IF(CA181=-1,"x",IF(OR(CA279=1,CA$197=1,$CZ181=1),CA181,0))</f>
        <v>x</v>
      </c>
      <c r="CB364" s="46" t="str">
        <f>IF(CB181=-1,"x",IF(OR(CB279=1,CB$197=1,$CX181=1),CB181,0))</f>
        <v>x</v>
      </c>
      <c r="CC364" s="45" t="str">
        <f>IF(CC181=-1,"x",IF(OR(CC279=1,CC$197=1,$CY181=1),CC181,0))</f>
        <v>x</v>
      </c>
      <c r="CD364" s="47" t="str">
        <f>IF(CD181=-1,"x",IF(OR(CD279=1,CD$197=1,$CZ181=1),CD181,0))</f>
        <v>x</v>
      </c>
      <c r="CE364" s="46" t="str">
        <f>IF(CE181=-1,"x",IF(OR(CE279=1,CE$197=1,$CX181=1),CE181,0))</f>
        <v>x</v>
      </c>
      <c r="CF364" s="45" t="str">
        <f>IF(CF181=-1,"x",IF(OR(CF279=1,CF$197=1,$CY181=1),CF181,0))</f>
        <v>x</v>
      </c>
      <c r="CG364" s="48" t="str">
        <f>IF(CG181=-1,"x",IF(OR(CG279=1,CG$197=1,$CZ181=1),CG181,0))</f>
        <v>x</v>
      </c>
      <c r="CH364" s="44" t="str">
        <f>IF(CH181=-1,"x",IF(OR(CH279=1,CH$197=1,$CX181=1),CH181,0))</f>
        <v>x</v>
      </c>
      <c r="CI364" s="45" t="str">
        <f>IF(CI181=-1,"x",IF(OR(CI279=1,CI$197=1,$CY181=1),CI181,0))</f>
        <v>x</v>
      </c>
      <c r="CJ364" s="47" t="str">
        <f>IF(CJ181=-1,"x",IF(OR(CJ279=1,CJ$197=1,$CZ181=1),CJ181,0))</f>
        <v>x</v>
      </c>
      <c r="CK364" s="46" t="str">
        <f>IF(CK181=-1,"x",IF(OR(CK279=1,CK$197=1,$CX181=1),CK181,0))</f>
        <v>x</v>
      </c>
      <c r="CL364" s="45" t="str">
        <f>IF(CL181=-1,"x",IF(OR(CL279=1,CL$197=1,$CY181=1),CL181,0))</f>
        <v>x</v>
      </c>
      <c r="CM364" s="47" t="str">
        <f>IF(CM181=-1,"x",IF(OR(CM279=1,CM$197=1,$CZ181=1),CM181,0))</f>
        <v>x</v>
      </c>
      <c r="CN364" s="46" t="str">
        <f>IF(CN181=-1,"x",IF(OR(CN279=1,CN$197=1,$CX181=1),CN181,0))</f>
        <v>x</v>
      </c>
      <c r="CO364" s="45" t="str">
        <f>IF(CO181=-1,"x",IF(OR(CO279=1,CO$197=1,$CY181=1),CO181,0))</f>
        <v>x</v>
      </c>
      <c r="CP364" s="100" t="str">
        <f>IF(CP181=-1,"x",IF(OR(CP279=1,CP$197=1,$CZ181=1),CP181,0))</f>
        <v>x</v>
      </c>
      <c r="DJ364" s="99" t="str">
        <f>IF(DJ181=-1,"x",IF(OR(DJ279=1,DJ$230=1,$GT181=1),DJ181,0))</f>
        <v>x</v>
      </c>
      <c r="DK364" s="45" t="str">
        <f>IF(DK181=-1,"x",IF(OR(DK279=1,DK$230=1,$GU181=1),DK181,0))</f>
        <v>x</v>
      </c>
      <c r="DL364" s="47" t="str">
        <f>IF(DL181=-1,"x",IF(OR(DL279=1,DL$230=1,$GV181=1),DL181,0))</f>
        <v>x</v>
      </c>
      <c r="DM364" s="46" t="str">
        <f>IF(DM181=-1,"x",IF(OR(DM279=1,DM$230=1,$GT181=1),DM181,0))</f>
        <v>x</v>
      </c>
      <c r="DN364" s="45" t="str">
        <f>IF(DN181=-1,"x",IF(OR(DN279=1,DN$230=1,$GU181=1),DN181,0))</f>
        <v>x</v>
      </c>
      <c r="DO364" s="47" t="str">
        <f>IF(DO181=-1,"x",IF(OR(DO279=1,DO$230=1,$GV181=1),DO181,0))</f>
        <v>x</v>
      </c>
      <c r="DP364" s="46">
        <f>IF(DP181=-1,"x",IF(OR(DP279=1,DP$230=1,$GT181=1),DP181,0))</f>
        <v>0</v>
      </c>
      <c r="DQ364" s="45">
        <f>IF(DQ181=-1,"x",IF(OR(DQ279=1,DQ$230=1,$GU181=1),DQ181,0))</f>
        <v>0</v>
      </c>
      <c r="DR364" s="48">
        <f>IF(DR181=-1,"x",IF(OR(DR279=1,DR$230=1,$GV181=1),DR181,0))</f>
        <v>0</v>
      </c>
      <c r="DS364" s="44" t="str">
        <f>IF(DS181=-1,"x",IF(OR(DS279=1,DS$230=1,$GT181=1),DS181,0))</f>
        <v>x</v>
      </c>
      <c r="DT364" s="45" t="str">
        <f>IF(DT181=-1,"x",IF(OR(DT279=1,DT$230=1,$GU181=1),DT181,0))</f>
        <v>x</v>
      </c>
      <c r="DU364" s="47" t="str">
        <f>IF(DU181=-1,"x",IF(OR(DU279=1,DU$230=1,$GV181=1),DU181,0))</f>
        <v>x</v>
      </c>
      <c r="DV364" s="46" t="str">
        <f>IF(DV181=-1,"x",IF(OR(DV279=1,DV$230=1,$GT181=1),DV181,0))</f>
        <v>x</v>
      </c>
      <c r="DW364" s="45" t="str">
        <f>IF(DW181=-1,"x",IF(OR(DW279=1,DW$230=1,$GU181=1),DW181,0))</f>
        <v>x</v>
      </c>
      <c r="DX364" s="47" t="str">
        <f>IF(DX181=-1,"x",IF(OR(DX279=1,DX$230=1,$GV181=1),DX181,0))</f>
        <v>x</v>
      </c>
      <c r="DY364" s="46" t="str">
        <f>IF(DY181=-1,"x",IF(OR(DY279=1,DY$230=1,$GT181=1),DY181,0))</f>
        <v>x</v>
      </c>
      <c r="DZ364" s="45" t="str">
        <f>IF(DZ181=-1,"x",IF(OR(DZ279=1,DZ$230=1,$GU181=1),DZ181,0))</f>
        <v>x</v>
      </c>
      <c r="EA364" s="48" t="str">
        <f>IF(EA181=-1,"x",IF(OR(EA279=1,EA$230=1,$GV181=1),EA181,0))</f>
        <v>x</v>
      </c>
      <c r="EB364" s="44" t="str">
        <f>IF(EB181=-1,"x",IF(OR(EB279=1,EB$230=1,$GT181=1),EB181,0))</f>
        <v>x</v>
      </c>
      <c r="EC364" s="45" t="str">
        <f>IF(EC181=-1,"x",IF(OR(EC279=1,EC$230=1,$GU181=1),EC181,0))</f>
        <v>x</v>
      </c>
      <c r="ED364" s="47" t="str">
        <f>IF(ED181=-1,"x",IF(OR(ED279=1,ED$230=1,$GV181=1),ED181,0))</f>
        <v>x</v>
      </c>
      <c r="EE364" s="46" t="str">
        <f>IF(EE181=-1,"x",IF(OR(EE279=1,EE$230=1,$GT181=1),EE181,0))</f>
        <v>x</v>
      </c>
      <c r="EF364" s="45" t="str">
        <f>IF(EF181=-1,"x",IF(OR(EF279=1,EF$230=1,$GU181=1),EF181,0))</f>
        <v>x</v>
      </c>
      <c r="EG364" s="47" t="str">
        <f>IF(EG181=-1,"x",IF(OR(EG279=1,EG$230=1,$GV181=1),EG181,0))</f>
        <v>x</v>
      </c>
      <c r="EH364" s="46" t="str">
        <f>IF(EH181=-1,"x",IF(OR(EH279=1,EH$230=1,$GT181=1),EH181,0))</f>
        <v>x</v>
      </c>
      <c r="EI364" s="45" t="str">
        <f>IF(EI181=-1,"x",IF(OR(EI279=1,EI$230=1,$GU181=1),EI181,0))</f>
        <v>x</v>
      </c>
      <c r="EJ364" s="100" t="str">
        <f>IF(EJ181=-1,"x",IF(OR(EJ279=1,EJ$230=1,$GV181=1),EJ181,0))</f>
        <v>x</v>
      </c>
      <c r="EK364" s="99" t="str">
        <f>IF(EK181=-1,"x",IF(OR(EK279=1,EK$230=1,$GT181=1),EK181,0))</f>
        <v>x</v>
      </c>
      <c r="EL364" s="45" t="str">
        <f>IF(EL181=-1,"x",IF(OR(EL279=1,EL$230=1,$GU181=1),EL181,0))</f>
        <v>x</v>
      </c>
      <c r="EM364" s="47" t="str">
        <f>IF(EM181=-1,"x",IF(OR(EM279=1,EM$230=1,$GV181=1),EM181,0))</f>
        <v>x</v>
      </c>
      <c r="EN364" s="46" t="str">
        <f>IF(EN181=-1,"x",IF(OR(EN279=1,EN$230=1,$GT181=1),EN181,0))</f>
        <v>x</v>
      </c>
      <c r="EO364" s="45" t="str">
        <f>IF(EO181=-1,"x",IF(OR(EO279=1,EO$230=1,$GU181=1),EO181,0))</f>
        <v>x</v>
      </c>
      <c r="EP364" s="47" t="str">
        <f>IF(EP181=-1,"x",IF(OR(EP279=1,EP$230=1,$GV181=1),EP181,0))</f>
        <v>x</v>
      </c>
      <c r="EQ364" s="46" t="str">
        <f>IF(EQ181=-1,"x",IF(OR(EQ279=1,EQ$230=1,$GT181=1),EQ181,0))</f>
        <v>x</v>
      </c>
      <c r="ER364" s="45" t="str">
        <f>IF(ER181=-1,"x",IF(OR(ER279=1,ER$230=1,$GU181=1),ER181,0))</f>
        <v>x</v>
      </c>
      <c r="ES364" s="48" t="str">
        <f>IF(ES181=-1,"x",IF(OR(ES279=1,ES$230=1,$GV181=1),ES181,0))</f>
        <v>x</v>
      </c>
      <c r="ET364" s="44" t="str">
        <f>IF(ET181=-1,"x",IF(OR(ET279=1,ET$230=1,$GT181=1),ET181,0))</f>
        <v>x</v>
      </c>
      <c r="EU364" s="45" t="str">
        <f>IF(EU181=-1,"x",IF(OR(EU279=1,EU$230=1,$GU181=1),EU181,0))</f>
        <v>x</v>
      </c>
      <c r="EV364" s="47" t="str">
        <f>IF(EV181=-1,"x",IF(OR(EV279=1,EV$230=1,$GV181=1),EV181,0))</f>
        <v>x</v>
      </c>
      <c r="EW364" s="46" t="str">
        <f>IF(EW181=-1,"x",IF(OR(EW279=1,EW$230=1,$GT181=1),EW181,0))</f>
        <v>x</v>
      </c>
      <c r="EX364" s="45" t="str">
        <f>IF(EX181=-1,"x",IF(OR(EX279=1,EX$230=1,$GU181=1),EX181,0))</f>
        <v>x</v>
      </c>
      <c r="EY364" s="47" t="str">
        <f>IF(EY181=-1,"x",IF(OR(EY279=1,EY$230=1,$GV181=1),EY181,0))</f>
        <v>x</v>
      </c>
      <c r="EZ364" s="46" t="str">
        <f>IF(EZ181=-1,"x",IF(OR(EZ279=1,EZ$230=1,$GT181=1),EZ181,0))</f>
        <v>x</v>
      </c>
      <c r="FA364" s="45" t="str">
        <f>IF(FA181=-1,"x",IF(OR(FA279=1,FA$230=1,$GU181=1),FA181,0))</f>
        <v>x</v>
      </c>
      <c r="FB364" s="48" t="str">
        <f>IF(FB181=-1,"x",IF(OR(FB279=1,FB$230=1,$GV181=1),FB181,0))</f>
        <v>x</v>
      </c>
      <c r="FC364" s="44" t="str">
        <f>IF(FC181=-1,"x",IF(OR(FC279=1,FC$230=1,$GT181=1),FC181,0))</f>
        <v>x</v>
      </c>
      <c r="FD364" s="45" t="str">
        <f>IF(FD181=-1,"x",IF(OR(FD279=1,FD$230=1,$GU181=1),FD181,0))</f>
        <v>x</v>
      </c>
      <c r="FE364" s="47" t="str">
        <f>IF(FE181=-1,"x",IF(OR(FE279=1,FE$230=1,$GV181=1),FE181,0))</f>
        <v>x</v>
      </c>
      <c r="FF364" s="46" t="str">
        <f>IF(FF181=-1,"x",IF(OR(FF279=1,FF$230=1,$GT181=1),FF181,0))</f>
        <v>x</v>
      </c>
      <c r="FG364" s="45" t="str">
        <f>IF(FG181=-1,"x",IF(OR(FG279=1,FG$230=1,$GU181=1),FG181,0))</f>
        <v>x</v>
      </c>
      <c r="FH364" s="47" t="str">
        <f>IF(FH181=-1,"x",IF(OR(FH279=1,FH$230=1,$GV181=1),FH181,0))</f>
        <v>x</v>
      </c>
      <c r="FI364" s="46" t="str">
        <f>IF(FI181=-1,"x",IF(OR(FI279=1,FI$230=1,$GT181=1),FI181,0))</f>
        <v>x</v>
      </c>
      <c r="FJ364" s="45" t="str">
        <f>IF(FJ181=-1,"x",IF(OR(FJ279=1,FJ$230=1,$GU181=1),FJ181,0))</f>
        <v>x</v>
      </c>
      <c r="FK364" s="100" t="str">
        <f>IF(FK181=-1,"x",IF(OR(FK279=1,FK$230=1,$GV181=1),FK181,0))</f>
        <v>x</v>
      </c>
      <c r="FL364" s="99" t="str">
        <f>IF(FL181=-1,"x",IF(OR(FL279=1,FL$230=1,$GT181=1),FL181,0))</f>
        <v>x</v>
      </c>
      <c r="FM364" s="45" t="str">
        <f>IF(FM181=-1,"x",IF(OR(FM279=1,FM$230=1,$GU181=1),FM181,0))</f>
        <v>x</v>
      </c>
      <c r="FN364" s="47" t="str">
        <f>IF(FN181=-1,"x",IF(OR(FN279=1,FN$230=1,$GV181=1),FN181,0))</f>
        <v>x</v>
      </c>
      <c r="FO364" s="46" t="str">
        <f>IF(FO181=-1,"x",IF(OR(FO279=1,FO$230=1,$GT181=1),FO181,0))</f>
        <v>x</v>
      </c>
      <c r="FP364" s="45" t="str">
        <f>IF(FP181=-1,"x",IF(OR(FP279=1,FP$230=1,$GU181=1),FP181,0))</f>
        <v>x</v>
      </c>
      <c r="FQ364" s="47" t="str">
        <f>IF(FQ181=-1,"x",IF(OR(FQ279=1,FQ$230=1,$GV181=1),FQ181,0))</f>
        <v>x</v>
      </c>
      <c r="FR364" s="46" t="str">
        <f>IF(FR181=-1,"x",IF(OR(FR279=1,FR$230=1,$GT181=1),FR181,0))</f>
        <v>x</v>
      </c>
      <c r="FS364" s="45" t="str">
        <f>IF(FS181=-1,"x",IF(OR(FS279=1,FS$230=1,$GU181=1),FS181,0))</f>
        <v>x</v>
      </c>
      <c r="FT364" s="48" t="str">
        <f>IF(FT181=-1,"x",IF(OR(FT279=1,FT$230=1,$GV181=1),FT181,0))</f>
        <v>x</v>
      </c>
      <c r="FU364" s="44" t="str">
        <f>IF(FU181=-1,"x",IF(OR(FU279=1,FU$230=1,$GT181=1),FU181,0))</f>
        <v>x</v>
      </c>
      <c r="FV364" s="45" t="str">
        <f>IF(FV181=-1,"x",IF(OR(FV279=1,FV$230=1,$GU181=1),FV181,0))</f>
        <v>x</v>
      </c>
      <c r="FW364" s="47" t="str">
        <f>IF(FW181=-1,"x",IF(OR(FW279=1,FW$230=1,$GV181=1),FW181,0))</f>
        <v>x</v>
      </c>
      <c r="FX364" s="46" t="str">
        <f>IF(FX181=-1,"x",IF(OR(FX279=1,FX$230=1,$GT181=1),FX181,0))</f>
        <v>x</v>
      </c>
      <c r="FY364" s="45" t="str">
        <f>IF(FY181=-1,"x",IF(OR(FY279=1,FY$230=1,$GU181=1),FY181,0))</f>
        <v>x</v>
      </c>
      <c r="FZ364" s="47" t="str">
        <f>IF(FZ181=-1,"x",IF(OR(FZ279=1,FZ$230=1,$GV181=1),FZ181,0))</f>
        <v>x</v>
      </c>
      <c r="GA364" s="46" t="str">
        <f>IF(GA181=-1,"x",IF(OR(GA279=1,GA$230=1,$GT181=1),GA181,0))</f>
        <v>x</v>
      </c>
      <c r="GB364" s="45" t="str">
        <f>IF(GB181=-1,"x",IF(OR(GB279=1,GB$230=1,$GU181=1),GB181,0))</f>
        <v>x</v>
      </c>
      <c r="GC364" s="48" t="str">
        <f>IF(GC181=-1,"x",IF(OR(GC279=1,GC$230=1,$GV181=1),GC181,0))</f>
        <v>x</v>
      </c>
      <c r="GD364" s="44">
        <f>IF(GD181=-1,"x",IF(OR(GD279=1,GD$230=1,$GT181=1),GD181,0))</f>
        <v>0</v>
      </c>
      <c r="GE364" s="45">
        <f>IF(GE181=-1,"x",IF(OR(GE279=1,GE$230=1,$GU181=1),GE181,0))</f>
        <v>0</v>
      </c>
      <c r="GF364" s="47">
        <f>IF(GF181=-1,"x",IF(OR(GF279=1,GF$230=1,$GV181=1),GF181,0))</f>
        <v>0</v>
      </c>
      <c r="GG364" s="46">
        <f>IF(GG181=-1,"x",IF(OR(GG279=1,GG$230=1,$GT181=1),GG181,0))</f>
        <v>0</v>
      </c>
      <c r="GH364" s="45">
        <f>IF(GH181=-1,"x",IF(OR(GH279=1,GH$230=1,$GU181=1),GH181,0))</f>
        <v>0</v>
      </c>
      <c r="GI364" s="47">
        <f>IF(GI181=-1,"x",IF(OR(GI279=1,GI$230=1,$GV181=1),GI181,0))</f>
        <v>0</v>
      </c>
      <c r="GJ364" s="46" t="str">
        <f>IF(GJ181=-1,"x",IF(OR(GJ279=1,GJ$230=1,$GT181=1),GJ181,0))</f>
        <v>x</v>
      </c>
      <c r="GK364" s="45" t="str">
        <f>IF(GK181=-1,"x",IF(OR(GK279=1,GK$230=1,$GU181=1),GK181,0))</f>
        <v>x</v>
      </c>
      <c r="GL364" s="100" t="str">
        <f>IF(GL181=-1,"x",IF(OR(GL279=1,GL$230=1,$GV181=1),GL181,0))</f>
        <v>x</v>
      </c>
    </row>
    <row r="365" spans="14:194" ht="15" customHeight="1">
      <c r="N365" s="104">
        <f>IF(N182=-1,"x",IF(OR(N280=1,N$195=1,$CX182=1),N182,0))</f>
        <v>0</v>
      </c>
      <c r="O365" s="50">
        <f>IF(O182=-1,"x",IF(OR(O280=1,O$195=1,$CY182=1),O182,0))</f>
        <v>0</v>
      </c>
      <c r="P365" s="51">
        <f>IF(P182=-1,"x",IF(OR(P280=1,P$195=1,$CZ182=1),P182,0))</f>
        <v>0</v>
      </c>
      <c r="Q365" s="52">
        <f>IF(Q182=-1,"x",IF(OR(Q280=1,Q$195=1,$CX182=1),Q182,0))</f>
        <v>0</v>
      </c>
      <c r="R365" s="50">
        <f>IF(R182=-1,"x",IF(OR(R280=1,R$195=1,$CY182=1),R182,0))</f>
        <v>0</v>
      </c>
      <c r="S365" s="51">
        <f>IF(S182=-1,"x",IF(OR(S280=1,S$195=1,$CZ182=1),S182,0))</f>
        <v>0</v>
      </c>
      <c r="T365" s="52" t="str">
        <f>IF(T182=-1,"x",IF(OR(T280=1,T$195=1,$CX182=1),T182,0))</f>
        <v>x</v>
      </c>
      <c r="U365" s="50" t="str">
        <f>IF(U182=-1,"x",IF(OR(U280=1,U$195=1,$CY182=1),U182,0))</f>
        <v>x</v>
      </c>
      <c r="V365" s="53" t="str">
        <f>IF(V182=-1,"x",IF(OR(V280=1,V$195=1,$CZ182=1),V182,0))</f>
        <v>x</v>
      </c>
      <c r="W365" s="49">
        <f>IF(W182=-1,"x",IF(OR(W280=1,W$195=1,$CX182=1),W182,0))</f>
        <v>0</v>
      </c>
      <c r="X365" s="50">
        <f>IF(X182=-1,"x",IF(OR(X280=1,X$195=1,$CY182=1),X182,0))</f>
        <v>0</v>
      </c>
      <c r="Y365" s="51">
        <f>IF(Y182=-1,"x",IF(OR(Y280=1,Y$195=1,$CZ182=1),Y182,0))</f>
        <v>0</v>
      </c>
      <c r="Z365" s="52">
        <f>IF(Z182=-1,"x",IF(OR(Z280=1,Z$195=1,$CX182=1),Z182,0))</f>
        <v>0</v>
      </c>
      <c r="AA365" s="50">
        <f>IF(AA182=-1,"x",IF(OR(AA280=1,AA$195=1,$CY182=1),AA182,0))</f>
        <v>0</v>
      </c>
      <c r="AB365" s="51">
        <f>IF(AB182=-1,"x",IF(OR(AB280=1,AB$195=1,$CZ182=1),AB182,0))</f>
        <v>0</v>
      </c>
      <c r="AC365" s="52" t="str">
        <f>IF(AC182=-1,"x",IF(OR(AC280=1,AC$195=1,$CX182=1),AC182,0))</f>
        <v>x</v>
      </c>
      <c r="AD365" s="50" t="str">
        <f>IF(AD182=-1,"x",IF(OR(AD280=1,AD$195=1,$CY182=1),AD182,0))</f>
        <v>x</v>
      </c>
      <c r="AE365" s="53" t="str">
        <f>IF(AE182=-1,"x",IF(OR(AE280=1,AE$195=1,$CZ182=1),AE182,0))</f>
        <v>x</v>
      </c>
      <c r="AF365" s="49" t="str">
        <f>IF(AF182=-1,"x",IF(OR(AF280=1,AF$195=1,$CX182=1),AF182,0))</f>
        <v>x</v>
      </c>
      <c r="AG365" s="50" t="str">
        <f>IF(AG182=-1,"x",IF(OR(AG280=1,AG$195=1,$CY182=1),AG182,0))</f>
        <v>x</v>
      </c>
      <c r="AH365" s="51" t="str">
        <f>IF(AH182=-1,"x",IF(OR(AH280=1,AH$195=1,$CZ182=1),AH182,0))</f>
        <v>x</v>
      </c>
      <c r="AI365" s="52" t="str">
        <f>IF(AI182=-1,"x",IF(OR(AI280=1,AI$195=1,$CX182=1),AI182,0))</f>
        <v>x</v>
      </c>
      <c r="AJ365" s="50" t="str">
        <f>IF(AJ182=-1,"x",IF(OR(AJ280=1,AJ$195=1,$CY182=1),AJ182,0))</f>
        <v>x</v>
      </c>
      <c r="AK365" s="51" t="str">
        <f>IF(AK182=-1,"x",IF(OR(AK280=1,AK$195=1,$CZ182=1),AK182,0))</f>
        <v>x</v>
      </c>
      <c r="AL365" s="52" t="str">
        <f>IF(AL182=-1,"x",IF(OR(AL280=1,AL$195=1,$CX182=1),AL182,0))</f>
        <v>x</v>
      </c>
      <c r="AM365" s="50" t="str">
        <f>IF(AM182=-1,"x",IF(OR(AM280=1,AM$195=1,$CY182=1),AM182,0))</f>
        <v>x</v>
      </c>
      <c r="AN365" s="105" t="str">
        <f>IF(AN182=-1,"x",IF(OR(AN280=1,AN$195=1,$CZ182=1),AN182,0))</f>
        <v>x</v>
      </c>
      <c r="AO365" s="104" t="str">
        <f>IF(AO182=-1,"x",IF(OR(AO280=1,AO$195=1,$CX182=1),AO182,0))</f>
        <v>x</v>
      </c>
      <c r="AP365" s="50" t="str">
        <f>IF(AP182=-1,"x",IF(OR(AP280=1,AP$195=1,$CY182=1),AP182,0))</f>
        <v>x</v>
      </c>
      <c r="AQ365" s="51" t="str">
        <f>IF(AQ182=-1,"x",IF(OR(AQ280=1,AQ$195=1,$CZ182=1),AQ182,0))</f>
        <v>x</v>
      </c>
      <c r="AR365" s="52" t="str">
        <f>IF(AR182=-1,"x",IF(OR(AR280=1,AR$195=1,$CX182=1),AR182,0))</f>
        <v>x</v>
      </c>
      <c r="AS365" s="50" t="str">
        <f>IF(AS182=-1,"x",IF(OR(AS280=1,AS$195=1,$CY182=1),AS182,0))</f>
        <v>x</v>
      </c>
      <c r="AT365" s="51" t="str">
        <f>IF(AT182=-1,"x",IF(OR(AT280=1,AT$195=1,$CZ182=1),AT182,0))</f>
        <v>x</v>
      </c>
      <c r="AU365" s="52" t="str">
        <f>IF(AU182=-1,"x",IF(OR(AU280=1,AU$195=1,$CX182=1),AU182,0))</f>
        <v>x</v>
      </c>
      <c r="AV365" s="50" t="str">
        <f>IF(AV182=-1,"x",IF(OR(AV280=1,AV$195=1,$CY182=1),AV182,0))</f>
        <v>x</v>
      </c>
      <c r="AW365" s="53" t="str">
        <f>IF(AW182=-1,"x",IF(OR(AW280=1,AW$195=1,$CZ182=1),AW182,0))</f>
        <v>x</v>
      </c>
      <c r="AX365" s="49" t="str">
        <f>IF(AX182=-1,"x",IF(OR(AX280=1,AX$195=1,$CX182=1),AX182,0))</f>
        <v>x</v>
      </c>
      <c r="AY365" s="50" t="str">
        <f>IF(AY182=-1,"x",IF(OR(AY280=1,AY$195=1,$CY182=1),AY182,0))</f>
        <v>x</v>
      </c>
      <c r="AZ365" s="51" t="str">
        <f>IF(AZ182=-1,"x",IF(OR(AZ280=1,AZ$195=1,$CZ182=1),AZ182,0))</f>
        <v>x</v>
      </c>
      <c r="BA365" s="52" t="str">
        <f>IF(BA182=-1,"x",IF(OR(BA280=1,BA$195=1,$CX182=1),BA182,0))</f>
        <v>x</v>
      </c>
      <c r="BB365" s="50" t="str">
        <f>IF(BB182=-1,"x",IF(OR(BB280=1,BB$195=1,$CY182=1),BB182,0))</f>
        <v>x</v>
      </c>
      <c r="BC365" s="51" t="str">
        <f>IF(BC182=-1,"x",IF(OR(BC280=1,BC$195=1,$CZ182=1),BC182,0))</f>
        <v>x</v>
      </c>
      <c r="BD365" s="52" t="str">
        <f>IF(BD182=-1,"x",IF(OR(BD280=1,BD$195=1,$CX182=1),BD182,0))</f>
        <v>x</v>
      </c>
      <c r="BE365" s="50" t="str">
        <f>IF(BE182=-1,"x",IF(OR(BE280=1,BE$195=1,$CY182=1),BE182,0))</f>
        <v>x</v>
      </c>
      <c r="BF365" s="53" t="str">
        <f>IF(BF182=-1,"x",IF(OR(BF280=1,BF$195=1,$CZ182=1),BF182,0))</f>
        <v>x</v>
      </c>
      <c r="BG365" s="49" t="str">
        <f>IF(BG182=-1,"x",IF(OR(BG280=1,BG$195=1,$CX182=1),BG182,0))</f>
        <v>x</v>
      </c>
      <c r="BH365" s="50" t="str">
        <f>IF(BH182=-1,"x",IF(OR(BH280=1,BH$195=1,$CY182=1),BH182,0))</f>
        <v>x</v>
      </c>
      <c r="BI365" s="51" t="str">
        <f>IF(BI182=-1,"x",IF(OR(BI280=1,BI$195=1,$CZ182=1),BI182,0))</f>
        <v>x</v>
      </c>
      <c r="BJ365" s="52" t="str">
        <f>IF(BJ182=-1,"x",IF(OR(BJ280=1,BJ$195=1,$CX182=1),BJ182,0))</f>
        <v>x</v>
      </c>
      <c r="BK365" s="50" t="str">
        <f>IF(BK182=-1,"x",IF(OR(BK280=1,BK$195=1,$CY182=1),BK182,0))</f>
        <v>x</v>
      </c>
      <c r="BL365" s="51" t="str">
        <f>IF(BL182=-1,"x",IF(OR(BL280=1,BL$195=1,$CZ182=1),BL182,0))</f>
        <v>x</v>
      </c>
      <c r="BM365" s="52" t="str">
        <f>IF(BM182=-1,"x",IF(OR(BM280=1,BM$195=1,$CX182=1),BM182,0))</f>
        <v>x</v>
      </c>
      <c r="BN365" s="50" t="str">
        <f>IF(BN182=-1,"x",IF(OR(BN280=1,BN$195=1,$CY182=1),BN182,0))</f>
        <v>x</v>
      </c>
      <c r="BO365" s="105" t="str">
        <f>IF(BO182=-1,"x",IF(OR(BO280=1,BO$195=1,$CZ182=1),BO182,0))</f>
        <v>x</v>
      </c>
      <c r="BP365" s="104" t="str">
        <f>IF(BP182=-1,"x",IF(OR(BP280=1,BP$195=1,$CX182=1),BP182,0))</f>
        <v>x</v>
      </c>
      <c r="BQ365" s="50" t="str">
        <f>IF(BQ182=-1,"x",IF(OR(BQ280=1,BQ$195=1,$CY182=1),BQ182,0))</f>
        <v>x</v>
      </c>
      <c r="BR365" s="51" t="str">
        <f>IF(BR182=-1,"x",IF(OR(BR280=1,BR$195=1,$CZ182=1),BR182,0))</f>
        <v>x</v>
      </c>
      <c r="BS365" s="52" t="str">
        <f>IF(BS182=-1,"x",IF(OR(BS280=1,BS$195=1,$CX182=1),BS182,0))</f>
        <v>x</v>
      </c>
      <c r="BT365" s="50" t="str">
        <f>IF(BT182=-1,"x",IF(OR(BT280=1,BT$195=1,$CY182=1),BT182,0))</f>
        <v>x</v>
      </c>
      <c r="BU365" s="51" t="str">
        <f>IF(BU182=-1,"x",IF(OR(BU280=1,BU$195=1,$CZ182=1),BU182,0))</f>
        <v>x</v>
      </c>
      <c r="BV365" s="52" t="str">
        <f>IF(BV182=-1,"x",IF(OR(BV280=1,BV$195=1,$CX182=1),BV182,0))</f>
        <v>x</v>
      </c>
      <c r="BW365" s="50" t="str">
        <f>IF(BW182=-1,"x",IF(OR(BW280=1,BW$195=1,$CY182=1),BW182,0))</f>
        <v>x</v>
      </c>
      <c r="BX365" s="53" t="str">
        <f>IF(BX182=-1,"x",IF(OR(BX280=1,BX$195=1,$CZ182=1),BX182,0))</f>
        <v>x</v>
      </c>
      <c r="BY365" s="49" t="str">
        <f>IF(BY182=-1,"x",IF(OR(BY280=1,BY$195=1,$CX182=1),BY182,0))</f>
        <v>x</v>
      </c>
      <c r="BZ365" s="50" t="str">
        <f>IF(BZ182=-1,"x",IF(OR(BZ280=1,BZ$195=1,$CY182=1),BZ182,0))</f>
        <v>x</v>
      </c>
      <c r="CA365" s="51" t="str">
        <f>IF(CA182=-1,"x",IF(OR(CA280=1,CA$195=1,$CZ182=1),CA182,0))</f>
        <v>x</v>
      </c>
      <c r="CB365" s="52" t="str">
        <f>IF(CB182=-1,"x",IF(OR(CB280=1,CB$195=1,$CX182=1),CB182,0))</f>
        <v>x</v>
      </c>
      <c r="CC365" s="50" t="str">
        <f>IF(CC182=-1,"x",IF(OR(CC280=1,CC$195=1,$CY182=1),CC182,0))</f>
        <v>x</v>
      </c>
      <c r="CD365" s="51" t="str">
        <f>IF(CD182=-1,"x",IF(OR(CD280=1,CD$195=1,$CZ182=1),CD182,0))</f>
        <v>x</v>
      </c>
      <c r="CE365" s="52">
        <f>IF(CE182=-1,"x",IF(OR(CE280=1,CE$195=1,$CX182=1),CE182,0))</f>
        <v>0</v>
      </c>
      <c r="CF365" s="50">
        <f>IF(CF182=-1,"x",IF(OR(CF280=1,CF$195=1,$CY182=1),CF182,0))</f>
        <v>0</v>
      </c>
      <c r="CG365" s="53">
        <f>IF(CG182=-1,"x",IF(OR(CG280=1,CG$195=1,$CZ182=1),CG182,0))</f>
        <v>0</v>
      </c>
      <c r="CH365" s="49">
        <f>IF(CH182=-1,"x",IF(OR(CH280=1,CH$195=1,$CX182=1),CH182,0))</f>
        <v>0</v>
      </c>
      <c r="CI365" s="50">
        <f>IF(CI182=-1,"x",IF(OR(CI280=1,CI$195=1,$CY182=1),CI182,0))</f>
        <v>0</v>
      </c>
      <c r="CJ365" s="51">
        <f>IF(CJ182=-1,"x",IF(OR(CJ280=1,CJ$195=1,$CZ182=1),CJ182,0))</f>
        <v>0</v>
      </c>
      <c r="CK365" s="52">
        <f>IF(CK182=-1,"x",IF(OR(CK280=1,CK$195=1,$CX182=1),CK182,0))</f>
        <v>0</v>
      </c>
      <c r="CL365" s="50">
        <f>IF(CL182=-1,"x",IF(OR(CL280=1,CL$195=1,$CY182=1),CL182,0))</f>
        <v>0</v>
      </c>
      <c r="CM365" s="51">
        <f>IF(CM182=-1,"x",IF(OR(CM280=1,CM$195=1,$CZ182=1),CM182,0))</f>
        <v>0</v>
      </c>
      <c r="CN365" s="52">
        <f>IF(CN182=-1,"x",IF(OR(CN280=1,CN$195=1,$CX182=1),CN182,0))</f>
        <v>0</v>
      </c>
      <c r="CO365" s="50">
        <f>IF(CO182=-1,"x",IF(OR(CO280=1,CO$195=1,$CY182=1),CO182,0))</f>
        <v>0</v>
      </c>
      <c r="CP365" s="105">
        <f>IF(CP182=-1,"x",IF(OR(CP280=1,CP$195=1,$CZ182=1),CP182,0))</f>
        <v>0</v>
      </c>
      <c r="DJ365" s="104">
        <f>IF(DJ182=-1,"x",IF(OR(DJ280=1,DJ$228=1,$GT182=1),DJ182,0))</f>
        <v>0</v>
      </c>
      <c r="DK365" s="50">
        <f>IF(DK182=-1,"x",IF(OR(DK280=1,DK$228=1,$GU182=1),DK182,0))</f>
        <v>0</v>
      </c>
      <c r="DL365" s="51">
        <f>IF(DL182=-1,"x",IF(OR(DL280=1,DL$228=1,$GV182=1),DL182,0))</f>
        <v>0</v>
      </c>
      <c r="DM365" s="52">
        <f>IF(DM182=-1,"x",IF(OR(DM280=1,DM$228=1,$GT182=1),DM182,0))</f>
        <v>0</v>
      </c>
      <c r="DN365" s="50">
        <f>IF(DN182=-1,"x",IF(OR(DN280=1,DN$228=1,$GU182=1),DN182,0))</f>
        <v>0</v>
      </c>
      <c r="DO365" s="51">
        <f>IF(DO182=-1,"x",IF(OR(DO280=1,DO$228=1,$GV182=1),DO182,0))</f>
        <v>0</v>
      </c>
      <c r="DP365" s="52">
        <f>IF(DP182=-1,"x",IF(OR(DP280=1,DP$228=1,$GT182=1),DP182,0))</f>
        <v>0</v>
      </c>
      <c r="DQ365" s="50">
        <f>IF(DQ182=-1,"x",IF(OR(DQ280=1,DQ$228=1,$GU182=1),DQ182,0))</f>
        <v>0</v>
      </c>
      <c r="DR365" s="53">
        <f>IF(DR182=-1,"x",IF(OR(DR280=1,DR$228=1,$GV182=1),DR182,0))</f>
        <v>0</v>
      </c>
      <c r="DS365" s="49">
        <f>IF(DS182=-1,"x",IF(OR(DS280=1,DS$228=1,$GT182=1),DS182,0))</f>
        <v>0</v>
      </c>
      <c r="DT365" s="50">
        <f>IF(DT182=-1,"x",IF(OR(DT280=1,DT$228=1,$GU182=1),DT182,0))</f>
        <v>0</v>
      </c>
      <c r="DU365" s="51">
        <f>IF(DU182=-1,"x",IF(OR(DU280=1,DU$228=1,$GV182=1),DU182,0))</f>
        <v>0</v>
      </c>
      <c r="DV365" s="52" t="str">
        <f>IF(DV182=-1,"x",IF(OR(DV280=1,DV$228=1,$GT182=1),DV182,0))</f>
        <v>x</v>
      </c>
      <c r="DW365" s="50" t="str">
        <f>IF(DW182=-1,"x",IF(OR(DW280=1,DW$228=1,$GU182=1),DW182,0))</f>
        <v>x</v>
      </c>
      <c r="DX365" s="51" t="str">
        <f>IF(DX182=-1,"x",IF(OR(DX280=1,DX$228=1,$GV182=1),DX182,0))</f>
        <v>x</v>
      </c>
      <c r="DY365" s="52" t="str">
        <f>IF(DY182=-1,"x",IF(OR(DY280=1,DY$228=1,$GT182=1),DY182,0))</f>
        <v>x</v>
      </c>
      <c r="DZ365" s="50" t="str">
        <f>IF(DZ182=-1,"x",IF(OR(DZ280=1,DZ$228=1,$GU182=1),DZ182,0))</f>
        <v>x</v>
      </c>
      <c r="EA365" s="53" t="str">
        <f>IF(EA182=-1,"x",IF(OR(EA280=1,EA$228=1,$GV182=1),EA182,0))</f>
        <v>x</v>
      </c>
      <c r="EB365" s="49" t="str">
        <f>IF(EB182=-1,"x",IF(OR(EB280=1,EB$228=1,$GT182=1),EB182,0))</f>
        <v>x</v>
      </c>
      <c r="EC365" s="50" t="str">
        <f>IF(EC182=-1,"x",IF(OR(EC280=1,EC$228=1,$GU182=1),EC182,0))</f>
        <v>x</v>
      </c>
      <c r="ED365" s="51" t="str">
        <f>IF(ED182=-1,"x",IF(OR(ED280=1,ED$228=1,$GV182=1),ED182,0))</f>
        <v>x</v>
      </c>
      <c r="EE365" s="52" t="str">
        <f>IF(EE182=-1,"x",IF(OR(EE280=1,EE$228=1,$GT182=1),EE182,0))</f>
        <v>x</v>
      </c>
      <c r="EF365" s="50" t="str">
        <f>IF(EF182=-1,"x",IF(OR(EF280=1,EF$228=1,$GU182=1),EF182,0))</f>
        <v>x</v>
      </c>
      <c r="EG365" s="51" t="str">
        <f>IF(EG182=-1,"x",IF(OR(EG280=1,EG$228=1,$GV182=1),EG182,0))</f>
        <v>x</v>
      </c>
      <c r="EH365" s="52" t="str">
        <f>IF(EH182=-1,"x",IF(OR(EH280=1,EH$228=1,$GT182=1),EH182,0))</f>
        <v>x</v>
      </c>
      <c r="EI365" s="50" t="str">
        <f>IF(EI182=-1,"x",IF(OR(EI280=1,EI$228=1,$GU182=1),EI182,0))</f>
        <v>x</v>
      </c>
      <c r="EJ365" s="105" t="str">
        <f>IF(EJ182=-1,"x",IF(OR(EJ280=1,EJ$228=1,$GV182=1),EJ182,0))</f>
        <v>x</v>
      </c>
      <c r="EK365" s="104" t="str">
        <f>IF(EK182=-1,"x",IF(OR(EK280=1,EK$228=1,$GT182=1),EK182,0))</f>
        <v>x</v>
      </c>
      <c r="EL365" s="50" t="str">
        <f>IF(EL182=-1,"x",IF(OR(EL280=1,EL$228=1,$GU182=1),EL182,0))</f>
        <v>x</v>
      </c>
      <c r="EM365" s="51" t="str">
        <f>IF(EM182=-1,"x",IF(OR(EM280=1,EM$228=1,$GV182=1),EM182,0))</f>
        <v>x</v>
      </c>
      <c r="EN365" s="52" t="str">
        <f>IF(EN182=-1,"x",IF(OR(EN280=1,EN$228=1,$GT182=1),EN182,0))</f>
        <v>x</v>
      </c>
      <c r="EO365" s="50" t="str">
        <f>IF(EO182=-1,"x",IF(OR(EO280=1,EO$228=1,$GU182=1),EO182,0))</f>
        <v>x</v>
      </c>
      <c r="EP365" s="51" t="str">
        <f>IF(EP182=-1,"x",IF(OR(EP280=1,EP$228=1,$GV182=1),EP182,0))</f>
        <v>x</v>
      </c>
      <c r="EQ365" s="52" t="str">
        <f>IF(EQ182=-1,"x",IF(OR(EQ280=1,EQ$228=1,$GT182=1),EQ182,0))</f>
        <v>x</v>
      </c>
      <c r="ER365" s="50" t="str">
        <f>IF(ER182=-1,"x",IF(OR(ER280=1,ER$228=1,$GU182=1),ER182,0))</f>
        <v>x</v>
      </c>
      <c r="ES365" s="53" t="str">
        <f>IF(ES182=-1,"x",IF(OR(ES280=1,ES$228=1,$GV182=1),ES182,0))</f>
        <v>x</v>
      </c>
      <c r="ET365" s="49" t="str">
        <f>IF(ET182=-1,"x",IF(OR(ET280=1,ET$228=1,$GT182=1),ET182,0))</f>
        <v>x</v>
      </c>
      <c r="EU365" s="50" t="str">
        <f>IF(EU182=-1,"x",IF(OR(EU280=1,EU$228=1,$GU182=1),EU182,0))</f>
        <v>x</v>
      </c>
      <c r="EV365" s="51" t="str">
        <f>IF(EV182=-1,"x",IF(OR(EV280=1,EV$228=1,$GV182=1),EV182,0))</f>
        <v>x</v>
      </c>
      <c r="EW365" s="52" t="str">
        <f>IF(EW182=-1,"x",IF(OR(EW280=1,EW$228=1,$GT182=1),EW182,0))</f>
        <v>x</v>
      </c>
      <c r="EX365" s="50" t="str">
        <f>IF(EX182=-1,"x",IF(OR(EX280=1,EX$228=1,$GU182=1),EX182,0))</f>
        <v>x</v>
      </c>
      <c r="EY365" s="51" t="str">
        <f>IF(EY182=-1,"x",IF(OR(EY280=1,EY$228=1,$GV182=1),EY182,0))</f>
        <v>x</v>
      </c>
      <c r="EZ365" s="52" t="str">
        <f>IF(EZ182=-1,"x",IF(OR(EZ280=1,EZ$228=1,$GT182=1),EZ182,0))</f>
        <v>x</v>
      </c>
      <c r="FA365" s="50" t="str">
        <f>IF(FA182=-1,"x",IF(OR(FA280=1,FA$228=1,$GU182=1),FA182,0))</f>
        <v>x</v>
      </c>
      <c r="FB365" s="53" t="str">
        <f>IF(FB182=-1,"x",IF(OR(FB280=1,FB$228=1,$GV182=1),FB182,0))</f>
        <v>x</v>
      </c>
      <c r="FC365" s="49" t="str">
        <f>IF(FC182=-1,"x",IF(OR(FC280=1,FC$228=1,$GT182=1),FC182,0))</f>
        <v>x</v>
      </c>
      <c r="FD365" s="50" t="str">
        <f>IF(FD182=-1,"x",IF(OR(FD280=1,FD$228=1,$GU182=1),FD182,0))</f>
        <v>x</v>
      </c>
      <c r="FE365" s="51" t="str">
        <f>IF(FE182=-1,"x",IF(OR(FE280=1,FE$228=1,$GV182=1),FE182,0))</f>
        <v>x</v>
      </c>
      <c r="FF365" s="52" t="str">
        <f>IF(FF182=-1,"x",IF(OR(FF280=1,FF$228=1,$GT182=1),FF182,0))</f>
        <v>x</v>
      </c>
      <c r="FG365" s="50" t="str">
        <f>IF(FG182=-1,"x",IF(OR(FG280=1,FG$228=1,$GU182=1),FG182,0))</f>
        <v>x</v>
      </c>
      <c r="FH365" s="51" t="str">
        <f>IF(FH182=-1,"x",IF(OR(FH280=1,FH$228=1,$GV182=1),FH182,0))</f>
        <v>x</v>
      </c>
      <c r="FI365" s="52" t="str">
        <f>IF(FI182=-1,"x",IF(OR(FI280=1,FI$228=1,$GT182=1),FI182,0))</f>
        <v>x</v>
      </c>
      <c r="FJ365" s="50" t="str">
        <f>IF(FJ182=-1,"x",IF(OR(FJ280=1,FJ$228=1,$GU182=1),FJ182,0))</f>
        <v>x</v>
      </c>
      <c r="FK365" s="105" t="str">
        <f>IF(FK182=-1,"x",IF(OR(FK280=1,FK$228=1,$GV182=1),FK182,0))</f>
        <v>x</v>
      </c>
      <c r="FL365" s="104" t="str">
        <f>IF(FL182=-1,"x",IF(OR(FL280=1,FL$228=1,$GT182=1),FL182,0))</f>
        <v>x</v>
      </c>
      <c r="FM365" s="50" t="str">
        <f>IF(FM182=-1,"x",IF(OR(FM280=1,FM$228=1,$GU182=1),FM182,0))</f>
        <v>x</v>
      </c>
      <c r="FN365" s="51" t="str">
        <f>IF(FN182=-1,"x",IF(OR(FN280=1,FN$228=1,$GV182=1),FN182,0))</f>
        <v>x</v>
      </c>
      <c r="FO365" s="52" t="str">
        <f>IF(FO182=-1,"x",IF(OR(FO280=1,FO$228=1,$GT182=1),FO182,0))</f>
        <v>x</v>
      </c>
      <c r="FP365" s="50" t="str">
        <f>IF(FP182=-1,"x",IF(OR(FP280=1,FP$228=1,$GU182=1),FP182,0))</f>
        <v>x</v>
      </c>
      <c r="FQ365" s="51" t="str">
        <f>IF(FQ182=-1,"x",IF(OR(FQ280=1,FQ$228=1,$GV182=1),FQ182,0))</f>
        <v>x</v>
      </c>
      <c r="FR365" s="52" t="str">
        <f>IF(FR182=-1,"x",IF(OR(FR280=1,FR$228=1,$GT182=1),FR182,0))</f>
        <v>x</v>
      </c>
      <c r="FS365" s="50" t="str">
        <f>IF(FS182=-1,"x",IF(OR(FS280=1,FS$228=1,$GU182=1),FS182,0))</f>
        <v>x</v>
      </c>
      <c r="FT365" s="53" t="str">
        <f>IF(FT182=-1,"x",IF(OR(FT280=1,FT$228=1,$GV182=1),FT182,0))</f>
        <v>x</v>
      </c>
      <c r="FU365" s="49" t="str">
        <f>IF(FU182=-1,"x",IF(OR(FU280=1,FU$228=1,$GT182=1),FU182,0))</f>
        <v>x</v>
      </c>
      <c r="FV365" s="50" t="str">
        <f>IF(FV182=-1,"x",IF(OR(FV280=1,FV$228=1,$GU182=1),FV182,0))</f>
        <v>x</v>
      </c>
      <c r="FW365" s="51" t="str">
        <f>IF(FW182=-1,"x",IF(OR(FW280=1,FW$228=1,$GV182=1),FW182,0))</f>
        <v>x</v>
      </c>
      <c r="FX365" s="52" t="str">
        <f>IF(FX182=-1,"x",IF(OR(FX280=1,FX$228=1,$GT182=1),FX182,0))</f>
        <v>x</v>
      </c>
      <c r="FY365" s="50" t="str">
        <f>IF(FY182=-1,"x",IF(OR(FY280=1,FY$228=1,$GU182=1),FY182,0))</f>
        <v>x</v>
      </c>
      <c r="FZ365" s="51" t="str">
        <f>IF(FZ182=-1,"x",IF(OR(FZ280=1,FZ$228=1,$GV182=1),FZ182,0))</f>
        <v>x</v>
      </c>
      <c r="GA365" s="52" t="str">
        <f>IF(GA182=-1,"x",IF(OR(GA280=1,GA$228=1,$GT182=1),GA182,0))</f>
        <v>x</v>
      </c>
      <c r="GB365" s="50" t="str">
        <f>IF(GB182=-1,"x",IF(OR(GB280=1,GB$228=1,$GU182=1),GB182,0))</f>
        <v>x</v>
      </c>
      <c r="GC365" s="53" t="str">
        <f>IF(GC182=-1,"x",IF(OR(GC280=1,GC$228=1,$GV182=1),GC182,0))</f>
        <v>x</v>
      </c>
      <c r="GD365" s="49" t="str">
        <f>IF(GD182=-1,"x",IF(OR(GD280=1,GD$228=1,$GT182=1),GD182,0))</f>
        <v>x</v>
      </c>
      <c r="GE365" s="50" t="str">
        <f>IF(GE182=-1,"x",IF(OR(GE280=1,GE$228=1,$GU182=1),GE182,0))</f>
        <v>x</v>
      </c>
      <c r="GF365" s="51" t="str">
        <f>IF(GF182=-1,"x",IF(OR(GF280=1,GF$228=1,$GV182=1),GF182,0))</f>
        <v>x</v>
      </c>
      <c r="GG365" s="52">
        <f>IF(GG182=-1,"x",IF(OR(GG280=1,GG$228=1,$GT182=1),GG182,0))</f>
        <v>0</v>
      </c>
      <c r="GH365" s="50">
        <f>IF(GH182=-1,"x",IF(OR(GH280=1,GH$228=1,$GU182=1),GH182,0))</f>
        <v>0</v>
      </c>
      <c r="GI365" s="51">
        <f>IF(GI182=-1,"x",IF(OR(GI280=1,GI$228=1,$GV182=1),GI182,0))</f>
        <v>0</v>
      </c>
      <c r="GJ365" s="52" t="str">
        <f>IF(GJ182=-1,"x",IF(OR(GJ280=1,GJ$228=1,$GT182=1),GJ182,0))</f>
        <v>x</v>
      </c>
      <c r="GK365" s="50" t="str">
        <f>IF(GK182=-1,"x",IF(OR(GK280=1,GK$228=1,$GU182=1),GK182,0))</f>
        <v>x</v>
      </c>
      <c r="GL365" s="105" t="str">
        <f>IF(GL182=-1,"x",IF(OR(GL280=1,GL$228=1,$GV182=1),GL182,0))</f>
        <v>x</v>
      </c>
    </row>
    <row r="366" spans="14:194" ht="15" customHeight="1">
      <c r="N366" s="94">
        <f>IF(N183=-1,"x",IF(OR(N281=1,N$196=1,$CX183=1),N183,0))</f>
        <v>0</v>
      </c>
      <c r="O366" s="39">
        <f>IF(O183=-1,"x",IF(OR(O281=1,O$196=1,$CY183=1),O183,0))</f>
        <v>0</v>
      </c>
      <c r="P366" s="41">
        <f>IF(P183=-1,"x",IF(OR(P281=1,P$196=1,$CZ183=1),P183,0))</f>
        <v>0</v>
      </c>
      <c r="Q366" s="40">
        <f>IF(Q183=-1,"x",IF(OR(Q281=1,Q$196=1,$CX183=1),Q183,0))</f>
        <v>0</v>
      </c>
      <c r="R366" s="39">
        <f>IF(R183=-1,"x",IF(OR(R281=1,R$196=1,$CY183=1),R183,0))</f>
        <v>0</v>
      </c>
      <c r="S366" s="41">
        <f>IF(S183=-1,"x",IF(OR(S281=1,S$196=1,$CZ183=1),S183,0))</f>
        <v>0</v>
      </c>
      <c r="T366" s="40" t="str">
        <f>IF(T183=-1,"x",IF(OR(T281=1,T$196=1,$CX183=1),T183,0))</f>
        <v>x</v>
      </c>
      <c r="U366" s="39" t="str">
        <f>IF(U183=-1,"x",IF(OR(U281=1,U$196=1,$CY183=1),U183,0))</f>
        <v>x</v>
      </c>
      <c r="V366" s="42" t="str">
        <f>IF(V183=-1,"x",IF(OR(V281=1,V$196=1,$CZ183=1),V183,0))</f>
        <v>x</v>
      </c>
      <c r="W366" s="43">
        <f>IF(W183=-1,"x",IF(OR(W281=1,W$196=1,$CX183=1),W183,0))</f>
        <v>0</v>
      </c>
      <c r="X366" s="39">
        <f>IF(X183=-1,"x",IF(OR(X281=1,X$196=1,$CY183=1),X183,0))</f>
        <v>0</v>
      </c>
      <c r="Y366" s="41">
        <f>IF(Y183=-1,"x",IF(OR(Y281=1,Y$196=1,$CZ183=1),Y183,0))</f>
        <v>0</v>
      </c>
      <c r="Z366" s="40">
        <f>IF(Z183=-1,"x",IF(OR(Z281=1,Z$196=1,$CX183=1),Z183,0))</f>
        <v>0</v>
      </c>
      <c r="AA366" s="39">
        <f>IF(AA183=-1,"x",IF(OR(AA281=1,AA$196=1,$CY183=1),AA183,0))</f>
        <v>0</v>
      </c>
      <c r="AB366" s="41">
        <f>IF(AB183=-1,"x",IF(OR(AB281=1,AB$196=1,$CZ183=1),AB183,0))</f>
        <v>0</v>
      </c>
      <c r="AC366" s="40" t="str">
        <f>IF(AC183=-1,"x",IF(OR(AC281=1,AC$196=1,$CX183=1),AC183,0))</f>
        <v>x</v>
      </c>
      <c r="AD366" s="39" t="str">
        <f>IF(AD183=-1,"x",IF(OR(AD281=1,AD$196=1,$CY183=1),AD183,0))</f>
        <v>x</v>
      </c>
      <c r="AE366" s="42" t="str">
        <f>IF(AE183=-1,"x",IF(OR(AE281=1,AE$196=1,$CZ183=1),AE183,0))</f>
        <v>x</v>
      </c>
      <c r="AF366" s="43" t="str">
        <f>IF(AF183=-1,"x",IF(OR(AF281=1,AF$196=1,$CX183=1),AF183,0))</f>
        <v>x</v>
      </c>
      <c r="AG366" s="39" t="str">
        <f>IF(AG183=-1,"x",IF(OR(AG281=1,AG$196=1,$CY183=1),AG183,0))</f>
        <v>x</v>
      </c>
      <c r="AH366" s="41" t="str">
        <f>IF(AH183=-1,"x",IF(OR(AH281=1,AH$196=1,$CZ183=1),AH183,0))</f>
        <v>x</v>
      </c>
      <c r="AI366" s="40" t="str">
        <f>IF(AI183=-1,"x",IF(OR(AI281=1,AI$196=1,$CX183=1),AI183,0))</f>
        <v>x</v>
      </c>
      <c r="AJ366" s="39" t="str">
        <f>IF(AJ183=-1,"x",IF(OR(AJ281=1,AJ$196=1,$CY183=1),AJ183,0))</f>
        <v>x</v>
      </c>
      <c r="AK366" s="41" t="str">
        <f>IF(AK183=-1,"x",IF(OR(AK281=1,AK$196=1,$CZ183=1),AK183,0))</f>
        <v>x</v>
      </c>
      <c r="AL366" s="40" t="str">
        <f>IF(AL183=-1,"x",IF(OR(AL281=1,AL$196=1,$CX183=1),AL183,0))</f>
        <v>x</v>
      </c>
      <c r="AM366" s="39" t="str">
        <f>IF(AM183=-1,"x",IF(OR(AM281=1,AM$196=1,$CY183=1),AM183,0))</f>
        <v>x</v>
      </c>
      <c r="AN366" s="95" t="str">
        <f>IF(AN183=-1,"x",IF(OR(AN281=1,AN$196=1,$CZ183=1),AN183,0))</f>
        <v>x</v>
      </c>
      <c r="AO366" s="94" t="str">
        <f>IF(AO183=-1,"x",IF(OR(AO281=1,AO$196=1,$CX183=1),AO183,0))</f>
        <v>x</v>
      </c>
      <c r="AP366" s="39" t="str">
        <f>IF(AP183=-1,"x",IF(OR(AP281=1,AP$196=1,$CY183=1),AP183,0))</f>
        <v>x</v>
      </c>
      <c r="AQ366" s="41" t="str">
        <f>IF(AQ183=-1,"x",IF(OR(AQ281=1,AQ$196=1,$CZ183=1),AQ183,0))</f>
        <v>x</v>
      </c>
      <c r="AR366" s="40" t="str">
        <f>IF(AR183=-1,"x",IF(OR(AR281=1,AR$196=1,$CX183=1),AR183,0))</f>
        <v>x</v>
      </c>
      <c r="AS366" s="39" t="str">
        <f>IF(AS183=-1,"x",IF(OR(AS281=1,AS$196=1,$CY183=1),AS183,0))</f>
        <v>x</v>
      </c>
      <c r="AT366" s="41" t="str">
        <f>IF(AT183=-1,"x",IF(OR(AT281=1,AT$196=1,$CZ183=1),AT183,0))</f>
        <v>x</v>
      </c>
      <c r="AU366" s="40" t="str">
        <f>IF(AU183=-1,"x",IF(OR(AU281=1,AU$196=1,$CX183=1),AU183,0))</f>
        <v>x</v>
      </c>
      <c r="AV366" s="39" t="str">
        <f>IF(AV183=-1,"x",IF(OR(AV281=1,AV$196=1,$CY183=1),AV183,0))</f>
        <v>x</v>
      </c>
      <c r="AW366" s="42" t="str">
        <f>IF(AW183=-1,"x",IF(OR(AW281=1,AW$196=1,$CZ183=1),AW183,0))</f>
        <v>x</v>
      </c>
      <c r="AX366" s="43" t="str">
        <f>IF(AX183=-1,"x",IF(OR(AX281=1,AX$196=1,$CX183=1),AX183,0))</f>
        <v>x</v>
      </c>
      <c r="AY366" s="39" t="str">
        <f>IF(AY183=-1,"x",IF(OR(AY281=1,AY$196=1,$CY183=1),AY183,0))</f>
        <v>x</v>
      </c>
      <c r="AZ366" s="41" t="str">
        <f>IF(AZ183=-1,"x",IF(OR(AZ281=1,AZ$196=1,$CZ183=1),AZ183,0))</f>
        <v>x</v>
      </c>
      <c r="BA366" s="40" t="str">
        <f>IF(BA183=-1,"x",IF(OR(BA281=1,BA$196=1,$CX183=1),BA183,0))</f>
        <v>x</v>
      </c>
      <c r="BB366" s="39" t="str">
        <f>IF(BB183=-1,"x",IF(OR(BB281=1,BB$196=1,$CY183=1),BB183,0))</f>
        <v>x</v>
      </c>
      <c r="BC366" s="41" t="str">
        <f>IF(BC183=-1,"x",IF(OR(BC281=1,BC$196=1,$CZ183=1),BC183,0))</f>
        <v>x</v>
      </c>
      <c r="BD366" s="40" t="str">
        <f>IF(BD183=-1,"x",IF(OR(BD281=1,BD$196=1,$CX183=1),BD183,0))</f>
        <v>x</v>
      </c>
      <c r="BE366" s="39" t="str">
        <f>IF(BE183=-1,"x",IF(OR(BE281=1,BE$196=1,$CY183=1),BE183,0))</f>
        <v>x</v>
      </c>
      <c r="BF366" s="42" t="str">
        <f>IF(BF183=-1,"x",IF(OR(BF281=1,BF$196=1,$CZ183=1),BF183,0))</f>
        <v>x</v>
      </c>
      <c r="BG366" s="43" t="str">
        <f>IF(BG183=-1,"x",IF(OR(BG281=1,BG$196=1,$CX183=1),BG183,0))</f>
        <v>x</v>
      </c>
      <c r="BH366" s="39" t="str">
        <f>IF(BH183=-1,"x",IF(OR(BH281=1,BH$196=1,$CY183=1),BH183,0))</f>
        <v>x</v>
      </c>
      <c r="BI366" s="41" t="str">
        <f>IF(BI183=-1,"x",IF(OR(BI281=1,BI$196=1,$CZ183=1),BI183,0))</f>
        <v>x</v>
      </c>
      <c r="BJ366" s="40" t="str">
        <f>IF(BJ183=-1,"x",IF(OR(BJ281=1,BJ$196=1,$CX183=1),BJ183,0))</f>
        <v>x</v>
      </c>
      <c r="BK366" s="39" t="str">
        <f>IF(BK183=-1,"x",IF(OR(BK281=1,BK$196=1,$CY183=1),BK183,0))</f>
        <v>x</v>
      </c>
      <c r="BL366" s="41" t="str">
        <f>IF(BL183=-1,"x",IF(OR(BL281=1,BL$196=1,$CZ183=1),BL183,0))</f>
        <v>x</v>
      </c>
      <c r="BM366" s="40" t="str">
        <f>IF(BM183=-1,"x",IF(OR(BM281=1,BM$196=1,$CX183=1),BM183,0))</f>
        <v>x</v>
      </c>
      <c r="BN366" s="39" t="str">
        <f>IF(BN183=-1,"x",IF(OR(BN281=1,BN$196=1,$CY183=1),BN183,0))</f>
        <v>x</v>
      </c>
      <c r="BO366" s="95" t="str">
        <f>IF(BO183=-1,"x",IF(OR(BO281=1,BO$196=1,$CZ183=1),BO183,0))</f>
        <v>x</v>
      </c>
      <c r="BP366" s="94" t="str">
        <f>IF(BP183=-1,"x",IF(OR(BP281=1,BP$196=1,$CX183=1),BP183,0))</f>
        <v>x</v>
      </c>
      <c r="BQ366" s="39" t="str">
        <f>IF(BQ183=-1,"x",IF(OR(BQ281=1,BQ$196=1,$CY183=1),BQ183,0))</f>
        <v>x</v>
      </c>
      <c r="BR366" s="41" t="str">
        <f>IF(BR183=-1,"x",IF(OR(BR281=1,BR$196=1,$CZ183=1),BR183,0))</f>
        <v>x</v>
      </c>
      <c r="BS366" s="40" t="str">
        <f>IF(BS183=-1,"x",IF(OR(BS281=1,BS$196=1,$CX183=1),BS183,0))</f>
        <v>x</v>
      </c>
      <c r="BT366" s="39" t="str">
        <f>IF(BT183=-1,"x",IF(OR(BT281=1,BT$196=1,$CY183=1),BT183,0))</f>
        <v>x</v>
      </c>
      <c r="BU366" s="41" t="str">
        <f>IF(BU183=-1,"x",IF(OR(BU281=1,BU$196=1,$CZ183=1),BU183,0))</f>
        <v>x</v>
      </c>
      <c r="BV366" s="40" t="str">
        <f>IF(BV183=-1,"x",IF(OR(BV281=1,BV$196=1,$CX183=1),BV183,0))</f>
        <v>x</v>
      </c>
      <c r="BW366" s="39" t="str">
        <f>IF(BW183=-1,"x",IF(OR(BW281=1,BW$196=1,$CY183=1),BW183,0))</f>
        <v>x</v>
      </c>
      <c r="BX366" s="42" t="str">
        <f>IF(BX183=-1,"x",IF(OR(BX281=1,BX$196=1,$CZ183=1),BX183,0))</f>
        <v>x</v>
      </c>
      <c r="BY366" s="43" t="str">
        <f>IF(BY183=-1,"x",IF(OR(BY281=1,BY$196=1,$CX183=1),BY183,0))</f>
        <v>x</v>
      </c>
      <c r="BZ366" s="39" t="str">
        <f>IF(BZ183=-1,"x",IF(OR(BZ281=1,BZ$196=1,$CY183=1),BZ183,0))</f>
        <v>x</v>
      </c>
      <c r="CA366" s="41" t="str">
        <f>IF(CA183=-1,"x",IF(OR(CA281=1,CA$196=1,$CZ183=1),CA183,0))</f>
        <v>x</v>
      </c>
      <c r="CB366" s="40" t="str">
        <f>IF(CB183=-1,"x",IF(OR(CB281=1,CB$196=1,$CX183=1),CB183,0))</f>
        <v>x</v>
      </c>
      <c r="CC366" s="39" t="str">
        <f>IF(CC183=-1,"x",IF(OR(CC281=1,CC$196=1,$CY183=1),CC183,0))</f>
        <v>x</v>
      </c>
      <c r="CD366" s="41" t="str">
        <f>IF(CD183=-1,"x",IF(OR(CD281=1,CD$196=1,$CZ183=1),CD183,0))</f>
        <v>x</v>
      </c>
      <c r="CE366" s="40">
        <f>IF(CE183=-1,"x",IF(OR(CE281=1,CE$196=1,$CX183=1),CE183,0))</f>
        <v>0</v>
      </c>
      <c r="CF366" s="39">
        <f>IF(CF183=-1,"x",IF(OR(CF281=1,CF$196=1,$CY183=1),CF183,0))</f>
        <v>0</v>
      </c>
      <c r="CG366" s="42">
        <f>IF(CG183=-1,"x",IF(OR(CG281=1,CG$196=1,$CZ183=1),CG183,0))</f>
        <v>0</v>
      </c>
      <c r="CH366" s="43">
        <f>IF(CH183=-1,"x",IF(OR(CH281=1,CH$196=1,$CX183=1),CH183,0))</f>
        <v>0</v>
      </c>
      <c r="CI366" s="39">
        <f>IF(CI183=-1,"x",IF(OR(CI281=1,CI$196=1,$CY183=1),CI183,0))</f>
        <v>0</v>
      </c>
      <c r="CJ366" s="41">
        <f>IF(CJ183=-1,"x",IF(OR(CJ281=1,CJ$196=1,$CZ183=1),CJ183,0))</f>
        <v>0</v>
      </c>
      <c r="CK366" s="40">
        <f>IF(CK183=-1,"x",IF(OR(CK281=1,CK$196=1,$CX183=1),CK183,0))</f>
        <v>0</v>
      </c>
      <c r="CL366" s="39">
        <f>IF(CL183=-1,"x",IF(OR(CL281=1,CL$196=1,$CY183=1),CL183,0))</f>
        <v>0</v>
      </c>
      <c r="CM366" s="41">
        <f>IF(CM183=-1,"x",IF(OR(CM281=1,CM$196=1,$CZ183=1),CM183,0))</f>
        <v>0</v>
      </c>
      <c r="CN366" s="40">
        <f>IF(CN183=-1,"x",IF(OR(CN281=1,CN$196=1,$CX183=1),CN183,0))</f>
        <v>0</v>
      </c>
      <c r="CO366" s="39">
        <f>IF(CO183=-1,"x",IF(OR(CO281=1,CO$196=1,$CY183=1),CO183,0))</f>
        <v>0</v>
      </c>
      <c r="CP366" s="95">
        <f>IF(CP183=-1,"x",IF(OR(CP281=1,CP$196=1,$CZ183=1),CP183,0))</f>
        <v>0</v>
      </c>
      <c r="DJ366" s="94">
        <f>IF(DJ183=-1,"x",IF(OR(DJ281=1,DJ$229=1,$GT183=1),DJ183,0))</f>
        <v>0</v>
      </c>
      <c r="DK366" s="39">
        <f>IF(DK183=-1,"x",IF(OR(DK281=1,DK$229=1,$GU183=1),DK183,0))</f>
        <v>0</v>
      </c>
      <c r="DL366" s="41">
        <f>IF(DL183=-1,"x",IF(OR(DL281=1,DL$229=1,$GV183=1),DL183,0))</f>
        <v>0</v>
      </c>
      <c r="DM366" s="40">
        <f>IF(DM183=-1,"x",IF(OR(DM281=1,DM$229=1,$GT183=1),DM183,0))</f>
        <v>0</v>
      </c>
      <c r="DN366" s="39">
        <f>IF(DN183=-1,"x",IF(OR(DN281=1,DN$229=1,$GU183=1),DN183,0))</f>
        <v>0</v>
      </c>
      <c r="DO366" s="41">
        <f>IF(DO183=-1,"x",IF(OR(DO281=1,DO$229=1,$GV183=1),DO183,0))</f>
        <v>0</v>
      </c>
      <c r="DP366" s="40">
        <f>IF(DP183=-1,"x",IF(OR(DP281=1,DP$229=1,$GT183=1),DP183,0))</f>
        <v>0</v>
      </c>
      <c r="DQ366" s="39">
        <f>IF(DQ183=-1,"x",IF(OR(DQ281=1,DQ$229=1,$GU183=1),DQ183,0))</f>
        <v>5</v>
      </c>
      <c r="DR366" s="42">
        <f>IF(DR183=-1,"x",IF(OR(DR281=1,DR$229=1,$GV183=1),DR183,0))</f>
        <v>0</v>
      </c>
      <c r="DS366" s="43">
        <f>IF(DS183=-1,"x",IF(OR(DS281=1,DS$229=1,$GT183=1),DS183,0))</f>
        <v>0</v>
      </c>
      <c r="DT366" s="39">
        <f>IF(DT183=-1,"x",IF(OR(DT281=1,DT$229=1,$GU183=1),DT183,0))</f>
        <v>0</v>
      </c>
      <c r="DU366" s="41">
        <f>IF(DU183=-1,"x",IF(OR(DU281=1,DU$229=1,$GV183=1),DU183,0))</f>
        <v>0</v>
      </c>
      <c r="DV366" s="40" t="str">
        <f>IF(DV183=-1,"x",IF(OR(DV281=1,DV$229=1,$GT183=1),DV183,0))</f>
        <v>x</v>
      </c>
      <c r="DW366" s="39" t="str">
        <f>IF(DW183=-1,"x",IF(OR(DW281=1,DW$229=1,$GU183=1),DW183,0))</f>
        <v>x</v>
      </c>
      <c r="DX366" s="41" t="str">
        <f>IF(DX183=-1,"x",IF(OR(DX281=1,DX$229=1,$GV183=1),DX183,0))</f>
        <v>x</v>
      </c>
      <c r="DY366" s="40" t="str">
        <f>IF(DY183=-1,"x",IF(OR(DY281=1,DY$229=1,$GT183=1),DY183,0))</f>
        <v>x</v>
      </c>
      <c r="DZ366" s="39" t="str">
        <f>IF(DZ183=-1,"x",IF(OR(DZ281=1,DZ$229=1,$GU183=1),DZ183,0))</f>
        <v>x</v>
      </c>
      <c r="EA366" s="42" t="str">
        <f>IF(EA183=-1,"x",IF(OR(EA281=1,EA$229=1,$GV183=1),EA183,0))</f>
        <v>x</v>
      </c>
      <c r="EB366" s="43" t="str">
        <f>IF(EB183=-1,"x",IF(OR(EB281=1,EB$229=1,$GT183=1),EB183,0))</f>
        <v>x</v>
      </c>
      <c r="EC366" s="39" t="str">
        <f>IF(EC183=-1,"x",IF(OR(EC281=1,EC$229=1,$GU183=1),EC183,0))</f>
        <v>x</v>
      </c>
      <c r="ED366" s="41" t="str">
        <f>IF(ED183=-1,"x",IF(OR(ED281=1,ED$229=1,$GV183=1),ED183,0))</f>
        <v>x</v>
      </c>
      <c r="EE366" s="40" t="str">
        <f>IF(EE183=-1,"x",IF(OR(EE281=1,EE$229=1,$GT183=1),EE183,0))</f>
        <v>x</v>
      </c>
      <c r="EF366" s="39" t="str">
        <f>IF(EF183=-1,"x",IF(OR(EF281=1,EF$229=1,$GU183=1),EF183,0))</f>
        <v>x</v>
      </c>
      <c r="EG366" s="41" t="str">
        <f>IF(EG183=-1,"x",IF(OR(EG281=1,EG$229=1,$GV183=1),EG183,0))</f>
        <v>x</v>
      </c>
      <c r="EH366" s="40" t="str">
        <f>IF(EH183=-1,"x",IF(OR(EH281=1,EH$229=1,$GT183=1),EH183,0))</f>
        <v>x</v>
      </c>
      <c r="EI366" s="39" t="str">
        <f>IF(EI183=-1,"x",IF(OR(EI281=1,EI$229=1,$GU183=1),EI183,0))</f>
        <v>x</v>
      </c>
      <c r="EJ366" s="95" t="str">
        <f>IF(EJ183=-1,"x",IF(OR(EJ281=1,EJ$229=1,$GV183=1),EJ183,0))</f>
        <v>x</v>
      </c>
      <c r="EK366" s="94" t="str">
        <f>IF(EK183=-1,"x",IF(OR(EK281=1,EK$229=1,$GT183=1),EK183,0))</f>
        <v>x</v>
      </c>
      <c r="EL366" s="39" t="str">
        <f>IF(EL183=-1,"x",IF(OR(EL281=1,EL$229=1,$GU183=1),EL183,0))</f>
        <v>x</v>
      </c>
      <c r="EM366" s="41" t="str">
        <f>IF(EM183=-1,"x",IF(OR(EM281=1,EM$229=1,$GV183=1),EM183,0))</f>
        <v>x</v>
      </c>
      <c r="EN366" s="40" t="str">
        <f>IF(EN183=-1,"x",IF(OR(EN281=1,EN$229=1,$GT183=1),EN183,0))</f>
        <v>x</v>
      </c>
      <c r="EO366" s="39" t="str">
        <f>IF(EO183=-1,"x",IF(OR(EO281=1,EO$229=1,$GU183=1),EO183,0))</f>
        <v>x</v>
      </c>
      <c r="EP366" s="41" t="str">
        <f>IF(EP183=-1,"x",IF(OR(EP281=1,EP$229=1,$GV183=1),EP183,0))</f>
        <v>x</v>
      </c>
      <c r="EQ366" s="40" t="str">
        <f>IF(EQ183=-1,"x",IF(OR(EQ281=1,EQ$229=1,$GT183=1),EQ183,0))</f>
        <v>x</v>
      </c>
      <c r="ER366" s="39" t="str">
        <f>IF(ER183=-1,"x",IF(OR(ER281=1,ER$229=1,$GU183=1),ER183,0))</f>
        <v>x</v>
      </c>
      <c r="ES366" s="42" t="str">
        <f>IF(ES183=-1,"x",IF(OR(ES281=1,ES$229=1,$GV183=1),ES183,0))</f>
        <v>x</v>
      </c>
      <c r="ET366" s="43" t="str">
        <f>IF(ET183=-1,"x",IF(OR(ET281=1,ET$229=1,$GT183=1),ET183,0))</f>
        <v>x</v>
      </c>
      <c r="EU366" s="39" t="str">
        <f>IF(EU183=-1,"x",IF(OR(EU281=1,EU$229=1,$GU183=1),EU183,0))</f>
        <v>x</v>
      </c>
      <c r="EV366" s="41" t="str">
        <f>IF(EV183=-1,"x",IF(OR(EV281=1,EV$229=1,$GV183=1),EV183,0))</f>
        <v>x</v>
      </c>
      <c r="EW366" s="40" t="str">
        <f>IF(EW183=-1,"x",IF(OR(EW281=1,EW$229=1,$GT183=1),EW183,0))</f>
        <v>x</v>
      </c>
      <c r="EX366" s="39" t="str">
        <f>IF(EX183=-1,"x",IF(OR(EX281=1,EX$229=1,$GU183=1),EX183,0))</f>
        <v>x</v>
      </c>
      <c r="EY366" s="41" t="str">
        <f>IF(EY183=-1,"x",IF(OR(EY281=1,EY$229=1,$GV183=1),EY183,0))</f>
        <v>x</v>
      </c>
      <c r="EZ366" s="40" t="str">
        <f>IF(EZ183=-1,"x",IF(OR(EZ281=1,EZ$229=1,$GT183=1),EZ183,0))</f>
        <v>x</v>
      </c>
      <c r="FA366" s="39" t="str">
        <f>IF(FA183=-1,"x",IF(OR(FA281=1,FA$229=1,$GU183=1),FA183,0))</f>
        <v>x</v>
      </c>
      <c r="FB366" s="42" t="str">
        <f>IF(FB183=-1,"x",IF(OR(FB281=1,FB$229=1,$GV183=1),FB183,0))</f>
        <v>x</v>
      </c>
      <c r="FC366" s="43" t="str">
        <f>IF(FC183=-1,"x",IF(OR(FC281=1,FC$229=1,$GT183=1),FC183,0))</f>
        <v>x</v>
      </c>
      <c r="FD366" s="39" t="str">
        <f>IF(FD183=-1,"x",IF(OR(FD281=1,FD$229=1,$GU183=1),FD183,0))</f>
        <v>x</v>
      </c>
      <c r="FE366" s="41" t="str">
        <f>IF(FE183=-1,"x",IF(OR(FE281=1,FE$229=1,$GV183=1),FE183,0))</f>
        <v>x</v>
      </c>
      <c r="FF366" s="40" t="str">
        <f>IF(FF183=-1,"x",IF(OR(FF281=1,FF$229=1,$GT183=1),FF183,0))</f>
        <v>x</v>
      </c>
      <c r="FG366" s="39" t="str">
        <f>IF(FG183=-1,"x",IF(OR(FG281=1,FG$229=1,$GU183=1),FG183,0))</f>
        <v>x</v>
      </c>
      <c r="FH366" s="41" t="str">
        <f>IF(FH183=-1,"x",IF(OR(FH281=1,FH$229=1,$GV183=1),FH183,0))</f>
        <v>x</v>
      </c>
      <c r="FI366" s="40" t="str">
        <f>IF(FI183=-1,"x",IF(OR(FI281=1,FI$229=1,$GT183=1),FI183,0))</f>
        <v>x</v>
      </c>
      <c r="FJ366" s="39" t="str">
        <f>IF(FJ183=-1,"x",IF(OR(FJ281=1,FJ$229=1,$GU183=1),FJ183,0))</f>
        <v>x</v>
      </c>
      <c r="FK366" s="95" t="str">
        <f>IF(FK183=-1,"x",IF(OR(FK281=1,FK$229=1,$GV183=1),FK183,0))</f>
        <v>x</v>
      </c>
      <c r="FL366" s="94" t="str">
        <f>IF(FL183=-1,"x",IF(OR(FL281=1,FL$229=1,$GT183=1),FL183,0))</f>
        <v>x</v>
      </c>
      <c r="FM366" s="39" t="str">
        <f>IF(FM183=-1,"x",IF(OR(FM281=1,FM$229=1,$GU183=1),FM183,0))</f>
        <v>x</v>
      </c>
      <c r="FN366" s="41" t="str">
        <f>IF(FN183=-1,"x",IF(OR(FN281=1,FN$229=1,$GV183=1),FN183,0))</f>
        <v>x</v>
      </c>
      <c r="FO366" s="40" t="str">
        <f>IF(FO183=-1,"x",IF(OR(FO281=1,FO$229=1,$GT183=1),FO183,0))</f>
        <v>x</v>
      </c>
      <c r="FP366" s="39" t="str">
        <f>IF(FP183=-1,"x",IF(OR(FP281=1,FP$229=1,$GU183=1),FP183,0))</f>
        <v>x</v>
      </c>
      <c r="FQ366" s="41" t="str">
        <f>IF(FQ183=-1,"x",IF(OR(FQ281=1,FQ$229=1,$GV183=1),FQ183,0))</f>
        <v>x</v>
      </c>
      <c r="FR366" s="40" t="str">
        <f>IF(FR183=-1,"x",IF(OR(FR281=1,FR$229=1,$GT183=1),FR183,0))</f>
        <v>x</v>
      </c>
      <c r="FS366" s="39" t="str">
        <f>IF(FS183=-1,"x",IF(OR(FS281=1,FS$229=1,$GU183=1),FS183,0))</f>
        <v>x</v>
      </c>
      <c r="FT366" s="42" t="str">
        <f>IF(FT183=-1,"x",IF(OR(FT281=1,FT$229=1,$GV183=1),FT183,0))</f>
        <v>x</v>
      </c>
      <c r="FU366" s="43" t="str">
        <f>IF(FU183=-1,"x",IF(OR(FU281=1,FU$229=1,$GT183=1),FU183,0))</f>
        <v>x</v>
      </c>
      <c r="FV366" s="39" t="str">
        <f>IF(FV183=-1,"x",IF(OR(FV281=1,FV$229=1,$GU183=1),FV183,0))</f>
        <v>x</v>
      </c>
      <c r="FW366" s="41" t="str">
        <f>IF(FW183=-1,"x",IF(OR(FW281=1,FW$229=1,$GV183=1),FW183,0))</f>
        <v>x</v>
      </c>
      <c r="FX366" s="40" t="str">
        <f>IF(FX183=-1,"x",IF(OR(FX281=1,FX$229=1,$GT183=1),FX183,0))</f>
        <v>x</v>
      </c>
      <c r="FY366" s="39" t="str">
        <f>IF(FY183=-1,"x",IF(OR(FY281=1,FY$229=1,$GU183=1),FY183,0))</f>
        <v>x</v>
      </c>
      <c r="FZ366" s="41" t="str">
        <f>IF(FZ183=-1,"x",IF(OR(FZ281=1,FZ$229=1,$GV183=1),FZ183,0))</f>
        <v>x</v>
      </c>
      <c r="GA366" s="40" t="str">
        <f>IF(GA183=-1,"x",IF(OR(GA281=1,GA$229=1,$GT183=1),GA183,0))</f>
        <v>x</v>
      </c>
      <c r="GB366" s="39" t="str">
        <f>IF(GB183=-1,"x",IF(OR(GB281=1,GB$229=1,$GU183=1),GB183,0))</f>
        <v>x</v>
      </c>
      <c r="GC366" s="42" t="str">
        <f>IF(GC183=-1,"x",IF(OR(GC281=1,GC$229=1,$GV183=1),GC183,0))</f>
        <v>x</v>
      </c>
      <c r="GD366" s="43" t="str">
        <f>IF(GD183=-1,"x",IF(OR(GD281=1,GD$229=1,$GT183=1),GD183,0))</f>
        <v>x</v>
      </c>
      <c r="GE366" s="39" t="str">
        <f>IF(GE183=-1,"x",IF(OR(GE281=1,GE$229=1,$GU183=1),GE183,0))</f>
        <v>x</v>
      </c>
      <c r="GF366" s="41" t="str">
        <f>IF(GF183=-1,"x",IF(OR(GF281=1,GF$229=1,$GV183=1),GF183,0))</f>
        <v>x</v>
      </c>
      <c r="GG366" s="40">
        <f>IF(GG183=-1,"x",IF(OR(GG281=1,GG$229=1,$GT183=1),GG183,0))</f>
        <v>0</v>
      </c>
      <c r="GH366" s="39">
        <f>IF(GH183=-1,"x",IF(OR(GH281=1,GH$229=1,$GU183=1),GH183,0))</f>
        <v>0</v>
      </c>
      <c r="GI366" s="41">
        <f>IF(GI183=-1,"x",IF(OR(GI281=1,GI$229=1,$GV183=1),GI183,0))</f>
        <v>0</v>
      </c>
      <c r="GJ366" s="40" t="str">
        <f>IF(GJ183=-1,"x",IF(OR(GJ281=1,GJ$229=1,$GT183=1),GJ183,0))</f>
        <v>x</v>
      </c>
      <c r="GK366" s="39" t="str">
        <f>IF(GK183=-1,"x",IF(OR(GK281=1,GK$229=1,$GU183=1),GK183,0))</f>
        <v>x</v>
      </c>
      <c r="GL366" s="95" t="str">
        <f>IF(GL183=-1,"x",IF(OR(GL281=1,GL$229=1,$GV183=1),GL183,0))</f>
        <v>x</v>
      </c>
    </row>
    <row r="367" spans="14:194" ht="15" customHeight="1" thickBot="1">
      <c r="N367" s="99">
        <f>IF(N184=-1,"x",IF(OR(N282=1,N$197=1,$CX184=1),N184,0))</f>
        <v>0</v>
      </c>
      <c r="O367" s="45">
        <f>IF(O184=-1,"x",IF(OR(O282=1,O$197=1,$CY184=1),O184,0))</f>
        <v>0</v>
      </c>
      <c r="P367" s="47">
        <f>IF(P184=-1,"x",IF(OR(P282=1,P$197=1,$CZ184=1),P184,0))</f>
        <v>0</v>
      </c>
      <c r="Q367" s="46">
        <f>IF(Q184=-1,"x",IF(OR(Q282=1,Q$197=1,$CX184=1),Q184,0))</f>
        <v>0</v>
      </c>
      <c r="R367" s="45">
        <f>IF(R184=-1,"x",IF(OR(R282=1,R$197=1,$CY184=1),R184,0))</f>
        <v>0</v>
      </c>
      <c r="S367" s="47">
        <f>IF(S184=-1,"x",IF(OR(S282=1,S$197=1,$CZ184=1),S184,0))</f>
        <v>0</v>
      </c>
      <c r="T367" s="46" t="str">
        <f>IF(T184=-1,"x",IF(OR(T282=1,T$197=1,$CX184=1),T184,0))</f>
        <v>x</v>
      </c>
      <c r="U367" s="45" t="str">
        <f>IF(U184=-1,"x",IF(OR(U282=1,U$197=1,$CY184=1),U184,0))</f>
        <v>x</v>
      </c>
      <c r="V367" s="48" t="str">
        <f>IF(V184=-1,"x",IF(OR(V282=1,V$197=1,$CZ184=1),V184,0))</f>
        <v>x</v>
      </c>
      <c r="W367" s="44">
        <f>IF(W184=-1,"x",IF(OR(W282=1,W$197=1,$CX184=1),W184,0))</f>
        <v>0</v>
      </c>
      <c r="X367" s="45">
        <f>IF(X184=-1,"x",IF(OR(X282=1,X$197=1,$CY184=1),X184,0))</f>
        <v>0</v>
      </c>
      <c r="Y367" s="47">
        <f>IF(Y184=-1,"x",IF(OR(Y282=1,Y$197=1,$CZ184=1),Y184,0))</f>
        <v>0</v>
      </c>
      <c r="Z367" s="46">
        <f>IF(Z184=-1,"x",IF(OR(Z282=1,Z$197=1,$CX184=1),Z184,0))</f>
        <v>0</v>
      </c>
      <c r="AA367" s="45">
        <f>IF(AA184=-1,"x",IF(OR(AA282=1,AA$197=1,$CY184=1),AA184,0))</f>
        <v>0</v>
      </c>
      <c r="AB367" s="47">
        <f>IF(AB184=-1,"x",IF(OR(AB282=1,AB$197=1,$CZ184=1),AB184,0))</f>
        <v>0</v>
      </c>
      <c r="AC367" s="46" t="str">
        <f>IF(AC184=-1,"x",IF(OR(AC282=1,AC$197=1,$CX184=1),AC184,0))</f>
        <v>x</v>
      </c>
      <c r="AD367" s="45" t="str">
        <f>IF(AD184=-1,"x",IF(OR(AD282=1,AD$197=1,$CY184=1),AD184,0))</f>
        <v>x</v>
      </c>
      <c r="AE367" s="48" t="str">
        <f>IF(AE184=-1,"x",IF(OR(AE282=1,AE$197=1,$CZ184=1),AE184,0))</f>
        <v>x</v>
      </c>
      <c r="AF367" s="44" t="str">
        <f>IF(AF184=-1,"x",IF(OR(AF282=1,AF$197=1,$CX184=1),AF184,0))</f>
        <v>x</v>
      </c>
      <c r="AG367" s="45" t="str">
        <f>IF(AG184=-1,"x",IF(OR(AG282=1,AG$197=1,$CY184=1),AG184,0))</f>
        <v>x</v>
      </c>
      <c r="AH367" s="47" t="str">
        <f>IF(AH184=-1,"x",IF(OR(AH282=1,AH$197=1,$CZ184=1),AH184,0))</f>
        <v>x</v>
      </c>
      <c r="AI367" s="46" t="str">
        <f>IF(AI184=-1,"x",IF(OR(AI282=1,AI$197=1,$CX184=1),AI184,0))</f>
        <v>x</v>
      </c>
      <c r="AJ367" s="45" t="str">
        <f>IF(AJ184=-1,"x",IF(OR(AJ282=1,AJ$197=1,$CY184=1),AJ184,0))</f>
        <v>x</v>
      </c>
      <c r="AK367" s="47" t="str">
        <f>IF(AK184=-1,"x",IF(OR(AK282=1,AK$197=1,$CZ184=1),AK184,0))</f>
        <v>x</v>
      </c>
      <c r="AL367" s="46" t="str">
        <f>IF(AL184=-1,"x",IF(OR(AL282=1,AL$197=1,$CX184=1),AL184,0))</f>
        <v>x</v>
      </c>
      <c r="AM367" s="45" t="str">
        <f>IF(AM184=-1,"x",IF(OR(AM282=1,AM$197=1,$CY184=1),AM184,0))</f>
        <v>x</v>
      </c>
      <c r="AN367" s="100" t="str">
        <f>IF(AN184=-1,"x",IF(OR(AN282=1,AN$197=1,$CZ184=1),AN184,0))</f>
        <v>x</v>
      </c>
      <c r="AO367" s="99" t="str">
        <f>IF(AO184=-1,"x",IF(OR(AO282=1,AO$197=1,$CX184=1),AO184,0))</f>
        <v>x</v>
      </c>
      <c r="AP367" s="45" t="str">
        <f>IF(AP184=-1,"x",IF(OR(AP282=1,AP$197=1,$CY184=1),AP184,0))</f>
        <v>x</v>
      </c>
      <c r="AQ367" s="47" t="str">
        <f>IF(AQ184=-1,"x",IF(OR(AQ282=1,AQ$197=1,$CZ184=1),AQ184,0))</f>
        <v>x</v>
      </c>
      <c r="AR367" s="46" t="str">
        <f>IF(AR184=-1,"x",IF(OR(AR282=1,AR$197=1,$CX184=1),AR184,0))</f>
        <v>x</v>
      </c>
      <c r="AS367" s="45" t="str">
        <f>IF(AS184=-1,"x",IF(OR(AS282=1,AS$197=1,$CY184=1),AS184,0))</f>
        <v>x</v>
      </c>
      <c r="AT367" s="47" t="str">
        <f>IF(AT184=-1,"x",IF(OR(AT282=1,AT$197=1,$CZ184=1),AT184,0))</f>
        <v>x</v>
      </c>
      <c r="AU367" s="46" t="str">
        <f>IF(AU184=-1,"x",IF(OR(AU282=1,AU$197=1,$CX184=1),AU184,0))</f>
        <v>x</v>
      </c>
      <c r="AV367" s="45" t="str">
        <f>IF(AV184=-1,"x",IF(OR(AV282=1,AV$197=1,$CY184=1),AV184,0))</f>
        <v>x</v>
      </c>
      <c r="AW367" s="48" t="str">
        <f>IF(AW184=-1,"x",IF(OR(AW282=1,AW$197=1,$CZ184=1),AW184,0))</f>
        <v>x</v>
      </c>
      <c r="AX367" s="44" t="str">
        <f>IF(AX184=-1,"x",IF(OR(AX282=1,AX$197=1,$CX184=1),AX184,0))</f>
        <v>x</v>
      </c>
      <c r="AY367" s="45" t="str">
        <f>IF(AY184=-1,"x",IF(OR(AY282=1,AY$197=1,$CY184=1),AY184,0))</f>
        <v>x</v>
      </c>
      <c r="AZ367" s="47" t="str">
        <f>IF(AZ184=-1,"x",IF(OR(AZ282=1,AZ$197=1,$CZ184=1),AZ184,0))</f>
        <v>x</v>
      </c>
      <c r="BA367" s="46" t="str">
        <f>IF(BA184=-1,"x",IF(OR(BA282=1,BA$197=1,$CX184=1),BA184,0))</f>
        <v>x</v>
      </c>
      <c r="BB367" s="45" t="str">
        <f>IF(BB184=-1,"x",IF(OR(BB282=1,BB$197=1,$CY184=1),BB184,0))</f>
        <v>x</v>
      </c>
      <c r="BC367" s="47" t="str">
        <f>IF(BC184=-1,"x",IF(OR(BC282=1,BC$197=1,$CZ184=1),BC184,0))</f>
        <v>x</v>
      </c>
      <c r="BD367" s="46" t="str">
        <f>IF(BD184=-1,"x",IF(OR(BD282=1,BD$197=1,$CX184=1),BD184,0))</f>
        <v>x</v>
      </c>
      <c r="BE367" s="45" t="str">
        <f>IF(BE184=-1,"x",IF(OR(BE282=1,BE$197=1,$CY184=1),BE184,0))</f>
        <v>x</v>
      </c>
      <c r="BF367" s="48" t="str">
        <f>IF(BF184=-1,"x",IF(OR(BF282=1,BF$197=1,$CZ184=1),BF184,0))</f>
        <v>x</v>
      </c>
      <c r="BG367" s="44" t="str">
        <f>IF(BG184=-1,"x",IF(OR(BG282=1,BG$197=1,$CX184=1),BG184,0))</f>
        <v>x</v>
      </c>
      <c r="BH367" s="45" t="str">
        <f>IF(BH184=-1,"x",IF(OR(BH282=1,BH$197=1,$CY184=1),BH184,0))</f>
        <v>x</v>
      </c>
      <c r="BI367" s="47" t="str">
        <f>IF(BI184=-1,"x",IF(OR(BI282=1,BI$197=1,$CZ184=1),BI184,0))</f>
        <v>x</v>
      </c>
      <c r="BJ367" s="46" t="str">
        <f>IF(BJ184=-1,"x",IF(OR(BJ282=1,BJ$197=1,$CX184=1),BJ184,0))</f>
        <v>x</v>
      </c>
      <c r="BK367" s="45" t="str">
        <f>IF(BK184=-1,"x",IF(OR(BK282=1,BK$197=1,$CY184=1),BK184,0))</f>
        <v>x</v>
      </c>
      <c r="BL367" s="47" t="str">
        <f>IF(BL184=-1,"x",IF(OR(BL282=1,BL$197=1,$CZ184=1),BL184,0))</f>
        <v>x</v>
      </c>
      <c r="BM367" s="46" t="str">
        <f>IF(BM184=-1,"x",IF(OR(BM282=1,BM$197=1,$CX184=1),BM184,0))</f>
        <v>x</v>
      </c>
      <c r="BN367" s="45" t="str">
        <f>IF(BN184=-1,"x",IF(OR(BN282=1,BN$197=1,$CY184=1),BN184,0))</f>
        <v>x</v>
      </c>
      <c r="BO367" s="100" t="str">
        <f>IF(BO184=-1,"x",IF(OR(BO282=1,BO$197=1,$CZ184=1),BO184,0))</f>
        <v>x</v>
      </c>
      <c r="BP367" s="99" t="str">
        <f>IF(BP184=-1,"x",IF(OR(BP282=1,BP$197=1,$CX184=1),BP184,0))</f>
        <v>x</v>
      </c>
      <c r="BQ367" s="45" t="str">
        <f>IF(BQ184=-1,"x",IF(OR(BQ282=1,BQ$197=1,$CY184=1),BQ184,0))</f>
        <v>x</v>
      </c>
      <c r="BR367" s="47" t="str">
        <f>IF(BR184=-1,"x",IF(OR(BR282=1,BR$197=1,$CZ184=1),BR184,0))</f>
        <v>x</v>
      </c>
      <c r="BS367" s="46" t="str">
        <f>IF(BS184=-1,"x",IF(OR(BS282=1,BS$197=1,$CX184=1),BS184,0))</f>
        <v>x</v>
      </c>
      <c r="BT367" s="45" t="str">
        <f>IF(BT184=-1,"x",IF(OR(BT282=1,BT$197=1,$CY184=1),BT184,0))</f>
        <v>x</v>
      </c>
      <c r="BU367" s="47" t="str">
        <f>IF(BU184=-1,"x",IF(OR(BU282=1,BU$197=1,$CZ184=1),BU184,0))</f>
        <v>x</v>
      </c>
      <c r="BV367" s="46" t="str">
        <f>IF(BV184=-1,"x",IF(OR(BV282=1,BV$197=1,$CX184=1),BV184,0))</f>
        <v>x</v>
      </c>
      <c r="BW367" s="45" t="str">
        <f>IF(BW184=-1,"x",IF(OR(BW282=1,BW$197=1,$CY184=1),BW184,0))</f>
        <v>x</v>
      </c>
      <c r="BX367" s="48" t="str">
        <f>IF(BX184=-1,"x",IF(OR(BX282=1,BX$197=1,$CZ184=1),BX184,0))</f>
        <v>x</v>
      </c>
      <c r="BY367" s="44" t="str">
        <f>IF(BY184=-1,"x",IF(OR(BY282=1,BY$197=1,$CX184=1),BY184,0))</f>
        <v>x</v>
      </c>
      <c r="BZ367" s="45" t="str">
        <f>IF(BZ184=-1,"x",IF(OR(BZ282=1,BZ$197=1,$CY184=1),BZ184,0))</f>
        <v>x</v>
      </c>
      <c r="CA367" s="47" t="str">
        <f>IF(CA184=-1,"x",IF(OR(CA282=1,CA$197=1,$CZ184=1),CA184,0))</f>
        <v>x</v>
      </c>
      <c r="CB367" s="46" t="str">
        <f>IF(CB184=-1,"x",IF(OR(CB282=1,CB$197=1,$CX184=1),CB184,0))</f>
        <v>x</v>
      </c>
      <c r="CC367" s="45" t="str">
        <f>IF(CC184=-1,"x",IF(OR(CC282=1,CC$197=1,$CY184=1),CC184,0))</f>
        <v>x</v>
      </c>
      <c r="CD367" s="47" t="str">
        <f>IF(CD184=-1,"x",IF(OR(CD282=1,CD$197=1,$CZ184=1),CD184,0))</f>
        <v>x</v>
      </c>
      <c r="CE367" s="46">
        <f>IF(CE184=-1,"x",IF(OR(CE282=1,CE$197=1,$CX184=1),CE184,0))</f>
        <v>0</v>
      </c>
      <c r="CF367" s="45">
        <f>IF(CF184=-1,"x",IF(OR(CF282=1,CF$197=1,$CY184=1),CF184,0))</f>
        <v>0</v>
      </c>
      <c r="CG367" s="48">
        <f>IF(CG184=-1,"x",IF(OR(CG282=1,CG$197=1,$CZ184=1),CG184,0))</f>
        <v>0</v>
      </c>
      <c r="CH367" s="44">
        <f>IF(CH184=-1,"x",IF(OR(CH282=1,CH$197=1,$CX184=1),CH184,0))</f>
        <v>0</v>
      </c>
      <c r="CI367" s="45">
        <f>IF(CI184=-1,"x",IF(OR(CI282=1,CI$197=1,$CY184=1),CI184,0))</f>
        <v>0</v>
      </c>
      <c r="CJ367" s="47">
        <f>IF(CJ184=-1,"x",IF(OR(CJ282=1,CJ$197=1,$CZ184=1),CJ184,0))</f>
        <v>0</v>
      </c>
      <c r="CK367" s="46">
        <f>IF(CK184=-1,"x",IF(OR(CK282=1,CK$197=1,$CX184=1),CK184,0))</f>
        <v>0</v>
      </c>
      <c r="CL367" s="45">
        <f>IF(CL184=-1,"x",IF(OR(CL282=1,CL$197=1,$CY184=1),CL184,0))</f>
        <v>0</v>
      </c>
      <c r="CM367" s="47">
        <f>IF(CM184=-1,"x",IF(OR(CM282=1,CM$197=1,$CZ184=1),CM184,0))</f>
        <v>0</v>
      </c>
      <c r="CN367" s="46">
        <f>IF(CN184=-1,"x",IF(OR(CN282=1,CN$197=1,$CX184=1),CN184,0))</f>
        <v>0</v>
      </c>
      <c r="CO367" s="45">
        <f>IF(CO184=-1,"x",IF(OR(CO282=1,CO$197=1,$CY184=1),CO184,0))</f>
        <v>0</v>
      </c>
      <c r="CP367" s="100">
        <f>IF(CP184=-1,"x",IF(OR(CP282=1,CP$197=1,$CZ184=1),CP184,0))</f>
        <v>0</v>
      </c>
      <c r="DJ367" s="106">
        <f>IF(DJ184=-1,"x",IF(OR(DJ282=1,DJ$230=1,$GT184=1),DJ184,0))</f>
        <v>0</v>
      </c>
      <c r="DK367" s="55">
        <f>IF(DK184=-1,"x",IF(OR(DK282=1,DK$230=1,$GU184=1),DK184,0))</f>
        <v>0</v>
      </c>
      <c r="DL367" s="56">
        <f>IF(DL184=-1,"x",IF(OR(DL282=1,DL$230=1,$GV184=1),DL184,0))</f>
        <v>0</v>
      </c>
      <c r="DM367" s="57">
        <f>IF(DM184=-1,"x",IF(OR(DM282=1,DM$230=1,$GT184=1),DM184,0))</f>
        <v>0</v>
      </c>
      <c r="DN367" s="55">
        <f>IF(DN184=-1,"x",IF(OR(DN282=1,DN$230=1,$GU184=1),DN184,0))</f>
        <v>0</v>
      </c>
      <c r="DO367" s="56">
        <f>IF(DO184=-1,"x",IF(OR(DO282=1,DO$230=1,$GV184=1),DO184,0))</f>
        <v>0</v>
      </c>
      <c r="DP367" s="57">
        <f>IF(DP184=-1,"x",IF(OR(DP282=1,DP$230=1,$GT184=1),DP184,0))</f>
        <v>0</v>
      </c>
      <c r="DQ367" s="55">
        <f>IF(DQ184=-1,"x",IF(OR(DQ282=1,DQ$230=1,$GU184=1),DQ184,0))</f>
        <v>0</v>
      </c>
      <c r="DR367" s="58">
        <f>IF(DR184=-1,"x",IF(OR(DR282=1,DR$230=1,$GV184=1),DR184,0))</f>
        <v>0</v>
      </c>
      <c r="DS367" s="54">
        <f>IF(DS184=-1,"x",IF(OR(DS282=1,DS$230=1,$GT184=1),DS184,0))</f>
        <v>0</v>
      </c>
      <c r="DT367" s="55">
        <f>IF(DT184=-1,"x",IF(OR(DT282=1,DT$230=1,$GU184=1),DT184,0))</f>
        <v>0</v>
      </c>
      <c r="DU367" s="56">
        <f>IF(DU184=-1,"x",IF(OR(DU282=1,DU$230=1,$GV184=1),DU184,0))</f>
        <v>0</v>
      </c>
      <c r="DV367" s="57" t="str">
        <f>IF(DV184=-1,"x",IF(OR(DV282=1,DV$230=1,$GT184=1),DV184,0))</f>
        <v>x</v>
      </c>
      <c r="DW367" s="55" t="str">
        <f>IF(DW184=-1,"x",IF(OR(DW282=1,DW$230=1,$GU184=1),DW184,0))</f>
        <v>x</v>
      </c>
      <c r="DX367" s="56" t="str">
        <f>IF(DX184=-1,"x",IF(OR(DX282=1,DX$230=1,$GV184=1),DX184,0))</f>
        <v>x</v>
      </c>
      <c r="DY367" s="57" t="str">
        <f>IF(DY184=-1,"x",IF(OR(DY282=1,DY$230=1,$GT184=1),DY184,0))</f>
        <v>x</v>
      </c>
      <c r="DZ367" s="55" t="str">
        <f>IF(DZ184=-1,"x",IF(OR(DZ282=1,DZ$230=1,$GU184=1),DZ184,0))</f>
        <v>x</v>
      </c>
      <c r="EA367" s="58" t="str">
        <f>IF(EA184=-1,"x",IF(OR(EA282=1,EA$230=1,$GV184=1),EA184,0))</f>
        <v>x</v>
      </c>
      <c r="EB367" s="54" t="str">
        <f>IF(EB184=-1,"x",IF(OR(EB282=1,EB$230=1,$GT184=1),EB184,0))</f>
        <v>x</v>
      </c>
      <c r="EC367" s="55" t="str">
        <f>IF(EC184=-1,"x",IF(OR(EC282=1,EC$230=1,$GU184=1),EC184,0))</f>
        <v>x</v>
      </c>
      <c r="ED367" s="56" t="str">
        <f>IF(ED184=-1,"x",IF(OR(ED282=1,ED$230=1,$GV184=1),ED184,0))</f>
        <v>x</v>
      </c>
      <c r="EE367" s="57" t="str">
        <f>IF(EE184=-1,"x",IF(OR(EE282=1,EE$230=1,$GT184=1),EE184,0))</f>
        <v>x</v>
      </c>
      <c r="EF367" s="55" t="str">
        <f>IF(EF184=-1,"x",IF(OR(EF282=1,EF$230=1,$GU184=1),EF184,0))</f>
        <v>x</v>
      </c>
      <c r="EG367" s="56" t="str">
        <f>IF(EG184=-1,"x",IF(OR(EG282=1,EG$230=1,$GV184=1),EG184,0))</f>
        <v>x</v>
      </c>
      <c r="EH367" s="57" t="str">
        <f>IF(EH184=-1,"x",IF(OR(EH282=1,EH$230=1,$GT184=1),EH184,0))</f>
        <v>x</v>
      </c>
      <c r="EI367" s="55" t="str">
        <f>IF(EI184=-1,"x",IF(OR(EI282=1,EI$230=1,$GU184=1),EI184,0))</f>
        <v>x</v>
      </c>
      <c r="EJ367" s="107" t="str">
        <f>IF(EJ184=-1,"x",IF(OR(EJ282=1,EJ$230=1,$GV184=1),EJ184,0))</f>
        <v>x</v>
      </c>
      <c r="EK367" s="106" t="str">
        <f>IF(EK184=-1,"x",IF(OR(EK282=1,EK$230=1,$GT184=1),EK184,0))</f>
        <v>x</v>
      </c>
      <c r="EL367" s="55" t="str">
        <f>IF(EL184=-1,"x",IF(OR(EL282=1,EL$230=1,$GU184=1),EL184,0))</f>
        <v>x</v>
      </c>
      <c r="EM367" s="56" t="str">
        <f>IF(EM184=-1,"x",IF(OR(EM282=1,EM$230=1,$GV184=1),EM184,0))</f>
        <v>x</v>
      </c>
      <c r="EN367" s="57" t="str">
        <f>IF(EN184=-1,"x",IF(OR(EN282=1,EN$230=1,$GT184=1),EN184,0))</f>
        <v>x</v>
      </c>
      <c r="EO367" s="55" t="str">
        <f>IF(EO184=-1,"x",IF(OR(EO282=1,EO$230=1,$GU184=1),EO184,0))</f>
        <v>x</v>
      </c>
      <c r="EP367" s="56" t="str">
        <f>IF(EP184=-1,"x",IF(OR(EP282=1,EP$230=1,$GV184=1),EP184,0))</f>
        <v>x</v>
      </c>
      <c r="EQ367" s="57" t="str">
        <f>IF(EQ184=-1,"x",IF(OR(EQ282=1,EQ$230=1,$GT184=1),EQ184,0))</f>
        <v>x</v>
      </c>
      <c r="ER367" s="55" t="str">
        <f>IF(ER184=-1,"x",IF(OR(ER282=1,ER$230=1,$GU184=1),ER184,0))</f>
        <v>x</v>
      </c>
      <c r="ES367" s="58" t="str">
        <f>IF(ES184=-1,"x",IF(OR(ES282=1,ES$230=1,$GV184=1),ES184,0))</f>
        <v>x</v>
      </c>
      <c r="ET367" s="54" t="str">
        <f>IF(ET184=-1,"x",IF(OR(ET282=1,ET$230=1,$GT184=1),ET184,0))</f>
        <v>x</v>
      </c>
      <c r="EU367" s="55" t="str">
        <f>IF(EU184=-1,"x",IF(OR(EU282=1,EU$230=1,$GU184=1),EU184,0))</f>
        <v>x</v>
      </c>
      <c r="EV367" s="56" t="str">
        <f>IF(EV184=-1,"x",IF(OR(EV282=1,EV$230=1,$GV184=1),EV184,0))</f>
        <v>x</v>
      </c>
      <c r="EW367" s="57" t="str">
        <f>IF(EW184=-1,"x",IF(OR(EW282=1,EW$230=1,$GT184=1),EW184,0))</f>
        <v>x</v>
      </c>
      <c r="EX367" s="55" t="str">
        <f>IF(EX184=-1,"x",IF(OR(EX282=1,EX$230=1,$GU184=1),EX184,0))</f>
        <v>x</v>
      </c>
      <c r="EY367" s="56" t="str">
        <f>IF(EY184=-1,"x",IF(OR(EY282=1,EY$230=1,$GV184=1),EY184,0))</f>
        <v>x</v>
      </c>
      <c r="EZ367" s="57" t="str">
        <f>IF(EZ184=-1,"x",IF(OR(EZ282=1,EZ$230=1,$GT184=1),EZ184,0))</f>
        <v>x</v>
      </c>
      <c r="FA367" s="55" t="str">
        <f>IF(FA184=-1,"x",IF(OR(FA282=1,FA$230=1,$GU184=1),FA184,0))</f>
        <v>x</v>
      </c>
      <c r="FB367" s="58" t="str">
        <f>IF(FB184=-1,"x",IF(OR(FB282=1,FB$230=1,$GV184=1),FB184,0))</f>
        <v>x</v>
      </c>
      <c r="FC367" s="54" t="str">
        <f>IF(FC184=-1,"x",IF(OR(FC282=1,FC$230=1,$GT184=1),FC184,0))</f>
        <v>x</v>
      </c>
      <c r="FD367" s="55" t="str">
        <f>IF(FD184=-1,"x",IF(OR(FD282=1,FD$230=1,$GU184=1),FD184,0))</f>
        <v>x</v>
      </c>
      <c r="FE367" s="56" t="str">
        <f>IF(FE184=-1,"x",IF(OR(FE282=1,FE$230=1,$GV184=1),FE184,0))</f>
        <v>x</v>
      </c>
      <c r="FF367" s="57" t="str">
        <f>IF(FF184=-1,"x",IF(OR(FF282=1,FF$230=1,$GT184=1),FF184,0))</f>
        <v>x</v>
      </c>
      <c r="FG367" s="55" t="str">
        <f>IF(FG184=-1,"x",IF(OR(FG282=1,FG$230=1,$GU184=1),FG184,0))</f>
        <v>x</v>
      </c>
      <c r="FH367" s="56" t="str">
        <f>IF(FH184=-1,"x",IF(OR(FH282=1,FH$230=1,$GV184=1),FH184,0))</f>
        <v>x</v>
      </c>
      <c r="FI367" s="57" t="str">
        <f>IF(FI184=-1,"x",IF(OR(FI282=1,FI$230=1,$GT184=1),FI184,0))</f>
        <v>x</v>
      </c>
      <c r="FJ367" s="55" t="str">
        <f>IF(FJ184=-1,"x",IF(OR(FJ282=1,FJ$230=1,$GU184=1),FJ184,0))</f>
        <v>x</v>
      </c>
      <c r="FK367" s="107" t="str">
        <f>IF(FK184=-1,"x",IF(OR(FK282=1,FK$230=1,$GV184=1),FK184,0))</f>
        <v>x</v>
      </c>
      <c r="FL367" s="106" t="str">
        <f>IF(FL184=-1,"x",IF(OR(FL282=1,FL$230=1,$GT184=1),FL184,0))</f>
        <v>x</v>
      </c>
      <c r="FM367" s="55" t="str">
        <f>IF(FM184=-1,"x",IF(OR(FM282=1,FM$230=1,$GU184=1),FM184,0))</f>
        <v>x</v>
      </c>
      <c r="FN367" s="56" t="str">
        <f>IF(FN184=-1,"x",IF(OR(FN282=1,FN$230=1,$GV184=1),FN184,0))</f>
        <v>x</v>
      </c>
      <c r="FO367" s="57" t="str">
        <f>IF(FO184=-1,"x",IF(OR(FO282=1,FO$230=1,$GT184=1),FO184,0))</f>
        <v>x</v>
      </c>
      <c r="FP367" s="55" t="str">
        <f>IF(FP184=-1,"x",IF(OR(FP282=1,FP$230=1,$GU184=1),FP184,0))</f>
        <v>x</v>
      </c>
      <c r="FQ367" s="56" t="str">
        <f>IF(FQ184=-1,"x",IF(OR(FQ282=1,FQ$230=1,$GV184=1),FQ184,0))</f>
        <v>x</v>
      </c>
      <c r="FR367" s="57" t="str">
        <f>IF(FR184=-1,"x",IF(OR(FR282=1,FR$230=1,$GT184=1),FR184,0))</f>
        <v>x</v>
      </c>
      <c r="FS367" s="55" t="str">
        <f>IF(FS184=-1,"x",IF(OR(FS282=1,FS$230=1,$GU184=1),FS184,0))</f>
        <v>x</v>
      </c>
      <c r="FT367" s="58" t="str">
        <f>IF(FT184=-1,"x",IF(OR(FT282=1,FT$230=1,$GV184=1),FT184,0))</f>
        <v>x</v>
      </c>
      <c r="FU367" s="54" t="str">
        <f>IF(FU184=-1,"x",IF(OR(FU282=1,FU$230=1,$GT184=1),FU184,0))</f>
        <v>x</v>
      </c>
      <c r="FV367" s="55" t="str">
        <f>IF(FV184=-1,"x",IF(OR(FV282=1,FV$230=1,$GU184=1),FV184,0))</f>
        <v>x</v>
      </c>
      <c r="FW367" s="56" t="str">
        <f>IF(FW184=-1,"x",IF(OR(FW282=1,FW$230=1,$GV184=1),FW184,0))</f>
        <v>x</v>
      </c>
      <c r="FX367" s="57" t="str">
        <f>IF(FX184=-1,"x",IF(OR(FX282=1,FX$230=1,$GT184=1),FX184,0))</f>
        <v>x</v>
      </c>
      <c r="FY367" s="55" t="str">
        <f>IF(FY184=-1,"x",IF(OR(FY282=1,FY$230=1,$GU184=1),FY184,0))</f>
        <v>x</v>
      </c>
      <c r="FZ367" s="56" t="str">
        <f>IF(FZ184=-1,"x",IF(OR(FZ282=1,FZ$230=1,$GV184=1),FZ184,0))</f>
        <v>x</v>
      </c>
      <c r="GA367" s="57" t="str">
        <f>IF(GA184=-1,"x",IF(OR(GA282=1,GA$230=1,$GT184=1),GA184,0))</f>
        <v>x</v>
      </c>
      <c r="GB367" s="55" t="str">
        <f>IF(GB184=-1,"x",IF(OR(GB282=1,GB$230=1,$GU184=1),GB184,0))</f>
        <v>x</v>
      </c>
      <c r="GC367" s="58" t="str">
        <f>IF(GC184=-1,"x",IF(OR(GC282=1,GC$230=1,$GV184=1),GC184,0))</f>
        <v>x</v>
      </c>
      <c r="GD367" s="54" t="str">
        <f>IF(GD184=-1,"x",IF(OR(GD282=1,GD$230=1,$GT184=1),GD184,0))</f>
        <v>x</v>
      </c>
      <c r="GE367" s="55" t="str">
        <f>IF(GE184=-1,"x",IF(OR(GE282=1,GE$230=1,$GU184=1),GE184,0))</f>
        <v>x</v>
      </c>
      <c r="GF367" s="56" t="str">
        <f>IF(GF184=-1,"x",IF(OR(GF282=1,GF$230=1,$GV184=1),GF184,0))</f>
        <v>x</v>
      </c>
      <c r="GG367" s="57">
        <f>IF(GG184=-1,"x",IF(OR(GG282=1,GG$230=1,$GT184=1),GG184,0))</f>
        <v>7</v>
      </c>
      <c r="GH367" s="55">
        <f>IF(GH184=-1,"x",IF(OR(GH282=1,GH$230=1,$GU184=1),GH184,0))</f>
        <v>0</v>
      </c>
      <c r="GI367" s="56">
        <f>IF(GI184=-1,"x",IF(OR(GI282=1,GI$230=1,$GV184=1),GI184,0))</f>
        <v>0</v>
      </c>
      <c r="GJ367" s="57" t="str">
        <f>IF(GJ184=-1,"x",IF(OR(GJ282=1,GJ$230=1,$GT184=1),GJ184,0))</f>
        <v>x</v>
      </c>
      <c r="GK367" s="55" t="str">
        <f>IF(GK184=-1,"x",IF(OR(GK282=1,GK$230=1,$GU184=1),GK184,0))</f>
        <v>x</v>
      </c>
      <c r="GL367" s="107" t="str">
        <f>IF(GL184=-1,"x",IF(OR(GL282=1,GL$230=1,$GV184=1),GL184,0))</f>
        <v>x</v>
      </c>
    </row>
    <row r="368" spans="14:194" ht="15" customHeight="1">
      <c r="N368" s="104">
        <f>IF(N185=-1,"x",IF(OR(N283=1,N$195=1,$CX185=1),N185,0))</f>
        <v>0</v>
      </c>
      <c r="O368" s="50">
        <f>IF(O185=-1,"x",IF(OR(O283=1,O$195=1,$CY185=1),O185,0))</f>
        <v>0</v>
      </c>
      <c r="P368" s="51">
        <f>IF(P185=-1,"x",IF(OR(P283=1,P$195=1,$CZ185=1),P185,0))</f>
        <v>0</v>
      </c>
      <c r="Q368" s="52">
        <f>IF(Q185=-1,"x",IF(OR(Q283=1,Q$195=1,$CX185=1),Q185,0))</f>
        <v>0</v>
      </c>
      <c r="R368" s="50">
        <f>IF(R185=-1,"x",IF(OR(R283=1,R$195=1,$CY185=1),R185,0))</f>
        <v>0</v>
      </c>
      <c r="S368" s="51">
        <f>IF(S185=-1,"x",IF(OR(S283=1,S$195=1,$CZ185=1),S185,0))</f>
        <v>0</v>
      </c>
      <c r="T368" s="52">
        <f>IF(T185=-1,"x",IF(OR(T283=1,T$195=1,$CX185=1),T185,0))</f>
        <v>0</v>
      </c>
      <c r="U368" s="50">
        <f>IF(U185=-1,"x",IF(OR(U283=1,U$195=1,$CY185=1),U185,0))</f>
        <v>0</v>
      </c>
      <c r="V368" s="53">
        <f>IF(V185=-1,"x",IF(OR(V283=1,V$195=1,$CZ185=1),V185,0))</f>
        <v>0</v>
      </c>
      <c r="W368" s="49">
        <f>IF(W185=-1,"x",IF(OR(W283=1,W$195=1,$CX185=1),W185,0))</f>
        <v>0</v>
      </c>
      <c r="X368" s="50">
        <f>IF(X185=-1,"x",IF(OR(X283=1,X$195=1,$CY185=1),X185,0))</f>
        <v>0</v>
      </c>
      <c r="Y368" s="51">
        <f>IF(Y185=-1,"x",IF(OR(Y283=1,Y$195=1,$CZ185=1),Y185,0))</f>
        <v>0</v>
      </c>
      <c r="Z368" s="52" t="str">
        <f>IF(Z185=-1,"x",IF(OR(Z283=1,Z$195=1,$CX185=1),Z185,0))</f>
        <v>x</v>
      </c>
      <c r="AA368" s="50" t="str">
        <f>IF(AA185=-1,"x",IF(OR(AA283=1,AA$195=1,$CY185=1),AA185,0))</f>
        <v>x</v>
      </c>
      <c r="AB368" s="51" t="str">
        <f>IF(AB185=-1,"x",IF(OR(AB283=1,AB$195=1,$CZ185=1),AB185,0))</f>
        <v>x</v>
      </c>
      <c r="AC368" s="52" t="str">
        <f>IF(AC185=-1,"x",IF(OR(AC283=1,AC$195=1,$CX185=1),AC185,0))</f>
        <v>x</v>
      </c>
      <c r="AD368" s="50" t="str">
        <f>IF(AD185=-1,"x",IF(OR(AD283=1,AD$195=1,$CY185=1),AD185,0))</f>
        <v>x</v>
      </c>
      <c r="AE368" s="53" t="str">
        <f>IF(AE185=-1,"x",IF(OR(AE283=1,AE$195=1,$CZ185=1),AE185,0))</f>
        <v>x</v>
      </c>
      <c r="AF368" s="49" t="str">
        <f>IF(AF185=-1,"x",IF(OR(AF283=1,AF$195=1,$CX185=1),AF185,0))</f>
        <v>x</v>
      </c>
      <c r="AG368" s="50" t="str">
        <f>IF(AG185=-1,"x",IF(OR(AG283=1,AG$195=1,$CY185=1),AG185,0))</f>
        <v>x</v>
      </c>
      <c r="AH368" s="51" t="str">
        <f>IF(AH185=-1,"x",IF(OR(AH283=1,AH$195=1,$CZ185=1),AH185,0))</f>
        <v>x</v>
      </c>
      <c r="AI368" s="52" t="str">
        <f>IF(AI185=-1,"x",IF(OR(AI283=1,AI$195=1,$CX185=1),AI185,0))</f>
        <v>x</v>
      </c>
      <c r="AJ368" s="50" t="str">
        <f>IF(AJ185=-1,"x",IF(OR(AJ283=1,AJ$195=1,$CY185=1),AJ185,0))</f>
        <v>x</v>
      </c>
      <c r="AK368" s="51" t="str">
        <f>IF(AK185=-1,"x",IF(OR(AK283=1,AK$195=1,$CZ185=1),AK185,0))</f>
        <v>x</v>
      </c>
      <c r="AL368" s="52" t="str">
        <f>IF(AL185=-1,"x",IF(OR(AL283=1,AL$195=1,$CX185=1),AL185,0))</f>
        <v>x</v>
      </c>
      <c r="AM368" s="50" t="str">
        <f>IF(AM185=-1,"x",IF(OR(AM283=1,AM$195=1,$CY185=1),AM185,0))</f>
        <v>x</v>
      </c>
      <c r="AN368" s="105" t="str">
        <f>IF(AN185=-1,"x",IF(OR(AN283=1,AN$195=1,$CZ185=1),AN185,0))</f>
        <v>x</v>
      </c>
      <c r="AO368" s="104" t="str">
        <f>IF(AO185=-1,"x",IF(OR(AO283=1,AO$195=1,$CX185=1),AO185,0))</f>
        <v>x</v>
      </c>
      <c r="AP368" s="50" t="str">
        <f>IF(AP185=-1,"x",IF(OR(AP283=1,AP$195=1,$CY185=1),AP185,0))</f>
        <v>x</v>
      </c>
      <c r="AQ368" s="51" t="str">
        <f>IF(AQ185=-1,"x",IF(OR(AQ283=1,AQ$195=1,$CZ185=1),AQ185,0))</f>
        <v>x</v>
      </c>
      <c r="AR368" s="52" t="str">
        <f>IF(AR185=-1,"x",IF(OR(AR283=1,AR$195=1,$CX185=1),AR185,0))</f>
        <v>x</v>
      </c>
      <c r="AS368" s="50" t="str">
        <f>IF(AS185=-1,"x",IF(OR(AS283=1,AS$195=1,$CY185=1),AS185,0))</f>
        <v>x</v>
      </c>
      <c r="AT368" s="51" t="str">
        <f>IF(AT185=-1,"x",IF(OR(AT283=1,AT$195=1,$CZ185=1),AT185,0))</f>
        <v>x</v>
      </c>
      <c r="AU368" s="52" t="str">
        <f>IF(AU185=-1,"x",IF(OR(AU283=1,AU$195=1,$CX185=1),AU185,0))</f>
        <v>x</v>
      </c>
      <c r="AV368" s="50" t="str">
        <f>IF(AV185=-1,"x",IF(OR(AV283=1,AV$195=1,$CY185=1),AV185,0))</f>
        <v>x</v>
      </c>
      <c r="AW368" s="53" t="str">
        <f>IF(AW185=-1,"x",IF(OR(AW283=1,AW$195=1,$CZ185=1),AW185,0))</f>
        <v>x</v>
      </c>
      <c r="AX368" s="49" t="str">
        <f>IF(AX185=-1,"x",IF(OR(AX283=1,AX$195=1,$CX185=1),AX185,0))</f>
        <v>x</v>
      </c>
      <c r="AY368" s="50" t="str">
        <f>IF(AY185=-1,"x",IF(OR(AY283=1,AY$195=1,$CY185=1),AY185,0))</f>
        <v>x</v>
      </c>
      <c r="AZ368" s="51" t="str">
        <f>IF(AZ185=-1,"x",IF(OR(AZ283=1,AZ$195=1,$CZ185=1),AZ185,0))</f>
        <v>x</v>
      </c>
      <c r="BA368" s="52" t="str">
        <f>IF(BA185=-1,"x",IF(OR(BA283=1,BA$195=1,$CX185=1),BA185,0))</f>
        <v>x</v>
      </c>
      <c r="BB368" s="50" t="str">
        <f>IF(BB185=-1,"x",IF(OR(BB283=1,BB$195=1,$CY185=1),BB185,0))</f>
        <v>x</v>
      </c>
      <c r="BC368" s="51" t="str">
        <f>IF(BC185=-1,"x",IF(OR(BC283=1,BC$195=1,$CZ185=1),BC185,0))</f>
        <v>x</v>
      </c>
      <c r="BD368" s="52" t="str">
        <f>IF(BD185=-1,"x",IF(OR(BD283=1,BD$195=1,$CX185=1),BD185,0))</f>
        <v>x</v>
      </c>
      <c r="BE368" s="50" t="str">
        <f>IF(BE185=-1,"x",IF(OR(BE283=1,BE$195=1,$CY185=1),BE185,0))</f>
        <v>x</v>
      </c>
      <c r="BF368" s="53" t="str">
        <f>IF(BF185=-1,"x",IF(OR(BF283=1,BF$195=1,$CZ185=1),BF185,0))</f>
        <v>x</v>
      </c>
      <c r="BG368" s="49" t="str">
        <f>IF(BG185=-1,"x",IF(OR(BG283=1,BG$195=1,$CX185=1),BG185,0))</f>
        <v>x</v>
      </c>
      <c r="BH368" s="50" t="str">
        <f>IF(BH185=-1,"x",IF(OR(BH283=1,BH$195=1,$CY185=1),BH185,0))</f>
        <v>x</v>
      </c>
      <c r="BI368" s="51" t="str">
        <f>IF(BI185=-1,"x",IF(OR(BI283=1,BI$195=1,$CZ185=1),BI185,0))</f>
        <v>x</v>
      </c>
      <c r="BJ368" s="52" t="str">
        <f>IF(BJ185=-1,"x",IF(OR(BJ283=1,BJ$195=1,$CX185=1),BJ185,0))</f>
        <v>x</v>
      </c>
      <c r="BK368" s="50" t="str">
        <f>IF(BK185=-1,"x",IF(OR(BK283=1,BK$195=1,$CY185=1),BK185,0))</f>
        <v>x</v>
      </c>
      <c r="BL368" s="51" t="str">
        <f>IF(BL185=-1,"x",IF(OR(BL283=1,BL$195=1,$CZ185=1),BL185,0))</f>
        <v>x</v>
      </c>
      <c r="BM368" s="52" t="str">
        <f>IF(BM185=-1,"x",IF(OR(BM283=1,BM$195=1,$CX185=1),BM185,0))</f>
        <v>x</v>
      </c>
      <c r="BN368" s="50" t="str">
        <f>IF(BN185=-1,"x",IF(OR(BN283=1,BN$195=1,$CY185=1),BN185,0))</f>
        <v>x</v>
      </c>
      <c r="BO368" s="105" t="str">
        <f>IF(BO185=-1,"x",IF(OR(BO283=1,BO$195=1,$CZ185=1),BO185,0))</f>
        <v>x</v>
      </c>
      <c r="BP368" s="104" t="str">
        <f>IF(BP185=-1,"x",IF(OR(BP283=1,BP$195=1,$CX185=1),BP185,0))</f>
        <v>x</v>
      </c>
      <c r="BQ368" s="50" t="str">
        <f>IF(BQ185=-1,"x",IF(OR(BQ283=1,BQ$195=1,$CY185=1),BQ185,0))</f>
        <v>x</v>
      </c>
      <c r="BR368" s="51" t="str">
        <f>IF(BR185=-1,"x",IF(OR(BR283=1,BR$195=1,$CZ185=1),BR185,0))</f>
        <v>x</v>
      </c>
      <c r="BS368" s="52" t="str">
        <f>IF(BS185=-1,"x",IF(OR(BS283=1,BS$195=1,$CX185=1),BS185,0))</f>
        <v>x</v>
      </c>
      <c r="BT368" s="50" t="str">
        <f>IF(BT185=-1,"x",IF(OR(BT283=1,BT$195=1,$CY185=1),BT185,0))</f>
        <v>x</v>
      </c>
      <c r="BU368" s="51" t="str">
        <f>IF(BU185=-1,"x",IF(OR(BU283=1,BU$195=1,$CZ185=1),BU185,0))</f>
        <v>x</v>
      </c>
      <c r="BV368" s="52" t="str">
        <f>IF(BV185=-1,"x",IF(OR(BV283=1,BV$195=1,$CX185=1),BV185,0))</f>
        <v>x</v>
      </c>
      <c r="BW368" s="50" t="str">
        <f>IF(BW185=-1,"x",IF(OR(BW283=1,BW$195=1,$CY185=1),BW185,0))</f>
        <v>x</v>
      </c>
      <c r="BX368" s="53" t="str">
        <f>IF(BX185=-1,"x",IF(OR(BX283=1,BX$195=1,$CZ185=1),BX185,0))</f>
        <v>x</v>
      </c>
      <c r="BY368" s="49" t="str">
        <f>IF(BY185=-1,"x",IF(OR(BY283=1,BY$195=1,$CX185=1),BY185,0))</f>
        <v>x</v>
      </c>
      <c r="BZ368" s="50" t="str">
        <f>IF(BZ185=-1,"x",IF(OR(BZ283=1,BZ$195=1,$CY185=1),BZ185,0))</f>
        <v>x</v>
      </c>
      <c r="CA368" s="51" t="str">
        <f>IF(CA185=-1,"x",IF(OR(CA283=1,CA$195=1,$CZ185=1),CA185,0))</f>
        <v>x</v>
      </c>
      <c r="CB368" s="52">
        <f>IF(CB185=-1,"x",IF(OR(CB283=1,CB$195=1,$CX185=1),CB185,0))</f>
        <v>0</v>
      </c>
      <c r="CC368" s="50">
        <f>IF(CC185=-1,"x",IF(OR(CC283=1,CC$195=1,$CY185=1),CC185,0))</f>
        <v>0</v>
      </c>
      <c r="CD368" s="51">
        <f>IF(CD185=-1,"x",IF(OR(CD283=1,CD$195=1,$CZ185=1),CD185,0))</f>
        <v>0</v>
      </c>
      <c r="CE368" s="52">
        <f>IF(CE185=-1,"x",IF(OR(CE283=1,CE$195=1,$CX185=1),CE185,0))</f>
        <v>0</v>
      </c>
      <c r="CF368" s="50">
        <f>IF(CF185=-1,"x",IF(OR(CF283=1,CF$195=1,$CY185=1),CF185,0))</f>
        <v>0</v>
      </c>
      <c r="CG368" s="53">
        <f>IF(CG185=-1,"x",IF(OR(CG283=1,CG$195=1,$CZ185=1),CG185,0))</f>
        <v>0</v>
      </c>
      <c r="CH368" s="49">
        <f>IF(CH185=-1,"x",IF(OR(CH283=1,CH$195=1,$CX185=1),CH185,0))</f>
        <v>0</v>
      </c>
      <c r="CI368" s="50">
        <f>IF(CI185=-1,"x",IF(OR(CI283=1,CI$195=1,$CY185=1),CI185,0))</f>
        <v>0</v>
      </c>
      <c r="CJ368" s="51">
        <f>IF(CJ185=-1,"x",IF(OR(CJ283=1,CJ$195=1,$CZ185=1),CJ185,0))</f>
        <v>0</v>
      </c>
      <c r="CK368" s="52">
        <f>IF(CK185=-1,"x",IF(OR(CK283=1,CK$195=1,$CX185=1),CK185,0))</f>
        <v>0</v>
      </c>
      <c r="CL368" s="50">
        <f>IF(CL185=-1,"x",IF(OR(CL283=1,CL$195=1,$CY185=1),CL185,0))</f>
        <v>0</v>
      </c>
      <c r="CM368" s="51">
        <f>IF(CM185=-1,"x",IF(OR(CM283=1,CM$195=1,$CZ185=1),CM185,0))</f>
        <v>0</v>
      </c>
      <c r="CN368" s="52">
        <f>IF(CN185=-1,"x",IF(OR(CN283=1,CN$195=1,$CX185=1),CN185,0))</f>
        <v>0</v>
      </c>
      <c r="CO368" s="50">
        <f>IF(CO185=-1,"x",IF(OR(CO283=1,CO$195=1,$CY185=1),CO185,0))</f>
        <v>0</v>
      </c>
      <c r="CP368" s="105">
        <f>IF(CP185=-1,"x",IF(OR(CP283=1,CP$195=1,$CZ185=1),CP185,0))</f>
        <v>0</v>
      </c>
      <c r="DJ368" s="108">
        <f>IF(DJ185=-1,"x",IF(OR(DJ283=1,DJ$228=1,$GT185=1),DJ185,0))</f>
        <v>0</v>
      </c>
      <c r="DK368" s="37">
        <f>IF(DK185=-1,"x",IF(OR(DK283=1,DK$228=1,$GU185=1),DK185,0))</f>
        <v>0</v>
      </c>
      <c r="DL368" s="35">
        <f>IF(DL185=-1,"x",IF(OR(DL283=1,DL$228=1,$GV185=1),DL185,0))</f>
        <v>0</v>
      </c>
      <c r="DM368" s="36">
        <f>IF(DM185=-1,"x",IF(OR(DM283=1,DM$228=1,$GT185=1),DM185,0))</f>
        <v>0</v>
      </c>
      <c r="DN368" s="37">
        <f>IF(DN185=-1,"x",IF(OR(DN283=1,DN$228=1,$GU185=1),DN185,0))</f>
        <v>0</v>
      </c>
      <c r="DO368" s="35">
        <f>IF(DO185=-1,"x",IF(OR(DO283=1,DO$228=1,$GV185=1),DO185,0))</f>
        <v>0</v>
      </c>
      <c r="DP368" s="36">
        <f>IF(DP185=-1,"x",IF(OR(DP283=1,DP$228=1,$GT185=1),DP185,0))</f>
        <v>0</v>
      </c>
      <c r="DQ368" s="37">
        <f>IF(DQ185=-1,"x",IF(OR(DQ283=1,DQ$228=1,$GU185=1),DQ185,0))</f>
        <v>0</v>
      </c>
      <c r="DR368" s="38">
        <f>IF(DR185=-1,"x",IF(OR(DR283=1,DR$228=1,$GV185=1),DR185,0))</f>
        <v>3</v>
      </c>
      <c r="DS368" s="416" t="str">
        <f>IF(DS185=-1,"x",IF(OR(DS283=1,DS$228=1,$GT185=1),DS185,0))</f>
        <v>x</v>
      </c>
      <c r="DT368" s="37" t="str">
        <f>IF(DT185=-1,"x",IF(OR(DT283=1,DT$228=1,$GU185=1),DT185,0))</f>
        <v>x</v>
      </c>
      <c r="DU368" s="35" t="str">
        <f>IF(DU185=-1,"x",IF(OR(DU283=1,DU$228=1,$GV185=1),DU185,0))</f>
        <v>x</v>
      </c>
      <c r="DV368" s="36" t="str">
        <f>IF(DV185=-1,"x",IF(OR(DV283=1,DV$228=1,$GT185=1),DV185,0))</f>
        <v>x</v>
      </c>
      <c r="DW368" s="37" t="str">
        <f>IF(DW185=-1,"x",IF(OR(DW283=1,DW$228=1,$GU185=1),DW185,0))</f>
        <v>x</v>
      </c>
      <c r="DX368" s="35" t="str">
        <f>IF(DX185=-1,"x",IF(OR(DX283=1,DX$228=1,$GV185=1),DX185,0))</f>
        <v>x</v>
      </c>
      <c r="DY368" s="36" t="str">
        <f>IF(DY185=-1,"x",IF(OR(DY283=1,DY$228=1,$GT185=1),DY185,0))</f>
        <v>x</v>
      </c>
      <c r="DZ368" s="37" t="str">
        <f>IF(DZ185=-1,"x",IF(OR(DZ283=1,DZ$228=1,$GU185=1),DZ185,0))</f>
        <v>x</v>
      </c>
      <c r="EA368" s="38" t="str">
        <f>IF(EA185=-1,"x",IF(OR(EA283=1,EA$228=1,$GV185=1),EA185,0))</f>
        <v>x</v>
      </c>
      <c r="EB368" s="416" t="str">
        <f>IF(EB185=-1,"x",IF(OR(EB283=1,EB$228=1,$GT185=1),EB185,0))</f>
        <v>x</v>
      </c>
      <c r="EC368" s="37" t="str">
        <f>IF(EC185=-1,"x",IF(OR(EC283=1,EC$228=1,$GU185=1),EC185,0))</f>
        <v>x</v>
      </c>
      <c r="ED368" s="35" t="str">
        <f>IF(ED185=-1,"x",IF(OR(ED283=1,ED$228=1,$GV185=1),ED185,0))</f>
        <v>x</v>
      </c>
      <c r="EE368" s="36" t="str">
        <f>IF(EE185=-1,"x",IF(OR(EE283=1,EE$228=1,$GT185=1),EE185,0))</f>
        <v>x</v>
      </c>
      <c r="EF368" s="37" t="str">
        <f>IF(EF185=-1,"x",IF(OR(EF283=1,EF$228=1,$GU185=1),EF185,0))</f>
        <v>x</v>
      </c>
      <c r="EG368" s="35" t="str">
        <f>IF(EG185=-1,"x",IF(OR(EG283=1,EG$228=1,$GV185=1),EG185,0))</f>
        <v>x</v>
      </c>
      <c r="EH368" s="36" t="str">
        <f>IF(EH185=-1,"x",IF(OR(EH283=1,EH$228=1,$GT185=1),EH185,0))</f>
        <v>x</v>
      </c>
      <c r="EI368" s="37" t="str">
        <f>IF(EI185=-1,"x",IF(OR(EI283=1,EI$228=1,$GU185=1),EI185,0))</f>
        <v>x</v>
      </c>
      <c r="EJ368" s="109" t="str">
        <f>IF(EJ185=-1,"x",IF(OR(EJ283=1,EJ$228=1,$GV185=1),EJ185,0))</f>
        <v>x</v>
      </c>
      <c r="EK368" s="108" t="str">
        <f>IF(EK185=-1,"x",IF(OR(EK283=1,EK$228=1,$GT185=1),EK185,0))</f>
        <v>x</v>
      </c>
      <c r="EL368" s="37" t="str">
        <f>IF(EL185=-1,"x",IF(OR(EL283=1,EL$228=1,$GU185=1),EL185,0))</f>
        <v>x</v>
      </c>
      <c r="EM368" s="35" t="str">
        <f>IF(EM185=-1,"x",IF(OR(EM283=1,EM$228=1,$GV185=1),EM185,0))</f>
        <v>x</v>
      </c>
      <c r="EN368" s="36" t="str">
        <f>IF(EN185=-1,"x",IF(OR(EN283=1,EN$228=1,$GT185=1),EN185,0))</f>
        <v>x</v>
      </c>
      <c r="EO368" s="37" t="str">
        <f>IF(EO185=-1,"x",IF(OR(EO283=1,EO$228=1,$GU185=1),EO185,0))</f>
        <v>x</v>
      </c>
      <c r="EP368" s="35" t="str">
        <f>IF(EP185=-1,"x",IF(OR(EP283=1,EP$228=1,$GV185=1),EP185,0))</f>
        <v>x</v>
      </c>
      <c r="EQ368" s="36" t="str">
        <f>IF(EQ185=-1,"x",IF(OR(EQ283=1,EQ$228=1,$GT185=1),EQ185,0))</f>
        <v>x</v>
      </c>
      <c r="ER368" s="37" t="str">
        <f>IF(ER185=-1,"x",IF(OR(ER283=1,ER$228=1,$GU185=1),ER185,0))</f>
        <v>x</v>
      </c>
      <c r="ES368" s="38" t="str">
        <f>IF(ES185=-1,"x",IF(OR(ES283=1,ES$228=1,$GV185=1),ES185,0))</f>
        <v>x</v>
      </c>
      <c r="ET368" s="416" t="str">
        <f>IF(ET185=-1,"x",IF(OR(ET283=1,ET$228=1,$GT185=1),ET185,0))</f>
        <v>x</v>
      </c>
      <c r="EU368" s="37" t="str">
        <f>IF(EU185=-1,"x",IF(OR(EU283=1,EU$228=1,$GU185=1),EU185,0))</f>
        <v>x</v>
      </c>
      <c r="EV368" s="35" t="str">
        <f>IF(EV185=-1,"x",IF(OR(EV283=1,EV$228=1,$GV185=1),EV185,0))</f>
        <v>x</v>
      </c>
      <c r="EW368" s="36" t="str">
        <f>IF(EW185=-1,"x",IF(OR(EW283=1,EW$228=1,$GT185=1),EW185,0))</f>
        <v>x</v>
      </c>
      <c r="EX368" s="37" t="str">
        <f>IF(EX185=-1,"x",IF(OR(EX283=1,EX$228=1,$GU185=1),EX185,0))</f>
        <v>x</v>
      </c>
      <c r="EY368" s="35" t="str">
        <f>IF(EY185=-1,"x",IF(OR(EY283=1,EY$228=1,$GV185=1),EY185,0))</f>
        <v>x</v>
      </c>
      <c r="EZ368" s="36" t="str">
        <f>IF(EZ185=-1,"x",IF(OR(EZ283=1,EZ$228=1,$GT185=1),EZ185,0))</f>
        <v>x</v>
      </c>
      <c r="FA368" s="37" t="str">
        <f>IF(FA185=-1,"x",IF(OR(FA283=1,FA$228=1,$GU185=1),FA185,0))</f>
        <v>x</v>
      </c>
      <c r="FB368" s="38" t="str">
        <f>IF(FB185=-1,"x",IF(OR(FB283=1,FB$228=1,$GV185=1),FB185,0))</f>
        <v>x</v>
      </c>
      <c r="FC368" s="416" t="str">
        <f>IF(FC185=-1,"x",IF(OR(FC283=1,FC$228=1,$GT185=1),FC185,0))</f>
        <v>x</v>
      </c>
      <c r="FD368" s="37" t="str">
        <f>IF(FD185=-1,"x",IF(OR(FD283=1,FD$228=1,$GU185=1),FD185,0))</f>
        <v>x</v>
      </c>
      <c r="FE368" s="35" t="str">
        <f>IF(FE185=-1,"x",IF(OR(FE283=1,FE$228=1,$GV185=1),FE185,0))</f>
        <v>x</v>
      </c>
      <c r="FF368" s="36" t="str">
        <f>IF(FF185=-1,"x",IF(OR(FF283=1,FF$228=1,$GT185=1),FF185,0))</f>
        <v>x</v>
      </c>
      <c r="FG368" s="37" t="str">
        <f>IF(FG185=-1,"x",IF(OR(FG283=1,FG$228=1,$GU185=1),FG185,0))</f>
        <v>x</v>
      </c>
      <c r="FH368" s="35" t="str">
        <f>IF(FH185=-1,"x",IF(OR(FH283=1,FH$228=1,$GV185=1),FH185,0))</f>
        <v>x</v>
      </c>
      <c r="FI368" s="36" t="str">
        <f>IF(FI185=-1,"x",IF(OR(FI283=1,FI$228=1,$GT185=1),FI185,0))</f>
        <v>x</v>
      </c>
      <c r="FJ368" s="37" t="str">
        <f>IF(FJ185=-1,"x",IF(OR(FJ283=1,FJ$228=1,$GU185=1),FJ185,0))</f>
        <v>x</v>
      </c>
      <c r="FK368" s="109" t="str">
        <f>IF(FK185=-1,"x",IF(OR(FK283=1,FK$228=1,$GV185=1),FK185,0))</f>
        <v>x</v>
      </c>
      <c r="FL368" s="108" t="str">
        <f>IF(FL185=-1,"x",IF(OR(FL283=1,FL$228=1,$GT185=1),FL185,0))</f>
        <v>x</v>
      </c>
      <c r="FM368" s="37" t="str">
        <f>IF(FM185=-1,"x",IF(OR(FM283=1,FM$228=1,$GU185=1),FM185,0))</f>
        <v>x</v>
      </c>
      <c r="FN368" s="35" t="str">
        <f>IF(FN185=-1,"x",IF(OR(FN283=1,FN$228=1,$GV185=1),FN185,0))</f>
        <v>x</v>
      </c>
      <c r="FO368" s="36" t="str">
        <f>IF(FO185=-1,"x",IF(OR(FO283=1,FO$228=1,$GT185=1),FO185,0))</f>
        <v>x</v>
      </c>
      <c r="FP368" s="37" t="str">
        <f>IF(FP185=-1,"x",IF(OR(FP283=1,FP$228=1,$GU185=1),FP185,0))</f>
        <v>x</v>
      </c>
      <c r="FQ368" s="35" t="str">
        <f>IF(FQ185=-1,"x",IF(OR(FQ283=1,FQ$228=1,$GV185=1),FQ185,0))</f>
        <v>x</v>
      </c>
      <c r="FR368" s="36" t="str">
        <f>IF(FR185=-1,"x",IF(OR(FR283=1,FR$228=1,$GT185=1),FR185,0))</f>
        <v>x</v>
      </c>
      <c r="FS368" s="37" t="str">
        <f>IF(FS185=-1,"x",IF(OR(FS283=1,FS$228=1,$GU185=1),FS185,0))</f>
        <v>x</v>
      </c>
      <c r="FT368" s="38" t="str">
        <f>IF(FT185=-1,"x",IF(OR(FT283=1,FT$228=1,$GV185=1),FT185,0))</f>
        <v>x</v>
      </c>
      <c r="FU368" s="416" t="str">
        <f>IF(FU185=-1,"x",IF(OR(FU283=1,FU$228=1,$GT185=1),FU185,0))</f>
        <v>x</v>
      </c>
      <c r="FV368" s="37" t="str">
        <f>IF(FV185=-1,"x",IF(OR(FV283=1,FV$228=1,$GU185=1),FV185,0))</f>
        <v>x</v>
      </c>
      <c r="FW368" s="35" t="str">
        <f>IF(FW185=-1,"x",IF(OR(FW283=1,FW$228=1,$GV185=1),FW185,0))</f>
        <v>x</v>
      </c>
      <c r="FX368" s="36" t="str">
        <f>IF(FX185=-1,"x",IF(OR(FX283=1,FX$228=1,$GT185=1),FX185,0))</f>
        <v>x</v>
      </c>
      <c r="FY368" s="37" t="str">
        <f>IF(FY185=-1,"x",IF(OR(FY283=1,FY$228=1,$GU185=1),FY185,0))</f>
        <v>x</v>
      </c>
      <c r="FZ368" s="35" t="str">
        <f>IF(FZ185=-1,"x",IF(OR(FZ283=1,FZ$228=1,$GV185=1),FZ185,0))</f>
        <v>x</v>
      </c>
      <c r="GA368" s="36" t="str">
        <f>IF(GA185=-1,"x",IF(OR(GA283=1,GA$228=1,$GT185=1),GA185,0))</f>
        <v>x</v>
      </c>
      <c r="GB368" s="37" t="str">
        <f>IF(GB185=-1,"x",IF(OR(GB283=1,GB$228=1,$GU185=1),GB185,0))</f>
        <v>x</v>
      </c>
      <c r="GC368" s="38" t="str">
        <f>IF(GC185=-1,"x",IF(OR(GC283=1,GC$228=1,$GV185=1),GC185,0))</f>
        <v>x</v>
      </c>
      <c r="GD368" s="416">
        <f>IF(GD185=-1,"x",IF(OR(GD283=1,GD$228=1,$GT185=1),GD185,0))</f>
        <v>0</v>
      </c>
      <c r="GE368" s="37">
        <f>IF(GE185=-1,"x",IF(OR(GE283=1,GE$228=1,$GU185=1),GE185,0))</f>
        <v>0</v>
      </c>
      <c r="GF368" s="35">
        <f>IF(GF185=-1,"x",IF(OR(GF283=1,GF$228=1,$GV185=1),GF185,0))</f>
        <v>0</v>
      </c>
      <c r="GG368" s="36" t="str">
        <f>IF(GG185=-1,"x",IF(OR(GG283=1,GG$228=1,$GT185=1),GG185,0))</f>
        <v>x</v>
      </c>
      <c r="GH368" s="37" t="str">
        <f>IF(GH185=-1,"x",IF(OR(GH283=1,GH$228=1,$GU185=1),GH185,0))</f>
        <v>x</v>
      </c>
      <c r="GI368" s="35" t="str">
        <f>IF(GI185=-1,"x",IF(OR(GI283=1,GI$228=1,$GV185=1),GI185,0))</f>
        <v>x</v>
      </c>
      <c r="GJ368" s="36" t="str">
        <f>IF(GJ185=-1,"x",IF(OR(GJ283=1,GJ$228=1,$GT185=1),GJ185,0))</f>
        <v>x</v>
      </c>
      <c r="GK368" s="37" t="str">
        <f>IF(GK185=-1,"x",IF(OR(GK283=1,GK$228=1,$GU185=1),GK185,0))</f>
        <v>x</v>
      </c>
      <c r="GL368" s="109" t="str">
        <f>IF(GL185=-1,"x",IF(OR(GL283=1,GL$228=1,$GV185=1),GL185,0))</f>
        <v>x</v>
      </c>
    </row>
    <row r="369" spans="14:194" ht="15" customHeight="1">
      <c r="N369" s="94">
        <f>IF(N186=-1,"x",IF(OR(N284=1,N$196=1,$CX186=1),N186,0))</f>
        <v>0</v>
      </c>
      <c r="O369" s="39">
        <f>IF(O186=-1,"x",IF(OR(O284=1,O$196=1,$CY186=1),O186,0))</f>
        <v>0</v>
      </c>
      <c r="P369" s="41">
        <f>IF(P186=-1,"x",IF(OR(P284=1,P$196=1,$CZ186=1),P186,0))</f>
        <v>0</v>
      </c>
      <c r="Q369" s="40">
        <f>IF(Q186=-1,"x",IF(OR(Q284=1,Q$196=1,$CX186=1),Q186,0))</f>
        <v>0</v>
      </c>
      <c r="R369" s="39">
        <f>IF(R186=-1,"x",IF(OR(R284=1,R$196=1,$CY186=1),R186,0))</f>
        <v>0</v>
      </c>
      <c r="S369" s="41">
        <f>IF(S186=-1,"x",IF(OR(S284=1,S$196=1,$CZ186=1),S186,0))</f>
        <v>0</v>
      </c>
      <c r="T369" s="40">
        <f>IF(T186=-1,"x",IF(OR(T284=1,T$196=1,$CX186=1),T186,0))</f>
        <v>0</v>
      </c>
      <c r="U369" s="39">
        <f>IF(U186=-1,"x",IF(OR(U284=1,U$196=1,$CY186=1),U186,0))</f>
        <v>0</v>
      </c>
      <c r="V369" s="42">
        <f>IF(V186=-1,"x",IF(OR(V284=1,V$196=1,$CZ186=1),V186,0))</f>
        <v>0</v>
      </c>
      <c r="W369" s="43">
        <f>IF(W186=-1,"x",IF(OR(W284=1,W$196=1,$CX186=1),W186,0))</f>
        <v>0</v>
      </c>
      <c r="X369" s="39">
        <f>IF(X186=-1,"x",IF(OR(X284=1,X$196=1,$CY186=1),X186,0))</f>
        <v>0</v>
      </c>
      <c r="Y369" s="41">
        <f>IF(Y186=-1,"x",IF(OR(Y284=1,Y$196=1,$CZ186=1),Y186,0))</f>
        <v>0</v>
      </c>
      <c r="Z369" s="40" t="str">
        <f>IF(Z186=-1,"x",IF(OR(Z284=1,Z$196=1,$CX186=1),Z186,0))</f>
        <v>x</v>
      </c>
      <c r="AA369" s="39" t="str">
        <f>IF(AA186=-1,"x",IF(OR(AA284=1,AA$196=1,$CY186=1),AA186,0))</f>
        <v>x</v>
      </c>
      <c r="AB369" s="41" t="str">
        <f>IF(AB186=-1,"x",IF(OR(AB284=1,AB$196=1,$CZ186=1),AB186,0))</f>
        <v>x</v>
      </c>
      <c r="AC369" s="40" t="str">
        <f>IF(AC186=-1,"x",IF(OR(AC284=1,AC$196=1,$CX186=1),AC186,0))</f>
        <v>x</v>
      </c>
      <c r="AD369" s="39" t="str">
        <f>IF(AD186=-1,"x",IF(OR(AD284=1,AD$196=1,$CY186=1),AD186,0))</f>
        <v>x</v>
      </c>
      <c r="AE369" s="42" t="str">
        <f>IF(AE186=-1,"x",IF(OR(AE284=1,AE$196=1,$CZ186=1),AE186,0))</f>
        <v>x</v>
      </c>
      <c r="AF369" s="43" t="str">
        <f>IF(AF186=-1,"x",IF(OR(AF284=1,AF$196=1,$CX186=1),AF186,0))</f>
        <v>x</v>
      </c>
      <c r="AG369" s="39" t="str">
        <f>IF(AG186=-1,"x",IF(OR(AG284=1,AG$196=1,$CY186=1),AG186,0))</f>
        <v>x</v>
      </c>
      <c r="AH369" s="41" t="str">
        <f>IF(AH186=-1,"x",IF(OR(AH284=1,AH$196=1,$CZ186=1),AH186,0))</f>
        <v>x</v>
      </c>
      <c r="AI369" s="40" t="str">
        <f>IF(AI186=-1,"x",IF(OR(AI284=1,AI$196=1,$CX186=1),AI186,0))</f>
        <v>x</v>
      </c>
      <c r="AJ369" s="39" t="str">
        <f>IF(AJ186=-1,"x",IF(OR(AJ284=1,AJ$196=1,$CY186=1),AJ186,0))</f>
        <v>x</v>
      </c>
      <c r="AK369" s="41" t="str">
        <f>IF(AK186=-1,"x",IF(OR(AK284=1,AK$196=1,$CZ186=1),AK186,0))</f>
        <v>x</v>
      </c>
      <c r="AL369" s="40" t="str">
        <f>IF(AL186=-1,"x",IF(OR(AL284=1,AL$196=1,$CX186=1),AL186,0))</f>
        <v>x</v>
      </c>
      <c r="AM369" s="39" t="str">
        <f>IF(AM186=-1,"x",IF(OR(AM284=1,AM$196=1,$CY186=1),AM186,0))</f>
        <v>x</v>
      </c>
      <c r="AN369" s="95" t="str">
        <f>IF(AN186=-1,"x",IF(OR(AN284=1,AN$196=1,$CZ186=1),AN186,0))</f>
        <v>x</v>
      </c>
      <c r="AO369" s="94" t="str">
        <f>IF(AO186=-1,"x",IF(OR(AO284=1,AO$196=1,$CX186=1),AO186,0))</f>
        <v>x</v>
      </c>
      <c r="AP369" s="39" t="str">
        <f>IF(AP186=-1,"x",IF(OR(AP284=1,AP$196=1,$CY186=1),AP186,0))</f>
        <v>x</v>
      </c>
      <c r="AQ369" s="41" t="str">
        <f>IF(AQ186=-1,"x",IF(OR(AQ284=1,AQ$196=1,$CZ186=1),AQ186,0))</f>
        <v>x</v>
      </c>
      <c r="AR369" s="40" t="str">
        <f>IF(AR186=-1,"x",IF(OR(AR284=1,AR$196=1,$CX186=1),AR186,0))</f>
        <v>x</v>
      </c>
      <c r="AS369" s="39" t="str">
        <f>IF(AS186=-1,"x",IF(OR(AS284=1,AS$196=1,$CY186=1),AS186,0))</f>
        <v>x</v>
      </c>
      <c r="AT369" s="41" t="str">
        <f>IF(AT186=-1,"x",IF(OR(AT284=1,AT$196=1,$CZ186=1),AT186,0))</f>
        <v>x</v>
      </c>
      <c r="AU369" s="40" t="str">
        <f>IF(AU186=-1,"x",IF(OR(AU284=1,AU$196=1,$CX186=1),AU186,0))</f>
        <v>x</v>
      </c>
      <c r="AV369" s="39" t="str">
        <f>IF(AV186=-1,"x",IF(OR(AV284=1,AV$196=1,$CY186=1),AV186,0))</f>
        <v>x</v>
      </c>
      <c r="AW369" s="42" t="str">
        <f>IF(AW186=-1,"x",IF(OR(AW284=1,AW$196=1,$CZ186=1),AW186,0))</f>
        <v>x</v>
      </c>
      <c r="AX369" s="43" t="str">
        <f>IF(AX186=-1,"x",IF(OR(AX284=1,AX$196=1,$CX186=1),AX186,0))</f>
        <v>x</v>
      </c>
      <c r="AY369" s="39" t="str">
        <f>IF(AY186=-1,"x",IF(OR(AY284=1,AY$196=1,$CY186=1),AY186,0))</f>
        <v>x</v>
      </c>
      <c r="AZ369" s="41" t="str">
        <f>IF(AZ186=-1,"x",IF(OR(AZ284=1,AZ$196=1,$CZ186=1),AZ186,0))</f>
        <v>x</v>
      </c>
      <c r="BA369" s="40" t="str">
        <f>IF(BA186=-1,"x",IF(OR(BA284=1,BA$196=1,$CX186=1),BA186,0))</f>
        <v>x</v>
      </c>
      <c r="BB369" s="39" t="str">
        <f>IF(BB186=-1,"x",IF(OR(BB284=1,BB$196=1,$CY186=1),BB186,0))</f>
        <v>x</v>
      </c>
      <c r="BC369" s="41" t="str">
        <f>IF(BC186=-1,"x",IF(OR(BC284=1,BC$196=1,$CZ186=1),BC186,0))</f>
        <v>x</v>
      </c>
      <c r="BD369" s="40" t="str">
        <f>IF(BD186=-1,"x",IF(OR(BD284=1,BD$196=1,$CX186=1),BD186,0))</f>
        <v>x</v>
      </c>
      <c r="BE369" s="39" t="str">
        <f>IF(BE186=-1,"x",IF(OR(BE284=1,BE$196=1,$CY186=1),BE186,0))</f>
        <v>x</v>
      </c>
      <c r="BF369" s="42" t="str">
        <f>IF(BF186=-1,"x",IF(OR(BF284=1,BF$196=1,$CZ186=1),BF186,0))</f>
        <v>x</v>
      </c>
      <c r="BG369" s="43" t="str">
        <f>IF(BG186=-1,"x",IF(OR(BG284=1,BG$196=1,$CX186=1),BG186,0))</f>
        <v>x</v>
      </c>
      <c r="BH369" s="39" t="str">
        <f>IF(BH186=-1,"x",IF(OR(BH284=1,BH$196=1,$CY186=1),BH186,0))</f>
        <v>x</v>
      </c>
      <c r="BI369" s="41" t="str">
        <f>IF(BI186=-1,"x",IF(OR(BI284=1,BI$196=1,$CZ186=1),BI186,0))</f>
        <v>x</v>
      </c>
      <c r="BJ369" s="40" t="str">
        <f>IF(BJ186=-1,"x",IF(OR(BJ284=1,BJ$196=1,$CX186=1),BJ186,0))</f>
        <v>x</v>
      </c>
      <c r="BK369" s="39" t="str">
        <f>IF(BK186=-1,"x",IF(OR(BK284=1,BK$196=1,$CY186=1),BK186,0))</f>
        <v>x</v>
      </c>
      <c r="BL369" s="41" t="str">
        <f>IF(BL186=-1,"x",IF(OR(BL284=1,BL$196=1,$CZ186=1),BL186,0))</f>
        <v>x</v>
      </c>
      <c r="BM369" s="40" t="str">
        <f>IF(BM186=-1,"x",IF(OR(BM284=1,BM$196=1,$CX186=1),BM186,0))</f>
        <v>x</v>
      </c>
      <c r="BN369" s="39" t="str">
        <f>IF(BN186=-1,"x",IF(OR(BN284=1,BN$196=1,$CY186=1),BN186,0))</f>
        <v>x</v>
      </c>
      <c r="BO369" s="95" t="str">
        <f>IF(BO186=-1,"x",IF(OR(BO284=1,BO$196=1,$CZ186=1),BO186,0))</f>
        <v>x</v>
      </c>
      <c r="BP369" s="94" t="str">
        <f>IF(BP186=-1,"x",IF(OR(BP284=1,BP$196=1,$CX186=1),BP186,0))</f>
        <v>x</v>
      </c>
      <c r="BQ369" s="39" t="str">
        <f>IF(BQ186=-1,"x",IF(OR(BQ284=1,BQ$196=1,$CY186=1),BQ186,0))</f>
        <v>x</v>
      </c>
      <c r="BR369" s="41" t="str">
        <f>IF(BR186=-1,"x",IF(OR(BR284=1,BR$196=1,$CZ186=1),BR186,0))</f>
        <v>x</v>
      </c>
      <c r="BS369" s="40" t="str">
        <f>IF(BS186=-1,"x",IF(OR(BS284=1,BS$196=1,$CX186=1),BS186,0))</f>
        <v>x</v>
      </c>
      <c r="BT369" s="39" t="str">
        <f>IF(BT186=-1,"x",IF(OR(BT284=1,BT$196=1,$CY186=1),BT186,0))</f>
        <v>x</v>
      </c>
      <c r="BU369" s="41" t="str">
        <f>IF(BU186=-1,"x",IF(OR(BU284=1,BU$196=1,$CZ186=1),BU186,0))</f>
        <v>x</v>
      </c>
      <c r="BV369" s="40" t="str">
        <f>IF(BV186=-1,"x",IF(OR(BV284=1,BV$196=1,$CX186=1),BV186,0))</f>
        <v>x</v>
      </c>
      <c r="BW369" s="39" t="str">
        <f>IF(BW186=-1,"x",IF(OR(BW284=1,BW$196=1,$CY186=1),BW186,0))</f>
        <v>x</v>
      </c>
      <c r="BX369" s="42" t="str">
        <f>IF(BX186=-1,"x",IF(OR(BX284=1,BX$196=1,$CZ186=1),BX186,0))</f>
        <v>x</v>
      </c>
      <c r="BY369" s="43" t="str">
        <f>IF(BY186=-1,"x",IF(OR(BY284=1,BY$196=1,$CX186=1),BY186,0))</f>
        <v>x</v>
      </c>
      <c r="BZ369" s="39" t="str">
        <f>IF(BZ186=-1,"x",IF(OR(BZ284=1,BZ$196=1,$CY186=1),BZ186,0))</f>
        <v>x</v>
      </c>
      <c r="CA369" s="41" t="str">
        <f>IF(CA186=-1,"x",IF(OR(CA284=1,CA$196=1,$CZ186=1),CA186,0))</f>
        <v>x</v>
      </c>
      <c r="CB369" s="40">
        <f>IF(CB186=-1,"x",IF(OR(CB284=1,CB$196=1,$CX186=1),CB186,0))</f>
        <v>0</v>
      </c>
      <c r="CC369" s="39">
        <f>IF(CC186=-1,"x",IF(OR(CC284=1,CC$196=1,$CY186=1),CC186,0))</f>
        <v>0</v>
      </c>
      <c r="CD369" s="41">
        <f>IF(CD186=-1,"x",IF(OR(CD284=1,CD$196=1,$CZ186=1),CD186,0))</f>
        <v>0</v>
      </c>
      <c r="CE369" s="40">
        <f>IF(CE186=-1,"x",IF(OR(CE284=1,CE$196=1,$CX186=1),CE186,0))</f>
        <v>0</v>
      </c>
      <c r="CF369" s="39">
        <f>IF(CF186=-1,"x",IF(OR(CF284=1,CF$196=1,$CY186=1),CF186,0))</f>
        <v>0</v>
      </c>
      <c r="CG369" s="42">
        <f>IF(CG186=-1,"x",IF(OR(CG284=1,CG$196=1,$CZ186=1),CG186,0))</f>
        <v>0</v>
      </c>
      <c r="CH369" s="43">
        <f>IF(CH186=-1,"x",IF(OR(CH284=1,CH$196=1,$CX186=1),CH186,0))</f>
        <v>0</v>
      </c>
      <c r="CI369" s="39">
        <f>IF(CI186=-1,"x",IF(OR(CI284=1,CI$196=1,$CY186=1),CI186,0))</f>
        <v>0</v>
      </c>
      <c r="CJ369" s="41">
        <f>IF(CJ186=-1,"x",IF(OR(CJ284=1,CJ$196=1,$CZ186=1),CJ186,0))</f>
        <v>0</v>
      </c>
      <c r="CK369" s="40">
        <f>IF(CK186=-1,"x",IF(OR(CK284=1,CK$196=1,$CX186=1),CK186,0))</f>
        <v>0</v>
      </c>
      <c r="CL369" s="39">
        <f>IF(CL186=-1,"x",IF(OR(CL284=1,CL$196=1,$CY186=1),CL186,0))</f>
        <v>0</v>
      </c>
      <c r="CM369" s="41">
        <f>IF(CM186=-1,"x",IF(OR(CM284=1,CM$196=1,$CZ186=1),CM186,0))</f>
        <v>0</v>
      </c>
      <c r="CN369" s="40">
        <f>IF(CN186=-1,"x",IF(OR(CN284=1,CN$196=1,$CX186=1),CN186,0))</f>
        <v>0</v>
      </c>
      <c r="CO369" s="39">
        <f>IF(CO186=-1,"x",IF(OR(CO284=1,CO$196=1,$CY186=1),CO186,0))</f>
        <v>0</v>
      </c>
      <c r="CP369" s="95">
        <f>IF(CP186=-1,"x",IF(OR(CP284=1,CP$196=1,$CZ186=1),CP186,0))</f>
        <v>0</v>
      </c>
      <c r="DJ369" s="94">
        <f>IF(DJ186=-1,"x",IF(OR(DJ284=1,DJ$229=1,$GT186=1),DJ186,0))</f>
        <v>0</v>
      </c>
      <c r="DK369" s="39">
        <f>IF(DK186=-1,"x",IF(OR(DK284=1,DK$229=1,$GU186=1),DK186,0))</f>
        <v>0</v>
      </c>
      <c r="DL369" s="41">
        <f>IF(DL186=-1,"x",IF(OR(DL284=1,DL$229=1,$GV186=1),DL186,0))</f>
        <v>0</v>
      </c>
      <c r="DM369" s="40">
        <f>IF(DM186=-1,"x",IF(OR(DM284=1,DM$229=1,$GT186=1),DM186,0))</f>
        <v>0</v>
      </c>
      <c r="DN369" s="39">
        <f>IF(DN186=-1,"x",IF(OR(DN284=1,DN$229=1,$GU186=1),DN186,0))</f>
        <v>0</v>
      </c>
      <c r="DO369" s="41">
        <f>IF(DO186=-1,"x",IF(OR(DO284=1,DO$229=1,$GV186=1),DO186,0))</f>
        <v>0</v>
      </c>
      <c r="DP369" s="40">
        <f>IF(DP186=-1,"x",IF(OR(DP284=1,DP$229=1,$GT186=1),DP186,0))</f>
        <v>0</v>
      </c>
      <c r="DQ369" s="39">
        <f>IF(DQ186=-1,"x",IF(OR(DQ284=1,DQ$229=1,$GU186=1),DQ186,0))</f>
        <v>0</v>
      </c>
      <c r="DR369" s="42">
        <f>IF(DR186=-1,"x",IF(OR(DR284=1,DR$229=1,$GV186=1),DR186,0))</f>
        <v>0</v>
      </c>
      <c r="DS369" s="43" t="str">
        <f>IF(DS186=-1,"x",IF(OR(DS284=1,DS$229=1,$GT186=1),DS186,0))</f>
        <v>x</v>
      </c>
      <c r="DT369" s="39" t="str">
        <f>IF(DT186=-1,"x",IF(OR(DT284=1,DT$229=1,$GU186=1),DT186,0))</f>
        <v>x</v>
      </c>
      <c r="DU369" s="41" t="str">
        <f>IF(DU186=-1,"x",IF(OR(DU284=1,DU$229=1,$GV186=1),DU186,0))</f>
        <v>x</v>
      </c>
      <c r="DV369" s="40" t="str">
        <f>IF(DV186=-1,"x",IF(OR(DV284=1,DV$229=1,$GT186=1),DV186,0))</f>
        <v>x</v>
      </c>
      <c r="DW369" s="39" t="str">
        <f>IF(DW186=-1,"x",IF(OR(DW284=1,DW$229=1,$GU186=1),DW186,0))</f>
        <v>x</v>
      </c>
      <c r="DX369" s="41" t="str">
        <f>IF(DX186=-1,"x",IF(OR(DX284=1,DX$229=1,$GV186=1),DX186,0))</f>
        <v>x</v>
      </c>
      <c r="DY369" s="40" t="str">
        <f>IF(DY186=-1,"x",IF(OR(DY284=1,DY$229=1,$GT186=1),DY186,0))</f>
        <v>x</v>
      </c>
      <c r="DZ369" s="39" t="str">
        <f>IF(DZ186=-1,"x",IF(OR(DZ284=1,DZ$229=1,$GU186=1),DZ186,0))</f>
        <v>x</v>
      </c>
      <c r="EA369" s="42" t="str">
        <f>IF(EA186=-1,"x",IF(OR(EA284=1,EA$229=1,$GV186=1),EA186,0))</f>
        <v>x</v>
      </c>
      <c r="EB369" s="43" t="str">
        <f>IF(EB186=-1,"x",IF(OR(EB284=1,EB$229=1,$GT186=1),EB186,0))</f>
        <v>x</v>
      </c>
      <c r="EC369" s="39" t="str">
        <f>IF(EC186=-1,"x",IF(OR(EC284=1,EC$229=1,$GU186=1),EC186,0))</f>
        <v>x</v>
      </c>
      <c r="ED369" s="41" t="str">
        <f>IF(ED186=-1,"x",IF(OR(ED284=1,ED$229=1,$GV186=1),ED186,0))</f>
        <v>x</v>
      </c>
      <c r="EE369" s="40" t="str">
        <f>IF(EE186=-1,"x",IF(OR(EE284=1,EE$229=1,$GT186=1),EE186,0))</f>
        <v>x</v>
      </c>
      <c r="EF369" s="39" t="str">
        <f>IF(EF186=-1,"x",IF(OR(EF284=1,EF$229=1,$GU186=1),EF186,0))</f>
        <v>x</v>
      </c>
      <c r="EG369" s="41" t="str">
        <f>IF(EG186=-1,"x",IF(OR(EG284=1,EG$229=1,$GV186=1),EG186,0))</f>
        <v>x</v>
      </c>
      <c r="EH369" s="40" t="str">
        <f>IF(EH186=-1,"x",IF(OR(EH284=1,EH$229=1,$GT186=1),EH186,0))</f>
        <v>x</v>
      </c>
      <c r="EI369" s="39" t="str">
        <f>IF(EI186=-1,"x",IF(OR(EI284=1,EI$229=1,$GU186=1),EI186,0))</f>
        <v>x</v>
      </c>
      <c r="EJ369" s="95" t="str">
        <f>IF(EJ186=-1,"x",IF(OR(EJ284=1,EJ$229=1,$GV186=1),EJ186,0))</f>
        <v>x</v>
      </c>
      <c r="EK369" s="94" t="str">
        <f>IF(EK186=-1,"x",IF(OR(EK284=1,EK$229=1,$GT186=1),EK186,0))</f>
        <v>x</v>
      </c>
      <c r="EL369" s="39" t="str">
        <f>IF(EL186=-1,"x",IF(OR(EL284=1,EL$229=1,$GU186=1),EL186,0))</f>
        <v>x</v>
      </c>
      <c r="EM369" s="41" t="str">
        <f>IF(EM186=-1,"x",IF(OR(EM284=1,EM$229=1,$GV186=1),EM186,0))</f>
        <v>x</v>
      </c>
      <c r="EN369" s="40" t="str">
        <f>IF(EN186=-1,"x",IF(OR(EN284=1,EN$229=1,$GT186=1),EN186,0))</f>
        <v>x</v>
      </c>
      <c r="EO369" s="39" t="str">
        <f>IF(EO186=-1,"x",IF(OR(EO284=1,EO$229=1,$GU186=1),EO186,0))</f>
        <v>x</v>
      </c>
      <c r="EP369" s="41" t="str">
        <f>IF(EP186=-1,"x",IF(OR(EP284=1,EP$229=1,$GV186=1),EP186,0))</f>
        <v>x</v>
      </c>
      <c r="EQ369" s="40" t="str">
        <f>IF(EQ186=-1,"x",IF(OR(EQ284=1,EQ$229=1,$GT186=1),EQ186,0))</f>
        <v>x</v>
      </c>
      <c r="ER369" s="39" t="str">
        <f>IF(ER186=-1,"x",IF(OR(ER284=1,ER$229=1,$GU186=1),ER186,0))</f>
        <v>x</v>
      </c>
      <c r="ES369" s="42" t="str">
        <f>IF(ES186=-1,"x",IF(OR(ES284=1,ES$229=1,$GV186=1),ES186,0))</f>
        <v>x</v>
      </c>
      <c r="ET369" s="43" t="str">
        <f>IF(ET186=-1,"x",IF(OR(ET284=1,ET$229=1,$GT186=1),ET186,0))</f>
        <v>x</v>
      </c>
      <c r="EU369" s="39" t="str">
        <f>IF(EU186=-1,"x",IF(OR(EU284=1,EU$229=1,$GU186=1),EU186,0))</f>
        <v>x</v>
      </c>
      <c r="EV369" s="41" t="str">
        <f>IF(EV186=-1,"x",IF(OR(EV284=1,EV$229=1,$GV186=1),EV186,0))</f>
        <v>x</v>
      </c>
      <c r="EW369" s="40" t="str">
        <f>IF(EW186=-1,"x",IF(OR(EW284=1,EW$229=1,$GT186=1),EW186,0))</f>
        <v>x</v>
      </c>
      <c r="EX369" s="39" t="str">
        <f>IF(EX186=-1,"x",IF(OR(EX284=1,EX$229=1,$GU186=1),EX186,0))</f>
        <v>x</v>
      </c>
      <c r="EY369" s="41" t="str">
        <f>IF(EY186=-1,"x",IF(OR(EY284=1,EY$229=1,$GV186=1),EY186,0))</f>
        <v>x</v>
      </c>
      <c r="EZ369" s="40" t="str">
        <f>IF(EZ186=-1,"x",IF(OR(EZ284=1,EZ$229=1,$GT186=1),EZ186,0))</f>
        <v>x</v>
      </c>
      <c r="FA369" s="39" t="str">
        <f>IF(FA186=-1,"x",IF(OR(FA284=1,FA$229=1,$GU186=1),FA186,0))</f>
        <v>x</v>
      </c>
      <c r="FB369" s="42" t="str">
        <f>IF(FB186=-1,"x",IF(OR(FB284=1,FB$229=1,$GV186=1),FB186,0))</f>
        <v>x</v>
      </c>
      <c r="FC369" s="43" t="str">
        <f>IF(FC186=-1,"x",IF(OR(FC284=1,FC$229=1,$GT186=1),FC186,0))</f>
        <v>x</v>
      </c>
      <c r="FD369" s="39" t="str">
        <f>IF(FD186=-1,"x",IF(OR(FD284=1,FD$229=1,$GU186=1),FD186,0))</f>
        <v>x</v>
      </c>
      <c r="FE369" s="41" t="str">
        <f>IF(FE186=-1,"x",IF(OR(FE284=1,FE$229=1,$GV186=1),FE186,0))</f>
        <v>x</v>
      </c>
      <c r="FF369" s="40" t="str">
        <f>IF(FF186=-1,"x",IF(OR(FF284=1,FF$229=1,$GT186=1),FF186,0))</f>
        <v>x</v>
      </c>
      <c r="FG369" s="39" t="str">
        <f>IF(FG186=-1,"x",IF(OR(FG284=1,FG$229=1,$GU186=1),FG186,0))</f>
        <v>x</v>
      </c>
      <c r="FH369" s="41" t="str">
        <f>IF(FH186=-1,"x",IF(OR(FH284=1,FH$229=1,$GV186=1),FH186,0))</f>
        <v>x</v>
      </c>
      <c r="FI369" s="40" t="str">
        <f>IF(FI186=-1,"x",IF(OR(FI284=1,FI$229=1,$GT186=1),FI186,0))</f>
        <v>x</v>
      </c>
      <c r="FJ369" s="39" t="str">
        <f>IF(FJ186=-1,"x",IF(OR(FJ284=1,FJ$229=1,$GU186=1),FJ186,0))</f>
        <v>x</v>
      </c>
      <c r="FK369" s="95" t="str">
        <f>IF(FK186=-1,"x",IF(OR(FK284=1,FK$229=1,$GV186=1),FK186,0))</f>
        <v>x</v>
      </c>
      <c r="FL369" s="94" t="str">
        <f>IF(FL186=-1,"x",IF(OR(FL284=1,FL$229=1,$GT186=1),FL186,0))</f>
        <v>x</v>
      </c>
      <c r="FM369" s="39" t="str">
        <f>IF(FM186=-1,"x",IF(OR(FM284=1,FM$229=1,$GU186=1),FM186,0))</f>
        <v>x</v>
      </c>
      <c r="FN369" s="41" t="str">
        <f>IF(FN186=-1,"x",IF(OR(FN284=1,FN$229=1,$GV186=1),FN186,0))</f>
        <v>x</v>
      </c>
      <c r="FO369" s="40" t="str">
        <f>IF(FO186=-1,"x",IF(OR(FO284=1,FO$229=1,$GT186=1),FO186,0))</f>
        <v>x</v>
      </c>
      <c r="FP369" s="39" t="str">
        <f>IF(FP186=-1,"x",IF(OR(FP284=1,FP$229=1,$GU186=1),FP186,0))</f>
        <v>x</v>
      </c>
      <c r="FQ369" s="41" t="str">
        <f>IF(FQ186=-1,"x",IF(OR(FQ284=1,FQ$229=1,$GV186=1),FQ186,0))</f>
        <v>x</v>
      </c>
      <c r="FR369" s="40" t="str">
        <f>IF(FR186=-1,"x",IF(OR(FR284=1,FR$229=1,$GT186=1),FR186,0))</f>
        <v>x</v>
      </c>
      <c r="FS369" s="39" t="str">
        <f>IF(FS186=-1,"x",IF(OR(FS284=1,FS$229=1,$GU186=1),FS186,0))</f>
        <v>x</v>
      </c>
      <c r="FT369" s="42" t="str">
        <f>IF(FT186=-1,"x",IF(OR(FT284=1,FT$229=1,$GV186=1),FT186,0))</f>
        <v>x</v>
      </c>
      <c r="FU369" s="43" t="str">
        <f>IF(FU186=-1,"x",IF(OR(FU284=1,FU$229=1,$GT186=1),FU186,0))</f>
        <v>x</v>
      </c>
      <c r="FV369" s="39" t="str">
        <f>IF(FV186=-1,"x",IF(OR(FV284=1,FV$229=1,$GU186=1),FV186,0))</f>
        <v>x</v>
      </c>
      <c r="FW369" s="41" t="str">
        <f>IF(FW186=-1,"x",IF(OR(FW284=1,FW$229=1,$GV186=1),FW186,0))</f>
        <v>x</v>
      </c>
      <c r="FX369" s="40" t="str">
        <f>IF(FX186=-1,"x",IF(OR(FX284=1,FX$229=1,$GT186=1),FX186,0))</f>
        <v>x</v>
      </c>
      <c r="FY369" s="39" t="str">
        <f>IF(FY186=-1,"x",IF(OR(FY284=1,FY$229=1,$GU186=1),FY186,0))</f>
        <v>x</v>
      </c>
      <c r="FZ369" s="41" t="str">
        <f>IF(FZ186=-1,"x",IF(OR(FZ284=1,FZ$229=1,$GV186=1),FZ186,0))</f>
        <v>x</v>
      </c>
      <c r="GA369" s="40" t="str">
        <f>IF(GA186=-1,"x",IF(OR(GA284=1,GA$229=1,$GT186=1),GA186,0))</f>
        <v>x</v>
      </c>
      <c r="GB369" s="39" t="str">
        <f>IF(GB186=-1,"x",IF(OR(GB284=1,GB$229=1,$GU186=1),GB186,0))</f>
        <v>x</v>
      </c>
      <c r="GC369" s="42" t="str">
        <f>IF(GC186=-1,"x",IF(OR(GC284=1,GC$229=1,$GV186=1),GC186,0))</f>
        <v>x</v>
      </c>
      <c r="GD369" s="43">
        <f>IF(GD186=-1,"x",IF(OR(GD284=1,GD$229=1,$GT186=1),GD186,0))</f>
        <v>0</v>
      </c>
      <c r="GE369" s="39">
        <f>IF(GE186=-1,"x",IF(OR(GE284=1,GE$229=1,$GU186=1),GE186,0))</f>
        <v>0</v>
      </c>
      <c r="GF369" s="41">
        <f>IF(GF186=-1,"x",IF(OR(GF284=1,GF$229=1,$GV186=1),GF186,0))</f>
        <v>0</v>
      </c>
      <c r="GG369" s="40" t="str">
        <f>IF(GG186=-1,"x",IF(OR(GG284=1,GG$229=1,$GT186=1),GG186,0))</f>
        <v>x</v>
      </c>
      <c r="GH369" s="39" t="str">
        <f>IF(GH186=-1,"x",IF(OR(GH284=1,GH$229=1,$GU186=1),GH186,0))</f>
        <v>x</v>
      </c>
      <c r="GI369" s="41" t="str">
        <f>IF(GI186=-1,"x",IF(OR(GI284=1,GI$229=1,$GV186=1),GI186,0))</f>
        <v>x</v>
      </c>
      <c r="GJ369" s="40" t="str">
        <f>IF(GJ186=-1,"x",IF(OR(GJ284=1,GJ$229=1,$GT186=1),GJ186,0))</f>
        <v>x</v>
      </c>
      <c r="GK369" s="39" t="str">
        <f>IF(GK186=-1,"x",IF(OR(GK284=1,GK$229=1,$GU186=1),GK186,0))</f>
        <v>x</v>
      </c>
      <c r="GL369" s="95" t="str">
        <f>IF(GL186=-1,"x",IF(OR(GL284=1,GL$229=1,$GV186=1),GL186,0))</f>
        <v>x</v>
      </c>
    </row>
    <row r="370" spans="14:194" ht="15" customHeight="1" thickBot="1">
      <c r="N370" s="110">
        <f>IF(N187=-1,"x",IF(OR(N285=1,N$197=1,$CX187=1),N187,0))</f>
        <v>0</v>
      </c>
      <c r="O370" s="83">
        <f>IF(O187=-1,"x",IF(OR(O285=1,O$197=1,$CY187=1),O187,0))</f>
        <v>0</v>
      </c>
      <c r="P370" s="111">
        <f>IF(P187=-1,"x",IF(OR(P285=1,P$197=1,$CZ187=1),P187,0))</f>
        <v>0</v>
      </c>
      <c r="Q370" s="112">
        <f>IF(Q187=-1,"x",IF(OR(Q285=1,Q$197=1,$CX187=1),Q187,0))</f>
        <v>0</v>
      </c>
      <c r="R370" s="83">
        <f>IF(R187=-1,"x",IF(OR(R285=1,R$197=1,$CY187=1),R187,0))</f>
        <v>0</v>
      </c>
      <c r="S370" s="111">
        <f>IF(S187=-1,"x",IF(OR(S285=1,S$197=1,$CZ187=1),S187,0))</f>
        <v>0</v>
      </c>
      <c r="T370" s="112">
        <f>IF(T187=-1,"x",IF(OR(T285=1,T$197=1,$CX187=1),T187,0))</f>
        <v>0</v>
      </c>
      <c r="U370" s="83">
        <f>IF(U187=-1,"x",IF(OR(U285=1,U$197=1,$CY187=1),U187,0))</f>
        <v>0</v>
      </c>
      <c r="V370" s="113">
        <f>IF(V187=-1,"x",IF(OR(V285=1,V$197=1,$CZ187=1),V187,0))</f>
        <v>0</v>
      </c>
      <c r="W370" s="114">
        <f>IF(W187=-1,"x",IF(OR(W285=1,W$197=1,$CX187=1),W187,0))</f>
        <v>0</v>
      </c>
      <c r="X370" s="83">
        <f>IF(X187=-1,"x",IF(OR(X285=1,X$197=1,$CY187=1),X187,0))</f>
        <v>0</v>
      </c>
      <c r="Y370" s="111">
        <f>IF(Y187=-1,"x",IF(OR(Y285=1,Y$197=1,$CZ187=1),Y187,0))</f>
        <v>0</v>
      </c>
      <c r="Z370" s="112" t="str">
        <f>IF(Z187=-1,"x",IF(OR(Z285=1,Z$197=1,$CX187=1),Z187,0))</f>
        <v>x</v>
      </c>
      <c r="AA370" s="83" t="str">
        <f>IF(AA187=-1,"x",IF(OR(AA285=1,AA$197=1,$CY187=1),AA187,0))</f>
        <v>x</v>
      </c>
      <c r="AB370" s="111" t="str">
        <f>IF(AB187=-1,"x",IF(OR(AB285=1,AB$197=1,$CZ187=1),AB187,0))</f>
        <v>x</v>
      </c>
      <c r="AC370" s="112" t="str">
        <f>IF(AC187=-1,"x",IF(OR(AC285=1,AC$197=1,$CX187=1),AC187,0))</f>
        <v>x</v>
      </c>
      <c r="AD370" s="83" t="str">
        <f>IF(AD187=-1,"x",IF(OR(AD285=1,AD$197=1,$CY187=1),AD187,0))</f>
        <v>x</v>
      </c>
      <c r="AE370" s="113" t="str">
        <f>IF(AE187=-1,"x",IF(OR(AE285=1,AE$197=1,$CZ187=1),AE187,0))</f>
        <v>x</v>
      </c>
      <c r="AF370" s="114" t="str">
        <f>IF(AF187=-1,"x",IF(OR(AF285=1,AF$197=1,$CX187=1),AF187,0))</f>
        <v>x</v>
      </c>
      <c r="AG370" s="83" t="str">
        <f>IF(AG187=-1,"x",IF(OR(AG285=1,AG$197=1,$CY187=1),AG187,0))</f>
        <v>x</v>
      </c>
      <c r="AH370" s="111" t="str">
        <f>IF(AH187=-1,"x",IF(OR(AH285=1,AH$197=1,$CZ187=1),AH187,0))</f>
        <v>x</v>
      </c>
      <c r="AI370" s="112" t="str">
        <f>IF(AI187=-1,"x",IF(OR(AI285=1,AI$197=1,$CX187=1),AI187,0))</f>
        <v>x</v>
      </c>
      <c r="AJ370" s="83" t="str">
        <f>IF(AJ187=-1,"x",IF(OR(AJ285=1,AJ$197=1,$CY187=1),AJ187,0))</f>
        <v>x</v>
      </c>
      <c r="AK370" s="111" t="str">
        <f>IF(AK187=-1,"x",IF(OR(AK285=1,AK$197=1,$CZ187=1),AK187,0))</f>
        <v>x</v>
      </c>
      <c r="AL370" s="112" t="str">
        <f>IF(AL187=-1,"x",IF(OR(AL285=1,AL$197=1,$CX187=1),AL187,0))</f>
        <v>x</v>
      </c>
      <c r="AM370" s="83" t="str">
        <f>IF(AM187=-1,"x",IF(OR(AM285=1,AM$197=1,$CY187=1),AM187,0))</f>
        <v>x</v>
      </c>
      <c r="AN370" s="115" t="str">
        <f>IF(AN187=-1,"x",IF(OR(AN285=1,AN$197=1,$CZ187=1),AN187,0))</f>
        <v>x</v>
      </c>
      <c r="AO370" s="110" t="str">
        <f>IF(AO187=-1,"x",IF(OR(AO285=1,AO$197=1,$CX187=1),AO187,0))</f>
        <v>x</v>
      </c>
      <c r="AP370" s="83" t="str">
        <f>IF(AP187=-1,"x",IF(OR(AP285=1,AP$197=1,$CY187=1),AP187,0))</f>
        <v>x</v>
      </c>
      <c r="AQ370" s="111" t="str">
        <f>IF(AQ187=-1,"x",IF(OR(AQ285=1,AQ$197=1,$CZ187=1),AQ187,0))</f>
        <v>x</v>
      </c>
      <c r="AR370" s="112" t="str">
        <f>IF(AR187=-1,"x",IF(OR(AR285=1,AR$197=1,$CX187=1),AR187,0))</f>
        <v>x</v>
      </c>
      <c r="AS370" s="83" t="str">
        <f>IF(AS187=-1,"x",IF(OR(AS285=1,AS$197=1,$CY187=1),AS187,0))</f>
        <v>x</v>
      </c>
      <c r="AT370" s="111" t="str">
        <f>IF(AT187=-1,"x",IF(OR(AT285=1,AT$197=1,$CZ187=1),AT187,0))</f>
        <v>x</v>
      </c>
      <c r="AU370" s="112" t="str">
        <f>IF(AU187=-1,"x",IF(OR(AU285=1,AU$197=1,$CX187=1),AU187,0))</f>
        <v>x</v>
      </c>
      <c r="AV370" s="83" t="str">
        <f>IF(AV187=-1,"x",IF(OR(AV285=1,AV$197=1,$CY187=1),AV187,0))</f>
        <v>x</v>
      </c>
      <c r="AW370" s="113" t="str">
        <f>IF(AW187=-1,"x",IF(OR(AW285=1,AW$197=1,$CZ187=1),AW187,0))</f>
        <v>x</v>
      </c>
      <c r="AX370" s="114" t="str">
        <f>IF(AX187=-1,"x",IF(OR(AX285=1,AX$197=1,$CX187=1),AX187,0))</f>
        <v>x</v>
      </c>
      <c r="AY370" s="83" t="str">
        <f>IF(AY187=-1,"x",IF(OR(AY285=1,AY$197=1,$CY187=1),AY187,0))</f>
        <v>x</v>
      </c>
      <c r="AZ370" s="111" t="str">
        <f>IF(AZ187=-1,"x",IF(OR(AZ285=1,AZ$197=1,$CZ187=1),AZ187,0))</f>
        <v>x</v>
      </c>
      <c r="BA370" s="112" t="str">
        <f>IF(BA187=-1,"x",IF(OR(BA285=1,BA$197=1,$CX187=1),BA187,0))</f>
        <v>x</v>
      </c>
      <c r="BB370" s="83" t="str">
        <f>IF(BB187=-1,"x",IF(OR(BB285=1,BB$197=1,$CY187=1),BB187,0))</f>
        <v>x</v>
      </c>
      <c r="BC370" s="111" t="str">
        <f>IF(BC187=-1,"x",IF(OR(BC285=1,BC$197=1,$CZ187=1),BC187,0))</f>
        <v>x</v>
      </c>
      <c r="BD370" s="112" t="str">
        <f>IF(BD187=-1,"x",IF(OR(BD285=1,BD$197=1,$CX187=1),BD187,0))</f>
        <v>x</v>
      </c>
      <c r="BE370" s="83" t="str">
        <f>IF(BE187=-1,"x",IF(OR(BE285=1,BE$197=1,$CY187=1),BE187,0))</f>
        <v>x</v>
      </c>
      <c r="BF370" s="113" t="str">
        <f>IF(BF187=-1,"x",IF(OR(BF285=1,BF$197=1,$CZ187=1),BF187,0))</f>
        <v>x</v>
      </c>
      <c r="BG370" s="114" t="str">
        <f>IF(BG187=-1,"x",IF(OR(BG285=1,BG$197=1,$CX187=1),BG187,0))</f>
        <v>x</v>
      </c>
      <c r="BH370" s="83" t="str">
        <f>IF(BH187=-1,"x",IF(OR(BH285=1,BH$197=1,$CY187=1),BH187,0))</f>
        <v>x</v>
      </c>
      <c r="BI370" s="111" t="str">
        <f>IF(BI187=-1,"x",IF(OR(BI285=1,BI$197=1,$CZ187=1),BI187,0))</f>
        <v>x</v>
      </c>
      <c r="BJ370" s="112" t="str">
        <f>IF(BJ187=-1,"x",IF(OR(BJ285=1,BJ$197=1,$CX187=1),BJ187,0))</f>
        <v>x</v>
      </c>
      <c r="BK370" s="83" t="str">
        <f>IF(BK187=-1,"x",IF(OR(BK285=1,BK$197=1,$CY187=1),BK187,0))</f>
        <v>x</v>
      </c>
      <c r="BL370" s="111" t="str">
        <f>IF(BL187=-1,"x",IF(OR(BL285=1,BL$197=1,$CZ187=1),BL187,0))</f>
        <v>x</v>
      </c>
      <c r="BM370" s="112" t="str">
        <f>IF(BM187=-1,"x",IF(OR(BM285=1,BM$197=1,$CX187=1),BM187,0))</f>
        <v>x</v>
      </c>
      <c r="BN370" s="83" t="str">
        <f>IF(BN187=-1,"x",IF(OR(BN285=1,BN$197=1,$CY187=1),BN187,0))</f>
        <v>x</v>
      </c>
      <c r="BO370" s="115" t="str">
        <f>IF(BO187=-1,"x",IF(OR(BO285=1,BO$197=1,$CZ187=1),BO187,0))</f>
        <v>x</v>
      </c>
      <c r="BP370" s="110" t="str">
        <f>IF(BP187=-1,"x",IF(OR(BP285=1,BP$197=1,$CX187=1),BP187,0))</f>
        <v>x</v>
      </c>
      <c r="BQ370" s="83" t="str">
        <f>IF(BQ187=-1,"x",IF(OR(BQ285=1,BQ$197=1,$CY187=1),BQ187,0))</f>
        <v>x</v>
      </c>
      <c r="BR370" s="111" t="str">
        <f>IF(BR187=-1,"x",IF(OR(BR285=1,BR$197=1,$CZ187=1),BR187,0))</f>
        <v>x</v>
      </c>
      <c r="BS370" s="112" t="str">
        <f>IF(BS187=-1,"x",IF(OR(BS285=1,BS$197=1,$CX187=1),BS187,0))</f>
        <v>x</v>
      </c>
      <c r="BT370" s="83" t="str">
        <f>IF(BT187=-1,"x",IF(OR(BT285=1,BT$197=1,$CY187=1),BT187,0))</f>
        <v>x</v>
      </c>
      <c r="BU370" s="111" t="str">
        <f>IF(BU187=-1,"x",IF(OR(BU285=1,BU$197=1,$CZ187=1),BU187,0))</f>
        <v>x</v>
      </c>
      <c r="BV370" s="112" t="str">
        <f>IF(BV187=-1,"x",IF(OR(BV285=1,BV$197=1,$CX187=1),BV187,0))</f>
        <v>x</v>
      </c>
      <c r="BW370" s="83" t="str">
        <f>IF(BW187=-1,"x",IF(OR(BW285=1,BW$197=1,$CY187=1),BW187,0))</f>
        <v>x</v>
      </c>
      <c r="BX370" s="113" t="str">
        <f>IF(BX187=-1,"x",IF(OR(BX285=1,BX$197=1,$CZ187=1),BX187,0))</f>
        <v>x</v>
      </c>
      <c r="BY370" s="114" t="str">
        <f>IF(BY187=-1,"x",IF(OR(BY285=1,BY$197=1,$CX187=1),BY187,0))</f>
        <v>x</v>
      </c>
      <c r="BZ370" s="83" t="str">
        <f>IF(BZ187=-1,"x",IF(OR(BZ285=1,BZ$197=1,$CY187=1),BZ187,0))</f>
        <v>x</v>
      </c>
      <c r="CA370" s="111" t="str">
        <f>IF(CA187=-1,"x",IF(OR(CA285=1,CA$197=1,$CZ187=1),CA187,0))</f>
        <v>x</v>
      </c>
      <c r="CB370" s="112">
        <f>IF(CB187=-1,"x",IF(OR(CB285=1,CB$197=1,$CX187=1),CB187,0))</f>
        <v>0</v>
      </c>
      <c r="CC370" s="83">
        <f>IF(CC187=-1,"x",IF(OR(CC285=1,CC$197=1,$CY187=1),CC187,0))</f>
        <v>0</v>
      </c>
      <c r="CD370" s="111">
        <f>IF(CD187=-1,"x",IF(OR(CD285=1,CD$197=1,$CZ187=1),CD187,0))</f>
        <v>0</v>
      </c>
      <c r="CE370" s="112">
        <f>IF(CE187=-1,"x",IF(OR(CE285=1,CE$197=1,$CX187=1),CE187,0))</f>
        <v>0</v>
      </c>
      <c r="CF370" s="83">
        <f>IF(CF187=-1,"x",IF(OR(CF285=1,CF$197=1,$CY187=1),CF187,0))</f>
        <v>0</v>
      </c>
      <c r="CG370" s="113">
        <f>IF(CG187=-1,"x",IF(OR(CG285=1,CG$197=1,$CZ187=1),CG187,0))</f>
        <v>0</v>
      </c>
      <c r="CH370" s="114">
        <f>IF(CH187=-1,"x",IF(OR(CH285=1,CH$197=1,$CX187=1),CH187,0))</f>
        <v>0</v>
      </c>
      <c r="CI370" s="83">
        <f>IF(CI187=-1,"x",IF(OR(CI285=1,CI$197=1,$CY187=1),CI187,0))</f>
        <v>0</v>
      </c>
      <c r="CJ370" s="111">
        <f>IF(CJ187=-1,"x",IF(OR(CJ285=1,CJ$197=1,$CZ187=1),CJ187,0))</f>
        <v>0</v>
      </c>
      <c r="CK370" s="112">
        <f>IF(CK187=-1,"x",IF(OR(CK285=1,CK$197=1,$CX187=1),CK187,0))</f>
        <v>0</v>
      </c>
      <c r="CL370" s="83">
        <f>IF(CL187=-1,"x",IF(OR(CL285=1,CL$197=1,$CY187=1),CL187,0))</f>
        <v>0</v>
      </c>
      <c r="CM370" s="111">
        <f>IF(CM187=-1,"x",IF(OR(CM285=1,CM$197=1,$CZ187=1),CM187,0))</f>
        <v>0</v>
      </c>
      <c r="CN370" s="112">
        <f>IF(CN187=-1,"x",IF(OR(CN285=1,CN$197=1,$CX187=1),CN187,0))</f>
        <v>0</v>
      </c>
      <c r="CO370" s="83">
        <f>IF(CO187=-1,"x",IF(OR(CO285=1,CO$197=1,$CY187=1),CO187,0))</f>
        <v>0</v>
      </c>
      <c r="CP370" s="115">
        <f>IF(CP187=-1,"x",IF(OR(CP285=1,CP$197=1,$CZ187=1),CP187,0))</f>
        <v>0</v>
      </c>
      <c r="DJ370" s="99">
        <f>IF(DJ187=-1,"x",IF(OR(DJ285=1,DJ$230=1,$GT187=1),DJ187,0))</f>
        <v>0</v>
      </c>
      <c r="DK370" s="45">
        <f>IF(DK187=-1,"x",IF(OR(DK285=1,DK$230=1,$GU187=1),DK187,0))</f>
        <v>0</v>
      </c>
      <c r="DL370" s="47">
        <f>IF(DL187=-1,"x",IF(OR(DL285=1,DL$230=1,$GV187=1),DL187,0))</f>
        <v>0</v>
      </c>
      <c r="DM370" s="46">
        <f>IF(DM187=-1,"x",IF(OR(DM285=1,DM$230=1,$GT187=1),DM187,0))</f>
        <v>0</v>
      </c>
      <c r="DN370" s="45">
        <f>IF(DN187=-1,"x",IF(OR(DN285=1,DN$230=1,$GU187=1),DN187,0))</f>
        <v>8</v>
      </c>
      <c r="DO370" s="47">
        <f>IF(DO187=-1,"x",IF(OR(DO285=1,DO$230=1,$GV187=1),DO187,0))</f>
        <v>0</v>
      </c>
      <c r="DP370" s="46">
        <f>IF(DP187=-1,"x",IF(OR(DP285=1,DP$230=1,$GT187=1),DP187,0))</f>
        <v>0</v>
      </c>
      <c r="DQ370" s="45">
        <f>IF(DQ187=-1,"x",IF(OR(DQ285=1,DQ$230=1,$GU187=1),DQ187,0))</f>
        <v>0</v>
      </c>
      <c r="DR370" s="48">
        <f>IF(DR187=-1,"x",IF(OR(DR285=1,DR$230=1,$GV187=1),DR187,0))</f>
        <v>0</v>
      </c>
      <c r="DS370" s="44" t="str">
        <f>IF(DS187=-1,"x",IF(OR(DS285=1,DS$230=1,$GT187=1),DS187,0))</f>
        <v>x</v>
      </c>
      <c r="DT370" s="45" t="str">
        <f>IF(DT187=-1,"x",IF(OR(DT285=1,DT$230=1,$GU187=1),DT187,0))</f>
        <v>x</v>
      </c>
      <c r="DU370" s="47" t="str">
        <f>IF(DU187=-1,"x",IF(OR(DU285=1,DU$230=1,$GV187=1),DU187,0))</f>
        <v>x</v>
      </c>
      <c r="DV370" s="46" t="str">
        <f>IF(DV187=-1,"x",IF(OR(DV285=1,DV$230=1,$GT187=1),DV187,0))</f>
        <v>x</v>
      </c>
      <c r="DW370" s="45" t="str">
        <f>IF(DW187=-1,"x",IF(OR(DW285=1,DW$230=1,$GU187=1),DW187,0))</f>
        <v>x</v>
      </c>
      <c r="DX370" s="47" t="str">
        <f>IF(DX187=-1,"x",IF(OR(DX285=1,DX$230=1,$GV187=1),DX187,0))</f>
        <v>x</v>
      </c>
      <c r="DY370" s="46" t="str">
        <f>IF(DY187=-1,"x",IF(OR(DY285=1,DY$230=1,$GT187=1),DY187,0))</f>
        <v>x</v>
      </c>
      <c r="DZ370" s="45" t="str">
        <f>IF(DZ187=-1,"x",IF(OR(DZ285=1,DZ$230=1,$GU187=1),DZ187,0))</f>
        <v>x</v>
      </c>
      <c r="EA370" s="48" t="str">
        <f>IF(EA187=-1,"x",IF(OR(EA285=1,EA$230=1,$GV187=1),EA187,0))</f>
        <v>x</v>
      </c>
      <c r="EB370" s="44" t="str">
        <f>IF(EB187=-1,"x",IF(OR(EB285=1,EB$230=1,$GT187=1),EB187,0))</f>
        <v>x</v>
      </c>
      <c r="EC370" s="45" t="str">
        <f>IF(EC187=-1,"x",IF(OR(EC285=1,EC$230=1,$GU187=1),EC187,0))</f>
        <v>x</v>
      </c>
      <c r="ED370" s="47" t="str">
        <f>IF(ED187=-1,"x",IF(OR(ED285=1,ED$230=1,$GV187=1),ED187,0))</f>
        <v>x</v>
      </c>
      <c r="EE370" s="46" t="str">
        <f>IF(EE187=-1,"x",IF(OR(EE285=1,EE$230=1,$GT187=1),EE187,0))</f>
        <v>x</v>
      </c>
      <c r="EF370" s="45" t="str">
        <f>IF(EF187=-1,"x",IF(OR(EF285=1,EF$230=1,$GU187=1),EF187,0))</f>
        <v>x</v>
      </c>
      <c r="EG370" s="47" t="str">
        <f>IF(EG187=-1,"x",IF(OR(EG285=1,EG$230=1,$GV187=1),EG187,0))</f>
        <v>x</v>
      </c>
      <c r="EH370" s="46" t="str">
        <f>IF(EH187=-1,"x",IF(OR(EH285=1,EH$230=1,$GT187=1),EH187,0))</f>
        <v>x</v>
      </c>
      <c r="EI370" s="45" t="str">
        <f>IF(EI187=-1,"x",IF(OR(EI285=1,EI$230=1,$GU187=1),EI187,0))</f>
        <v>x</v>
      </c>
      <c r="EJ370" s="100" t="str">
        <f>IF(EJ187=-1,"x",IF(OR(EJ285=1,EJ$230=1,$GV187=1),EJ187,0))</f>
        <v>x</v>
      </c>
      <c r="EK370" s="99" t="str">
        <f>IF(EK187=-1,"x",IF(OR(EK285=1,EK$230=1,$GT187=1),EK187,0))</f>
        <v>x</v>
      </c>
      <c r="EL370" s="45" t="str">
        <f>IF(EL187=-1,"x",IF(OR(EL285=1,EL$230=1,$GU187=1),EL187,0))</f>
        <v>x</v>
      </c>
      <c r="EM370" s="47" t="str">
        <f>IF(EM187=-1,"x",IF(OR(EM285=1,EM$230=1,$GV187=1),EM187,0))</f>
        <v>x</v>
      </c>
      <c r="EN370" s="46" t="str">
        <f>IF(EN187=-1,"x",IF(OR(EN285=1,EN$230=1,$GT187=1),EN187,0))</f>
        <v>x</v>
      </c>
      <c r="EO370" s="45" t="str">
        <f>IF(EO187=-1,"x",IF(OR(EO285=1,EO$230=1,$GU187=1),EO187,0))</f>
        <v>x</v>
      </c>
      <c r="EP370" s="47" t="str">
        <f>IF(EP187=-1,"x",IF(OR(EP285=1,EP$230=1,$GV187=1),EP187,0))</f>
        <v>x</v>
      </c>
      <c r="EQ370" s="46" t="str">
        <f>IF(EQ187=-1,"x",IF(OR(EQ285=1,EQ$230=1,$GT187=1),EQ187,0))</f>
        <v>x</v>
      </c>
      <c r="ER370" s="45" t="str">
        <f>IF(ER187=-1,"x",IF(OR(ER285=1,ER$230=1,$GU187=1),ER187,0))</f>
        <v>x</v>
      </c>
      <c r="ES370" s="48" t="str">
        <f>IF(ES187=-1,"x",IF(OR(ES285=1,ES$230=1,$GV187=1),ES187,0))</f>
        <v>x</v>
      </c>
      <c r="ET370" s="44" t="str">
        <f>IF(ET187=-1,"x",IF(OR(ET285=1,ET$230=1,$GT187=1),ET187,0))</f>
        <v>x</v>
      </c>
      <c r="EU370" s="45" t="str">
        <f>IF(EU187=-1,"x",IF(OR(EU285=1,EU$230=1,$GU187=1),EU187,0))</f>
        <v>x</v>
      </c>
      <c r="EV370" s="47" t="str">
        <f>IF(EV187=-1,"x",IF(OR(EV285=1,EV$230=1,$GV187=1),EV187,0))</f>
        <v>x</v>
      </c>
      <c r="EW370" s="46" t="str">
        <f>IF(EW187=-1,"x",IF(OR(EW285=1,EW$230=1,$GT187=1),EW187,0))</f>
        <v>x</v>
      </c>
      <c r="EX370" s="45" t="str">
        <f>IF(EX187=-1,"x",IF(OR(EX285=1,EX$230=1,$GU187=1),EX187,0))</f>
        <v>x</v>
      </c>
      <c r="EY370" s="47" t="str">
        <f>IF(EY187=-1,"x",IF(OR(EY285=1,EY$230=1,$GV187=1),EY187,0))</f>
        <v>x</v>
      </c>
      <c r="EZ370" s="46" t="str">
        <f>IF(EZ187=-1,"x",IF(OR(EZ285=1,EZ$230=1,$GT187=1),EZ187,0))</f>
        <v>x</v>
      </c>
      <c r="FA370" s="45" t="str">
        <f>IF(FA187=-1,"x",IF(OR(FA285=1,FA$230=1,$GU187=1),FA187,0))</f>
        <v>x</v>
      </c>
      <c r="FB370" s="48" t="str">
        <f>IF(FB187=-1,"x",IF(OR(FB285=1,FB$230=1,$GV187=1),FB187,0))</f>
        <v>x</v>
      </c>
      <c r="FC370" s="44" t="str">
        <f>IF(FC187=-1,"x",IF(OR(FC285=1,FC$230=1,$GT187=1),FC187,0))</f>
        <v>x</v>
      </c>
      <c r="FD370" s="45" t="str">
        <f>IF(FD187=-1,"x",IF(OR(FD285=1,FD$230=1,$GU187=1),FD187,0))</f>
        <v>x</v>
      </c>
      <c r="FE370" s="47" t="str">
        <f>IF(FE187=-1,"x",IF(OR(FE285=1,FE$230=1,$GV187=1),FE187,0))</f>
        <v>x</v>
      </c>
      <c r="FF370" s="46" t="str">
        <f>IF(FF187=-1,"x",IF(OR(FF285=1,FF$230=1,$GT187=1),FF187,0))</f>
        <v>x</v>
      </c>
      <c r="FG370" s="45" t="str">
        <f>IF(FG187=-1,"x",IF(OR(FG285=1,FG$230=1,$GU187=1),FG187,0))</f>
        <v>x</v>
      </c>
      <c r="FH370" s="47" t="str">
        <f>IF(FH187=-1,"x",IF(OR(FH285=1,FH$230=1,$GV187=1),FH187,0))</f>
        <v>x</v>
      </c>
      <c r="FI370" s="46" t="str">
        <f>IF(FI187=-1,"x",IF(OR(FI285=1,FI$230=1,$GT187=1),FI187,0))</f>
        <v>x</v>
      </c>
      <c r="FJ370" s="45" t="str">
        <f>IF(FJ187=-1,"x",IF(OR(FJ285=1,FJ$230=1,$GU187=1),FJ187,0))</f>
        <v>x</v>
      </c>
      <c r="FK370" s="100" t="str">
        <f>IF(FK187=-1,"x",IF(OR(FK285=1,FK$230=1,$GV187=1),FK187,0))</f>
        <v>x</v>
      </c>
      <c r="FL370" s="99" t="str">
        <f>IF(FL187=-1,"x",IF(OR(FL285=1,FL$230=1,$GT187=1),FL187,0))</f>
        <v>x</v>
      </c>
      <c r="FM370" s="45" t="str">
        <f>IF(FM187=-1,"x",IF(OR(FM285=1,FM$230=1,$GU187=1),FM187,0))</f>
        <v>x</v>
      </c>
      <c r="FN370" s="47" t="str">
        <f>IF(FN187=-1,"x",IF(OR(FN285=1,FN$230=1,$GV187=1),FN187,0))</f>
        <v>x</v>
      </c>
      <c r="FO370" s="46" t="str">
        <f>IF(FO187=-1,"x",IF(OR(FO285=1,FO$230=1,$GT187=1),FO187,0))</f>
        <v>x</v>
      </c>
      <c r="FP370" s="45" t="str">
        <f>IF(FP187=-1,"x",IF(OR(FP285=1,FP$230=1,$GU187=1),FP187,0))</f>
        <v>x</v>
      </c>
      <c r="FQ370" s="47" t="str">
        <f>IF(FQ187=-1,"x",IF(OR(FQ285=1,FQ$230=1,$GV187=1),FQ187,0))</f>
        <v>x</v>
      </c>
      <c r="FR370" s="46" t="str">
        <f>IF(FR187=-1,"x",IF(OR(FR285=1,FR$230=1,$GT187=1),FR187,0))</f>
        <v>x</v>
      </c>
      <c r="FS370" s="45" t="str">
        <f>IF(FS187=-1,"x",IF(OR(FS285=1,FS$230=1,$GU187=1),FS187,0))</f>
        <v>x</v>
      </c>
      <c r="FT370" s="48" t="str">
        <f>IF(FT187=-1,"x",IF(OR(FT285=1,FT$230=1,$GV187=1),FT187,0))</f>
        <v>x</v>
      </c>
      <c r="FU370" s="44" t="str">
        <f>IF(FU187=-1,"x",IF(OR(FU285=1,FU$230=1,$GT187=1),FU187,0))</f>
        <v>x</v>
      </c>
      <c r="FV370" s="45" t="str">
        <f>IF(FV187=-1,"x",IF(OR(FV285=1,FV$230=1,$GU187=1),FV187,0))</f>
        <v>x</v>
      </c>
      <c r="FW370" s="47" t="str">
        <f>IF(FW187=-1,"x",IF(OR(FW285=1,FW$230=1,$GV187=1),FW187,0))</f>
        <v>x</v>
      </c>
      <c r="FX370" s="46" t="str">
        <f>IF(FX187=-1,"x",IF(OR(FX285=1,FX$230=1,$GT187=1),FX187,0))</f>
        <v>x</v>
      </c>
      <c r="FY370" s="45" t="str">
        <f>IF(FY187=-1,"x",IF(OR(FY285=1,FY$230=1,$GU187=1),FY187,0))</f>
        <v>x</v>
      </c>
      <c r="FZ370" s="47" t="str">
        <f>IF(FZ187=-1,"x",IF(OR(FZ285=1,FZ$230=1,$GV187=1),FZ187,0))</f>
        <v>x</v>
      </c>
      <c r="GA370" s="46" t="str">
        <f>IF(GA187=-1,"x",IF(OR(GA285=1,GA$230=1,$GT187=1),GA187,0))</f>
        <v>x</v>
      </c>
      <c r="GB370" s="45" t="str">
        <f>IF(GB187=-1,"x",IF(OR(GB285=1,GB$230=1,$GU187=1),GB187,0))</f>
        <v>x</v>
      </c>
      <c r="GC370" s="48" t="str">
        <f>IF(GC187=-1,"x",IF(OR(GC285=1,GC$230=1,$GV187=1),GC187,0))</f>
        <v>x</v>
      </c>
      <c r="GD370" s="44">
        <f>IF(GD187=-1,"x",IF(OR(GD285=1,GD$230=1,$GT187=1),GD187,0))</f>
        <v>0</v>
      </c>
      <c r="GE370" s="45">
        <f>IF(GE187=-1,"x",IF(OR(GE285=1,GE$230=1,$GU187=1),GE187,0))</f>
        <v>0</v>
      </c>
      <c r="GF370" s="47">
        <f>IF(GF187=-1,"x",IF(OR(GF285=1,GF$230=1,$GV187=1),GF187,0))</f>
        <v>0</v>
      </c>
      <c r="GG370" s="46" t="str">
        <f>IF(GG187=-1,"x",IF(OR(GG285=1,GG$230=1,$GT187=1),GG187,0))</f>
        <v>x</v>
      </c>
      <c r="GH370" s="45" t="str">
        <f>IF(GH187=-1,"x",IF(OR(GH285=1,GH$230=1,$GU187=1),GH187,0))</f>
        <v>x</v>
      </c>
      <c r="GI370" s="47" t="str">
        <f>IF(GI187=-1,"x",IF(OR(GI285=1,GI$230=1,$GV187=1),GI187,0))</f>
        <v>x</v>
      </c>
      <c r="GJ370" s="46" t="str">
        <f>IF(GJ187=-1,"x",IF(OR(GJ285=1,GJ$230=1,$GT187=1),GJ187,0))</f>
        <v>x</v>
      </c>
      <c r="GK370" s="45" t="str">
        <f>IF(GK187=-1,"x",IF(OR(GK285=1,GK$230=1,$GU187=1),GK187,0))</f>
        <v>x</v>
      </c>
      <c r="GL370" s="100" t="str">
        <f>IF(GL187=-1,"x",IF(OR(GL285=1,GL$230=1,$GV187=1),GL187,0))</f>
        <v>x</v>
      </c>
    </row>
    <row r="371" spans="14:194" ht="15" customHeight="1" thickTop="1">
      <c r="DJ371" s="104" t="str">
        <f>IF(DJ188=-1,"x",IF(OR(DJ286=1,DJ$228=1,$GT188=1),DJ188,0))</f>
        <v>x</v>
      </c>
      <c r="DK371" s="50" t="str">
        <f>IF(DK188=-1,"x",IF(OR(DK286=1,DK$228=1,$GU188=1),DK188,0))</f>
        <v>x</v>
      </c>
      <c r="DL371" s="51" t="str">
        <f>IF(DL188=-1,"x",IF(OR(DL286=1,DL$228=1,$GV188=1),DL188,0))</f>
        <v>x</v>
      </c>
      <c r="DM371" s="52" t="str">
        <f>IF(DM188=-1,"x",IF(OR(DM286=1,DM$228=1,$GT188=1),DM188,0))</f>
        <v>x</v>
      </c>
      <c r="DN371" s="50" t="str">
        <f>IF(DN188=-1,"x",IF(OR(DN286=1,DN$228=1,$GU188=1),DN188,0))</f>
        <v>x</v>
      </c>
      <c r="DO371" s="51" t="str">
        <f>IF(DO188=-1,"x",IF(OR(DO286=1,DO$228=1,$GV188=1),DO188,0))</f>
        <v>x</v>
      </c>
      <c r="DP371" s="52">
        <f>IF(DP188=-1,"x",IF(OR(DP286=1,DP$228=1,$GT188=1),DP188,0))</f>
        <v>0</v>
      </c>
      <c r="DQ371" s="50">
        <f>IF(DQ188=-1,"x",IF(OR(DQ286=1,DQ$228=1,$GU188=1),DQ188,0))</f>
        <v>0</v>
      </c>
      <c r="DR371" s="53">
        <f>IF(DR188=-1,"x",IF(OR(DR286=1,DR$228=1,$GV188=1),DR188,0))</f>
        <v>0</v>
      </c>
      <c r="DS371" s="49" t="str">
        <f>IF(DS188=-1,"x",IF(OR(DS286=1,DS$228=1,$GT188=1),DS188,0))</f>
        <v>x</v>
      </c>
      <c r="DT371" s="50" t="str">
        <f>IF(DT188=-1,"x",IF(OR(DT286=1,DT$228=1,$GU188=1),DT188,0))</f>
        <v>x</v>
      </c>
      <c r="DU371" s="51" t="str">
        <f>IF(DU188=-1,"x",IF(OR(DU286=1,DU$228=1,$GV188=1),DU188,0))</f>
        <v>x</v>
      </c>
      <c r="DV371" s="52" t="str">
        <f>IF(DV188=-1,"x",IF(OR(DV286=1,DV$228=1,$GT188=1),DV188,0))</f>
        <v>x</v>
      </c>
      <c r="DW371" s="50" t="str">
        <f>IF(DW188=-1,"x",IF(OR(DW286=1,DW$228=1,$GU188=1),DW188,0))</f>
        <v>x</v>
      </c>
      <c r="DX371" s="51" t="str">
        <f>IF(DX188=-1,"x",IF(OR(DX286=1,DX$228=1,$GV188=1),DX188,0))</f>
        <v>x</v>
      </c>
      <c r="DY371" s="52" t="str">
        <f>IF(DY188=-1,"x",IF(OR(DY286=1,DY$228=1,$GT188=1),DY188,0))</f>
        <v>x</v>
      </c>
      <c r="DZ371" s="50" t="str">
        <f>IF(DZ188=-1,"x",IF(OR(DZ286=1,DZ$228=1,$GU188=1),DZ188,0))</f>
        <v>x</v>
      </c>
      <c r="EA371" s="53" t="str">
        <f>IF(EA188=-1,"x",IF(OR(EA286=1,EA$228=1,$GV188=1),EA188,0))</f>
        <v>x</v>
      </c>
      <c r="EB371" s="49" t="str">
        <f>IF(EB188=-1,"x",IF(OR(EB286=1,EB$228=1,$GT188=1),EB188,0))</f>
        <v>x</v>
      </c>
      <c r="EC371" s="50" t="str">
        <f>IF(EC188=-1,"x",IF(OR(EC286=1,EC$228=1,$GU188=1),EC188,0))</f>
        <v>x</v>
      </c>
      <c r="ED371" s="51" t="str">
        <f>IF(ED188=-1,"x",IF(OR(ED286=1,ED$228=1,$GV188=1),ED188,0))</f>
        <v>x</v>
      </c>
      <c r="EE371" s="52" t="str">
        <f>IF(EE188=-1,"x",IF(OR(EE286=1,EE$228=1,$GT188=1),EE188,0))</f>
        <v>x</v>
      </c>
      <c r="EF371" s="50" t="str">
        <f>IF(EF188=-1,"x",IF(OR(EF286=1,EF$228=1,$GU188=1),EF188,0))</f>
        <v>x</v>
      </c>
      <c r="EG371" s="51" t="str">
        <f>IF(EG188=-1,"x",IF(OR(EG286=1,EG$228=1,$GV188=1),EG188,0))</f>
        <v>x</v>
      </c>
      <c r="EH371" s="52" t="str">
        <f>IF(EH188=-1,"x",IF(OR(EH286=1,EH$228=1,$GT188=1),EH188,0))</f>
        <v>x</v>
      </c>
      <c r="EI371" s="50" t="str">
        <f>IF(EI188=-1,"x",IF(OR(EI286=1,EI$228=1,$GU188=1),EI188,0))</f>
        <v>x</v>
      </c>
      <c r="EJ371" s="105" t="str">
        <f>IF(EJ188=-1,"x",IF(OR(EJ286=1,EJ$228=1,$GV188=1),EJ188,0))</f>
        <v>x</v>
      </c>
      <c r="EK371" s="104" t="str">
        <f>IF(EK188=-1,"x",IF(OR(EK286=1,EK$228=1,$GT188=1),EK188,0))</f>
        <v>x</v>
      </c>
      <c r="EL371" s="50" t="str">
        <f>IF(EL188=-1,"x",IF(OR(EL286=1,EL$228=1,$GU188=1),EL188,0))</f>
        <v>x</v>
      </c>
      <c r="EM371" s="51" t="str">
        <f>IF(EM188=-1,"x",IF(OR(EM286=1,EM$228=1,$GV188=1),EM188,0))</f>
        <v>x</v>
      </c>
      <c r="EN371" s="52" t="str">
        <f>IF(EN188=-1,"x",IF(OR(EN286=1,EN$228=1,$GT188=1),EN188,0))</f>
        <v>x</v>
      </c>
      <c r="EO371" s="50" t="str">
        <f>IF(EO188=-1,"x",IF(OR(EO286=1,EO$228=1,$GU188=1),EO188,0))</f>
        <v>x</v>
      </c>
      <c r="EP371" s="51" t="str">
        <f>IF(EP188=-1,"x",IF(OR(EP286=1,EP$228=1,$GV188=1),EP188,0))</f>
        <v>x</v>
      </c>
      <c r="EQ371" s="52" t="str">
        <f>IF(EQ188=-1,"x",IF(OR(EQ286=1,EQ$228=1,$GT188=1),EQ188,0))</f>
        <v>x</v>
      </c>
      <c r="ER371" s="50" t="str">
        <f>IF(ER188=-1,"x",IF(OR(ER286=1,ER$228=1,$GU188=1),ER188,0))</f>
        <v>x</v>
      </c>
      <c r="ES371" s="53" t="str">
        <f>IF(ES188=-1,"x",IF(OR(ES286=1,ES$228=1,$GV188=1),ES188,0))</f>
        <v>x</v>
      </c>
      <c r="ET371" s="49" t="str">
        <f>IF(ET188=-1,"x",IF(OR(ET286=1,ET$228=1,$GT188=1),ET188,0))</f>
        <v>x</v>
      </c>
      <c r="EU371" s="50" t="str">
        <f>IF(EU188=-1,"x",IF(OR(EU286=1,EU$228=1,$GU188=1),EU188,0))</f>
        <v>x</v>
      </c>
      <c r="EV371" s="51" t="str">
        <f>IF(EV188=-1,"x",IF(OR(EV286=1,EV$228=1,$GV188=1),EV188,0))</f>
        <v>x</v>
      </c>
      <c r="EW371" s="52" t="str">
        <f>IF(EW188=-1,"x",IF(OR(EW286=1,EW$228=1,$GT188=1),EW188,0))</f>
        <v>x</v>
      </c>
      <c r="EX371" s="50" t="str">
        <f>IF(EX188=-1,"x",IF(OR(EX286=1,EX$228=1,$GU188=1),EX188,0))</f>
        <v>x</v>
      </c>
      <c r="EY371" s="51" t="str">
        <f>IF(EY188=-1,"x",IF(OR(EY286=1,EY$228=1,$GV188=1),EY188,0))</f>
        <v>x</v>
      </c>
      <c r="EZ371" s="52" t="str">
        <f>IF(EZ188=-1,"x",IF(OR(EZ286=1,EZ$228=1,$GT188=1),EZ188,0))</f>
        <v>x</v>
      </c>
      <c r="FA371" s="50" t="str">
        <f>IF(FA188=-1,"x",IF(OR(FA286=1,FA$228=1,$GU188=1),FA188,0))</f>
        <v>x</v>
      </c>
      <c r="FB371" s="53" t="str">
        <f>IF(FB188=-1,"x",IF(OR(FB286=1,FB$228=1,$GV188=1),FB188,0))</f>
        <v>x</v>
      </c>
      <c r="FC371" s="49" t="str">
        <f>IF(FC188=-1,"x",IF(OR(FC286=1,FC$228=1,$GT188=1),FC188,0))</f>
        <v>x</v>
      </c>
      <c r="FD371" s="50" t="str">
        <f>IF(FD188=-1,"x",IF(OR(FD286=1,FD$228=1,$GU188=1),FD188,0))</f>
        <v>x</v>
      </c>
      <c r="FE371" s="51" t="str">
        <f>IF(FE188=-1,"x",IF(OR(FE286=1,FE$228=1,$GV188=1),FE188,0))</f>
        <v>x</v>
      </c>
      <c r="FF371" s="52" t="str">
        <f>IF(FF188=-1,"x",IF(OR(FF286=1,FF$228=1,$GT188=1),FF188,0))</f>
        <v>x</v>
      </c>
      <c r="FG371" s="50" t="str">
        <f>IF(FG188=-1,"x",IF(OR(FG286=1,FG$228=1,$GU188=1),FG188,0))</f>
        <v>x</v>
      </c>
      <c r="FH371" s="51" t="str">
        <f>IF(FH188=-1,"x",IF(OR(FH286=1,FH$228=1,$GV188=1),FH188,0))</f>
        <v>x</v>
      </c>
      <c r="FI371" s="52" t="str">
        <f>IF(FI188=-1,"x",IF(OR(FI286=1,FI$228=1,$GT188=1),FI188,0))</f>
        <v>x</v>
      </c>
      <c r="FJ371" s="50" t="str">
        <f>IF(FJ188=-1,"x",IF(OR(FJ286=1,FJ$228=1,$GU188=1),FJ188,0))</f>
        <v>x</v>
      </c>
      <c r="FK371" s="105" t="str">
        <f>IF(FK188=-1,"x",IF(OR(FK286=1,FK$228=1,$GV188=1),FK188,0))</f>
        <v>x</v>
      </c>
      <c r="FL371" s="104" t="str">
        <f>IF(FL188=-1,"x",IF(OR(FL286=1,FL$228=1,$GT188=1),FL188,0))</f>
        <v>x</v>
      </c>
      <c r="FM371" s="50" t="str">
        <f>IF(FM188=-1,"x",IF(OR(FM286=1,FM$228=1,$GU188=1),FM188,0))</f>
        <v>x</v>
      </c>
      <c r="FN371" s="51" t="str">
        <f>IF(FN188=-1,"x",IF(OR(FN286=1,FN$228=1,$GV188=1),FN188,0))</f>
        <v>x</v>
      </c>
      <c r="FO371" s="52" t="str">
        <f>IF(FO188=-1,"x",IF(OR(FO286=1,FO$228=1,$GT188=1),FO188,0))</f>
        <v>x</v>
      </c>
      <c r="FP371" s="50" t="str">
        <f>IF(FP188=-1,"x",IF(OR(FP286=1,FP$228=1,$GU188=1),FP188,0))</f>
        <v>x</v>
      </c>
      <c r="FQ371" s="51" t="str">
        <f>IF(FQ188=-1,"x",IF(OR(FQ286=1,FQ$228=1,$GV188=1),FQ188,0))</f>
        <v>x</v>
      </c>
      <c r="FR371" s="52" t="str">
        <f>IF(FR188=-1,"x",IF(OR(FR286=1,FR$228=1,$GT188=1),FR188,0))</f>
        <v>x</v>
      </c>
      <c r="FS371" s="50" t="str">
        <f>IF(FS188=-1,"x",IF(OR(FS286=1,FS$228=1,$GU188=1),FS188,0))</f>
        <v>x</v>
      </c>
      <c r="FT371" s="53" t="str">
        <f>IF(FT188=-1,"x",IF(OR(FT286=1,FT$228=1,$GV188=1),FT188,0))</f>
        <v>x</v>
      </c>
      <c r="FU371" s="49" t="str">
        <f>IF(FU188=-1,"x",IF(OR(FU286=1,FU$228=1,$GT188=1),FU188,0))</f>
        <v>x</v>
      </c>
      <c r="FV371" s="50" t="str">
        <f>IF(FV188=-1,"x",IF(OR(FV286=1,FV$228=1,$GU188=1),FV188,0))</f>
        <v>x</v>
      </c>
      <c r="FW371" s="51" t="str">
        <f>IF(FW188=-1,"x",IF(OR(FW286=1,FW$228=1,$GV188=1),FW188,0))</f>
        <v>x</v>
      </c>
      <c r="FX371" s="52" t="str">
        <f>IF(FX188=-1,"x",IF(OR(FX286=1,FX$228=1,$GT188=1),FX188,0))</f>
        <v>x</v>
      </c>
      <c r="FY371" s="50" t="str">
        <f>IF(FY188=-1,"x",IF(OR(FY286=1,FY$228=1,$GU188=1),FY188,0))</f>
        <v>x</v>
      </c>
      <c r="FZ371" s="51" t="str">
        <f>IF(FZ188=-1,"x",IF(OR(FZ286=1,FZ$228=1,$GV188=1),FZ188,0))</f>
        <v>x</v>
      </c>
      <c r="GA371" s="52" t="str">
        <f>IF(GA188=-1,"x",IF(OR(GA286=1,GA$228=1,$GT188=1),GA188,0))</f>
        <v>x</v>
      </c>
      <c r="GB371" s="50" t="str">
        <f>IF(GB188=-1,"x",IF(OR(GB286=1,GB$228=1,$GU188=1),GB188,0))</f>
        <v>x</v>
      </c>
      <c r="GC371" s="53" t="str">
        <f>IF(GC188=-1,"x",IF(OR(GC286=1,GC$228=1,$GV188=1),GC188,0))</f>
        <v>x</v>
      </c>
      <c r="GD371" s="49" t="str">
        <f>IF(GD188=-1,"x",IF(OR(GD286=1,GD$228=1,$GT188=1),GD188,0))</f>
        <v>x</v>
      </c>
      <c r="GE371" s="50" t="str">
        <f>IF(GE188=-1,"x",IF(OR(GE286=1,GE$228=1,$GU188=1),GE188,0))</f>
        <v>x</v>
      </c>
      <c r="GF371" s="51" t="str">
        <f>IF(GF188=-1,"x",IF(OR(GF286=1,GF$228=1,$GV188=1),GF188,0))</f>
        <v>x</v>
      </c>
      <c r="GG371" s="52" t="str">
        <f>IF(GG188=-1,"x",IF(OR(GG286=1,GG$228=1,$GT188=1),GG188,0))</f>
        <v>x</v>
      </c>
      <c r="GH371" s="50" t="str">
        <f>IF(GH188=-1,"x",IF(OR(GH286=1,GH$228=1,$GU188=1),GH188,0))</f>
        <v>x</v>
      </c>
      <c r="GI371" s="51" t="str">
        <f>IF(GI188=-1,"x",IF(OR(GI286=1,GI$228=1,$GV188=1),GI188,0))</f>
        <v>x</v>
      </c>
      <c r="GJ371" s="52" t="str">
        <f>IF(GJ188=-1,"x",IF(OR(GJ286=1,GJ$228=1,$GT188=1),GJ188,0))</f>
        <v>x</v>
      </c>
      <c r="GK371" s="50" t="str">
        <f>IF(GK188=-1,"x",IF(OR(GK286=1,GK$228=1,$GU188=1),GK188,0))</f>
        <v>x</v>
      </c>
      <c r="GL371" s="105" t="str">
        <f>IF(GL188=-1,"x",IF(OR(GL286=1,GL$228=1,$GV188=1),GL188,0))</f>
        <v>x</v>
      </c>
    </row>
    <row r="372" spans="14:194" ht="15" customHeight="1">
      <c r="DJ372" s="94" t="str">
        <f>IF(DJ189=-1,"x",IF(OR(DJ287=1,DJ$229=1,$GT189=1),DJ189,0))</f>
        <v>x</v>
      </c>
      <c r="DK372" s="39" t="str">
        <f>IF(DK189=-1,"x",IF(OR(DK287=1,DK$229=1,$GU189=1),DK189,0))</f>
        <v>x</v>
      </c>
      <c r="DL372" s="41" t="str">
        <f>IF(DL189=-1,"x",IF(OR(DL287=1,DL$229=1,$GV189=1),DL189,0))</f>
        <v>x</v>
      </c>
      <c r="DM372" s="40" t="str">
        <f>IF(DM189=-1,"x",IF(OR(DM287=1,DM$229=1,$GT189=1),DM189,0))</f>
        <v>x</v>
      </c>
      <c r="DN372" s="39" t="str">
        <f>IF(DN189=-1,"x",IF(OR(DN287=1,DN$229=1,$GU189=1),DN189,0))</f>
        <v>x</v>
      </c>
      <c r="DO372" s="41" t="str">
        <f>IF(DO189=-1,"x",IF(OR(DO287=1,DO$229=1,$GV189=1),DO189,0))</f>
        <v>x</v>
      </c>
      <c r="DP372" s="40">
        <f>IF(DP189=-1,"x",IF(OR(DP287=1,DP$229=1,$GT189=1),DP189,0))</f>
        <v>0</v>
      </c>
      <c r="DQ372" s="39">
        <f>IF(DQ189=-1,"x",IF(OR(DQ287=1,DQ$229=1,$GU189=1),DQ189,0))</f>
        <v>0</v>
      </c>
      <c r="DR372" s="42">
        <f>IF(DR189=-1,"x",IF(OR(DR287=1,DR$229=1,$GV189=1),DR189,0))</f>
        <v>0</v>
      </c>
      <c r="DS372" s="43" t="str">
        <f>IF(DS189=-1,"x",IF(OR(DS287=1,DS$229=1,$GT189=1),DS189,0))</f>
        <v>x</v>
      </c>
      <c r="DT372" s="39" t="str">
        <f>IF(DT189=-1,"x",IF(OR(DT287=1,DT$229=1,$GU189=1),DT189,0))</f>
        <v>x</v>
      </c>
      <c r="DU372" s="41" t="str">
        <f>IF(DU189=-1,"x",IF(OR(DU287=1,DU$229=1,$GV189=1),DU189,0))</f>
        <v>x</v>
      </c>
      <c r="DV372" s="40" t="str">
        <f>IF(DV189=-1,"x",IF(OR(DV287=1,DV$229=1,$GT189=1),DV189,0))</f>
        <v>x</v>
      </c>
      <c r="DW372" s="39" t="str">
        <f>IF(DW189=-1,"x",IF(OR(DW287=1,DW$229=1,$GU189=1),DW189,0))</f>
        <v>x</v>
      </c>
      <c r="DX372" s="41" t="str">
        <f>IF(DX189=-1,"x",IF(OR(DX287=1,DX$229=1,$GV189=1),DX189,0))</f>
        <v>x</v>
      </c>
      <c r="DY372" s="40" t="str">
        <f>IF(DY189=-1,"x",IF(OR(DY287=1,DY$229=1,$GT189=1),DY189,0))</f>
        <v>x</v>
      </c>
      <c r="DZ372" s="39" t="str">
        <f>IF(DZ189=-1,"x",IF(OR(DZ287=1,DZ$229=1,$GU189=1),DZ189,0))</f>
        <v>x</v>
      </c>
      <c r="EA372" s="42" t="str">
        <f>IF(EA189=-1,"x",IF(OR(EA287=1,EA$229=1,$GV189=1),EA189,0))</f>
        <v>x</v>
      </c>
      <c r="EB372" s="43" t="str">
        <f>IF(EB189=-1,"x",IF(OR(EB287=1,EB$229=1,$GT189=1),EB189,0))</f>
        <v>x</v>
      </c>
      <c r="EC372" s="39" t="str">
        <f>IF(EC189=-1,"x",IF(OR(EC287=1,EC$229=1,$GU189=1),EC189,0))</f>
        <v>x</v>
      </c>
      <c r="ED372" s="41" t="str">
        <f>IF(ED189=-1,"x",IF(OR(ED287=1,ED$229=1,$GV189=1),ED189,0))</f>
        <v>x</v>
      </c>
      <c r="EE372" s="40" t="str">
        <f>IF(EE189=-1,"x",IF(OR(EE287=1,EE$229=1,$GT189=1),EE189,0))</f>
        <v>x</v>
      </c>
      <c r="EF372" s="39" t="str">
        <f>IF(EF189=-1,"x",IF(OR(EF287=1,EF$229=1,$GU189=1),EF189,0))</f>
        <v>x</v>
      </c>
      <c r="EG372" s="41" t="str">
        <f>IF(EG189=-1,"x",IF(OR(EG287=1,EG$229=1,$GV189=1),EG189,0))</f>
        <v>x</v>
      </c>
      <c r="EH372" s="40" t="str">
        <f>IF(EH189=-1,"x",IF(OR(EH287=1,EH$229=1,$GT189=1),EH189,0))</f>
        <v>x</v>
      </c>
      <c r="EI372" s="39" t="str">
        <f>IF(EI189=-1,"x",IF(OR(EI287=1,EI$229=1,$GU189=1),EI189,0))</f>
        <v>x</v>
      </c>
      <c r="EJ372" s="95" t="str">
        <f>IF(EJ189=-1,"x",IF(OR(EJ287=1,EJ$229=1,$GV189=1),EJ189,0))</f>
        <v>x</v>
      </c>
      <c r="EK372" s="94" t="str">
        <f>IF(EK189=-1,"x",IF(OR(EK287=1,EK$229=1,$GT189=1),EK189,0))</f>
        <v>x</v>
      </c>
      <c r="EL372" s="39" t="str">
        <f>IF(EL189=-1,"x",IF(OR(EL287=1,EL$229=1,$GU189=1),EL189,0))</f>
        <v>x</v>
      </c>
      <c r="EM372" s="41" t="str">
        <f>IF(EM189=-1,"x",IF(OR(EM287=1,EM$229=1,$GV189=1),EM189,0))</f>
        <v>x</v>
      </c>
      <c r="EN372" s="40" t="str">
        <f>IF(EN189=-1,"x",IF(OR(EN287=1,EN$229=1,$GT189=1),EN189,0))</f>
        <v>x</v>
      </c>
      <c r="EO372" s="39" t="str">
        <f>IF(EO189=-1,"x",IF(OR(EO287=1,EO$229=1,$GU189=1),EO189,0))</f>
        <v>x</v>
      </c>
      <c r="EP372" s="41" t="str">
        <f>IF(EP189=-1,"x",IF(OR(EP287=1,EP$229=1,$GV189=1),EP189,0))</f>
        <v>x</v>
      </c>
      <c r="EQ372" s="40" t="str">
        <f>IF(EQ189=-1,"x",IF(OR(EQ287=1,EQ$229=1,$GT189=1),EQ189,0))</f>
        <v>x</v>
      </c>
      <c r="ER372" s="39" t="str">
        <f>IF(ER189=-1,"x",IF(OR(ER287=1,ER$229=1,$GU189=1),ER189,0))</f>
        <v>x</v>
      </c>
      <c r="ES372" s="42" t="str">
        <f>IF(ES189=-1,"x",IF(OR(ES287=1,ES$229=1,$GV189=1),ES189,0))</f>
        <v>x</v>
      </c>
      <c r="ET372" s="43" t="str">
        <f>IF(ET189=-1,"x",IF(OR(ET287=1,ET$229=1,$GT189=1),ET189,0))</f>
        <v>x</v>
      </c>
      <c r="EU372" s="39" t="str">
        <f>IF(EU189=-1,"x",IF(OR(EU287=1,EU$229=1,$GU189=1),EU189,0))</f>
        <v>x</v>
      </c>
      <c r="EV372" s="41" t="str">
        <f>IF(EV189=-1,"x",IF(OR(EV287=1,EV$229=1,$GV189=1),EV189,0))</f>
        <v>x</v>
      </c>
      <c r="EW372" s="40" t="str">
        <f>IF(EW189=-1,"x",IF(OR(EW287=1,EW$229=1,$GT189=1),EW189,0))</f>
        <v>x</v>
      </c>
      <c r="EX372" s="39" t="str">
        <f>IF(EX189=-1,"x",IF(OR(EX287=1,EX$229=1,$GU189=1),EX189,0))</f>
        <v>x</v>
      </c>
      <c r="EY372" s="41" t="str">
        <f>IF(EY189=-1,"x",IF(OR(EY287=1,EY$229=1,$GV189=1),EY189,0))</f>
        <v>x</v>
      </c>
      <c r="EZ372" s="40" t="str">
        <f>IF(EZ189=-1,"x",IF(OR(EZ287=1,EZ$229=1,$GT189=1),EZ189,0))</f>
        <v>x</v>
      </c>
      <c r="FA372" s="39" t="str">
        <f>IF(FA189=-1,"x",IF(OR(FA287=1,FA$229=1,$GU189=1),FA189,0))</f>
        <v>x</v>
      </c>
      <c r="FB372" s="42" t="str">
        <f>IF(FB189=-1,"x",IF(OR(FB287=1,FB$229=1,$GV189=1),FB189,0))</f>
        <v>x</v>
      </c>
      <c r="FC372" s="43" t="str">
        <f>IF(FC189=-1,"x",IF(OR(FC287=1,FC$229=1,$GT189=1),FC189,0))</f>
        <v>x</v>
      </c>
      <c r="FD372" s="39" t="str">
        <f>IF(FD189=-1,"x",IF(OR(FD287=1,FD$229=1,$GU189=1),FD189,0))</f>
        <v>x</v>
      </c>
      <c r="FE372" s="41" t="str">
        <f>IF(FE189=-1,"x",IF(OR(FE287=1,FE$229=1,$GV189=1),FE189,0))</f>
        <v>x</v>
      </c>
      <c r="FF372" s="40" t="str">
        <f>IF(FF189=-1,"x",IF(OR(FF287=1,FF$229=1,$GT189=1),FF189,0))</f>
        <v>x</v>
      </c>
      <c r="FG372" s="39" t="str">
        <f>IF(FG189=-1,"x",IF(OR(FG287=1,FG$229=1,$GU189=1),FG189,0))</f>
        <v>x</v>
      </c>
      <c r="FH372" s="41" t="str">
        <f>IF(FH189=-1,"x",IF(OR(FH287=1,FH$229=1,$GV189=1),FH189,0))</f>
        <v>x</v>
      </c>
      <c r="FI372" s="40" t="str">
        <f>IF(FI189=-1,"x",IF(OR(FI287=1,FI$229=1,$GT189=1),FI189,0))</f>
        <v>x</v>
      </c>
      <c r="FJ372" s="39" t="str">
        <f>IF(FJ189=-1,"x",IF(OR(FJ287=1,FJ$229=1,$GU189=1),FJ189,0))</f>
        <v>x</v>
      </c>
      <c r="FK372" s="95" t="str">
        <f>IF(FK189=-1,"x",IF(OR(FK287=1,FK$229=1,$GV189=1),FK189,0))</f>
        <v>x</v>
      </c>
      <c r="FL372" s="94" t="str">
        <f>IF(FL189=-1,"x",IF(OR(FL287=1,FL$229=1,$GT189=1),FL189,0))</f>
        <v>x</v>
      </c>
      <c r="FM372" s="39" t="str">
        <f>IF(FM189=-1,"x",IF(OR(FM287=1,FM$229=1,$GU189=1),FM189,0))</f>
        <v>x</v>
      </c>
      <c r="FN372" s="41" t="str">
        <f>IF(FN189=-1,"x",IF(OR(FN287=1,FN$229=1,$GV189=1),FN189,0))</f>
        <v>x</v>
      </c>
      <c r="FO372" s="40" t="str">
        <f>IF(FO189=-1,"x",IF(OR(FO287=1,FO$229=1,$GT189=1),FO189,0))</f>
        <v>x</v>
      </c>
      <c r="FP372" s="39" t="str">
        <f>IF(FP189=-1,"x",IF(OR(FP287=1,FP$229=1,$GU189=1),FP189,0))</f>
        <v>x</v>
      </c>
      <c r="FQ372" s="41" t="str">
        <f>IF(FQ189=-1,"x",IF(OR(FQ287=1,FQ$229=1,$GV189=1),FQ189,0))</f>
        <v>x</v>
      </c>
      <c r="FR372" s="40" t="str">
        <f>IF(FR189=-1,"x",IF(OR(FR287=1,FR$229=1,$GT189=1),FR189,0))</f>
        <v>x</v>
      </c>
      <c r="FS372" s="39" t="str">
        <f>IF(FS189=-1,"x",IF(OR(FS287=1,FS$229=1,$GU189=1),FS189,0))</f>
        <v>x</v>
      </c>
      <c r="FT372" s="42" t="str">
        <f>IF(FT189=-1,"x",IF(OR(FT287=1,FT$229=1,$GV189=1),FT189,0))</f>
        <v>x</v>
      </c>
      <c r="FU372" s="43" t="str">
        <f>IF(FU189=-1,"x",IF(OR(FU287=1,FU$229=1,$GT189=1),FU189,0))</f>
        <v>x</v>
      </c>
      <c r="FV372" s="39" t="str">
        <f>IF(FV189=-1,"x",IF(OR(FV287=1,FV$229=1,$GU189=1),FV189,0))</f>
        <v>x</v>
      </c>
      <c r="FW372" s="41" t="str">
        <f>IF(FW189=-1,"x",IF(OR(FW287=1,FW$229=1,$GV189=1),FW189,0))</f>
        <v>x</v>
      </c>
      <c r="FX372" s="40" t="str">
        <f>IF(FX189=-1,"x",IF(OR(FX287=1,FX$229=1,$GT189=1),FX189,0))</f>
        <v>x</v>
      </c>
      <c r="FY372" s="39" t="str">
        <f>IF(FY189=-1,"x",IF(OR(FY287=1,FY$229=1,$GU189=1),FY189,0))</f>
        <v>x</v>
      </c>
      <c r="FZ372" s="41" t="str">
        <f>IF(FZ189=-1,"x",IF(OR(FZ287=1,FZ$229=1,$GV189=1),FZ189,0))</f>
        <v>x</v>
      </c>
      <c r="GA372" s="40" t="str">
        <f>IF(GA189=-1,"x",IF(OR(GA287=1,GA$229=1,$GT189=1),GA189,0))</f>
        <v>x</v>
      </c>
      <c r="GB372" s="39" t="str">
        <f>IF(GB189=-1,"x",IF(OR(GB287=1,GB$229=1,$GU189=1),GB189,0))</f>
        <v>x</v>
      </c>
      <c r="GC372" s="42" t="str">
        <f>IF(GC189=-1,"x",IF(OR(GC287=1,GC$229=1,$GV189=1),GC189,0))</f>
        <v>x</v>
      </c>
      <c r="GD372" s="43" t="str">
        <f>IF(GD189=-1,"x",IF(OR(GD287=1,GD$229=1,$GT189=1),GD189,0))</f>
        <v>x</v>
      </c>
      <c r="GE372" s="39" t="str">
        <f>IF(GE189=-1,"x",IF(OR(GE287=1,GE$229=1,$GU189=1),GE189,0))</f>
        <v>x</v>
      </c>
      <c r="GF372" s="41" t="str">
        <f>IF(GF189=-1,"x",IF(OR(GF287=1,GF$229=1,$GV189=1),GF189,0))</f>
        <v>x</v>
      </c>
      <c r="GG372" s="40" t="str">
        <f>IF(GG189=-1,"x",IF(OR(GG287=1,GG$229=1,$GT189=1),GG189,0))</f>
        <v>x</v>
      </c>
      <c r="GH372" s="39" t="str">
        <f>IF(GH189=-1,"x",IF(OR(GH287=1,GH$229=1,$GU189=1),GH189,0))</f>
        <v>x</v>
      </c>
      <c r="GI372" s="41" t="str">
        <f>IF(GI189=-1,"x",IF(OR(GI287=1,GI$229=1,$GV189=1),GI189,0))</f>
        <v>x</v>
      </c>
      <c r="GJ372" s="40" t="str">
        <f>IF(GJ189=-1,"x",IF(OR(GJ287=1,GJ$229=1,$GT189=1),GJ189,0))</f>
        <v>x</v>
      </c>
      <c r="GK372" s="39" t="str">
        <f>IF(GK189=-1,"x",IF(OR(GK287=1,GK$229=1,$GU189=1),GK189,0))</f>
        <v>x</v>
      </c>
      <c r="GL372" s="95" t="str">
        <f>IF(GL189=-1,"x",IF(OR(GL287=1,GL$229=1,$GV189=1),GL189,0))</f>
        <v>x</v>
      </c>
    </row>
    <row r="373" spans="14:194" ht="15" customHeight="1">
      <c r="DJ373" s="99" t="str">
        <f>IF(DJ190=-1,"x",IF(OR(DJ288=1,DJ$230=1,$GT190=1),DJ190,0))</f>
        <v>x</v>
      </c>
      <c r="DK373" s="45" t="str">
        <f>IF(DK190=-1,"x",IF(OR(DK288=1,DK$230=1,$GU190=1),DK190,0))</f>
        <v>x</v>
      </c>
      <c r="DL373" s="47" t="str">
        <f>IF(DL190=-1,"x",IF(OR(DL288=1,DL$230=1,$GV190=1),DL190,0))</f>
        <v>x</v>
      </c>
      <c r="DM373" s="46" t="str">
        <f>IF(DM190=-1,"x",IF(OR(DM288=1,DM$230=1,$GT190=1),DM190,0))</f>
        <v>x</v>
      </c>
      <c r="DN373" s="45" t="str">
        <f>IF(DN190=-1,"x",IF(OR(DN288=1,DN$230=1,$GU190=1),DN190,0))</f>
        <v>x</v>
      </c>
      <c r="DO373" s="47" t="str">
        <f>IF(DO190=-1,"x",IF(OR(DO288=1,DO$230=1,$GV190=1),DO190,0))</f>
        <v>x</v>
      </c>
      <c r="DP373" s="46">
        <f>IF(DP190=-1,"x",IF(OR(DP288=1,DP$230=1,$GT190=1),DP190,0))</f>
        <v>0</v>
      </c>
      <c r="DQ373" s="45">
        <f>IF(DQ190=-1,"x",IF(OR(DQ288=1,DQ$230=1,$GU190=1),DQ190,0))</f>
        <v>0</v>
      </c>
      <c r="DR373" s="48">
        <f>IF(DR190=-1,"x",IF(OR(DR288=1,DR$230=1,$GV190=1),DR190,0))</f>
        <v>0</v>
      </c>
      <c r="DS373" s="44" t="str">
        <f>IF(DS190=-1,"x",IF(OR(DS288=1,DS$230=1,$GT190=1),DS190,0))</f>
        <v>x</v>
      </c>
      <c r="DT373" s="45" t="str">
        <f>IF(DT190=-1,"x",IF(OR(DT288=1,DT$230=1,$GU190=1),DT190,0))</f>
        <v>x</v>
      </c>
      <c r="DU373" s="47" t="str">
        <f>IF(DU190=-1,"x",IF(OR(DU288=1,DU$230=1,$GV190=1),DU190,0))</f>
        <v>x</v>
      </c>
      <c r="DV373" s="46" t="str">
        <f>IF(DV190=-1,"x",IF(OR(DV288=1,DV$230=1,$GT190=1),DV190,0))</f>
        <v>x</v>
      </c>
      <c r="DW373" s="45" t="str">
        <f>IF(DW190=-1,"x",IF(OR(DW288=1,DW$230=1,$GU190=1),DW190,0))</f>
        <v>x</v>
      </c>
      <c r="DX373" s="47" t="str">
        <f>IF(DX190=-1,"x",IF(OR(DX288=1,DX$230=1,$GV190=1),DX190,0))</f>
        <v>x</v>
      </c>
      <c r="DY373" s="46" t="str">
        <f>IF(DY190=-1,"x",IF(OR(DY288=1,DY$230=1,$GT190=1),DY190,0))</f>
        <v>x</v>
      </c>
      <c r="DZ373" s="45" t="str">
        <f>IF(DZ190=-1,"x",IF(OR(DZ288=1,DZ$230=1,$GU190=1),DZ190,0))</f>
        <v>x</v>
      </c>
      <c r="EA373" s="48" t="str">
        <f>IF(EA190=-1,"x",IF(OR(EA288=1,EA$230=1,$GV190=1),EA190,0))</f>
        <v>x</v>
      </c>
      <c r="EB373" s="44" t="str">
        <f>IF(EB190=-1,"x",IF(OR(EB288=1,EB$230=1,$GT190=1),EB190,0))</f>
        <v>x</v>
      </c>
      <c r="EC373" s="45" t="str">
        <f>IF(EC190=-1,"x",IF(OR(EC288=1,EC$230=1,$GU190=1),EC190,0))</f>
        <v>x</v>
      </c>
      <c r="ED373" s="47" t="str">
        <f>IF(ED190=-1,"x",IF(OR(ED288=1,ED$230=1,$GV190=1),ED190,0))</f>
        <v>x</v>
      </c>
      <c r="EE373" s="46" t="str">
        <f>IF(EE190=-1,"x",IF(OR(EE288=1,EE$230=1,$GT190=1),EE190,0))</f>
        <v>x</v>
      </c>
      <c r="EF373" s="45" t="str">
        <f>IF(EF190=-1,"x",IF(OR(EF288=1,EF$230=1,$GU190=1),EF190,0))</f>
        <v>x</v>
      </c>
      <c r="EG373" s="47" t="str">
        <f>IF(EG190=-1,"x",IF(OR(EG288=1,EG$230=1,$GV190=1),EG190,0))</f>
        <v>x</v>
      </c>
      <c r="EH373" s="46" t="str">
        <f>IF(EH190=-1,"x",IF(OR(EH288=1,EH$230=1,$GT190=1),EH190,0))</f>
        <v>x</v>
      </c>
      <c r="EI373" s="45" t="str">
        <f>IF(EI190=-1,"x",IF(OR(EI288=1,EI$230=1,$GU190=1),EI190,0))</f>
        <v>x</v>
      </c>
      <c r="EJ373" s="100" t="str">
        <f>IF(EJ190=-1,"x",IF(OR(EJ288=1,EJ$230=1,$GV190=1),EJ190,0))</f>
        <v>x</v>
      </c>
      <c r="EK373" s="99" t="str">
        <f>IF(EK190=-1,"x",IF(OR(EK288=1,EK$230=1,$GT190=1),EK190,0))</f>
        <v>x</v>
      </c>
      <c r="EL373" s="45" t="str">
        <f>IF(EL190=-1,"x",IF(OR(EL288=1,EL$230=1,$GU190=1),EL190,0))</f>
        <v>x</v>
      </c>
      <c r="EM373" s="47" t="str">
        <f>IF(EM190=-1,"x",IF(OR(EM288=1,EM$230=1,$GV190=1),EM190,0))</f>
        <v>x</v>
      </c>
      <c r="EN373" s="46" t="str">
        <f>IF(EN190=-1,"x",IF(OR(EN288=1,EN$230=1,$GT190=1),EN190,0))</f>
        <v>x</v>
      </c>
      <c r="EO373" s="45" t="str">
        <f>IF(EO190=-1,"x",IF(OR(EO288=1,EO$230=1,$GU190=1),EO190,0))</f>
        <v>x</v>
      </c>
      <c r="EP373" s="47" t="str">
        <f>IF(EP190=-1,"x",IF(OR(EP288=1,EP$230=1,$GV190=1),EP190,0))</f>
        <v>x</v>
      </c>
      <c r="EQ373" s="46" t="str">
        <f>IF(EQ190=-1,"x",IF(OR(EQ288=1,EQ$230=1,$GT190=1),EQ190,0))</f>
        <v>x</v>
      </c>
      <c r="ER373" s="45" t="str">
        <f>IF(ER190=-1,"x",IF(OR(ER288=1,ER$230=1,$GU190=1),ER190,0))</f>
        <v>x</v>
      </c>
      <c r="ES373" s="48" t="str">
        <f>IF(ES190=-1,"x",IF(OR(ES288=1,ES$230=1,$GV190=1),ES190,0))</f>
        <v>x</v>
      </c>
      <c r="ET373" s="44" t="str">
        <f>IF(ET190=-1,"x",IF(OR(ET288=1,ET$230=1,$GT190=1),ET190,0))</f>
        <v>x</v>
      </c>
      <c r="EU373" s="45" t="str">
        <f>IF(EU190=-1,"x",IF(OR(EU288=1,EU$230=1,$GU190=1),EU190,0))</f>
        <v>x</v>
      </c>
      <c r="EV373" s="47" t="str">
        <f>IF(EV190=-1,"x",IF(OR(EV288=1,EV$230=1,$GV190=1),EV190,0))</f>
        <v>x</v>
      </c>
      <c r="EW373" s="46" t="str">
        <f>IF(EW190=-1,"x",IF(OR(EW288=1,EW$230=1,$GT190=1),EW190,0))</f>
        <v>x</v>
      </c>
      <c r="EX373" s="45" t="str">
        <f>IF(EX190=-1,"x",IF(OR(EX288=1,EX$230=1,$GU190=1),EX190,0))</f>
        <v>x</v>
      </c>
      <c r="EY373" s="47" t="str">
        <f>IF(EY190=-1,"x",IF(OR(EY288=1,EY$230=1,$GV190=1),EY190,0))</f>
        <v>x</v>
      </c>
      <c r="EZ373" s="46" t="str">
        <f>IF(EZ190=-1,"x",IF(OR(EZ288=1,EZ$230=1,$GT190=1),EZ190,0))</f>
        <v>x</v>
      </c>
      <c r="FA373" s="45" t="str">
        <f>IF(FA190=-1,"x",IF(OR(FA288=1,FA$230=1,$GU190=1),FA190,0))</f>
        <v>x</v>
      </c>
      <c r="FB373" s="48" t="str">
        <f>IF(FB190=-1,"x",IF(OR(FB288=1,FB$230=1,$GV190=1),FB190,0))</f>
        <v>x</v>
      </c>
      <c r="FC373" s="44" t="str">
        <f>IF(FC190=-1,"x",IF(OR(FC288=1,FC$230=1,$GT190=1),FC190,0))</f>
        <v>x</v>
      </c>
      <c r="FD373" s="45" t="str">
        <f>IF(FD190=-1,"x",IF(OR(FD288=1,FD$230=1,$GU190=1),FD190,0))</f>
        <v>x</v>
      </c>
      <c r="FE373" s="47" t="str">
        <f>IF(FE190=-1,"x",IF(OR(FE288=1,FE$230=1,$GV190=1),FE190,0))</f>
        <v>x</v>
      </c>
      <c r="FF373" s="46" t="str">
        <f>IF(FF190=-1,"x",IF(OR(FF288=1,FF$230=1,$GT190=1),FF190,0))</f>
        <v>x</v>
      </c>
      <c r="FG373" s="45" t="str">
        <f>IF(FG190=-1,"x",IF(OR(FG288=1,FG$230=1,$GU190=1),FG190,0))</f>
        <v>x</v>
      </c>
      <c r="FH373" s="47" t="str">
        <f>IF(FH190=-1,"x",IF(OR(FH288=1,FH$230=1,$GV190=1),FH190,0))</f>
        <v>x</v>
      </c>
      <c r="FI373" s="46" t="str">
        <f>IF(FI190=-1,"x",IF(OR(FI288=1,FI$230=1,$GT190=1),FI190,0))</f>
        <v>x</v>
      </c>
      <c r="FJ373" s="45" t="str">
        <f>IF(FJ190=-1,"x",IF(OR(FJ288=1,FJ$230=1,$GU190=1),FJ190,0))</f>
        <v>x</v>
      </c>
      <c r="FK373" s="100" t="str">
        <f>IF(FK190=-1,"x",IF(OR(FK288=1,FK$230=1,$GV190=1),FK190,0))</f>
        <v>x</v>
      </c>
      <c r="FL373" s="99" t="str">
        <f>IF(FL190=-1,"x",IF(OR(FL288=1,FL$230=1,$GT190=1),FL190,0))</f>
        <v>x</v>
      </c>
      <c r="FM373" s="45" t="str">
        <f>IF(FM190=-1,"x",IF(OR(FM288=1,FM$230=1,$GU190=1),FM190,0))</f>
        <v>x</v>
      </c>
      <c r="FN373" s="47" t="str">
        <f>IF(FN190=-1,"x",IF(OR(FN288=1,FN$230=1,$GV190=1),FN190,0))</f>
        <v>x</v>
      </c>
      <c r="FO373" s="46" t="str">
        <f>IF(FO190=-1,"x",IF(OR(FO288=1,FO$230=1,$GT190=1),FO190,0))</f>
        <v>x</v>
      </c>
      <c r="FP373" s="45" t="str">
        <f>IF(FP190=-1,"x",IF(OR(FP288=1,FP$230=1,$GU190=1),FP190,0))</f>
        <v>x</v>
      </c>
      <c r="FQ373" s="47" t="str">
        <f>IF(FQ190=-1,"x",IF(OR(FQ288=1,FQ$230=1,$GV190=1),FQ190,0))</f>
        <v>x</v>
      </c>
      <c r="FR373" s="46" t="str">
        <f>IF(FR190=-1,"x",IF(OR(FR288=1,FR$230=1,$GT190=1),FR190,0))</f>
        <v>x</v>
      </c>
      <c r="FS373" s="45" t="str">
        <f>IF(FS190=-1,"x",IF(OR(FS288=1,FS$230=1,$GU190=1),FS190,0))</f>
        <v>x</v>
      </c>
      <c r="FT373" s="48" t="str">
        <f>IF(FT190=-1,"x",IF(OR(FT288=1,FT$230=1,$GV190=1),FT190,0))</f>
        <v>x</v>
      </c>
      <c r="FU373" s="44" t="str">
        <f>IF(FU190=-1,"x",IF(OR(FU288=1,FU$230=1,$GT190=1),FU190,0))</f>
        <v>x</v>
      </c>
      <c r="FV373" s="45" t="str">
        <f>IF(FV190=-1,"x",IF(OR(FV288=1,FV$230=1,$GU190=1),FV190,0))</f>
        <v>x</v>
      </c>
      <c r="FW373" s="47" t="str">
        <f>IF(FW190=-1,"x",IF(OR(FW288=1,FW$230=1,$GV190=1),FW190,0))</f>
        <v>x</v>
      </c>
      <c r="FX373" s="46" t="str">
        <f>IF(FX190=-1,"x",IF(OR(FX288=1,FX$230=1,$GT190=1),FX190,0))</f>
        <v>x</v>
      </c>
      <c r="FY373" s="45" t="str">
        <f>IF(FY190=-1,"x",IF(OR(FY288=1,FY$230=1,$GU190=1),FY190,0))</f>
        <v>x</v>
      </c>
      <c r="FZ373" s="47" t="str">
        <f>IF(FZ190=-1,"x",IF(OR(FZ288=1,FZ$230=1,$GV190=1),FZ190,0))</f>
        <v>x</v>
      </c>
      <c r="GA373" s="46" t="str">
        <f>IF(GA190=-1,"x",IF(OR(GA288=1,GA$230=1,$GT190=1),GA190,0))</f>
        <v>x</v>
      </c>
      <c r="GB373" s="45" t="str">
        <f>IF(GB190=-1,"x",IF(OR(GB288=1,GB$230=1,$GU190=1),GB190,0))</f>
        <v>x</v>
      </c>
      <c r="GC373" s="48" t="str">
        <f>IF(GC190=-1,"x",IF(OR(GC288=1,GC$230=1,$GV190=1),GC190,0))</f>
        <v>x</v>
      </c>
      <c r="GD373" s="44" t="str">
        <f>IF(GD190=-1,"x",IF(OR(GD288=1,GD$230=1,$GT190=1),GD190,0))</f>
        <v>x</v>
      </c>
      <c r="GE373" s="45" t="str">
        <f>IF(GE190=-1,"x",IF(OR(GE288=1,GE$230=1,$GU190=1),GE190,0))</f>
        <v>x</v>
      </c>
      <c r="GF373" s="47" t="str">
        <f>IF(GF190=-1,"x",IF(OR(GF288=1,GF$230=1,$GV190=1),GF190,0))</f>
        <v>x</v>
      </c>
      <c r="GG373" s="46" t="str">
        <f>IF(GG190=-1,"x",IF(OR(GG288=1,GG$230=1,$GT190=1),GG190,0))</f>
        <v>x</v>
      </c>
      <c r="GH373" s="45" t="str">
        <f>IF(GH190=-1,"x",IF(OR(GH288=1,GH$230=1,$GU190=1),GH190,0))</f>
        <v>x</v>
      </c>
      <c r="GI373" s="47" t="str">
        <f>IF(GI190=-1,"x",IF(OR(GI288=1,GI$230=1,$GV190=1),GI190,0))</f>
        <v>x</v>
      </c>
      <c r="GJ373" s="46" t="str">
        <f>IF(GJ190=-1,"x",IF(OR(GJ288=1,GJ$230=1,$GT190=1),GJ190,0))</f>
        <v>x</v>
      </c>
      <c r="GK373" s="45" t="str">
        <f>IF(GK190=-1,"x",IF(OR(GK288=1,GK$230=1,$GU190=1),GK190,0))</f>
        <v>x</v>
      </c>
      <c r="GL373" s="100" t="str">
        <f>IF(GL190=-1,"x",IF(OR(GL288=1,GL$230=1,$GV190=1),GL190,0))</f>
        <v>x</v>
      </c>
    </row>
    <row r="374" spans="14:194" ht="15" customHeight="1">
      <c r="DJ374" s="104" t="str">
        <f>IF(DJ191=-1,"x",IF(OR(DJ289=1,DJ$228=1,$GT191=1),DJ191,0))</f>
        <v>x</v>
      </c>
      <c r="DK374" s="50" t="str">
        <f>IF(DK191=-1,"x",IF(OR(DK289=1,DK$228=1,$GU191=1),DK191,0))</f>
        <v>x</v>
      </c>
      <c r="DL374" s="51" t="str">
        <f>IF(DL191=-1,"x",IF(OR(DL289=1,DL$228=1,$GV191=1),DL191,0))</f>
        <v>x</v>
      </c>
      <c r="DM374" s="52" t="str">
        <f>IF(DM191=-1,"x",IF(OR(DM289=1,DM$228=1,$GT191=1),DM191,0))</f>
        <v>x</v>
      </c>
      <c r="DN374" s="50" t="str">
        <f>IF(DN191=-1,"x",IF(OR(DN289=1,DN$228=1,$GU191=1),DN191,0))</f>
        <v>x</v>
      </c>
      <c r="DO374" s="51" t="str">
        <f>IF(DO191=-1,"x",IF(OR(DO289=1,DO$228=1,$GV191=1),DO191,0))</f>
        <v>x</v>
      </c>
      <c r="DP374" s="52" t="str">
        <f>IF(DP191=-1,"x",IF(OR(DP289=1,DP$228=1,$GT191=1),DP191,0))</f>
        <v>x</v>
      </c>
      <c r="DQ374" s="50" t="str">
        <f>IF(DQ191=-1,"x",IF(OR(DQ289=1,DQ$228=1,$GU191=1),DQ191,0))</f>
        <v>x</v>
      </c>
      <c r="DR374" s="53" t="str">
        <f>IF(DR191=-1,"x",IF(OR(DR289=1,DR$228=1,$GV191=1),DR191,0))</f>
        <v>x</v>
      </c>
      <c r="DS374" s="49" t="str">
        <f>IF(DS191=-1,"x",IF(OR(DS289=1,DS$228=1,$GT191=1),DS191,0))</f>
        <v>x</v>
      </c>
      <c r="DT374" s="50" t="str">
        <f>IF(DT191=-1,"x",IF(OR(DT289=1,DT$228=1,$GU191=1),DT191,0))</f>
        <v>x</v>
      </c>
      <c r="DU374" s="51" t="str">
        <f>IF(DU191=-1,"x",IF(OR(DU289=1,DU$228=1,$GV191=1),DU191,0))</f>
        <v>x</v>
      </c>
      <c r="DV374" s="52" t="str">
        <f>IF(DV191=-1,"x",IF(OR(DV289=1,DV$228=1,$GT191=1),DV191,0))</f>
        <v>x</v>
      </c>
      <c r="DW374" s="50" t="str">
        <f>IF(DW191=-1,"x",IF(OR(DW289=1,DW$228=1,$GU191=1),DW191,0))</f>
        <v>x</v>
      </c>
      <c r="DX374" s="51" t="str">
        <f>IF(DX191=-1,"x",IF(OR(DX289=1,DX$228=1,$GV191=1),DX191,0))</f>
        <v>x</v>
      </c>
      <c r="DY374" s="52" t="str">
        <f>IF(DY191=-1,"x",IF(OR(DY289=1,DY$228=1,$GT191=1),DY191,0))</f>
        <v>x</v>
      </c>
      <c r="DZ374" s="50" t="str">
        <f>IF(DZ191=-1,"x",IF(OR(DZ289=1,DZ$228=1,$GU191=1),DZ191,0))</f>
        <v>x</v>
      </c>
      <c r="EA374" s="53" t="str">
        <f>IF(EA191=-1,"x",IF(OR(EA289=1,EA$228=1,$GV191=1),EA191,0))</f>
        <v>x</v>
      </c>
      <c r="EB374" s="49" t="str">
        <f>IF(EB191=-1,"x",IF(OR(EB289=1,EB$228=1,$GT191=1),EB191,0))</f>
        <v>x</v>
      </c>
      <c r="EC374" s="50" t="str">
        <f>IF(EC191=-1,"x",IF(OR(EC289=1,EC$228=1,$GU191=1),EC191,0))</f>
        <v>x</v>
      </c>
      <c r="ED374" s="51" t="str">
        <f>IF(ED191=-1,"x",IF(OR(ED289=1,ED$228=1,$GV191=1),ED191,0))</f>
        <v>x</v>
      </c>
      <c r="EE374" s="52" t="str">
        <f>IF(EE191=-1,"x",IF(OR(EE289=1,EE$228=1,$GT191=1),EE191,0))</f>
        <v>x</v>
      </c>
      <c r="EF374" s="50" t="str">
        <f>IF(EF191=-1,"x",IF(OR(EF289=1,EF$228=1,$GU191=1),EF191,0))</f>
        <v>x</v>
      </c>
      <c r="EG374" s="51" t="str">
        <f>IF(EG191=-1,"x",IF(OR(EG289=1,EG$228=1,$GV191=1),EG191,0))</f>
        <v>x</v>
      </c>
      <c r="EH374" s="52" t="str">
        <f>IF(EH191=-1,"x",IF(OR(EH289=1,EH$228=1,$GT191=1),EH191,0))</f>
        <v>x</v>
      </c>
      <c r="EI374" s="50" t="str">
        <f>IF(EI191=-1,"x",IF(OR(EI289=1,EI$228=1,$GU191=1),EI191,0))</f>
        <v>x</v>
      </c>
      <c r="EJ374" s="105" t="str">
        <f>IF(EJ191=-1,"x",IF(OR(EJ289=1,EJ$228=1,$GV191=1),EJ191,0))</f>
        <v>x</v>
      </c>
      <c r="EK374" s="104" t="str">
        <f>IF(EK191=-1,"x",IF(OR(EK289=1,EK$228=1,$GT191=1),EK191,0))</f>
        <v>x</v>
      </c>
      <c r="EL374" s="50" t="str">
        <f>IF(EL191=-1,"x",IF(OR(EL289=1,EL$228=1,$GU191=1),EL191,0))</f>
        <v>x</v>
      </c>
      <c r="EM374" s="51" t="str">
        <f>IF(EM191=-1,"x",IF(OR(EM289=1,EM$228=1,$GV191=1),EM191,0))</f>
        <v>x</v>
      </c>
      <c r="EN374" s="52" t="str">
        <f>IF(EN191=-1,"x",IF(OR(EN289=1,EN$228=1,$GT191=1),EN191,0))</f>
        <v>x</v>
      </c>
      <c r="EO374" s="50" t="str">
        <f>IF(EO191=-1,"x",IF(OR(EO289=1,EO$228=1,$GU191=1),EO191,0))</f>
        <v>x</v>
      </c>
      <c r="EP374" s="51" t="str">
        <f>IF(EP191=-1,"x",IF(OR(EP289=1,EP$228=1,$GV191=1),EP191,0))</f>
        <v>x</v>
      </c>
      <c r="EQ374" s="52" t="str">
        <f>IF(EQ191=-1,"x",IF(OR(EQ289=1,EQ$228=1,$GT191=1),EQ191,0))</f>
        <v>x</v>
      </c>
      <c r="ER374" s="50" t="str">
        <f>IF(ER191=-1,"x",IF(OR(ER289=1,ER$228=1,$GU191=1),ER191,0))</f>
        <v>x</v>
      </c>
      <c r="ES374" s="53" t="str">
        <f>IF(ES191=-1,"x",IF(OR(ES289=1,ES$228=1,$GV191=1),ES191,0))</f>
        <v>x</v>
      </c>
      <c r="ET374" s="49" t="str">
        <f>IF(ET191=-1,"x",IF(OR(ET289=1,ET$228=1,$GT191=1),ET191,0))</f>
        <v>x</v>
      </c>
      <c r="EU374" s="50" t="str">
        <f>IF(EU191=-1,"x",IF(OR(EU289=1,EU$228=1,$GU191=1),EU191,0))</f>
        <v>x</v>
      </c>
      <c r="EV374" s="51" t="str">
        <f>IF(EV191=-1,"x",IF(OR(EV289=1,EV$228=1,$GV191=1),EV191,0))</f>
        <v>x</v>
      </c>
      <c r="EW374" s="52" t="str">
        <f>IF(EW191=-1,"x",IF(OR(EW289=1,EW$228=1,$GT191=1),EW191,0))</f>
        <v>x</v>
      </c>
      <c r="EX374" s="50" t="str">
        <f>IF(EX191=-1,"x",IF(OR(EX289=1,EX$228=1,$GU191=1),EX191,0))</f>
        <v>x</v>
      </c>
      <c r="EY374" s="51" t="str">
        <f>IF(EY191=-1,"x",IF(OR(EY289=1,EY$228=1,$GV191=1),EY191,0))</f>
        <v>x</v>
      </c>
      <c r="EZ374" s="52" t="str">
        <f>IF(EZ191=-1,"x",IF(OR(EZ289=1,EZ$228=1,$GT191=1),EZ191,0))</f>
        <v>x</v>
      </c>
      <c r="FA374" s="50" t="str">
        <f>IF(FA191=-1,"x",IF(OR(FA289=1,FA$228=1,$GU191=1),FA191,0))</f>
        <v>x</v>
      </c>
      <c r="FB374" s="53" t="str">
        <f>IF(FB191=-1,"x",IF(OR(FB289=1,FB$228=1,$GV191=1),FB191,0))</f>
        <v>x</v>
      </c>
      <c r="FC374" s="49" t="str">
        <f>IF(FC191=-1,"x",IF(OR(FC289=1,FC$228=1,$GT191=1),FC191,0))</f>
        <v>x</v>
      </c>
      <c r="FD374" s="50" t="str">
        <f>IF(FD191=-1,"x",IF(OR(FD289=1,FD$228=1,$GU191=1),FD191,0))</f>
        <v>x</v>
      </c>
      <c r="FE374" s="51" t="str">
        <f>IF(FE191=-1,"x",IF(OR(FE289=1,FE$228=1,$GV191=1),FE191,0))</f>
        <v>x</v>
      </c>
      <c r="FF374" s="52" t="str">
        <f>IF(FF191=-1,"x",IF(OR(FF289=1,FF$228=1,$GT191=1),FF191,0))</f>
        <v>x</v>
      </c>
      <c r="FG374" s="50" t="str">
        <f>IF(FG191=-1,"x",IF(OR(FG289=1,FG$228=1,$GU191=1),FG191,0))</f>
        <v>x</v>
      </c>
      <c r="FH374" s="51" t="str">
        <f>IF(FH191=-1,"x",IF(OR(FH289=1,FH$228=1,$GV191=1),FH191,0))</f>
        <v>x</v>
      </c>
      <c r="FI374" s="52" t="str">
        <f>IF(FI191=-1,"x",IF(OR(FI289=1,FI$228=1,$GT191=1),FI191,0))</f>
        <v>x</v>
      </c>
      <c r="FJ374" s="50" t="str">
        <f>IF(FJ191=-1,"x",IF(OR(FJ289=1,FJ$228=1,$GU191=1),FJ191,0))</f>
        <v>x</v>
      </c>
      <c r="FK374" s="105" t="str">
        <f>IF(FK191=-1,"x",IF(OR(FK289=1,FK$228=1,$GV191=1),FK191,0))</f>
        <v>x</v>
      </c>
      <c r="FL374" s="104" t="str">
        <f>IF(FL191=-1,"x",IF(OR(FL289=1,FL$228=1,$GT191=1),FL191,0))</f>
        <v>x</v>
      </c>
      <c r="FM374" s="50" t="str">
        <f>IF(FM191=-1,"x",IF(OR(FM289=1,FM$228=1,$GU191=1),FM191,0))</f>
        <v>x</v>
      </c>
      <c r="FN374" s="51" t="str">
        <f>IF(FN191=-1,"x",IF(OR(FN289=1,FN$228=1,$GV191=1),FN191,0))</f>
        <v>x</v>
      </c>
      <c r="FO374" s="52" t="str">
        <f>IF(FO191=-1,"x",IF(OR(FO289=1,FO$228=1,$GT191=1),FO191,0))</f>
        <v>x</v>
      </c>
      <c r="FP374" s="50" t="str">
        <f>IF(FP191=-1,"x",IF(OR(FP289=1,FP$228=1,$GU191=1),FP191,0))</f>
        <v>x</v>
      </c>
      <c r="FQ374" s="51" t="str">
        <f>IF(FQ191=-1,"x",IF(OR(FQ289=1,FQ$228=1,$GV191=1),FQ191,0))</f>
        <v>x</v>
      </c>
      <c r="FR374" s="52" t="str">
        <f>IF(FR191=-1,"x",IF(OR(FR289=1,FR$228=1,$GT191=1),FR191,0))</f>
        <v>x</v>
      </c>
      <c r="FS374" s="50" t="str">
        <f>IF(FS191=-1,"x",IF(OR(FS289=1,FS$228=1,$GU191=1),FS191,0))</f>
        <v>x</v>
      </c>
      <c r="FT374" s="53" t="str">
        <f>IF(FT191=-1,"x",IF(OR(FT289=1,FT$228=1,$GV191=1),FT191,0))</f>
        <v>x</v>
      </c>
      <c r="FU374" s="49" t="str">
        <f>IF(FU191=-1,"x",IF(OR(FU289=1,FU$228=1,$GT191=1),FU191,0))</f>
        <v>x</v>
      </c>
      <c r="FV374" s="50" t="str">
        <f>IF(FV191=-1,"x",IF(OR(FV289=1,FV$228=1,$GU191=1),FV191,0))</f>
        <v>x</v>
      </c>
      <c r="FW374" s="51" t="str">
        <f>IF(FW191=-1,"x",IF(OR(FW289=1,FW$228=1,$GV191=1),FW191,0))</f>
        <v>x</v>
      </c>
      <c r="FX374" s="52" t="str">
        <f>IF(FX191=-1,"x",IF(OR(FX289=1,FX$228=1,$GT191=1),FX191,0))</f>
        <v>x</v>
      </c>
      <c r="FY374" s="50" t="str">
        <f>IF(FY191=-1,"x",IF(OR(FY289=1,FY$228=1,$GU191=1),FY191,0))</f>
        <v>x</v>
      </c>
      <c r="FZ374" s="51" t="str">
        <f>IF(FZ191=-1,"x",IF(OR(FZ289=1,FZ$228=1,$GV191=1),FZ191,0))</f>
        <v>x</v>
      </c>
      <c r="GA374" s="52" t="str">
        <f>IF(GA191=-1,"x",IF(OR(GA289=1,GA$228=1,$GT191=1),GA191,0))</f>
        <v>x</v>
      </c>
      <c r="GB374" s="50" t="str">
        <f>IF(GB191=-1,"x",IF(OR(GB289=1,GB$228=1,$GU191=1),GB191,0))</f>
        <v>x</v>
      </c>
      <c r="GC374" s="53" t="str">
        <f>IF(GC191=-1,"x",IF(OR(GC289=1,GC$228=1,$GV191=1),GC191,0))</f>
        <v>x</v>
      </c>
      <c r="GD374" s="49" t="str">
        <f>IF(GD191=-1,"x",IF(OR(GD289=1,GD$228=1,$GT191=1),GD191,0))</f>
        <v>x</v>
      </c>
      <c r="GE374" s="50" t="str">
        <f>IF(GE191=-1,"x",IF(OR(GE289=1,GE$228=1,$GU191=1),GE191,0))</f>
        <v>x</v>
      </c>
      <c r="GF374" s="51" t="str">
        <f>IF(GF191=-1,"x",IF(OR(GF289=1,GF$228=1,$GV191=1),GF191,0))</f>
        <v>x</v>
      </c>
      <c r="GG374" s="52" t="str">
        <f>IF(GG191=-1,"x",IF(OR(GG289=1,GG$228=1,$GT191=1),GG191,0))</f>
        <v>x</v>
      </c>
      <c r="GH374" s="50" t="str">
        <f>IF(GH191=-1,"x",IF(OR(GH289=1,GH$228=1,$GU191=1),GH191,0))</f>
        <v>x</v>
      </c>
      <c r="GI374" s="51" t="str">
        <f>IF(GI191=-1,"x",IF(OR(GI289=1,GI$228=1,$GV191=1),GI191,0))</f>
        <v>x</v>
      </c>
      <c r="GJ374" s="52" t="str">
        <f>IF(GJ191=-1,"x",IF(OR(GJ289=1,GJ$228=1,$GT191=1),GJ191,0))</f>
        <v>x</v>
      </c>
      <c r="GK374" s="50" t="str">
        <f>IF(GK191=-1,"x",IF(OR(GK289=1,GK$228=1,$GU191=1),GK191,0))</f>
        <v>x</v>
      </c>
      <c r="GL374" s="105" t="str">
        <f>IF(GL191=-1,"x",IF(OR(GL289=1,GL$228=1,$GV191=1),GL191,0))</f>
        <v>x</v>
      </c>
    </row>
    <row r="375" spans="14:194" ht="15" customHeight="1">
      <c r="DJ375" s="94" t="str">
        <f>IF(DJ192=-1,"x",IF(OR(DJ290=1,DJ$229=1,$GT192=1),DJ192,0))</f>
        <v>x</v>
      </c>
      <c r="DK375" s="39" t="str">
        <f>IF(DK192=-1,"x",IF(OR(DK290=1,DK$229=1,$GU192=1),DK192,0))</f>
        <v>x</v>
      </c>
      <c r="DL375" s="41" t="str">
        <f>IF(DL192=-1,"x",IF(OR(DL290=1,DL$229=1,$GV192=1),DL192,0))</f>
        <v>x</v>
      </c>
      <c r="DM375" s="40" t="str">
        <f>IF(DM192=-1,"x",IF(OR(DM290=1,DM$229=1,$GT192=1),DM192,0))</f>
        <v>x</v>
      </c>
      <c r="DN375" s="39" t="str">
        <f>IF(DN192=-1,"x",IF(OR(DN290=1,DN$229=1,$GU192=1),DN192,0))</f>
        <v>x</v>
      </c>
      <c r="DO375" s="41" t="str">
        <f>IF(DO192=-1,"x",IF(OR(DO290=1,DO$229=1,$GV192=1),DO192,0))</f>
        <v>x</v>
      </c>
      <c r="DP375" s="40" t="str">
        <f>IF(DP192=-1,"x",IF(OR(DP290=1,DP$229=1,$GT192=1),DP192,0))</f>
        <v>x</v>
      </c>
      <c r="DQ375" s="39" t="str">
        <f>IF(DQ192=-1,"x",IF(OR(DQ290=1,DQ$229=1,$GU192=1),DQ192,0))</f>
        <v>x</v>
      </c>
      <c r="DR375" s="42" t="str">
        <f>IF(DR192=-1,"x",IF(OR(DR290=1,DR$229=1,$GV192=1),DR192,0))</f>
        <v>x</v>
      </c>
      <c r="DS375" s="43" t="str">
        <f>IF(DS192=-1,"x",IF(OR(DS290=1,DS$229=1,$GT192=1),DS192,0))</f>
        <v>x</v>
      </c>
      <c r="DT375" s="39" t="str">
        <f>IF(DT192=-1,"x",IF(OR(DT290=1,DT$229=1,$GU192=1),DT192,0))</f>
        <v>x</v>
      </c>
      <c r="DU375" s="41" t="str">
        <f>IF(DU192=-1,"x",IF(OR(DU290=1,DU$229=1,$GV192=1),DU192,0))</f>
        <v>x</v>
      </c>
      <c r="DV375" s="40" t="str">
        <f>IF(DV192=-1,"x",IF(OR(DV290=1,DV$229=1,$GT192=1),DV192,0))</f>
        <v>x</v>
      </c>
      <c r="DW375" s="39" t="str">
        <f>IF(DW192=-1,"x",IF(OR(DW290=1,DW$229=1,$GU192=1),DW192,0))</f>
        <v>x</v>
      </c>
      <c r="DX375" s="41" t="str">
        <f>IF(DX192=-1,"x",IF(OR(DX290=1,DX$229=1,$GV192=1),DX192,0))</f>
        <v>x</v>
      </c>
      <c r="DY375" s="40" t="str">
        <f>IF(DY192=-1,"x",IF(OR(DY290=1,DY$229=1,$GT192=1),DY192,0))</f>
        <v>x</v>
      </c>
      <c r="DZ375" s="39" t="str">
        <f>IF(DZ192=-1,"x",IF(OR(DZ290=1,DZ$229=1,$GU192=1),DZ192,0))</f>
        <v>x</v>
      </c>
      <c r="EA375" s="42" t="str">
        <f>IF(EA192=-1,"x",IF(OR(EA290=1,EA$229=1,$GV192=1),EA192,0))</f>
        <v>x</v>
      </c>
      <c r="EB375" s="43" t="str">
        <f>IF(EB192=-1,"x",IF(OR(EB290=1,EB$229=1,$GT192=1),EB192,0))</f>
        <v>x</v>
      </c>
      <c r="EC375" s="39" t="str">
        <f>IF(EC192=-1,"x",IF(OR(EC290=1,EC$229=1,$GU192=1),EC192,0))</f>
        <v>x</v>
      </c>
      <c r="ED375" s="41" t="str">
        <f>IF(ED192=-1,"x",IF(OR(ED290=1,ED$229=1,$GV192=1),ED192,0))</f>
        <v>x</v>
      </c>
      <c r="EE375" s="40" t="str">
        <f>IF(EE192=-1,"x",IF(OR(EE290=1,EE$229=1,$GT192=1),EE192,0))</f>
        <v>x</v>
      </c>
      <c r="EF375" s="39" t="str">
        <f>IF(EF192=-1,"x",IF(OR(EF290=1,EF$229=1,$GU192=1),EF192,0))</f>
        <v>x</v>
      </c>
      <c r="EG375" s="41" t="str">
        <f>IF(EG192=-1,"x",IF(OR(EG290=1,EG$229=1,$GV192=1),EG192,0))</f>
        <v>x</v>
      </c>
      <c r="EH375" s="40" t="str">
        <f>IF(EH192=-1,"x",IF(OR(EH290=1,EH$229=1,$GT192=1),EH192,0))</f>
        <v>x</v>
      </c>
      <c r="EI375" s="39" t="str">
        <f>IF(EI192=-1,"x",IF(OR(EI290=1,EI$229=1,$GU192=1),EI192,0))</f>
        <v>x</v>
      </c>
      <c r="EJ375" s="95" t="str">
        <f>IF(EJ192=-1,"x",IF(OR(EJ290=1,EJ$229=1,$GV192=1),EJ192,0))</f>
        <v>x</v>
      </c>
      <c r="EK375" s="94" t="str">
        <f>IF(EK192=-1,"x",IF(OR(EK290=1,EK$229=1,$GT192=1),EK192,0))</f>
        <v>x</v>
      </c>
      <c r="EL375" s="39" t="str">
        <f>IF(EL192=-1,"x",IF(OR(EL290=1,EL$229=1,$GU192=1),EL192,0))</f>
        <v>x</v>
      </c>
      <c r="EM375" s="41" t="str">
        <f>IF(EM192=-1,"x",IF(OR(EM290=1,EM$229=1,$GV192=1),EM192,0))</f>
        <v>x</v>
      </c>
      <c r="EN375" s="40" t="str">
        <f>IF(EN192=-1,"x",IF(OR(EN290=1,EN$229=1,$GT192=1),EN192,0))</f>
        <v>x</v>
      </c>
      <c r="EO375" s="39" t="str">
        <f>IF(EO192=-1,"x",IF(OR(EO290=1,EO$229=1,$GU192=1),EO192,0))</f>
        <v>x</v>
      </c>
      <c r="EP375" s="41" t="str">
        <f>IF(EP192=-1,"x",IF(OR(EP290=1,EP$229=1,$GV192=1),EP192,0))</f>
        <v>x</v>
      </c>
      <c r="EQ375" s="40" t="str">
        <f>IF(EQ192=-1,"x",IF(OR(EQ290=1,EQ$229=1,$GT192=1),EQ192,0))</f>
        <v>x</v>
      </c>
      <c r="ER375" s="39" t="str">
        <f>IF(ER192=-1,"x",IF(OR(ER290=1,ER$229=1,$GU192=1),ER192,0))</f>
        <v>x</v>
      </c>
      <c r="ES375" s="42" t="str">
        <f>IF(ES192=-1,"x",IF(OR(ES290=1,ES$229=1,$GV192=1),ES192,0))</f>
        <v>x</v>
      </c>
      <c r="ET375" s="43" t="str">
        <f>IF(ET192=-1,"x",IF(OR(ET290=1,ET$229=1,$GT192=1),ET192,0))</f>
        <v>x</v>
      </c>
      <c r="EU375" s="39" t="str">
        <f>IF(EU192=-1,"x",IF(OR(EU290=1,EU$229=1,$GU192=1),EU192,0))</f>
        <v>x</v>
      </c>
      <c r="EV375" s="41" t="str">
        <f>IF(EV192=-1,"x",IF(OR(EV290=1,EV$229=1,$GV192=1),EV192,0))</f>
        <v>x</v>
      </c>
      <c r="EW375" s="40" t="str">
        <f>IF(EW192=-1,"x",IF(OR(EW290=1,EW$229=1,$GT192=1),EW192,0))</f>
        <v>x</v>
      </c>
      <c r="EX375" s="39" t="str">
        <f>IF(EX192=-1,"x",IF(OR(EX290=1,EX$229=1,$GU192=1),EX192,0))</f>
        <v>x</v>
      </c>
      <c r="EY375" s="41" t="str">
        <f>IF(EY192=-1,"x",IF(OR(EY290=1,EY$229=1,$GV192=1),EY192,0))</f>
        <v>x</v>
      </c>
      <c r="EZ375" s="40" t="str">
        <f>IF(EZ192=-1,"x",IF(OR(EZ290=1,EZ$229=1,$GT192=1),EZ192,0))</f>
        <v>x</v>
      </c>
      <c r="FA375" s="39" t="str">
        <f>IF(FA192=-1,"x",IF(OR(FA290=1,FA$229=1,$GU192=1),FA192,0))</f>
        <v>x</v>
      </c>
      <c r="FB375" s="42" t="str">
        <f>IF(FB192=-1,"x",IF(OR(FB290=1,FB$229=1,$GV192=1),FB192,0))</f>
        <v>x</v>
      </c>
      <c r="FC375" s="43" t="str">
        <f>IF(FC192=-1,"x",IF(OR(FC290=1,FC$229=1,$GT192=1),FC192,0))</f>
        <v>x</v>
      </c>
      <c r="FD375" s="39" t="str">
        <f>IF(FD192=-1,"x",IF(OR(FD290=1,FD$229=1,$GU192=1),FD192,0))</f>
        <v>x</v>
      </c>
      <c r="FE375" s="41" t="str">
        <f>IF(FE192=-1,"x",IF(OR(FE290=1,FE$229=1,$GV192=1),FE192,0))</f>
        <v>x</v>
      </c>
      <c r="FF375" s="40" t="str">
        <f>IF(FF192=-1,"x",IF(OR(FF290=1,FF$229=1,$GT192=1),FF192,0))</f>
        <v>x</v>
      </c>
      <c r="FG375" s="39" t="str">
        <f>IF(FG192=-1,"x",IF(OR(FG290=1,FG$229=1,$GU192=1),FG192,0))</f>
        <v>x</v>
      </c>
      <c r="FH375" s="41" t="str">
        <f>IF(FH192=-1,"x",IF(OR(FH290=1,FH$229=1,$GV192=1),FH192,0))</f>
        <v>x</v>
      </c>
      <c r="FI375" s="40" t="str">
        <f>IF(FI192=-1,"x",IF(OR(FI290=1,FI$229=1,$GT192=1),FI192,0))</f>
        <v>x</v>
      </c>
      <c r="FJ375" s="39" t="str">
        <f>IF(FJ192=-1,"x",IF(OR(FJ290=1,FJ$229=1,$GU192=1),FJ192,0))</f>
        <v>x</v>
      </c>
      <c r="FK375" s="95" t="str">
        <f>IF(FK192=-1,"x",IF(OR(FK290=1,FK$229=1,$GV192=1),FK192,0))</f>
        <v>x</v>
      </c>
      <c r="FL375" s="94" t="str">
        <f>IF(FL192=-1,"x",IF(OR(FL290=1,FL$229=1,$GT192=1),FL192,0))</f>
        <v>x</v>
      </c>
      <c r="FM375" s="39" t="str">
        <f>IF(FM192=-1,"x",IF(OR(FM290=1,FM$229=1,$GU192=1),FM192,0))</f>
        <v>x</v>
      </c>
      <c r="FN375" s="41" t="str">
        <f>IF(FN192=-1,"x",IF(OR(FN290=1,FN$229=1,$GV192=1),FN192,0))</f>
        <v>x</v>
      </c>
      <c r="FO375" s="40" t="str">
        <f>IF(FO192=-1,"x",IF(OR(FO290=1,FO$229=1,$GT192=1),FO192,0))</f>
        <v>x</v>
      </c>
      <c r="FP375" s="39" t="str">
        <f>IF(FP192=-1,"x",IF(OR(FP290=1,FP$229=1,$GU192=1),FP192,0))</f>
        <v>x</v>
      </c>
      <c r="FQ375" s="41" t="str">
        <f>IF(FQ192=-1,"x",IF(OR(FQ290=1,FQ$229=1,$GV192=1),FQ192,0))</f>
        <v>x</v>
      </c>
      <c r="FR375" s="40" t="str">
        <f>IF(FR192=-1,"x",IF(OR(FR290=1,FR$229=1,$GT192=1),FR192,0))</f>
        <v>x</v>
      </c>
      <c r="FS375" s="39" t="str">
        <f>IF(FS192=-1,"x",IF(OR(FS290=1,FS$229=1,$GU192=1),FS192,0))</f>
        <v>x</v>
      </c>
      <c r="FT375" s="42" t="str">
        <f>IF(FT192=-1,"x",IF(OR(FT290=1,FT$229=1,$GV192=1),FT192,0))</f>
        <v>x</v>
      </c>
      <c r="FU375" s="43" t="str">
        <f>IF(FU192=-1,"x",IF(OR(FU290=1,FU$229=1,$GT192=1),FU192,0))</f>
        <v>x</v>
      </c>
      <c r="FV375" s="39" t="str">
        <f>IF(FV192=-1,"x",IF(OR(FV290=1,FV$229=1,$GU192=1),FV192,0))</f>
        <v>x</v>
      </c>
      <c r="FW375" s="41" t="str">
        <f>IF(FW192=-1,"x",IF(OR(FW290=1,FW$229=1,$GV192=1),FW192,0))</f>
        <v>x</v>
      </c>
      <c r="FX375" s="40" t="str">
        <f>IF(FX192=-1,"x",IF(OR(FX290=1,FX$229=1,$GT192=1),FX192,0))</f>
        <v>x</v>
      </c>
      <c r="FY375" s="39" t="str">
        <f>IF(FY192=-1,"x",IF(OR(FY290=1,FY$229=1,$GU192=1),FY192,0))</f>
        <v>x</v>
      </c>
      <c r="FZ375" s="41" t="str">
        <f>IF(FZ192=-1,"x",IF(OR(FZ290=1,FZ$229=1,$GV192=1),FZ192,0))</f>
        <v>x</v>
      </c>
      <c r="GA375" s="40" t="str">
        <f>IF(GA192=-1,"x",IF(OR(GA290=1,GA$229=1,$GT192=1),GA192,0))</f>
        <v>x</v>
      </c>
      <c r="GB375" s="39" t="str">
        <f>IF(GB192=-1,"x",IF(OR(GB290=1,GB$229=1,$GU192=1),GB192,0))</f>
        <v>x</v>
      </c>
      <c r="GC375" s="42" t="str">
        <f>IF(GC192=-1,"x",IF(OR(GC290=1,GC$229=1,$GV192=1),GC192,0))</f>
        <v>x</v>
      </c>
      <c r="GD375" s="43" t="str">
        <f>IF(GD192=-1,"x",IF(OR(GD290=1,GD$229=1,$GT192=1),GD192,0))</f>
        <v>x</v>
      </c>
      <c r="GE375" s="39" t="str">
        <f>IF(GE192=-1,"x",IF(OR(GE290=1,GE$229=1,$GU192=1),GE192,0))</f>
        <v>x</v>
      </c>
      <c r="GF375" s="41" t="str">
        <f>IF(GF192=-1,"x",IF(OR(GF290=1,GF$229=1,$GV192=1),GF192,0))</f>
        <v>x</v>
      </c>
      <c r="GG375" s="40" t="str">
        <f>IF(GG192=-1,"x",IF(OR(GG290=1,GG$229=1,$GT192=1),GG192,0))</f>
        <v>x</v>
      </c>
      <c r="GH375" s="39" t="str">
        <f>IF(GH192=-1,"x",IF(OR(GH290=1,GH$229=1,$GU192=1),GH192,0))</f>
        <v>x</v>
      </c>
      <c r="GI375" s="41" t="str">
        <f>IF(GI192=-1,"x",IF(OR(GI290=1,GI$229=1,$GV192=1),GI192,0))</f>
        <v>x</v>
      </c>
      <c r="GJ375" s="40" t="str">
        <f>IF(GJ192=-1,"x",IF(OR(GJ290=1,GJ$229=1,$GT192=1),GJ192,0))</f>
        <v>x</v>
      </c>
      <c r="GK375" s="39" t="str">
        <f>IF(GK192=-1,"x",IF(OR(GK290=1,GK$229=1,$GU192=1),GK192,0))</f>
        <v>x</v>
      </c>
      <c r="GL375" s="95" t="str">
        <f>IF(GL192=-1,"x",IF(OR(GL290=1,GL$229=1,$GV192=1),GL192,0))</f>
        <v>x</v>
      </c>
    </row>
    <row r="376" spans="14:194" ht="15" customHeight="1" thickBot="1">
      <c r="DJ376" s="110" t="str">
        <f>IF(DJ193=-1,"x",IF(OR(DJ291=1,DJ$230=1,$GT193=1),DJ193,0))</f>
        <v>x</v>
      </c>
      <c r="DK376" s="83" t="str">
        <f>IF(DK193=-1,"x",IF(OR(DK291=1,DK$230=1,$GU193=1),DK193,0))</f>
        <v>x</v>
      </c>
      <c r="DL376" s="111" t="str">
        <f>IF(DL193=-1,"x",IF(OR(DL291=1,DL$230=1,$GV193=1),DL193,0))</f>
        <v>x</v>
      </c>
      <c r="DM376" s="112" t="str">
        <f>IF(DM193=-1,"x",IF(OR(DM291=1,DM$230=1,$GT193=1),DM193,0))</f>
        <v>x</v>
      </c>
      <c r="DN376" s="83" t="str">
        <f>IF(DN193=-1,"x",IF(OR(DN291=1,DN$230=1,$GU193=1),DN193,0))</f>
        <v>x</v>
      </c>
      <c r="DO376" s="111" t="str">
        <f>IF(DO193=-1,"x",IF(OR(DO291=1,DO$230=1,$GV193=1),DO193,0))</f>
        <v>x</v>
      </c>
      <c r="DP376" s="112" t="str">
        <f>IF(DP193=-1,"x",IF(OR(DP291=1,DP$230=1,$GT193=1),DP193,0))</f>
        <v>x</v>
      </c>
      <c r="DQ376" s="83" t="str">
        <f>IF(DQ193=-1,"x",IF(OR(DQ291=1,DQ$230=1,$GU193=1),DQ193,0))</f>
        <v>x</v>
      </c>
      <c r="DR376" s="113" t="str">
        <f>IF(DR193=-1,"x",IF(OR(DR291=1,DR$230=1,$GV193=1),DR193,0))</f>
        <v>x</v>
      </c>
      <c r="DS376" s="114" t="str">
        <f>IF(DS193=-1,"x",IF(OR(DS291=1,DS$230=1,$GT193=1),DS193,0))</f>
        <v>x</v>
      </c>
      <c r="DT376" s="83" t="str">
        <f>IF(DT193=-1,"x",IF(OR(DT291=1,DT$230=1,$GU193=1),DT193,0))</f>
        <v>x</v>
      </c>
      <c r="DU376" s="111" t="str">
        <f>IF(DU193=-1,"x",IF(OR(DU291=1,DU$230=1,$GV193=1),DU193,0))</f>
        <v>x</v>
      </c>
      <c r="DV376" s="112" t="str">
        <f>IF(DV193=-1,"x",IF(OR(DV291=1,DV$230=1,$GT193=1),DV193,0))</f>
        <v>x</v>
      </c>
      <c r="DW376" s="83" t="str">
        <f>IF(DW193=-1,"x",IF(OR(DW291=1,DW$230=1,$GU193=1),DW193,0))</f>
        <v>x</v>
      </c>
      <c r="DX376" s="111" t="str">
        <f>IF(DX193=-1,"x",IF(OR(DX291=1,DX$230=1,$GV193=1),DX193,0))</f>
        <v>x</v>
      </c>
      <c r="DY376" s="112" t="str">
        <f>IF(DY193=-1,"x",IF(OR(DY291=1,DY$230=1,$GT193=1),DY193,0))</f>
        <v>x</v>
      </c>
      <c r="DZ376" s="83" t="str">
        <f>IF(DZ193=-1,"x",IF(OR(DZ291=1,DZ$230=1,$GU193=1),DZ193,0))</f>
        <v>x</v>
      </c>
      <c r="EA376" s="113" t="str">
        <f>IF(EA193=-1,"x",IF(OR(EA291=1,EA$230=1,$GV193=1),EA193,0))</f>
        <v>x</v>
      </c>
      <c r="EB376" s="114" t="str">
        <f>IF(EB193=-1,"x",IF(OR(EB291=1,EB$230=1,$GT193=1),EB193,0))</f>
        <v>x</v>
      </c>
      <c r="EC376" s="83" t="str">
        <f>IF(EC193=-1,"x",IF(OR(EC291=1,EC$230=1,$GU193=1),EC193,0))</f>
        <v>x</v>
      </c>
      <c r="ED376" s="111" t="str">
        <f>IF(ED193=-1,"x",IF(OR(ED291=1,ED$230=1,$GV193=1),ED193,0))</f>
        <v>x</v>
      </c>
      <c r="EE376" s="112" t="str">
        <f>IF(EE193=-1,"x",IF(OR(EE291=1,EE$230=1,$GT193=1),EE193,0))</f>
        <v>x</v>
      </c>
      <c r="EF376" s="83" t="str">
        <f>IF(EF193=-1,"x",IF(OR(EF291=1,EF$230=1,$GU193=1),EF193,0))</f>
        <v>x</v>
      </c>
      <c r="EG376" s="111" t="str">
        <f>IF(EG193=-1,"x",IF(OR(EG291=1,EG$230=1,$GV193=1),EG193,0))</f>
        <v>x</v>
      </c>
      <c r="EH376" s="112" t="str">
        <f>IF(EH193=-1,"x",IF(OR(EH291=1,EH$230=1,$GT193=1),EH193,0))</f>
        <v>x</v>
      </c>
      <c r="EI376" s="83" t="str">
        <f>IF(EI193=-1,"x",IF(OR(EI291=1,EI$230=1,$GU193=1),EI193,0))</f>
        <v>x</v>
      </c>
      <c r="EJ376" s="115" t="str">
        <f>IF(EJ193=-1,"x",IF(OR(EJ291=1,EJ$230=1,$GV193=1),EJ193,0))</f>
        <v>x</v>
      </c>
      <c r="EK376" s="110" t="str">
        <f>IF(EK193=-1,"x",IF(OR(EK291=1,EK$230=1,$GT193=1),EK193,0))</f>
        <v>x</v>
      </c>
      <c r="EL376" s="83" t="str">
        <f>IF(EL193=-1,"x",IF(OR(EL291=1,EL$230=1,$GU193=1),EL193,0))</f>
        <v>x</v>
      </c>
      <c r="EM376" s="111" t="str">
        <f>IF(EM193=-1,"x",IF(OR(EM291=1,EM$230=1,$GV193=1),EM193,0))</f>
        <v>x</v>
      </c>
      <c r="EN376" s="112" t="str">
        <f>IF(EN193=-1,"x",IF(OR(EN291=1,EN$230=1,$GT193=1),EN193,0))</f>
        <v>x</v>
      </c>
      <c r="EO376" s="83" t="str">
        <f>IF(EO193=-1,"x",IF(OR(EO291=1,EO$230=1,$GU193=1),EO193,0))</f>
        <v>x</v>
      </c>
      <c r="EP376" s="111" t="str">
        <f>IF(EP193=-1,"x",IF(OR(EP291=1,EP$230=1,$GV193=1),EP193,0))</f>
        <v>x</v>
      </c>
      <c r="EQ376" s="112" t="str">
        <f>IF(EQ193=-1,"x",IF(OR(EQ291=1,EQ$230=1,$GT193=1),EQ193,0))</f>
        <v>x</v>
      </c>
      <c r="ER376" s="83" t="str">
        <f>IF(ER193=-1,"x",IF(OR(ER291=1,ER$230=1,$GU193=1),ER193,0))</f>
        <v>x</v>
      </c>
      <c r="ES376" s="113" t="str">
        <f>IF(ES193=-1,"x",IF(OR(ES291=1,ES$230=1,$GV193=1),ES193,0))</f>
        <v>x</v>
      </c>
      <c r="ET376" s="114" t="str">
        <f>IF(ET193=-1,"x",IF(OR(ET291=1,ET$230=1,$GT193=1),ET193,0))</f>
        <v>x</v>
      </c>
      <c r="EU376" s="83" t="str">
        <f>IF(EU193=-1,"x",IF(OR(EU291=1,EU$230=1,$GU193=1),EU193,0))</f>
        <v>x</v>
      </c>
      <c r="EV376" s="111" t="str">
        <f>IF(EV193=-1,"x",IF(OR(EV291=1,EV$230=1,$GV193=1),EV193,0))</f>
        <v>x</v>
      </c>
      <c r="EW376" s="112" t="str">
        <f>IF(EW193=-1,"x",IF(OR(EW291=1,EW$230=1,$GT193=1),EW193,0))</f>
        <v>x</v>
      </c>
      <c r="EX376" s="83" t="str">
        <f>IF(EX193=-1,"x",IF(OR(EX291=1,EX$230=1,$GU193=1),EX193,0))</f>
        <v>x</v>
      </c>
      <c r="EY376" s="111" t="str">
        <f>IF(EY193=-1,"x",IF(OR(EY291=1,EY$230=1,$GV193=1),EY193,0))</f>
        <v>x</v>
      </c>
      <c r="EZ376" s="112" t="str">
        <f>IF(EZ193=-1,"x",IF(OR(EZ291=1,EZ$230=1,$GT193=1),EZ193,0))</f>
        <v>x</v>
      </c>
      <c r="FA376" s="83" t="str">
        <f>IF(FA193=-1,"x",IF(OR(FA291=1,FA$230=1,$GU193=1),FA193,0))</f>
        <v>x</v>
      </c>
      <c r="FB376" s="113" t="str">
        <f>IF(FB193=-1,"x",IF(OR(FB291=1,FB$230=1,$GV193=1),FB193,0))</f>
        <v>x</v>
      </c>
      <c r="FC376" s="114" t="str">
        <f>IF(FC193=-1,"x",IF(OR(FC291=1,FC$230=1,$GT193=1),FC193,0))</f>
        <v>x</v>
      </c>
      <c r="FD376" s="83" t="str">
        <f>IF(FD193=-1,"x",IF(OR(FD291=1,FD$230=1,$GU193=1),FD193,0))</f>
        <v>x</v>
      </c>
      <c r="FE376" s="111" t="str">
        <f>IF(FE193=-1,"x",IF(OR(FE291=1,FE$230=1,$GV193=1),FE193,0))</f>
        <v>x</v>
      </c>
      <c r="FF376" s="112" t="str">
        <f>IF(FF193=-1,"x",IF(OR(FF291=1,FF$230=1,$GT193=1),FF193,0))</f>
        <v>x</v>
      </c>
      <c r="FG376" s="83" t="str">
        <f>IF(FG193=-1,"x",IF(OR(FG291=1,FG$230=1,$GU193=1),FG193,0))</f>
        <v>x</v>
      </c>
      <c r="FH376" s="111" t="str">
        <f>IF(FH193=-1,"x",IF(OR(FH291=1,FH$230=1,$GV193=1),FH193,0))</f>
        <v>x</v>
      </c>
      <c r="FI376" s="112" t="str">
        <f>IF(FI193=-1,"x",IF(OR(FI291=1,FI$230=1,$GT193=1),FI193,0))</f>
        <v>x</v>
      </c>
      <c r="FJ376" s="83" t="str">
        <f>IF(FJ193=-1,"x",IF(OR(FJ291=1,FJ$230=1,$GU193=1),FJ193,0))</f>
        <v>x</v>
      </c>
      <c r="FK376" s="115" t="str">
        <f>IF(FK193=-1,"x",IF(OR(FK291=1,FK$230=1,$GV193=1),FK193,0))</f>
        <v>x</v>
      </c>
      <c r="FL376" s="110" t="str">
        <f>IF(FL193=-1,"x",IF(OR(FL291=1,FL$230=1,$GT193=1),FL193,0))</f>
        <v>x</v>
      </c>
      <c r="FM376" s="83" t="str">
        <f>IF(FM193=-1,"x",IF(OR(FM291=1,FM$230=1,$GU193=1),FM193,0))</f>
        <v>x</v>
      </c>
      <c r="FN376" s="111" t="str">
        <f>IF(FN193=-1,"x",IF(OR(FN291=1,FN$230=1,$GV193=1),FN193,0))</f>
        <v>x</v>
      </c>
      <c r="FO376" s="112" t="str">
        <f>IF(FO193=-1,"x",IF(OR(FO291=1,FO$230=1,$GT193=1),FO193,0))</f>
        <v>x</v>
      </c>
      <c r="FP376" s="83" t="str">
        <f>IF(FP193=-1,"x",IF(OR(FP291=1,FP$230=1,$GU193=1),FP193,0))</f>
        <v>x</v>
      </c>
      <c r="FQ376" s="111" t="str">
        <f>IF(FQ193=-1,"x",IF(OR(FQ291=1,FQ$230=1,$GV193=1),FQ193,0))</f>
        <v>x</v>
      </c>
      <c r="FR376" s="112" t="str">
        <f>IF(FR193=-1,"x",IF(OR(FR291=1,FR$230=1,$GT193=1),FR193,0))</f>
        <v>x</v>
      </c>
      <c r="FS376" s="83" t="str">
        <f>IF(FS193=-1,"x",IF(OR(FS291=1,FS$230=1,$GU193=1),FS193,0))</f>
        <v>x</v>
      </c>
      <c r="FT376" s="113" t="str">
        <f>IF(FT193=-1,"x",IF(OR(FT291=1,FT$230=1,$GV193=1),FT193,0))</f>
        <v>x</v>
      </c>
      <c r="FU376" s="114" t="str">
        <f>IF(FU193=-1,"x",IF(OR(FU291=1,FU$230=1,$GT193=1),FU193,0))</f>
        <v>x</v>
      </c>
      <c r="FV376" s="83" t="str">
        <f>IF(FV193=-1,"x",IF(OR(FV291=1,FV$230=1,$GU193=1),FV193,0))</f>
        <v>x</v>
      </c>
      <c r="FW376" s="111" t="str">
        <f>IF(FW193=-1,"x",IF(OR(FW291=1,FW$230=1,$GV193=1),FW193,0))</f>
        <v>x</v>
      </c>
      <c r="FX376" s="112" t="str">
        <f>IF(FX193=-1,"x",IF(OR(FX291=1,FX$230=1,$GT193=1),FX193,0))</f>
        <v>x</v>
      </c>
      <c r="FY376" s="83" t="str">
        <f>IF(FY193=-1,"x",IF(OR(FY291=1,FY$230=1,$GU193=1),FY193,0))</f>
        <v>x</v>
      </c>
      <c r="FZ376" s="111" t="str">
        <f>IF(FZ193=-1,"x",IF(OR(FZ291=1,FZ$230=1,$GV193=1),FZ193,0))</f>
        <v>x</v>
      </c>
      <c r="GA376" s="112" t="str">
        <f>IF(GA193=-1,"x",IF(OR(GA291=1,GA$230=1,$GT193=1),GA193,0))</f>
        <v>x</v>
      </c>
      <c r="GB376" s="83" t="str">
        <f>IF(GB193=-1,"x",IF(OR(GB291=1,GB$230=1,$GU193=1),GB193,0))</f>
        <v>x</v>
      </c>
      <c r="GC376" s="113" t="str">
        <f>IF(GC193=-1,"x",IF(OR(GC291=1,GC$230=1,$GV193=1),GC193,0))</f>
        <v>x</v>
      </c>
      <c r="GD376" s="114" t="str">
        <f>IF(GD193=-1,"x",IF(OR(GD291=1,GD$230=1,$GT193=1),GD193,0))</f>
        <v>x</v>
      </c>
      <c r="GE376" s="83" t="str">
        <f>IF(GE193=-1,"x",IF(OR(GE291=1,GE$230=1,$GU193=1),GE193,0))</f>
        <v>x</v>
      </c>
      <c r="GF376" s="111" t="str">
        <f>IF(GF193=-1,"x",IF(OR(GF291=1,GF$230=1,$GV193=1),GF193,0))</f>
        <v>x</v>
      </c>
      <c r="GG376" s="112" t="str">
        <f>IF(GG193=-1,"x",IF(OR(GG291=1,GG$230=1,$GT193=1),GG193,0))</f>
        <v>x</v>
      </c>
      <c r="GH376" s="83" t="str">
        <f>IF(GH193=-1,"x",IF(OR(GH291=1,GH$230=1,$GU193=1),GH193,0))</f>
        <v>x</v>
      </c>
      <c r="GI376" s="111" t="str">
        <f>IF(GI193=-1,"x",IF(OR(GI291=1,GI$230=1,$GV193=1),GI193,0))</f>
        <v>x</v>
      </c>
      <c r="GJ376" s="112" t="str">
        <f>IF(GJ193=-1,"x",IF(OR(GJ291=1,GJ$230=1,$GT193=1),GJ193,0))</f>
        <v>x</v>
      </c>
      <c r="GK376" s="83" t="str">
        <f>IF(GK193=-1,"x",IF(OR(GK291=1,GK$230=1,$GU193=1),GK193,0))</f>
        <v>x</v>
      </c>
      <c r="GL376" s="115" t="str">
        <f>IF(GL193=-1,"x",IF(OR(GL291=1,GL$230=1,$GV193=1),GL193,0))</f>
        <v>x</v>
      </c>
    </row>
    <row r="377" spans="14:194" ht="15" customHeight="1" thickTop="1">
      <c r="DJ377" s="84" t="str">
        <f>IF(DJ194=-1,"x",IF(OR(DJ292=1,DJ$228=1,$GT194=1),DJ194,0))</f>
        <v>x</v>
      </c>
      <c r="DK377" s="85" t="str">
        <f>IF(DK194=-1,"x",IF(OR(DK292=1,DK$228=1,$GU194=1),DK194,0))</f>
        <v>x</v>
      </c>
      <c r="DL377" s="87" t="str">
        <f>IF(DL194=-1,"x",IF(OR(DL292=1,DL$228=1,$GV194=1),DL194,0))</f>
        <v>x</v>
      </c>
      <c r="DM377" s="86" t="str">
        <f>IF(DM194=-1,"x",IF(OR(DM292=1,DM$228=1,$GT194=1),DM194,0))</f>
        <v>x</v>
      </c>
      <c r="DN377" s="85" t="str">
        <f>IF(DN194=-1,"x",IF(OR(DN292=1,DN$228=1,$GU194=1),DN194,0))</f>
        <v>x</v>
      </c>
      <c r="DO377" s="87" t="str">
        <f>IF(DO194=-1,"x",IF(OR(DO292=1,DO$228=1,$GV194=1),DO194,0))</f>
        <v>x</v>
      </c>
      <c r="DP377" s="86" t="str">
        <f>IF(DP194=-1,"x",IF(OR(DP292=1,DP$228=1,$GT194=1),DP194,0))</f>
        <v>x</v>
      </c>
      <c r="DQ377" s="85" t="str">
        <f>IF(DQ194=-1,"x",IF(OR(DQ292=1,DQ$228=1,$GU194=1),DQ194,0))</f>
        <v>x</v>
      </c>
      <c r="DR377" s="88" t="str">
        <f>IF(DR194=-1,"x",IF(OR(DR292=1,DR$228=1,$GV194=1),DR194,0))</f>
        <v>x</v>
      </c>
      <c r="DS377" s="89" t="str">
        <f>IF(DS194=-1,"x",IF(OR(DS292=1,DS$228=1,$GT194=1),DS194,0))</f>
        <v>x</v>
      </c>
      <c r="DT377" s="85" t="str">
        <f>IF(DT194=-1,"x",IF(OR(DT292=1,DT$228=1,$GU194=1),DT194,0))</f>
        <v>x</v>
      </c>
      <c r="DU377" s="87" t="str">
        <f>IF(DU194=-1,"x",IF(OR(DU292=1,DU$228=1,$GV194=1),DU194,0))</f>
        <v>x</v>
      </c>
      <c r="DV377" s="86" t="str">
        <f>IF(DV194=-1,"x",IF(OR(DV292=1,DV$228=1,$GT194=1),DV194,0))</f>
        <v>x</v>
      </c>
      <c r="DW377" s="85" t="str">
        <f>IF(DW194=-1,"x",IF(OR(DW292=1,DW$228=1,$GU194=1),DW194,0))</f>
        <v>x</v>
      </c>
      <c r="DX377" s="87" t="str">
        <f>IF(DX194=-1,"x",IF(OR(DX292=1,DX$228=1,$GV194=1),DX194,0))</f>
        <v>x</v>
      </c>
      <c r="DY377" s="86" t="str">
        <f>IF(DY194=-1,"x",IF(OR(DY292=1,DY$228=1,$GT194=1),DY194,0))</f>
        <v>x</v>
      </c>
      <c r="DZ377" s="85" t="str">
        <f>IF(DZ194=-1,"x",IF(OR(DZ292=1,DZ$228=1,$GU194=1),DZ194,0))</f>
        <v>x</v>
      </c>
      <c r="EA377" s="88" t="str">
        <f>IF(EA194=-1,"x",IF(OR(EA292=1,EA$228=1,$GV194=1),EA194,0))</f>
        <v>x</v>
      </c>
      <c r="EB377" s="89" t="str">
        <f>IF(EB194=-1,"x",IF(OR(EB292=1,EB$228=1,$GT194=1),EB194,0))</f>
        <v>x</v>
      </c>
      <c r="EC377" s="85" t="str">
        <f>IF(EC194=-1,"x",IF(OR(EC292=1,EC$228=1,$GU194=1),EC194,0))</f>
        <v>x</v>
      </c>
      <c r="ED377" s="87" t="str">
        <f>IF(ED194=-1,"x",IF(OR(ED292=1,ED$228=1,$GV194=1),ED194,0))</f>
        <v>x</v>
      </c>
      <c r="EE377" s="86" t="str">
        <f>IF(EE194=-1,"x",IF(OR(EE292=1,EE$228=1,$GT194=1),EE194,0))</f>
        <v>x</v>
      </c>
      <c r="EF377" s="85" t="str">
        <f>IF(EF194=-1,"x",IF(OR(EF292=1,EF$228=1,$GU194=1),EF194,0))</f>
        <v>x</v>
      </c>
      <c r="EG377" s="87" t="str">
        <f>IF(EG194=-1,"x",IF(OR(EG292=1,EG$228=1,$GV194=1),EG194,0))</f>
        <v>x</v>
      </c>
      <c r="EH377" s="86" t="str">
        <f>IF(EH194=-1,"x",IF(OR(EH292=1,EH$228=1,$GT194=1),EH194,0))</f>
        <v>x</v>
      </c>
      <c r="EI377" s="85" t="str">
        <f>IF(EI194=-1,"x",IF(OR(EI292=1,EI$228=1,$GU194=1),EI194,0))</f>
        <v>x</v>
      </c>
      <c r="EJ377" s="90" t="str">
        <f>IF(EJ194=-1,"x",IF(OR(EJ292=1,EJ$228=1,$GV194=1),EJ194,0))</f>
        <v>x</v>
      </c>
      <c r="EK377" s="84" t="str">
        <f>IF(EK194=-1,"x",IF(OR(EK292=1,EK$228=1,$GT194=1),EK194,0))</f>
        <v>x</v>
      </c>
      <c r="EL377" s="85" t="str">
        <f>IF(EL194=-1,"x",IF(OR(EL292=1,EL$228=1,$GU194=1),EL194,0))</f>
        <v>x</v>
      </c>
      <c r="EM377" s="87" t="str">
        <f>IF(EM194=-1,"x",IF(OR(EM292=1,EM$228=1,$GV194=1),EM194,0))</f>
        <v>x</v>
      </c>
      <c r="EN377" s="86" t="str">
        <f>IF(EN194=-1,"x",IF(OR(EN292=1,EN$228=1,$GT194=1),EN194,0))</f>
        <v>x</v>
      </c>
      <c r="EO377" s="85" t="str">
        <f>IF(EO194=-1,"x",IF(OR(EO292=1,EO$228=1,$GU194=1),EO194,0))</f>
        <v>x</v>
      </c>
      <c r="EP377" s="87" t="str">
        <f>IF(EP194=-1,"x",IF(OR(EP292=1,EP$228=1,$GV194=1),EP194,0))</f>
        <v>x</v>
      </c>
      <c r="EQ377" s="86" t="str">
        <f>IF(EQ194=-1,"x",IF(OR(EQ292=1,EQ$228=1,$GT194=1),EQ194,0))</f>
        <v>x</v>
      </c>
      <c r="ER377" s="85" t="str">
        <f>IF(ER194=-1,"x",IF(OR(ER292=1,ER$228=1,$GU194=1),ER194,0))</f>
        <v>x</v>
      </c>
      <c r="ES377" s="88" t="str">
        <f>IF(ES194=-1,"x",IF(OR(ES292=1,ES$228=1,$GV194=1),ES194,0))</f>
        <v>x</v>
      </c>
      <c r="ET377" s="89" t="str">
        <f>IF(ET194=-1,"x",IF(OR(ET292=1,ET$228=1,$GT194=1),ET194,0))</f>
        <v>x</v>
      </c>
      <c r="EU377" s="85" t="str">
        <f>IF(EU194=-1,"x",IF(OR(EU292=1,EU$228=1,$GU194=1),EU194,0))</f>
        <v>x</v>
      </c>
      <c r="EV377" s="87" t="str">
        <f>IF(EV194=-1,"x",IF(OR(EV292=1,EV$228=1,$GV194=1),EV194,0))</f>
        <v>x</v>
      </c>
      <c r="EW377" s="86" t="str">
        <f>IF(EW194=-1,"x",IF(OR(EW292=1,EW$228=1,$GT194=1),EW194,0))</f>
        <v>x</v>
      </c>
      <c r="EX377" s="85" t="str">
        <f>IF(EX194=-1,"x",IF(OR(EX292=1,EX$228=1,$GU194=1),EX194,0))</f>
        <v>x</v>
      </c>
      <c r="EY377" s="87" t="str">
        <f>IF(EY194=-1,"x",IF(OR(EY292=1,EY$228=1,$GV194=1),EY194,0))</f>
        <v>x</v>
      </c>
      <c r="EZ377" s="86" t="str">
        <f>IF(EZ194=-1,"x",IF(OR(EZ292=1,EZ$228=1,$GT194=1),EZ194,0))</f>
        <v>x</v>
      </c>
      <c r="FA377" s="85" t="str">
        <f>IF(FA194=-1,"x",IF(OR(FA292=1,FA$228=1,$GU194=1),FA194,0))</f>
        <v>x</v>
      </c>
      <c r="FB377" s="88" t="str">
        <f>IF(FB194=-1,"x",IF(OR(FB292=1,FB$228=1,$GV194=1),FB194,0))</f>
        <v>x</v>
      </c>
      <c r="FC377" s="89" t="str">
        <f>IF(FC194=-1,"x",IF(OR(FC292=1,FC$228=1,$GT194=1),FC194,0))</f>
        <v>x</v>
      </c>
      <c r="FD377" s="85" t="str">
        <f>IF(FD194=-1,"x",IF(OR(FD292=1,FD$228=1,$GU194=1),FD194,0))</f>
        <v>x</v>
      </c>
      <c r="FE377" s="87" t="str">
        <f>IF(FE194=-1,"x",IF(OR(FE292=1,FE$228=1,$GV194=1),FE194,0))</f>
        <v>x</v>
      </c>
      <c r="FF377" s="86" t="str">
        <f>IF(FF194=-1,"x",IF(OR(FF292=1,FF$228=1,$GT194=1),FF194,0))</f>
        <v>x</v>
      </c>
      <c r="FG377" s="85" t="str">
        <f>IF(FG194=-1,"x",IF(OR(FG292=1,FG$228=1,$GU194=1),FG194,0))</f>
        <v>x</v>
      </c>
      <c r="FH377" s="87" t="str">
        <f>IF(FH194=-1,"x",IF(OR(FH292=1,FH$228=1,$GV194=1),FH194,0))</f>
        <v>x</v>
      </c>
      <c r="FI377" s="86" t="str">
        <f>IF(FI194=-1,"x",IF(OR(FI292=1,FI$228=1,$GT194=1),FI194,0))</f>
        <v>x</v>
      </c>
      <c r="FJ377" s="85" t="str">
        <f>IF(FJ194=-1,"x",IF(OR(FJ292=1,FJ$228=1,$GU194=1),FJ194,0))</f>
        <v>x</v>
      </c>
      <c r="FK377" s="90" t="str">
        <f>IF(FK194=-1,"x",IF(OR(FK292=1,FK$228=1,$GV194=1),FK194,0))</f>
        <v>x</v>
      </c>
      <c r="FL377" s="84" t="str">
        <f>IF(FL194=-1,"x",IF(OR(FL292=1,FL$228=1,$GT194=1),FL194,0))</f>
        <v>x</v>
      </c>
      <c r="FM377" s="85" t="str">
        <f>IF(FM194=-1,"x",IF(OR(FM292=1,FM$228=1,$GU194=1),FM194,0))</f>
        <v>x</v>
      </c>
      <c r="FN377" s="87" t="str">
        <f>IF(FN194=-1,"x",IF(OR(FN292=1,FN$228=1,$GV194=1),FN194,0))</f>
        <v>x</v>
      </c>
      <c r="FO377" s="86" t="str">
        <f>IF(FO194=-1,"x",IF(OR(FO292=1,FO$228=1,$GT194=1),FO194,0))</f>
        <v>x</v>
      </c>
      <c r="FP377" s="85" t="str">
        <f>IF(FP194=-1,"x",IF(OR(FP292=1,FP$228=1,$GU194=1),FP194,0))</f>
        <v>x</v>
      </c>
      <c r="FQ377" s="87" t="str">
        <f>IF(FQ194=-1,"x",IF(OR(FQ292=1,FQ$228=1,$GV194=1),FQ194,0))</f>
        <v>x</v>
      </c>
      <c r="FR377" s="86" t="str">
        <f>IF(FR194=-1,"x",IF(OR(FR292=1,FR$228=1,$GT194=1),FR194,0))</f>
        <v>x</v>
      </c>
      <c r="FS377" s="85" t="str">
        <f>IF(FS194=-1,"x",IF(OR(FS292=1,FS$228=1,$GU194=1),FS194,0))</f>
        <v>x</v>
      </c>
      <c r="FT377" s="88" t="str">
        <f>IF(FT194=-1,"x",IF(OR(FT292=1,FT$228=1,$GV194=1),FT194,0))</f>
        <v>x</v>
      </c>
      <c r="FU377" s="89" t="str">
        <f>IF(FU194=-1,"x",IF(OR(FU292=1,FU$228=1,$GT194=1),FU194,0))</f>
        <v>x</v>
      </c>
      <c r="FV377" s="85" t="str">
        <f>IF(FV194=-1,"x",IF(OR(FV292=1,FV$228=1,$GU194=1),FV194,0))</f>
        <v>x</v>
      </c>
      <c r="FW377" s="87" t="str">
        <f>IF(FW194=-1,"x",IF(OR(FW292=1,FW$228=1,$GV194=1),FW194,0))</f>
        <v>x</v>
      </c>
      <c r="FX377" s="86" t="str">
        <f>IF(FX194=-1,"x",IF(OR(FX292=1,FX$228=1,$GT194=1),FX194,0))</f>
        <v>x</v>
      </c>
      <c r="FY377" s="85" t="str">
        <f>IF(FY194=-1,"x",IF(OR(FY292=1,FY$228=1,$GU194=1),FY194,0))</f>
        <v>x</v>
      </c>
      <c r="FZ377" s="87" t="str">
        <f>IF(FZ194=-1,"x",IF(OR(FZ292=1,FZ$228=1,$GV194=1),FZ194,0))</f>
        <v>x</v>
      </c>
      <c r="GA377" s="86" t="str">
        <f>IF(GA194=-1,"x",IF(OR(GA292=1,GA$228=1,$GT194=1),GA194,0))</f>
        <v>x</v>
      </c>
      <c r="GB377" s="85" t="str">
        <f>IF(GB194=-1,"x",IF(OR(GB292=1,GB$228=1,$GU194=1),GB194,0))</f>
        <v>x</v>
      </c>
      <c r="GC377" s="88" t="str">
        <f>IF(GC194=-1,"x",IF(OR(GC292=1,GC$228=1,$GV194=1),GC194,0))</f>
        <v>x</v>
      </c>
      <c r="GD377" s="89" t="str">
        <f>IF(GD194=-1,"x",IF(OR(GD292=1,GD$228=1,$GT194=1),GD194,0))</f>
        <v>x</v>
      </c>
      <c r="GE377" s="85" t="str">
        <f>IF(GE194=-1,"x",IF(OR(GE292=1,GE$228=1,$GU194=1),GE194,0))</f>
        <v>x</v>
      </c>
      <c r="GF377" s="87" t="str">
        <f>IF(GF194=-1,"x",IF(OR(GF292=1,GF$228=1,$GV194=1),GF194,0))</f>
        <v>x</v>
      </c>
      <c r="GG377" s="86" t="str">
        <f>IF(GG194=-1,"x",IF(OR(GG292=1,GG$228=1,$GT194=1),GG194,0))</f>
        <v>x</v>
      </c>
      <c r="GH377" s="85" t="str">
        <f>IF(GH194=-1,"x",IF(OR(GH292=1,GH$228=1,$GU194=1),GH194,0))</f>
        <v>x</v>
      </c>
      <c r="GI377" s="87" t="str">
        <f>IF(GI194=-1,"x",IF(OR(GI292=1,GI$228=1,$GV194=1),GI194,0))</f>
        <v>x</v>
      </c>
      <c r="GJ377" s="86" t="str">
        <f>IF(GJ194=-1,"x",IF(OR(GJ292=1,GJ$228=1,$GT194=1),GJ194,0))</f>
        <v>x</v>
      </c>
      <c r="GK377" s="85" t="str">
        <f>IF(GK194=-1,"x",IF(OR(GK292=1,GK$228=1,$GU194=1),GK194,0))</f>
        <v>x</v>
      </c>
      <c r="GL377" s="90" t="str">
        <f>IF(GL194=-1,"x",IF(OR(GL292=1,GL$228=1,$GV194=1),GL194,0))</f>
        <v>x</v>
      </c>
    </row>
    <row r="378" spans="14:194" ht="15" customHeight="1">
      <c r="DJ378" s="94" t="str">
        <f>IF(DJ195=-1,"x",IF(OR(DJ293=1,DJ$229=1,$GT195=1),DJ195,0))</f>
        <v>x</v>
      </c>
      <c r="DK378" s="39" t="str">
        <f>IF(DK195=-1,"x",IF(OR(DK293=1,DK$229=1,$GU195=1),DK195,0))</f>
        <v>x</v>
      </c>
      <c r="DL378" s="41" t="str">
        <f>IF(DL195=-1,"x",IF(OR(DL293=1,DL$229=1,$GV195=1),DL195,0))</f>
        <v>x</v>
      </c>
      <c r="DM378" s="40" t="str">
        <f>IF(DM195=-1,"x",IF(OR(DM293=1,DM$229=1,$GT195=1),DM195,0))</f>
        <v>x</v>
      </c>
      <c r="DN378" s="39" t="str">
        <f>IF(DN195=-1,"x",IF(OR(DN293=1,DN$229=1,$GU195=1),DN195,0))</f>
        <v>x</v>
      </c>
      <c r="DO378" s="41" t="str">
        <f>IF(DO195=-1,"x",IF(OR(DO293=1,DO$229=1,$GV195=1),DO195,0))</f>
        <v>x</v>
      </c>
      <c r="DP378" s="40" t="str">
        <f>IF(DP195=-1,"x",IF(OR(DP293=1,DP$229=1,$GT195=1),DP195,0))</f>
        <v>x</v>
      </c>
      <c r="DQ378" s="39" t="str">
        <f>IF(DQ195=-1,"x",IF(OR(DQ293=1,DQ$229=1,$GU195=1),DQ195,0))</f>
        <v>x</v>
      </c>
      <c r="DR378" s="42" t="str">
        <f>IF(DR195=-1,"x",IF(OR(DR293=1,DR$229=1,$GV195=1),DR195,0))</f>
        <v>x</v>
      </c>
      <c r="DS378" s="43" t="str">
        <f>IF(DS195=-1,"x",IF(OR(DS293=1,DS$229=1,$GT195=1),DS195,0))</f>
        <v>x</v>
      </c>
      <c r="DT378" s="39" t="str">
        <f>IF(DT195=-1,"x",IF(OR(DT293=1,DT$229=1,$GU195=1),DT195,0))</f>
        <v>x</v>
      </c>
      <c r="DU378" s="41" t="str">
        <f>IF(DU195=-1,"x",IF(OR(DU293=1,DU$229=1,$GV195=1),DU195,0))</f>
        <v>x</v>
      </c>
      <c r="DV378" s="40" t="str">
        <f>IF(DV195=-1,"x",IF(OR(DV293=1,DV$229=1,$GT195=1),DV195,0))</f>
        <v>x</v>
      </c>
      <c r="DW378" s="39" t="str">
        <f>IF(DW195=-1,"x",IF(OR(DW293=1,DW$229=1,$GU195=1),DW195,0))</f>
        <v>x</v>
      </c>
      <c r="DX378" s="41" t="str">
        <f>IF(DX195=-1,"x",IF(OR(DX293=1,DX$229=1,$GV195=1),DX195,0))</f>
        <v>x</v>
      </c>
      <c r="DY378" s="40" t="str">
        <f>IF(DY195=-1,"x",IF(OR(DY293=1,DY$229=1,$GT195=1),DY195,0))</f>
        <v>x</v>
      </c>
      <c r="DZ378" s="39" t="str">
        <f>IF(DZ195=-1,"x",IF(OR(DZ293=1,DZ$229=1,$GU195=1),DZ195,0))</f>
        <v>x</v>
      </c>
      <c r="EA378" s="42" t="str">
        <f>IF(EA195=-1,"x",IF(OR(EA293=1,EA$229=1,$GV195=1),EA195,0))</f>
        <v>x</v>
      </c>
      <c r="EB378" s="43" t="str">
        <f>IF(EB195=-1,"x",IF(OR(EB293=1,EB$229=1,$GT195=1),EB195,0))</f>
        <v>x</v>
      </c>
      <c r="EC378" s="39" t="str">
        <f>IF(EC195=-1,"x",IF(OR(EC293=1,EC$229=1,$GU195=1),EC195,0))</f>
        <v>x</v>
      </c>
      <c r="ED378" s="41" t="str">
        <f>IF(ED195=-1,"x",IF(OR(ED293=1,ED$229=1,$GV195=1),ED195,0))</f>
        <v>x</v>
      </c>
      <c r="EE378" s="40" t="str">
        <f>IF(EE195=-1,"x",IF(OR(EE293=1,EE$229=1,$GT195=1),EE195,0))</f>
        <v>x</v>
      </c>
      <c r="EF378" s="39" t="str">
        <f>IF(EF195=-1,"x",IF(OR(EF293=1,EF$229=1,$GU195=1),EF195,0))</f>
        <v>x</v>
      </c>
      <c r="EG378" s="41" t="str">
        <f>IF(EG195=-1,"x",IF(OR(EG293=1,EG$229=1,$GV195=1),EG195,0))</f>
        <v>x</v>
      </c>
      <c r="EH378" s="40" t="str">
        <f>IF(EH195=-1,"x",IF(OR(EH293=1,EH$229=1,$GT195=1),EH195,0))</f>
        <v>x</v>
      </c>
      <c r="EI378" s="39" t="str">
        <f>IF(EI195=-1,"x",IF(OR(EI293=1,EI$229=1,$GU195=1),EI195,0))</f>
        <v>x</v>
      </c>
      <c r="EJ378" s="95" t="str">
        <f>IF(EJ195=-1,"x",IF(OR(EJ293=1,EJ$229=1,$GV195=1),EJ195,0))</f>
        <v>x</v>
      </c>
      <c r="EK378" s="94" t="str">
        <f>IF(EK195=-1,"x",IF(OR(EK293=1,EK$229=1,$GT195=1),EK195,0))</f>
        <v>x</v>
      </c>
      <c r="EL378" s="39" t="str">
        <f>IF(EL195=-1,"x",IF(OR(EL293=1,EL$229=1,$GU195=1),EL195,0))</f>
        <v>x</v>
      </c>
      <c r="EM378" s="41" t="str">
        <f>IF(EM195=-1,"x",IF(OR(EM293=1,EM$229=1,$GV195=1),EM195,0))</f>
        <v>x</v>
      </c>
      <c r="EN378" s="40" t="str">
        <f>IF(EN195=-1,"x",IF(OR(EN293=1,EN$229=1,$GT195=1),EN195,0))</f>
        <v>x</v>
      </c>
      <c r="EO378" s="39" t="str">
        <f>IF(EO195=-1,"x",IF(OR(EO293=1,EO$229=1,$GU195=1),EO195,0))</f>
        <v>x</v>
      </c>
      <c r="EP378" s="41" t="str">
        <f>IF(EP195=-1,"x",IF(OR(EP293=1,EP$229=1,$GV195=1),EP195,0))</f>
        <v>x</v>
      </c>
      <c r="EQ378" s="40" t="str">
        <f>IF(EQ195=-1,"x",IF(OR(EQ293=1,EQ$229=1,$GT195=1),EQ195,0))</f>
        <v>x</v>
      </c>
      <c r="ER378" s="39" t="str">
        <f>IF(ER195=-1,"x",IF(OR(ER293=1,ER$229=1,$GU195=1),ER195,0))</f>
        <v>x</v>
      </c>
      <c r="ES378" s="42" t="str">
        <f>IF(ES195=-1,"x",IF(OR(ES293=1,ES$229=1,$GV195=1),ES195,0))</f>
        <v>x</v>
      </c>
      <c r="ET378" s="43" t="str">
        <f>IF(ET195=-1,"x",IF(OR(ET293=1,ET$229=1,$GT195=1),ET195,0))</f>
        <v>x</v>
      </c>
      <c r="EU378" s="39" t="str">
        <f>IF(EU195=-1,"x",IF(OR(EU293=1,EU$229=1,$GU195=1),EU195,0))</f>
        <v>x</v>
      </c>
      <c r="EV378" s="41" t="str">
        <f>IF(EV195=-1,"x",IF(OR(EV293=1,EV$229=1,$GV195=1),EV195,0))</f>
        <v>x</v>
      </c>
      <c r="EW378" s="40" t="str">
        <f>IF(EW195=-1,"x",IF(OR(EW293=1,EW$229=1,$GT195=1),EW195,0))</f>
        <v>x</v>
      </c>
      <c r="EX378" s="39" t="str">
        <f>IF(EX195=-1,"x",IF(OR(EX293=1,EX$229=1,$GU195=1),EX195,0))</f>
        <v>x</v>
      </c>
      <c r="EY378" s="41" t="str">
        <f>IF(EY195=-1,"x",IF(OR(EY293=1,EY$229=1,$GV195=1),EY195,0))</f>
        <v>x</v>
      </c>
      <c r="EZ378" s="40" t="str">
        <f>IF(EZ195=-1,"x",IF(OR(EZ293=1,EZ$229=1,$GT195=1),EZ195,0))</f>
        <v>x</v>
      </c>
      <c r="FA378" s="39" t="str">
        <f>IF(FA195=-1,"x",IF(OR(FA293=1,FA$229=1,$GU195=1),FA195,0))</f>
        <v>x</v>
      </c>
      <c r="FB378" s="42" t="str">
        <f>IF(FB195=-1,"x",IF(OR(FB293=1,FB$229=1,$GV195=1),FB195,0))</f>
        <v>x</v>
      </c>
      <c r="FC378" s="43" t="str">
        <f>IF(FC195=-1,"x",IF(OR(FC293=1,FC$229=1,$GT195=1),FC195,0))</f>
        <v>x</v>
      </c>
      <c r="FD378" s="39" t="str">
        <f>IF(FD195=-1,"x",IF(OR(FD293=1,FD$229=1,$GU195=1),FD195,0))</f>
        <v>x</v>
      </c>
      <c r="FE378" s="41" t="str">
        <f>IF(FE195=-1,"x",IF(OR(FE293=1,FE$229=1,$GV195=1),FE195,0))</f>
        <v>x</v>
      </c>
      <c r="FF378" s="40" t="str">
        <f>IF(FF195=-1,"x",IF(OR(FF293=1,FF$229=1,$GT195=1),FF195,0))</f>
        <v>x</v>
      </c>
      <c r="FG378" s="39" t="str">
        <f>IF(FG195=-1,"x",IF(OR(FG293=1,FG$229=1,$GU195=1),FG195,0))</f>
        <v>x</v>
      </c>
      <c r="FH378" s="41" t="str">
        <f>IF(FH195=-1,"x",IF(OR(FH293=1,FH$229=1,$GV195=1),FH195,0))</f>
        <v>x</v>
      </c>
      <c r="FI378" s="40" t="str">
        <f>IF(FI195=-1,"x",IF(OR(FI293=1,FI$229=1,$GT195=1),FI195,0))</f>
        <v>x</v>
      </c>
      <c r="FJ378" s="39" t="str">
        <f>IF(FJ195=-1,"x",IF(OR(FJ293=1,FJ$229=1,$GU195=1),FJ195,0))</f>
        <v>x</v>
      </c>
      <c r="FK378" s="95" t="str">
        <f>IF(FK195=-1,"x",IF(OR(FK293=1,FK$229=1,$GV195=1),FK195,0))</f>
        <v>x</v>
      </c>
      <c r="FL378" s="94" t="str">
        <f>IF(FL195=-1,"x",IF(OR(FL293=1,FL$229=1,$GT195=1),FL195,0))</f>
        <v>x</v>
      </c>
      <c r="FM378" s="39" t="str">
        <f>IF(FM195=-1,"x",IF(OR(FM293=1,FM$229=1,$GU195=1),FM195,0))</f>
        <v>x</v>
      </c>
      <c r="FN378" s="41" t="str">
        <f>IF(FN195=-1,"x",IF(OR(FN293=1,FN$229=1,$GV195=1),FN195,0))</f>
        <v>x</v>
      </c>
      <c r="FO378" s="40" t="str">
        <f>IF(FO195=-1,"x",IF(OR(FO293=1,FO$229=1,$GT195=1),FO195,0))</f>
        <v>x</v>
      </c>
      <c r="FP378" s="39" t="str">
        <f>IF(FP195=-1,"x",IF(OR(FP293=1,FP$229=1,$GU195=1),FP195,0))</f>
        <v>x</v>
      </c>
      <c r="FQ378" s="41" t="str">
        <f>IF(FQ195=-1,"x",IF(OR(FQ293=1,FQ$229=1,$GV195=1),FQ195,0))</f>
        <v>x</v>
      </c>
      <c r="FR378" s="40" t="str">
        <f>IF(FR195=-1,"x",IF(OR(FR293=1,FR$229=1,$GT195=1),FR195,0))</f>
        <v>x</v>
      </c>
      <c r="FS378" s="39" t="str">
        <f>IF(FS195=-1,"x",IF(OR(FS293=1,FS$229=1,$GU195=1),FS195,0))</f>
        <v>x</v>
      </c>
      <c r="FT378" s="42" t="str">
        <f>IF(FT195=-1,"x",IF(OR(FT293=1,FT$229=1,$GV195=1),FT195,0))</f>
        <v>x</v>
      </c>
      <c r="FU378" s="43" t="str">
        <f>IF(FU195=-1,"x",IF(OR(FU293=1,FU$229=1,$GT195=1),FU195,0))</f>
        <v>x</v>
      </c>
      <c r="FV378" s="39" t="str">
        <f>IF(FV195=-1,"x",IF(OR(FV293=1,FV$229=1,$GU195=1),FV195,0))</f>
        <v>x</v>
      </c>
      <c r="FW378" s="41" t="str">
        <f>IF(FW195=-1,"x",IF(OR(FW293=1,FW$229=1,$GV195=1),FW195,0))</f>
        <v>x</v>
      </c>
      <c r="FX378" s="40" t="str">
        <f>IF(FX195=-1,"x",IF(OR(FX293=1,FX$229=1,$GT195=1),FX195,0))</f>
        <v>x</v>
      </c>
      <c r="FY378" s="39" t="str">
        <f>IF(FY195=-1,"x",IF(OR(FY293=1,FY$229=1,$GU195=1),FY195,0))</f>
        <v>x</v>
      </c>
      <c r="FZ378" s="41" t="str">
        <f>IF(FZ195=-1,"x",IF(OR(FZ293=1,FZ$229=1,$GV195=1),FZ195,0))</f>
        <v>x</v>
      </c>
      <c r="GA378" s="40" t="str">
        <f>IF(GA195=-1,"x",IF(OR(GA293=1,GA$229=1,$GT195=1),GA195,0))</f>
        <v>x</v>
      </c>
      <c r="GB378" s="39" t="str">
        <f>IF(GB195=-1,"x",IF(OR(GB293=1,GB$229=1,$GU195=1),GB195,0))</f>
        <v>x</v>
      </c>
      <c r="GC378" s="42" t="str">
        <f>IF(GC195=-1,"x",IF(OR(GC293=1,GC$229=1,$GV195=1),GC195,0))</f>
        <v>x</v>
      </c>
      <c r="GD378" s="43" t="str">
        <f>IF(GD195=-1,"x",IF(OR(GD293=1,GD$229=1,$GT195=1),GD195,0))</f>
        <v>x</v>
      </c>
      <c r="GE378" s="39" t="str">
        <f>IF(GE195=-1,"x",IF(OR(GE293=1,GE$229=1,$GU195=1),GE195,0))</f>
        <v>x</v>
      </c>
      <c r="GF378" s="41" t="str">
        <f>IF(GF195=-1,"x",IF(OR(GF293=1,GF$229=1,$GV195=1),GF195,0))</f>
        <v>x</v>
      </c>
      <c r="GG378" s="40" t="str">
        <f>IF(GG195=-1,"x",IF(OR(GG293=1,GG$229=1,$GT195=1),GG195,0))</f>
        <v>x</v>
      </c>
      <c r="GH378" s="39" t="str">
        <f>IF(GH195=-1,"x",IF(OR(GH293=1,GH$229=1,$GU195=1),GH195,0))</f>
        <v>x</v>
      </c>
      <c r="GI378" s="41" t="str">
        <f>IF(GI195=-1,"x",IF(OR(GI293=1,GI$229=1,$GV195=1),GI195,0))</f>
        <v>x</v>
      </c>
      <c r="GJ378" s="40" t="str">
        <f>IF(GJ195=-1,"x",IF(OR(GJ293=1,GJ$229=1,$GT195=1),GJ195,0))</f>
        <v>x</v>
      </c>
      <c r="GK378" s="39" t="str">
        <f>IF(GK195=-1,"x",IF(OR(GK293=1,GK$229=1,$GU195=1),GK195,0))</f>
        <v>x</v>
      </c>
      <c r="GL378" s="95" t="str">
        <f>IF(GL195=-1,"x",IF(OR(GL293=1,GL$229=1,$GV195=1),GL195,0))</f>
        <v>x</v>
      </c>
    </row>
    <row r="379" spans="14:194" ht="15" customHeight="1">
      <c r="DJ379" s="99" t="str">
        <f>IF(DJ196=-1,"x",IF(OR(DJ294=1,DJ$230=1,$GT196=1),DJ196,0))</f>
        <v>x</v>
      </c>
      <c r="DK379" s="45" t="str">
        <f>IF(DK196=-1,"x",IF(OR(DK294=1,DK$230=1,$GU196=1),DK196,0))</f>
        <v>x</v>
      </c>
      <c r="DL379" s="47" t="str">
        <f>IF(DL196=-1,"x",IF(OR(DL294=1,DL$230=1,$GV196=1),DL196,0))</f>
        <v>x</v>
      </c>
      <c r="DM379" s="46" t="str">
        <f>IF(DM196=-1,"x",IF(OR(DM294=1,DM$230=1,$GT196=1),DM196,0))</f>
        <v>x</v>
      </c>
      <c r="DN379" s="45" t="str">
        <f>IF(DN196=-1,"x",IF(OR(DN294=1,DN$230=1,$GU196=1),DN196,0))</f>
        <v>x</v>
      </c>
      <c r="DO379" s="47" t="str">
        <f>IF(DO196=-1,"x",IF(OR(DO294=1,DO$230=1,$GV196=1),DO196,0))</f>
        <v>x</v>
      </c>
      <c r="DP379" s="46" t="str">
        <f>IF(DP196=-1,"x",IF(OR(DP294=1,DP$230=1,$GT196=1),DP196,0))</f>
        <v>x</v>
      </c>
      <c r="DQ379" s="45" t="str">
        <f>IF(DQ196=-1,"x",IF(OR(DQ294=1,DQ$230=1,$GU196=1),DQ196,0))</f>
        <v>x</v>
      </c>
      <c r="DR379" s="48" t="str">
        <f>IF(DR196=-1,"x",IF(OR(DR294=1,DR$230=1,$GV196=1),DR196,0))</f>
        <v>x</v>
      </c>
      <c r="DS379" s="44" t="str">
        <f>IF(DS196=-1,"x",IF(OR(DS294=1,DS$230=1,$GT196=1),DS196,0))</f>
        <v>x</v>
      </c>
      <c r="DT379" s="45" t="str">
        <f>IF(DT196=-1,"x",IF(OR(DT294=1,DT$230=1,$GU196=1),DT196,0))</f>
        <v>x</v>
      </c>
      <c r="DU379" s="47" t="str">
        <f>IF(DU196=-1,"x",IF(OR(DU294=1,DU$230=1,$GV196=1),DU196,0))</f>
        <v>x</v>
      </c>
      <c r="DV379" s="46" t="str">
        <f>IF(DV196=-1,"x",IF(OR(DV294=1,DV$230=1,$GT196=1),DV196,0))</f>
        <v>x</v>
      </c>
      <c r="DW379" s="45" t="str">
        <f>IF(DW196=-1,"x",IF(OR(DW294=1,DW$230=1,$GU196=1),DW196,0))</f>
        <v>x</v>
      </c>
      <c r="DX379" s="47" t="str">
        <f>IF(DX196=-1,"x",IF(OR(DX294=1,DX$230=1,$GV196=1),DX196,0))</f>
        <v>x</v>
      </c>
      <c r="DY379" s="46" t="str">
        <f>IF(DY196=-1,"x",IF(OR(DY294=1,DY$230=1,$GT196=1),DY196,0))</f>
        <v>x</v>
      </c>
      <c r="DZ379" s="45" t="str">
        <f>IF(DZ196=-1,"x",IF(OR(DZ294=1,DZ$230=1,$GU196=1),DZ196,0))</f>
        <v>x</v>
      </c>
      <c r="EA379" s="48" t="str">
        <f>IF(EA196=-1,"x",IF(OR(EA294=1,EA$230=1,$GV196=1),EA196,0))</f>
        <v>x</v>
      </c>
      <c r="EB379" s="44" t="str">
        <f>IF(EB196=-1,"x",IF(OR(EB294=1,EB$230=1,$GT196=1),EB196,0))</f>
        <v>x</v>
      </c>
      <c r="EC379" s="45" t="str">
        <f>IF(EC196=-1,"x",IF(OR(EC294=1,EC$230=1,$GU196=1),EC196,0))</f>
        <v>x</v>
      </c>
      <c r="ED379" s="47" t="str">
        <f>IF(ED196=-1,"x",IF(OR(ED294=1,ED$230=1,$GV196=1),ED196,0))</f>
        <v>x</v>
      </c>
      <c r="EE379" s="46" t="str">
        <f>IF(EE196=-1,"x",IF(OR(EE294=1,EE$230=1,$GT196=1),EE196,0))</f>
        <v>x</v>
      </c>
      <c r="EF379" s="45" t="str">
        <f>IF(EF196=-1,"x",IF(OR(EF294=1,EF$230=1,$GU196=1),EF196,0))</f>
        <v>x</v>
      </c>
      <c r="EG379" s="47" t="str">
        <f>IF(EG196=-1,"x",IF(OR(EG294=1,EG$230=1,$GV196=1),EG196,0))</f>
        <v>x</v>
      </c>
      <c r="EH379" s="46" t="str">
        <f>IF(EH196=-1,"x",IF(OR(EH294=1,EH$230=1,$GT196=1),EH196,0))</f>
        <v>x</v>
      </c>
      <c r="EI379" s="45" t="str">
        <f>IF(EI196=-1,"x",IF(OR(EI294=1,EI$230=1,$GU196=1),EI196,0))</f>
        <v>x</v>
      </c>
      <c r="EJ379" s="100" t="str">
        <f>IF(EJ196=-1,"x",IF(OR(EJ294=1,EJ$230=1,$GV196=1),EJ196,0))</f>
        <v>x</v>
      </c>
      <c r="EK379" s="99" t="str">
        <f>IF(EK196=-1,"x",IF(OR(EK294=1,EK$230=1,$GT196=1),EK196,0))</f>
        <v>x</v>
      </c>
      <c r="EL379" s="45" t="str">
        <f>IF(EL196=-1,"x",IF(OR(EL294=1,EL$230=1,$GU196=1),EL196,0))</f>
        <v>x</v>
      </c>
      <c r="EM379" s="47" t="str">
        <f>IF(EM196=-1,"x",IF(OR(EM294=1,EM$230=1,$GV196=1),EM196,0))</f>
        <v>x</v>
      </c>
      <c r="EN379" s="46" t="str">
        <f>IF(EN196=-1,"x",IF(OR(EN294=1,EN$230=1,$GT196=1),EN196,0))</f>
        <v>x</v>
      </c>
      <c r="EO379" s="45" t="str">
        <f>IF(EO196=-1,"x",IF(OR(EO294=1,EO$230=1,$GU196=1),EO196,0))</f>
        <v>x</v>
      </c>
      <c r="EP379" s="47" t="str">
        <f>IF(EP196=-1,"x",IF(OR(EP294=1,EP$230=1,$GV196=1),EP196,0))</f>
        <v>x</v>
      </c>
      <c r="EQ379" s="46" t="str">
        <f>IF(EQ196=-1,"x",IF(OR(EQ294=1,EQ$230=1,$GT196=1),EQ196,0))</f>
        <v>x</v>
      </c>
      <c r="ER379" s="45" t="str">
        <f>IF(ER196=-1,"x",IF(OR(ER294=1,ER$230=1,$GU196=1),ER196,0))</f>
        <v>x</v>
      </c>
      <c r="ES379" s="48" t="str">
        <f>IF(ES196=-1,"x",IF(OR(ES294=1,ES$230=1,$GV196=1),ES196,0))</f>
        <v>x</v>
      </c>
      <c r="ET379" s="44" t="str">
        <f>IF(ET196=-1,"x",IF(OR(ET294=1,ET$230=1,$GT196=1),ET196,0))</f>
        <v>x</v>
      </c>
      <c r="EU379" s="45" t="str">
        <f>IF(EU196=-1,"x",IF(OR(EU294=1,EU$230=1,$GU196=1),EU196,0))</f>
        <v>x</v>
      </c>
      <c r="EV379" s="47" t="str">
        <f>IF(EV196=-1,"x",IF(OR(EV294=1,EV$230=1,$GV196=1),EV196,0))</f>
        <v>x</v>
      </c>
      <c r="EW379" s="46" t="str">
        <f>IF(EW196=-1,"x",IF(OR(EW294=1,EW$230=1,$GT196=1),EW196,0))</f>
        <v>x</v>
      </c>
      <c r="EX379" s="45" t="str">
        <f>IF(EX196=-1,"x",IF(OR(EX294=1,EX$230=1,$GU196=1),EX196,0))</f>
        <v>x</v>
      </c>
      <c r="EY379" s="47" t="str">
        <f>IF(EY196=-1,"x",IF(OR(EY294=1,EY$230=1,$GV196=1),EY196,0))</f>
        <v>x</v>
      </c>
      <c r="EZ379" s="46" t="str">
        <f>IF(EZ196=-1,"x",IF(OR(EZ294=1,EZ$230=1,$GT196=1),EZ196,0))</f>
        <v>x</v>
      </c>
      <c r="FA379" s="45" t="str">
        <f>IF(FA196=-1,"x",IF(OR(FA294=1,FA$230=1,$GU196=1),FA196,0))</f>
        <v>x</v>
      </c>
      <c r="FB379" s="48" t="str">
        <f>IF(FB196=-1,"x",IF(OR(FB294=1,FB$230=1,$GV196=1),FB196,0))</f>
        <v>x</v>
      </c>
      <c r="FC379" s="44" t="str">
        <f>IF(FC196=-1,"x",IF(OR(FC294=1,FC$230=1,$GT196=1),FC196,0))</f>
        <v>x</v>
      </c>
      <c r="FD379" s="45" t="str">
        <f>IF(FD196=-1,"x",IF(OR(FD294=1,FD$230=1,$GU196=1),FD196,0))</f>
        <v>x</v>
      </c>
      <c r="FE379" s="47" t="str">
        <f>IF(FE196=-1,"x",IF(OR(FE294=1,FE$230=1,$GV196=1),FE196,0))</f>
        <v>x</v>
      </c>
      <c r="FF379" s="46" t="str">
        <f>IF(FF196=-1,"x",IF(OR(FF294=1,FF$230=1,$GT196=1),FF196,0))</f>
        <v>x</v>
      </c>
      <c r="FG379" s="45" t="str">
        <f>IF(FG196=-1,"x",IF(OR(FG294=1,FG$230=1,$GU196=1),FG196,0))</f>
        <v>x</v>
      </c>
      <c r="FH379" s="47" t="str">
        <f>IF(FH196=-1,"x",IF(OR(FH294=1,FH$230=1,$GV196=1),FH196,0))</f>
        <v>x</v>
      </c>
      <c r="FI379" s="46" t="str">
        <f>IF(FI196=-1,"x",IF(OR(FI294=1,FI$230=1,$GT196=1),FI196,0))</f>
        <v>x</v>
      </c>
      <c r="FJ379" s="45" t="str">
        <f>IF(FJ196=-1,"x",IF(OR(FJ294=1,FJ$230=1,$GU196=1),FJ196,0))</f>
        <v>x</v>
      </c>
      <c r="FK379" s="100" t="str">
        <f>IF(FK196=-1,"x",IF(OR(FK294=1,FK$230=1,$GV196=1),FK196,0))</f>
        <v>x</v>
      </c>
      <c r="FL379" s="99" t="str">
        <f>IF(FL196=-1,"x",IF(OR(FL294=1,FL$230=1,$GT196=1),FL196,0))</f>
        <v>x</v>
      </c>
      <c r="FM379" s="45" t="str">
        <f>IF(FM196=-1,"x",IF(OR(FM294=1,FM$230=1,$GU196=1),FM196,0))</f>
        <v>x</v>
      </c>
      <c r="FN379" s="47" t="str">
        <f>IF(FN196=-1,"x",IF(OR(FN294=1,FN$230=1,$GV196=1),FN196,0))</f>
        <v>x</v>
      </c>
      <c r="FO379" s="46" t="str">
        <f>IF(FO196=-1,"x",IF(OR(FO294=1,FO$230=1,$GT196=1),FO196,0))</f>
        <v>x</v>
      </c>
      <c r="FP379" s="45" t="str">
        <f>IF(FP196=-1,"x",IF(OR(FP294=1,FP$230=1,$GU196=1),FP196,0))</f>
        <v>x</v>
      </c>
      <c r="FQ379" s="47" t="str">
        <f>IF(FQ196=-1,"x",IF(OR(FQ294=1,FQ$230=1,$GV196=1),FQ196,0))</f>
        <v>x</v>
      </c>
      <c r="FR379" s="46" t="str">
        <f>IF(FR196=-1,"x",IF(OR(FR294=1,FR$230=1,$GT196=1),FR196,0))</f>
        <v>x</v>
      </c>
      <c r="FS379" s="45" t="str">
        <f>IF(FS196=-1,"x",IF(OR(FS294=1,FS$230=1,$GU196=1),FS196,0))</f>
        <v>x</v>
      </c>
      <c r="FT379" s="48" t="str">
        <f>IF(FT196=-1,"x",IF(OR(FT294=1,FT$230=1,$GV196=1),FT196,0))</f>
        <v>x</v>
      </c>
      <c r="FU379" s="44" t="str">
        <f>IF(FU196=-1,"x",IF(OR(FU294=1,FU$230=1,$GT196=1),FU196,0))</f>
        <v>x</v>
      </c>
      <c r="FV379" s="45" t="str">
        <f>IF(FV196=-1,"x",IF(OR(FV294=1,FV$230=1,$GU196=1),FV196,0))</f>
        <v>x</v>
      </c>
      <c r="FW379" s="47" t="str">
        <f>IF(FW196=-1,"x",IF(OR(FW294=1,FW$230=1,$GV196=1),FW196,0))</f>
        <v>x</v>
      </c>
      <c r="FX379" s="46" t="str">
        <f>IF(FX196=-1,"x",IF(OR(FX294=1,FX$230=1,$GT196=1),FX196,0))</f>
        <v>x</v>
      </c>
      <c r="FY379" s="45" t="str">
        <f>IF(FY196=-1,"x",IF(OR(FY294=1,FY$230=1,$GU196=1),FY196,0))</f>
        <v>x</v>
      </c>
      <c r="FZ379" s="47" t="str">
        <f>IF(FZ196=-1,"x",IF(OR(FZ294=1,FZ$230=1,$GV196=1),FZ196,0))</f>
        <v>x</v>
      </c>
      <c r="GA379" s="46" t="str">
        <f>IF(GA196=-1,"x",IF(OR(GA294=1,GA$230=1,$GT196=1),GA196,0))</f>
        <v>x</v>
      </c>
      <c r="GB379" s="45" t="str">
        <f>IF(GB196=-1,"x",IF(OR(GB294=1,GB$230=1,$GU196=1),GB196,0))</f>
        <v>x</v>
      </c>
      <c r="GC379" s="48" t="str">
        <f>IF(GC196=-1,"x",IF(OR(GC294=1,GC$230=1,$GV196=1),GC196,0))</f>
        <v>x</v>
      </c>
      <c r="GD379" s="44" t="str">
        <f>IF(GD196=-1,"x",IF(OR(GD294=1,GD$230=1,$GT196=1),GD196,0))</f>
        <v>x</v>
      </c>
      <c r="GE379" s="45" t="str">
        <f>IF(GE196=-1,"x",IF(OR(GE294=1,GE$230=1,$GU196=1),GE196,0))</f>
        <v>x</v>
      </c>
      <c r="GF379" s="47" t="str">
        <f>IF(GF196=-1,"x",IF(OR(GF294=1,GF$230=1,$GV196=1),GF196,0))</f>
        <v>x</v>
      </c>
      <c r="GG379" s="46" t="str">
        <f>IF(GG196=-1,"x",IF(OR(GG294=1,GG$230=1,$GT196=1),GG196,0))</f>
        <v>x</v>
      </c>
      <c r="GH379" s="45" t="str">
        <f>IF(GH196=-1,"x",IF(OR(GH294=1,GH$230=1,$GU196=1),GH196,0))</f>
        <v>x</v>
      </c>
      <c r="GI379" s="47" t="str">
        <f>IF(GI196=-1,"x",IF(OR(GI294=1,GI$230=1,$GV196=1),GI196,0))</f>
        <v>x</v>
      </c>
      <c r="GJ379" s="46" t="str">
        <f>IF(GJ196=-1,"x",IF(OR(GJ294=1,GJ$230=1,$GT196=1),GJ196,0))</f>
        <v>x</v>
      </c>
      <c r="GK379" s="45" t="str">
        <f>IF(GK196=-1,"x",IF(OR(GK294=1,GK$230=1,$GU196=1),GK196,0))</f>
        <v>x</v>
      </c>
      <c r="GL379" s="100" t="str">
        <f>IF(GL196=-1,"x",IF(OR(GL294=1,GL$230=1,$GV196=1),GL196,0))</f>
        <v>x</v>
      </c>
    </row>
    <row r="380" spans="14:194" ht="15" customHeight="1">
      <c r="DJ380" s="104" t="str">
        <f>IF(DJ197=-1,"x",IF(OR(DJ295=1,DJ$228=1,$GT197=1),DJ197,0))</f>
        <v>x</v>
      </c>
      <c r="DK380" s="50" t="str">
        <f>IF(DK197=-1,"x",IF(OR(DK295=1,DK$228=1,$GU197=1),DK197,0))</f>
        <v>x</v>
      </c>
      <c r="DL380" s="51" t="str">
        <f>IF(DL197=-1,"x",IF(OR(DL295=1,DL$228=1,$GV197=1),DL197,0))</f>
        <v>x</v>
      </c>
      <c r="DM380" s="52" t="str">
        <f>IF(DM197=-1,"x",IF(OR(DM295=1,DM$228=1,$GT197=1),DM197,0))</f>
        <v>x</v>
      </c>
      <c r="DN380" s="50" t="str">
        <f>IF(DN197=-1,"x",IF(OR(DN295=1,DN$228=1,$GU197=1),DN197,0))</f>
        <v>x</v>
      </c>
      <c r="DO380" s="51" t="str">
        <f>IF(DO197=-1,"x",IF(OR(DO295=1,DO$228=1,$GV197=1),DO197,0))</f>
        <v>x</v>
      </c>
      <c r="DP380" s="52" t="str">
        <f>IF(DP197=-1,"x",IF(OR(DP295=1,DP$228=1,$GT197=1),DP197,0))</f>
        <v>x</v>
      </c>
      <c r="DQ380" s="50" t="str">
        <f>IF(DQ197=-1,"x",IF(OR(DQ295=1,DQ$228=1,$GU197=1),DQ197,0))</f>
        <v>x</v>
      </c>
      <c r="DR380" s="53" t="str">
        <f>IF(DR197=-1,"x",IF(OR(DR295=1,DR$228=1,$GV197=1),DR197,0))</f>
        <v>x</v>
      </c>
      <c r="DS380" s="49" t="str">
        <f>IF(DS197=-1,"x",IF(OR(DS295=1,DS$228=1,$GT197=1),DS197,0))</f>
        <v>x</v>
      </c>
      <c r="DT380" s="50" t="str">
        <f>IF(DT197=-1,"x",IF(OR(DT295=1,DT$228=1,$GU197=1),DT197,0))</f>
        <v>x</v>
      </c>
      <c r="DU380" s="51" t="str">
        <f>IF(DU197=-1,"x",IF(OR(DU295=1,DU$228=1,$GV197=1),DU197,0))</f>
        <v>x</v>
      </c>
      <c r="DV380" s="52" t="str">
        <f>IF(DV197=-1,"x",IF(OR(DV295=1,DV$228=1,$GT197=1),DV197,0))</f>
        <v>x</v>
      </c>
      <c r="DW380" s="50" t="str">
        <f>IF(DW197=-1,"x",IF(OR(DW295=1,DW$228=1,$GU197=1),DW197,0))</f>
        <v>x</v>
      </c>
      <c r="DX380" s="51" t="str">
        <f>IF(DX197=-1,"x",IF(OR(DX295=1,DX$228=1,$GV197=1),DX197,0))</f>
        <v>x</v>
      </c>
      <c r="DY380" s="52" t="str">
        <f>IF(DY197=-1,"x",IF(OR(DY295=1,DY$228=1,$GT197=1),DY197,0))</f>
        <v>x</v>
      </c>
      <c r="DZ380" s="50" t="str">
        <f>IF(DZ197=-1,"x",IF(OR(DZ295=1,DZ$228=1,$GU197=1),DZ197,0))</f>
        <v>x</v>
      </c>
      <c r="EA380" s="53" t="str">
        <f>IF(EA197=-1,"x",IF(OR(EA295=1,EA$228=1,$GV197=1),EA197,0))</f>
        <v>x</v>
      </c>
      <c r="EB380" s="49" t="str">
        <f>IF(EB197=-1,"x",IF(OR(EB295=1,EB$228=1,$GT197=1),EB197,0))</f>
        <v>x</v>
      </c>
      <c r="EC380" s="50" t="str">
        <f>IF(EC197=-1,"x",IF(OR(EC295=1,EC$228=1,$GU197=1),EC197,0))</f>
        <v>x</v>
      </c>
      <c r="ED380" s="51" t="str">
        <f>IF(ED197=-1,"x",IF(OR(ED295=1,ED$228=1,$GV197=1),ED197,0))</f>
        <v>x</v>
      </c>
      <c r="EE380" s="52" t="str">
        <f>IF(EE197=-1,"x",IF(OR(EE295=1,EE$228=1,$GT197=1),EE197,0))</f>
        <v>x</v>
      </c>
      <c r="EF380" s="50" t="str">
        <f>IF(EF197=-1,"x",IF(OR(EF295=1,EF$228=1,$GU197=1),EF197,0))</f>
        <v>x</v>
      </c>
      <c r="EG380" s="51" t="str">
        <f>IF(EG197=-1,"x",IF(OR(EG295=1,EG$228=1,$GV197=1),EG197,0))</f>
        <v>x</v>
      </c>
      <c r="EH380" s="52" t="str">
        <f>IF(EH197=-1,"x",IF(OR(EH295=1,EH$228=1,$GT197=1),EH197,0))</f>
        <v>x</v>
      </c>
      <c r="EI380" s="50" t="str">
        <f>IF(EI197=-1,"x",IF(OR(EI295=1,EI$228=1,$GU197=1),EI197,0))</f>
        <v>x</v>
      </c>
      <c r="EJ380" s="105" t="str">
        <f>IF(EJ197=-1,"x",IF(OR(EJ295=1,EJ$228=1,$GV197=1),EJ197,0))</f>
        <v>x</v>
      </c>
      <c r="EK380" s="104" t="str">
        <f>IF(EK197=-1,"x",IF(OR(EK295=1,EK$228=1,$GT197=1),EK197,0))</f>
        <v>x</v>
      </c>
      <c r="EL380" s="50" t="str">
        <f>IF(EL197=-1,"x",IF(OR(EL295=1,EL$228=1,$GU197=1),EL197,0))</f>
        <v>x</v>
      </c>
      <c r="EM380" s="51" t="str">
        <f>IF(EM197=-1,"x",IF(OR(EM295=1,EM$228=1,$GV197=1),EM197,0))</f>
        <v>x</v>
      </c>
      <c r="EN380" s="52" t="str">
        <f>IF(EN197=-1,"x",IF(OR(EN295=1,EN$228=1,$GT197=1),EN197,0))</f>
        <v>x</v>
      </c>
      <c r="EO380" s="50" t="str">
        <f>IF(EO197=-1,"x",IF(OR(EO295=1,EO$228=1,$GU197=1),EO197,0))</f>
        <v>x</v>
      </c>
      <c r="EP380" s="51" t="str">
        <f>IF(EP197=-1,"x",IF(OR(EP295=1,EP$228=1,$GV197=1),EP197,0))</f>
        <v>x</v>
      </c>
      <c r="EQ380" s="52" t="str">
        <f>IF(EQ197=-1,"x",IF(OR(EQ295=1,EQ$228=1,$GT197=1),EQ197,0))</f>
        <v>x</v>
      </c>
      <c r="ER380" s="50" t="str">
        <f>IF(ER197=-1,"x",IF(OR(ER295=1,ER$228=1,$GU197=1),ER197,0))</f>
        <v>x</v>
      </c>
      <c r="ES380" s="53" t="str">
        <f>IF(ES197=-1,"x",IF(OR(ES295=1,ES$228=1,$GV197=1),ES197,0))</f>
        <v>x</v>
      </c>
      <c r="ET380" s="49" t="str">
        <f>IF(ET197=-1,"x",IF(OR(ET295=1,ET$228=1,$GT197=1),ET197,0))</f>
        <v>x</v>
      </c>
      <c r="EU380" s="50" t="str">
        <f>IF(EU197=-1,"x",IF(OR(EU295=1,EU$228=1,$GU197=1),EU197,0))</f>
        <v>x</v>
      </c>
      <c r="EV380" s="51" t="str">
        <f>IF(EV197=-1,"x",IF(OR(EV295=1,EV$228=1,$GV197=1),EV197,0))</f>
        <v>x</v>
      </c>
      <c r="EW380" s="52" t="str">
        <f>IF(EW197=-1,"x",IF(OR(EW295=1,EW$228=1,$GT197=1),EW197,0))</f>
        <v>x</v>
      </c>
      <c r="EX380" s="50" t="str">
        <f>IF(EX197=-1,"x",IF(OR(EX295=1,EX$228=1,$GU197=1),EX197,0))</f>
        <v>x</v>
      </c>
      <c r="EY380" s="51" t="str">
        <f>IF(EY197=-1,"x",IF(OR(EY295=1,EY$228=1,$GV197=1),EY197,0))</f>
        <v>x</v>
      </c>
      <c r="EZ380" s="52" t="str">
        <f>IF(EZ197=-1,"x",IF(OR(EZ295=1,EZ$228=1,$GT197=1),EZ197,0))</f>
        <v>x</v>
      </c>
      <c r="FA380" s="50" t="str">
        <f>IF(FA197=-1,"x",IF(OR(FA295=1,FA$228=1,$GU197=1),FA197,0))</f>
        <v>x</v>
      </c>
      <c r="FB380" s="53" t="str">
        <f>IF(FB197=-1,"x",IF(OR(FB295=1,FB$228=1,$GV197=1),FB197,0))</f>
        <v>x</v>
      </c>
      <c r="FC380" s="49" t="str">
        <f>IF(FC197=-1,"x",IF(OR(FC295=1,FC$228=1,$GT197=1),FC197,0))</f>
        <v>x</v>
      </c>
      <c r="FD380" s="50" t="str">
        <f>IF(FD197=-1,"x",IF(OR(FD295=1,FD$228=1,$GU197=1),FD197,0))</f>
        <v>x</v>
      </c>
      <c r="FE380" s="51" t="str">
        <f>IF(FE197=-1,"x",IF(OR(FE295=1,FE$228=1,$GV197=1),FE197,0))</f>
        <v>x</v>
      </c>
      <c r="FF380" s="52" t="str">
        <f>IF(FF197=-1,"x",IF(OR(FF295=1,FF$228=1,$GT197=1),FF197,0))</f>
        <v>x</v>
      </c>
      <c r="FG380" s="50" t="str">
        <f>IF(FG197=-1,"x",IF(OR(FG295=1,FG$228=1,$GU197=1),FG197,0))</f>
        <v>x</v>
      </c>
      <c r="FH380" s="51" t="str">
        <f>IF(FH197=-1,"x",IF(OR(FH295=1,FH$228=1,$GV197=1),FH197,0))</f>
        <v>x</v>
      </c>
      <c r="FI380" s="52" t="str">
        <f>IF(FI197=-1,"x",IF(OR(FI295=1,FI$228=1,$GT197=1),FI197,0))</f>
        <v>x</v>
      </c>
      <c r="FJ380" s="50" t="str">
        <f>IF(FJ197=-1,"x",IF(OR(FJ295=1,FJ$228=1,$GU197=1),FJ197,0))</f>
        <v>x</v>
      </c>
      <c r="FK380" s="105" t="str">
        <f>IF(FK197=-1,"x",IF(OR(FK295=1,FK$228=1,$GV197=1),FK197,0))</f>
        <v>x</v>
      </c>
      <c r="FL380" s="104" t="str">
        <f>IF(FL197=-1,"x",IF(OR(FL295=1,FL$228=1,$GT197=1),FL197,0))</f>
        <v>x</v>
      </c>
      <c r="FM380" s="50" t="str">
        <f>IF(FM197=-1,"x",IF(OR(FM295=1,FM$228=1,$GU197=1),FM197,0))</f>
        <v>x</v>
      </c>
      <c r="FN380" s="51" t="str">
        <f>IF(FN197=-1,"x",IF(OR(FN295=1,FN$228=1,$GV197=1),FN197,0))</f>
        <v>x</v>
      </c>
      <c r="FO380" s="52" t="str">
        <f>IF(FO197=-1,"x",IF(OR(FO295=1,FO$228=1,$GT197=1),FO197,0))</f>
        <v>x</v>
      </c>
      <c r="FP380" s="50" t="str">
        <f>IF(FP197=-1,"x",IF(OR(FP295=1,FP$228=1,$GU197=1),FP197,0))</f>
        <v>x</v>
      </c>
      <c r="FQ380" s="51" t="str">
        <f>IF(FQ197=-1,"x",IF(OR(FQ295=1,FQ$228=1,$GV197=1),FQ197,0))</f>
        <v>x</v>
      </c>
      <c r="FR380" s="52" t="str">
        <f>IF(FR197=-1,"x",IF(OR(FR295=1,FR$228=1,$GT197=1),FR197,0))</f>
        <v>x</v>
      </c>
      <c r="FS380" s="50" t="str">
        <f>IF(FS197=-1,"x",IF(OR(FS295=1,FS$228=1,$GU197=1),FS197,0))</f>
        <v>x</v>
      </c>
      <c r="FT380" s="53" t="str">
        <f>IF(FT197=-1,"x",IF(OR(FT295=1,FT$228=1,$GV197=1),FT197,0))</f>
        <v>x</v>
      </c>
      <c r="FU380" s="49" t="str">
        <f>IF(FU197=-1,"x",IF(OR(FU295=1,FU$228=1,$GT197=1),FU197,0))</f>
        <v>x</v>
      </c>
      <c r="FV380" s="50" t="str">
        <f>IF(FV197=-1,"x",IF(OR(FV295=1,FV$228=1,$GU197=1),FV197,0))</f>
        <v>x</v>
      </c>
      <c r="FW380" s="51" t="str">
        <f>IF(FW197=-1,"x",IF(OR(FW295=1,FW$228=1,$GV197=1),FW197,0))</f>
        <v>x</v>
      </c>
      <c r="FX380" s="52" t="str">
        <f>IF(FX197=-1,"x",IF(OR(FX295=1,FX$228=1,$GT197=1),FX197,0))</f>
        <v>x</v>
      </c>
      <c r="FY380" s="50" t="str">
        <f>IF(FY197=-1,"x",IF(OR(FY295=1,FY$228=1,$GU197=1),FY197,0))</f>
        <v>x</v>
      </c>
      <c r="FZ380" s="51" t="str">
        <f>IF(FZ197=-1,"x",IF(OR(FZ295=1,FZ$228=1,$GV197=1),FZ197,0))</f>
        <v>x</v>
      </c>
      <c r="GA380" s="52" t="str">
        <f>IF(GA197=-1,"x",IF(OR(GA295=1,GA$228=1,$GT197=1),GA197,0))</f>
        <v>x</v>
      </c>
      <c r="GB380" s="50" t="str">
        <f>IF(GB197=-1,"x",IF(OR(GB295=1,GB$228=1,$GU197=1),GB197,0))</f>
        <v>x</v>
      </c>
      <c r="GC380" s="53" t="str">
        <f>IF(GC197=-1,"x",IF(OR(GC295=1,GC$228=1,$GV197=1),GC197,0))</f>
        <v>x</v>
      </c>
      <c r="GD380" s="49" t="str">
        <f>IF(GD197=-1,"x",IF(OR(GD295=1,GD$228=1,$GT197=1),GD197,0))</f>
        <v>x</v>
      </c>
      <c r="GE380" s="50" t="str">
        <f>IF(GE197=-1,"x",IF(OR(GE295=1,GE$228=1,$GU197=1),GE197,0))</f>
        <v>x</v>
      </c>
      <c r="GF380" s="51" t="str">
        <f>IF(GF197=-1,"x",IF(OR(GF295=1,GF$228=1,$GV197=1),GF197,0))</f>
        <v>x</v>
      </c>
      <c r="GG380" s="52" t="str">
        <f>IF(GG197=-1,"x",IF(OR(GG295=1,GG$228=1,$GT197=1),GG197,0))</f>
        <v>x</v>
      </c>
      <c r="GH380" s="50" t="str">
        <f>IF(GH197=-1,"x",IF(OR(GH295=1,GH$228=1,$GU197=1),GH197,0))</f>
        <v>x</v>
      </c>
      <c r="GI380" s="51" t="str">
        <f>IF(GI197=-1,"x",IF(OR(GI295=1,GI$228=1,$GV197=1),GI197,0))</f>
        <v>x</v>
      </c>
      <c r="GJ380" s="52" t="str">
        <f>IF(GJ197=-1,"x",IF(OR(GJ295=1,GJ$228=1,$GT197=1),GJ197,0))</f>
        <v>x</v>
      </c>
      <c r="GK380" s="50" t="str">
        <f>IF(GK197=-1,"x",IF(OR(GK295=1,GK$228=1,$GU197=1),GK197,0))</f>
        <v>x</v>
      </c>
      <c r="GL380" s="105" t="str">
        <f>IF(GL197=-1,"x",IF(OR(GL295=1,GL$228=1,$GV197=1),GL197,0))</f>
        <v>x</v>
      </c>
    </row>
    <row r="381" spans="14:194" ht="15" customHeight="1">
      <c r="DJ381" s="94" t="str">
        <f>IF(DJ198=-1,"x",IF(OR(DJ296=1,DJ$229=1,$GT198=1),DJ198,0))</f>
        <v>x</v>
      </c>
      <c r="DK381" s="39" t="str">
        <f>IF(DK198=-1,"x",IF(OR(DK296=1,DK$229=1,$GU198=1),DK198,0))</f>
        <v>x</v>
      </c>
      <c r="DL381" s="41" t="str">
        <f>IF(DL198=-1,"x",IF(OR(DL296=1,DL$229=1,$GV198=1),DL198,0))</f>
        <v>x</v>
      </c>
      <c r="DM381" s="40" t="str">
        <f>IF(DM198=-1,"x",IF(OR(DM296=1,DM$229=1,$GT198=1),DM198,0))</f>
        <v>x</v>
      </c>
      <c r="DN381" s="39" t="str">
        <f>IF(DN198=-1,"x",IF(OR(DN296=1,DN$229=1,$GU198=1),DN198,0))</f>
        <v>x</v>
      </c>
      <c r="DO381" s="41" t="str">
        <f>IF(DO198=-1,"x",IF(OR(DO296=1,DO$229=1,$GV198=1),DO198,0))</f>
        <v>x</v>
      </c>
      <c r="DP381" s="40" t="str">
        <f>IF(DP198=-1,"x",IF(OR(DP296=1,DP$229=1,$GT198=1),DP198,0))</f>
        <v>x</v>
      </c>
      <c r="DQ381" s="39" t="str">
        <f>IF(DQ198=-1,"x",IF(OR(DQ296=1,DQ$229=1,$GU198=1),DQ198,0))</f>
        <v>x</v>
      </c>
      <c r="DR381" s="42" t="str">
        <f>IF(DR198=-1,"x",IF(OR(DR296=1,DR$229=1,$GV198=1),DR198,0))</f>
        <v>x</v>
      </c>
      <c r="DS381" s="43" t="str">
        <f>IF(DS198=-1,"x",IF(OR(DS296=1,DS$229=1,$GT198=1),DS198,0))</f>
        <v>x</v>
      </c>
      <c r="DT381" s="39" t="str">
        <f>IF(DT198=-1,"x",IF(OR(DT296=1,DT$229=1,$GU198=1),DT198,0))</f>
        <v>x</v>
      </c>
      <c r="DU381" s="41" t="str">
        <f>IF(DU198=-1,"x",IF(OR(DU296=1,DU$229=1,$GV198=1),DU198,0))</f>
        <v>x</v>
      </c>
      <c r="DV381" s="40" t="str">
        <f>IF(DV198=-1,"x",IF(OR(DV296=1,DV$229=1,$GT198=1),DV198,0))</f>
        <v>x</v>
      </c>
      <c r="DW381" s="39" t="str">
        <f>IF(DW198=-1,"x",IF(OR(DW296=1,DW$229=1,$GU198=1),DW198,0))</f>
        <v>x</v>
      </c>
      <c r="DX381" s="41" t="str">
        <f>IF(DX198=-1,"x",IF(OR(DX296=1,DX$229=1,$GV198=1),DX198,0))</f>
        <v>x</v>
      </c>
      <c r="DY381" s="40" t="str">
        <f>IF(DY198=-1,"x",IF(OR(DY296=1,DY$229=1,$GT198=1),DY198,0))</f>
        <v>x</v>
      </c>
      <c r="DZ381" s="39" t="str">
        <f>IF(DZ198=-1,"x",IF(OR(DZ296=1,DZ$229=1,$GU198=1),DZ198,0))</f>
        <v>x</v>
      </c>
      <c r="EA381" s="42" t="str">
        <f>IF(EA198=-1,"x",IF(OR(EA296=1,EA$229=1,$GV198=1),EA198,0))</f>
        <v>x</v>
      </c>
      <c r="EB381" s="43" t="str">
        <f>IF(EB198=-1,"x",IF(OR(EB296=1,EB$229=1,$GT198=1),EB198,0))</f>
        <v>x</v>
      </c>
      <c r="EC381" s="39" t="str">
        <f>IF(EC198=-1,"x",IF(OR(EC296=1,EC$229=1,$GU198=1),EC198,0))</f>
        <v>x</v>
      </c>
      <c r="ED381" s="41" t="str">
        <f>IF(ED198=-1,"x",IF(OR(ED296=1,ED$229=1,$GV198=1),ED198,0))</f>
        <v>x</v>
      </c>
      <c r="EE381" s="40" t="str">
        <f>IF(EE198=-1,"x",IF(OR(EE296=1,EE$229=1,$GT198=1),EE198,0))</f>
        <v>x</v>
      </c>
      <c r="EF381" s="39" t="str">
        <f>IF(EF198=-1,"x",IF(OR(EF296=1,EF$229=1,$GU198=1),EF198,0))</f>
        <v>x</v>
      </c>
      <c r="EG381" s="41" t="str">
        <f>IF(EG198=-1,"x",IF(OR(EG296=1,EG$229=1,$GV198=1),EG198,0))</f>
        <v>x</v>
      </c>
      <c r="EH381" s="40" t="str">
        <f>IF(EH198=-1,"x",IF(OR(EH296=1,EH$229=1,$GT198=1),EH198,0))</f>
        <v>x</v>
      </c>
      <c r="EI381" s="39" t="str">
        <f>IF(EI198=-1,"x",IF(OR(EI296=1,EI$229=1,$GU198=1),EI198,0))</f>
        <v>x</v>
      </c>
      <c r="EJ381" s="95" t="str">
        <f>IF(EJ198=-1,"x",IF(OR(EJ296=1,EJ$229=1,$GV198=1),EJ198,0))</f>
        <v>x</v>
      </c>
      <c r="EK381" s="94" t="str">
        <f>IF(EK198=-1,"x",IF(OR(EK296=1,EK$229=1,$GT198=1),EK198,0))</f>
        <v>x</v>
      </c>
      <c r="EL381" s="39" t="str">
        <f>IF(EL198=-1,"x",IF(OR(EL296=1,EL$229=1,$GU198=1),EL198,0))</f>
        <v>x</v>
      </c>
      <c r="EM381" s="41" t="str">
        <f>IF(EM198=-1,"x",IF(OR(EM296=1,EM$229=1,$GV198=1),EM198,0))</f>
        <v>x</v>
      </c>
      <c r="EN381" s="40" t="str">
        <f>IF(EN198=-1,"x",IF(OR(EN296=1,EN$229=1,$GT198=1),EN198,0))</f>
        <v>x</v>
      </c>
      <c r="EO381" s="39" t="str">
        <f>IF(EO198=-1,"x",IF(OR(EO296=1,EO$229=1,$GU198=1),EO198,0))</f>
        <v>x</v>
      </c>
      <c r="EP381" s="41" t="str">
        <f>IF(EP198=-1,"x",IF(OR(EP296=1,EP$229=1,$GV198=1),EP198,0))</f>
        <v>x</v>
      </c>
      <c r="EQ381" s="40" t="str">
        <f>IF(EQ198=-1,"x",IF(OR(EQ296=1,EQ$229=1,$GT198=1),EQ198,0))</f>
        <v>x</v>
      </c>
      <c r="ER381" s="39" t="str">
        <f>IF(ER198=-1,"x",IF(OR(ER296=1,ER$229=1,$GU198=1),ER198,0))</f>
        <v>x</v>
      </c>
      <c r="ES381" s="42" t="str">
        <f>IF(ES198=-1,"x",IF(OR(ES296=1,ES$229=1,$GV198=1),ES198,0))</f>
        <v>x</v>
      </c>
      <c r="ET381" s="43" t="str">
        <f>IF(ET198=-1,"x",IF(OR(ET296=1,ET$229=1,$GT198=1),ET198,0))</f>
        <v>x</v>
      </c>
      <c r="EU381" s="39" t="str">
        <f>IF(EU198=-1,"x",IF(OR(EU296=1,EU$229=1,$GU198=1),EU198,0))</f>
        <v>x</v>
      </c>
      <c r="EV381" s="41" t="str">
        <f>IF(EV198=-1,"x",IF(OR(EV296=1,EV$229=1,$GV198=1),EV198,0))</f>
        <v>x</v>
      </c>
      <c r="EW381" s="40" t="str">
        <f>IF(EW198=-1,"x",IF(OR(EW296=1,EW$229=1,$GT198=1),EW198,0))</f>
        <v>x</v>
      </c>
      <c r="EX381" s="39" t="str">
        <f>IF(EX198=-1,"x",IF(OR(EX296=1,EX$229=1,$GU198=1),EX198,0))</f>
        <v>x</v>
      </c>
      <c r="EY381" s="41" t="str">
        <f>IF(EY198=-1,"x",IF(OR(EY296=1,EY$229=1,$GV198=1),EY198,0))</f>
        <v>x</v>
      </c>
      <c r="EZ381" s="40" t="str">
        <f>IF(EZ198=-1,"x",IF(OR(EZ296=1,EZ$229=1,$GT198=1),EZ198,0))</f>
        <v>x</v>
      </c>
      <c r="FA381" s="39" t="str">
        <f>IF(FA198=-1,"x",IF(OR(FA296=1,FA$229=1,$GU198=1),FA198,0))</f>
        <v>x</v>
      </c>
      <c r="FB381" s="42" t="str">
        <f>IF(FB198=-1,"x",IF(OR(FB296=1,FB$229=1,$GV198=1),FB198,0))</f>
        <v>x</v>
      </c>
      <c r="FC381" s="43" t="str">
        <f>IF(FC198=-1,"x",IF(OR(FC296=1,FC$229=1,$GT198=1),FC198,0))</f>
        <v>x</v>
      </c>
      <c r="FD381" s="39" t="str">
        <f>IF(FD198=-1,"x",IF(OR(FD296=1,FD$229=1,$GU198=1),FD198,0))</f>
        <v>x</v>
      </c>
      <c r="FE381" s="41" t="str">
        <f>IF(FE198=-1,"x",IF(OR(FE296=1,FE$229=1,$GV198=1),FE198,0))</f>
        <v>x</v>
      </c>
      <c r="FF381" s="40" t="str">
        <f>IF(FF198=-1,"x",IF(OR(FF296=1,FF$229=1,$GT198=1),FF198,0))</f>
        <v>x</v>
      </c>
      <c r="FG381" s="39" t="str">
        <f>IF(FG198=-1,"x",IF(OR(FG296=1,FG$229=1,$GU198=1),FG198,0))</f>
        <v>x</v>
      </c>
      <c r="FH381" s="41" t="str">
        <f>IF(FH198=-1,"x",IF(OR(FH296=1,FH$229=1,$GV198=1),FH198,0))</f>
        <v>x</v>
      </c>
      <c r="FI381" s="40" t="str">
        <f>IF(FI198=-1,"x",IF(OR(FI296=1,FI$229=1,$GT198=1),FI198,0))</f>
        <v>x</v>
      </c>
      <c r="FJ381" s="39" t="str">
        <f>IF(FJ198=-1,"x",IF(OR(FJ296=1,FJ$229=1,$GU198=1),FJ198,0))</f>
        <v>x</v>
      </c>
      <c r="FK381" s="95" t="str">
        <f>IF(FK198=-1,"x",IF(OR(FK296=1,FK$229=1,$GV198=1),FK198,0))</f>
        <v>x</v>
      </c>
      <c r="FL381" s="94" t="str">
        <f>IF(FL198=-1,"x",IF(OR(FL296=1,FL$229=1,$GT198=1),FL198,0))</f>
        <v>x</v>
      </c>
      <c r="FM381" s="39" t="str">
        <f>IF(FM198=-1,"x",IF(OR(FM296=1,FM$229=1,$GU198=1),FM198,0))</f>
        <v>x</v>
      </c>
      <c r="FN381" s="41" t="str">
        <f>IF(FN198=-1,"x",IF(OR(FN296=1,FN$229=1,$GV198=1),FN198,0))</f>
        <v>x</v>
      </c>
      <c r="FO381" s="40" t="str">
        <f>IF(FO198=-1,"x",IF(OR(FO296=1,FO$229=1,$GT198=1),FO198,0))</f>
        <v>x</v>
      </c>
      <c r="FP381" s="39" t="str">
        <f>IF(FP198=-1,"x",IF(OR(FP296=1,FP$229=1,$GU198=1),FP198,0))</f>
        <v>x</v>
      </c>
      <c r="FQ381" s="41" t="str">
        <f>IF(FQ198=-1,"x",IF(OR(FQ296=1,FQ$229=1,$GV198=1),FQ198,0))</f>
        <v>x</v>
      </c>
      <c r="FR381" s="40" t="str">
        <f>IF(FR198=-1,"x",IF(OR(FR296=1,FR$229=1,$GT198=1),FR198,0))</f>
        <v>x</v>
      </c>
      <c r="FS381" s="39" t="str">
        <f>IF(FS198=-1,"x",IF(OR(FS296=1,FS$229=1,$GU198=1),FS198,0))</f>
        <v>x</v>
      </c>
      <c r="FT381" s="42" t="str">
        <f>IF(FT198=-1,"x",IF(OR(FT296=1,FT$229=1,$GV198=1),FT198,0))</f>
        <v>x</v>
      </c>
      <c r="FU381" s="43" t="str">
        <f>IF(FU198=-1,"x",IF(OR(FU296=1,FU$229=1,$GT198=1),FU198,0))</f>
        <v>x</v>
      </c>
      <c r="FV381" s="39" t="str">
        <f>IF(FV198=-1,"x",IF(OR(FV296=1,FV$229=1,$GU198=1),FV198,0))</f>
        <v>x</v>
      </c>
      <c r="FW381" s="41" t="str">
        <f>IF(FW198=-1,"x",IF(OR(FW296=1,FW$229=1,$GV198=1),FW198,0))</f>
        <v>x</v>
      </c>
      <c r="FX381" s="40" t="str">
        <f>IF(FX198=-1,"x",IF(OR(FX296=1,FX$229=1,$GT198=1),FX198,0))</f>
        <v>x</v>
      </c>
      <c r="FY381" s="39" t="str">
        <f>IF(FY198=-1,"x",IF(OR(FY296=1,FY$229=1,$GU198=1),FY198,0))</f>
        <v>x</v>
      </c>
      <c r="FZ381" s="41" t="str">
        <f>IF(FZ198=-1,"x",IF(OR(FZ296=1,FZ$229=1,$GV198=1),FZ198,0))</f>
        <v>x</v>
      </c>
      <c r="GA381" s="40" t="str">
        <f>IF(GA198=-1,"x",IF(OR(GA296=1,GA$229=1,$GT198=1),GA198,0))</f>
        <v>x</v>
      </c>
      <c r="GB381" s="39" t="str">
        <f>IF(GB198=-1,"x",IF(OR(GB296=1,GB$229=1,$GU198=1),GB198,0))</f>
        <v>x</v>
      </c>
      <c r="GC381" s="42" t="str">
        <f>IF(GC198=-1,"x",IF(OR(GC296=1,GC$229=1,$GV198=1),GC198,0))</f>
        <v>x</v>
      </c>
      <c r="GD381" s="43" t="str">
        <f>IF(GD198=-1,"x",IF(OR(GD296=1,GD$229=1,$GT198=1),GD198,0))</f>
        <v>x</v>
      </c>
      <c r="GE381" s="39" t="str">
        <f>IF(GE198=-1,"x",IF(OR(GE296=1,GE$229=1,$GU198=1),GE198,0))</f>
        <v>x</v>
      </c>
      <c r="GF381" s="41" t="str">
        <f>IF(GF198=-1,"x",IF(OR(GF296=1,GF$229=1,$GV198=1),GF198,0))</f>
        <v>x</v>
      </c>
      <c r="GG381" s="40" t="str">
        <f>IF(GG198=-1,"x",IF(OR(GG296=1,GG$229=1,$GT198=1),GG198,0))</f>
        <v>x</v>
      </c>
      <c r="GH381" s="39" t="str">
        <f>IF(GH198=-1,"x",IF(OR(GH296=1,GH$229=1,$GU198=1),GH198,0))</f>
        <v>x</v>
      </c>
      <c r="GI381" s="41" t="str">
        <f>IF(GI198=-1,"x",IF(OR(GI296=1,GI$229=1,$GV198=1),GI198,0))</f>
        <v>x</v>
      </c>
      <c r="GJ381" s="40" t="str">
        <f>IF(GJ198=-1,"x",IF(OR(GJ296=1,GJ$229=1,$GT198=1),GJ198,0))</f>
        <v>x</v>
      </c>
      <c r="GK381" s="39" t="str">
        <f>IF(GK198=-1,"x",IF(OR(GK296=1,GK$229=1,$GU198=1),GK198,0))</f>
        <v>x</v>
      </c>
      <c r="GL381" s="95" t="str">
        <f>IF(GL198=-1,"x",IF(OR(GL296=1,GL$229=1,$GV198=1),GL198,0))</f>
        <v>x</v>
      </c>
    </row>
    <row r="382" spans="14:194" ht="15" customHeight="1">
      <c r="DJ382" s="99" t="str">
        <f>IF(DJ199=-1,"x",IF(OR(DJ297=1,DJ$230=1,$GT199=1),DJ199,0))</f>
        <v>x</v>
      </c>
      <c r="DK382" s="45" t="str">
        <f>IF(DK199=-1,"x",IF(OR(DK297=1,DK$230=1,$GU199=1),DK199,0))</f>
        <v>x</v>
      </c>
      <c r="DL382" s="47" t="str">
        <f>IF(DL199=-1,"x",IF(OR(DL297=1,DL$230=1,$GV199=1),DL199,0))</f>
        <v>x</v>
      </c>
      <c r="DM382" s="46" t="str">
        <f>IF(DM199=-1,"x",IF(OR(DM297=1,DM$230=1,$GT199=1),DM199,0))</f>
        <v>x</v>
      </c>
      <c r="DN382" s="45" t="str">
        <f>IF(DN199=-1,"x",IF(OR(DN297=1,DN$230=1,$GU199=1),DN199,0))</f>
        <v>x</v>
      </c>
      <c r="DO382" s="47" t="str">
        <f>IF(DO199=-1,"x",IF(OR(DO297=1,DO$230=1,$GV199=1),DO199,0))</f>
        <v>x</v>
      </c>
      <c r="DP382" s="46" t="str">
        <f>IF(DP199=-1,"x",IF(OR(DP297=1,DP$230=1,$GT199=1),DP199,0))</f>
        <v>x</v>
      </c>
      <c r="DQ382" s="45" t="str">
        <f>IF(DQ199=-1,"x",IF(OR(DQ297=1,DQ$230=1,$GU199=1),DQ199,0))</f>
        <v>x</v>
      </c>
      <c r="DR382" s="48" t="str">
        <f>IF(DR199=-1,"x",IF(OR(DR297=1,DR$230=1,$GV199=1),DR199,0))</f>
        <v>x</v>
      </c>
      <c r="DS382" s="44" t="str">
        <f>IF(DS199=-1,"x",IF(OR(DS297=1,DS$230=1,$GT199=1),DS199,0))</f>
        <v>x</v>
      </c>
      <c r="DT382" s="45" t="str">
        <f>IF(DT199=-1,"x",IF(OR(DT297=1,DT$230=1,$GU199=1),DT199,0))</f>
        <v>x</v>
      </c>
      <c r="DU382" s="47" t="str">
        <f>IF(DU199=-1,"x",IF(OR(DU297=1,DU$230=1,$GV199=1),DU199,0))</f>
        <v>x</v>
      </c>
      <c r="DV382" s="46" t="str">
        <f>IF(DV199=-1,"x",IF(OR(DV297=1,DV$230=1,$GT199=1),DV199,0))</f>
        <v>x</v>
      </c>
      <c r="DW382" s="45" t="str">
        <f>IF(DW199=-1,"x",IF(OR(DW297=1,DW$230=1,$GU199=1),DW199,0))</f>
        <v>x</v>
      </c>
      <c r="DX382" s="47" t="str">
        <f>IF(DX199=-1,"x",IF(OR(DX297=1,DX$230=1,$GV199=1),DX199,0))</f>
        <v>x</v>
      </c>
      <c r="DY382" s="46" t="str">
        <f>IF(DY199=-1,"x",IF(OR(DY297=1,DY$230=1,$GT199=1),DY199,0))</f>
        <v>x</v>
      </c>
      <c r="DZ382" s="45" t="str">
        <f>IF(DZ199=-1,"x",IF(OR(DZ297=1,DZ$230=1,$GU199=1),DZ199,0))</f>
        <v>x</v>
      </c>
      <c r="EA382" s="48" t="str">
        <f>IF(EA199=-1,"x",IF(OR(EA297=1,EA$230=1,$GV199=1),EA199,0))</f>
        <v>x</v>
      </c>
      <c r="EB382" s="44" t="str">
        <f>IF(EB199=-1,"x",IF(OR(EB297=1,EB$230=1,$GT199=1),EB199,0))</f>
        <v>x</v>
      </c>
      <c r="EC382" s="45" t="str">
        <f>IF(EC199=-1,"x",IF(OR(EC297=1,EC$230=1,$GU199=1),EC199,0))</f>
        <v>x</v>
      </c>
      <c r="ED382" s="47" t="str">
        <f>IF(ED199=-1,"x",IF(OR(ED297=1,ED$230=1,$GV199=1),ED199,0))</f>
        <v>x</v>
      </c>
      <c r="EE382" s="46" t="str">
        <f>IF(EE199=-1,"x",IF(OR(EE297=1,EE$230=1,$GT199=1),EE199,0))</f>
        <v>x</v>
      </c>
      <c r="EF382" s="45" t="str">
        <f>IF(EF199=-1,"x",IF(OR(EF297=1,EF$230=1,$GU199=1),EF199,0))</f>
        <v>x</v>
      </c>
      <c r="EG382" s="47" t="str">
        <f>IF(EG199=-1,"x",IF(OR(EG297=1,EG$230=1,$GV199=1),EG199,0))</f>
        <v>x</v>
      </c>
      <c r="EH382" s="46" t="str">
        <f>IF(EH199=-1,"x",IF(OR(EH297=1,EH$230=1,$GT199=1),EH199,0))</f>
        <v>x</v>
      </c>
      <c r="EI382" s="45" t="str">
        <f>IF(EI199=-1,"x",IF(OR(EI297=1,EI$230=1,$GU199=1),EI199,0))</f>
        <v>x</v>
      </c>
      <c r="EJ382" s="100" t="str">
        <f>IF(EJ199=-1,"x",IF(OR(EJ297=1,EJ$230=1,$GV199=1),EJ199,0))</f>
        <v>x</v>
      </c>
      <c r="EK382" s="99" t="str">
        <f>IF(EK199=-1,"x",IF(OR(EK297=1,EK$230=1,$GT199=1),EK199,0))</f>
        <v>x</v>
      </c>
      <c r="EL382" s="45" t="str">
        <f>IF(EL199=-1,"x",IF(OR(EL297=1,EL$230=1,$GU199=1),EL199,0))</f>
        <v>x</v>
      </c>
      <c r="EM382" s="47" t="str">
        <f>IF(EM199=-1,"x",IF(OR(EM297=1,EM$230=1,$GV199=1),EM199,0))</f>
        <v>x</v>
      </c>
      <c r="EN382" s="46" t="str">
        <f>IF(EN199=-1,"x",IF(OR(EN297=1,EN$230=1,$GT199=1),EN199,0))</f>
        <v>x</v>
      </c>
      <c r="EO382" s="45" t="str">
        <f>IF(EO199=-1,"x",IF(OR(EO297=1,EO$230=1,$GU199=1),EO199,0))</f>
        <v>x</v>
      </c>
      <c r="EP382" s="47" t="str">
        <f>IF(EP199=-1,"x",IF(OR(EP297=1,EP$230=1,$GV199=1),EP199,0))</f>
        <v>x</v>
      </c>
      <c r="EQ382" s="46" t="str">
        <f>IF(EQ199=-1,"x",IF(OR(EQ297=1,EQ$230=1,$GT199=1),EQ199,0))</f>
        <v>x</v>
      </c>
      <c r="ER382" s="45" t="str">
        <f>IF(ER199=-1,"x",IF(OR(ER297=1,ER$230=1,$GU199=1),ER199,0))</f>
        <v>x</v>
      </c>
      <c r="ES382" s="48" t="str">
        <f>IF(ES199=-1,"x",IF(OR(ES297=1,ES$230=1,$GV199=1),ES199,0))</f>
        <v>x</v>
      </c>
      <c r="ET382" s="44" t="str">
        <f>IF(ET199=-1,"x",IF(OR(ET297=1,ET$230=1,$GT199=1),ET199,0))</f>
        <v>x</v>
      </c>
      <c r="EU382" s="45" t="str">
        <f>IF(EU199=-1,"x",IF(OR(EU297=1,EU$230=1,$GU199=1),EU199,0))</f>
        <v>x</v>
      </c>
      <c r="EV382" s="47" t="str">
        <f>IF(EV199=-1,"x",IF(OR(EV297=1,EV$230=1,$GV199=1),EV199,0))</f>
        <v>x</v>
      </c>
      <c r="EW382" s="46" t="str">
        <f>IF(EW199=-1,"x",IF(OR(EW297=1,EW$230=1,$GT199=1),EW199,0))</f>
        <v>x</v>
      </c>
      <c r="EX382" s="45" t="str">
        <f>IF(EX199=-1,"x",IF(OR(EX297=1,EX$230=1,$GU199=1),EX199,0))</f>
        <v>x</v>
      </c>
      <c r="EY382" s="47" t="str">
        <f>IF(EY199=-1,"x",IF(OR(EY297=1,EY$230=1,$GV199=1),EY199,0))</f>
        <v>x</v>
      </c>
      <c r="EZ382" s="46" t="str">
        <f>IF(EZ199=-1,"x",IF(OR(EZ297=1,EZ$230=1,$GT199=1),EZ199,0))</f>
        <v>x</v>
      </c>
      <c r="FA382" s="45" t="str">
        <f>IF(FA199=-1,"x",IF(OR(FA297=1,FA$230=1,$GU199=1),FA199,0))</f>
        <v>x</v>
      </c>
      <c r="FB382" s="48" t="str">
        <f>IF(FB199=-1,"x",IF(OR(FB297=1,FB$230=1,$GV199=1),FB199,0))</f>
        <v>x</v>
      </c>
      <c r="FC382" s="44" t="str">
        <f>IF(FC199=-1,"x",IF(OR(FC297=1,FC$230=1,$GT199=1),FC199,0))</f>
        <v>x</v>
      </c>
      <c r="FD382" s="45" t="str">
        <f>IF(FD199=-1,"x",IF(OR(FD297=1,FD$230=1,$GU199=1),FD199,0))</f>
        <v>x</v>
      </c>
      <c r="FE382" s="47" t="str">
        <f>IF(FE199=-1,"x",IF(OR(FE297=1,FE$230=1,$GV199=1),FE199,0))</f>
        <v>x</v>
      </c>
      <c r="FF382" s="46" t="str">
        <f>IF(FF199=-1,"x",IF(OR(FF297=1,FF$230=1,$GT199=1),FF199,0))</f>
        <v>x</v>
      </c>
      <c r="FG382" s="45" t="str">
        <f>IF(FG199=-1,"x",IF(OR(FG297=1,FG$230=1,$GU199=1),FG199,0))</f>
        <v>x</v>
      </c>
      <c r="FH382" s="47" t="str">
        <f>IF(FH199=-1,"x",IF(OR(FH297=1,FH$230=1,$GV199=1),FH199,0))</f>
        <v>x</v>
      </c>
      <c r="FI382" s="46" t="str">
        <f>IF(FI199=-1,"x",IF(OR(FI297=1,FI$230=1,$GT199=1),FI199,0))</f>
        <v>x</v>
      </c>
      <c r="FJ382" s="45" t="str">
        <f>IF(FJ199=-1,"x",IF(OR(FJ297=1,FJ$230=1,$GU199=1),FJ199,0))</f>
        <v>x</v>
      </c>
      <c r="FK382" s="100" t="str">
        <f>IF(FK199=-1,"x",IF(OR(FK297=1,FK$230=1,$GV199=1),FK199,0))</f>
        <v>x</v>
      </c>
      <c r="FL382" s="99" t="str">
        <f>IF(FL199=-1,"x",IF(OR(FL297=1,FL$230=1,$GT199=1),FL199,0))</f>
        <v>x</v>
      </c>
      <c r="FM382" s="45" t="str">
        <f>IF(FM199=-1,"x",IF(OR(FM297=1,FM$230=1,$GU199=1),FM199,0))</f>
        <v>x</v>
      </c>
      <c r="FN382" s="47" t="str">
        <f>IF(FN199=-1,"x",IF(OR(FN297=1,FN$230=1,$GV199=1),FN199,0))</f>
        <v>x</v>
      </c>
      <c r="FO382" s="46" t="str">
        <f>IF(FO199=-1,"x",IF(OR(FO297=1,FO$230=1,$GT199=1),FO199,0))</f>
        <v>x</v>
      </c>
      <c r="FP382" s="45" t="str">
        <f>IF(FP199=-1,"x",IF(OR(FP297=1,FP$230=1,$GU199=1),FP199,0))</f>
        <v>x</v>
      </c>
      <c r="FQ382" s="47" t="str">
        <f>IF(FQ199=-1,"x",IF(OR(FQ297=1,FQ$230=1,$GV199=1),FQ199,0))</f>
        <v>x</v>
      </c>
      <c r="FR382" s="46" t="str">
        <f>IF(FR199=-1,"x",IF(OR(FR297=1,FR$230=1,$GT199=1),FR199,0))</f>
        <v>x</v>
      </c>
      <c r="FS382" s="45" t="str">
        <f>IF(FS199=-1,"x",IF(OR(FS297=1,FS$230=1,$GU199=1),FS199,0))</f>
        <v>x</v>
      </c>
      <c r="FT382" s="48" t="str">
        <f>IF(FT199=-1,"x",IF(OR(FT297=1,FT$230=1,$GV199=1),FT199,0))</f>
        <v>x</v>
      </c>
      <c r="FU382" s="44" t="str">
        <f>IF(FU199=-1,"x",IF(OR(FU297=1,FU$230=1,$GT199=1),FU199,0))</f>
        <v>x</v>
      </c>
      <c r="FV382" s="45" t="str">
        <f>IF(FV199=-1,"x",IF(OR(FV297=1,FV$230=1,$GU199=1),FV199,0))</f>
        <v>x</v>
      </c>
      <c r="FW382" s="47" t="str">
        <f>IF(FW199=-1,"x",IF(OR(FW297=1,FW$230=1,$GV199=1),FW199,0))</f>
        <v>x</v>
      </c>
      <c r="FX382" s="46" t="str">
        <f>IF(FX199=-1,"x",IF(OR(FX297=1,FX$230=1,$GT199=1),FX199,0))</f>
        <v>x</v>
      </c>
      <c r="FY382" s="45" t="str">
        <f>IF(FY199=-1,"x",IF(OR(FY297=1,FY$230=1,$GU199=1),FY199,0))</f>
        <v>x</v>
      </c>
      <c r="FZ382" s="47" t="str">
        <f>IF(FZ199=-1,"x",IF(OR(FZ297=1,FZ$230=1,$GV199=1),FZ199,0))</f>
        <v>x</v>
      </c>
      <c r="GA382" s="46" t="str">
        <f>IF(GA199=-1,"x",IF(OR(GA297=1,GA$230=1,$GT199=1),GA199,0))</f>
        <v>x</v>
      </c>
      <c r="GB382" s="45" t="str">
        <f>IF(GB199=-1,"x",IF(OR(GB297=1,GB$230=1,$GU199=1),GB199,0))</f>
        <v>x</v>
      </c>
      <c r="GC382" s="48" t="str">
        <f>IF(GC199=-1,"x",IF(OR(GC297=1,GC$230=1,$GV199=1),GC199,0))</f>
        <v>x</v>
      </c>
      <c r="GD382" s="44" t="str">
        <f>IF(GD199=-1,"x",IF(OR(GD297=1,GD$230=1,$GT199=1),GD199,0))</f>
        <v>x</v>
      </c>
      <c r="GE382" s="45" t="str">
        <f>IF(GE199=-1,"x",IF(OR(GE297=1,GE$230=1,$GU199=1),GE199,0))</f>
        <v>x</v>
      </c>
      <c r="GF382" s="47" t="str">
        <f>IF(GF199=-1,"x",IF(OR(GF297=1,GF$230=1,$GV199=1),GF199,0))</f>
        <v>x</v>
      </c>
      <c r="GG382" s="46" t="str">
        <f>IF(GG199=-1,"x",IF(OR(GG297=1,GG$230=1,$GT199=1),GG199,0))</f>
        <v>x</v>
      </c>
      <c r="GH382" s="45" t="str">
        <f>IF(GH199=-1,"x",IF(OR(GH297=1,GH$230=1,$GU199=1),GH199,0))</f>
        <v>x</v>
      </c>
      <c r="GI382" s="47" t="str">
        <f>IF(GI199=-1,"x",IF(OR(GI297=1,GI$230=1,$GV199=1),GI199,0))</f>
        <v>x</v>
      </c>
      <c r="GJ382" s="46" t="str">
        <f>IF(GJ199=-1,"x",IF(OR(GJ297=1,GJ$230=1,$GT199=1),GJ199,0))</f>
        <v>x</v>
      </c>
      <c r="GK382" s="45" t="str">
        <f>IF(GK199=-1,"x",IF(OR(GK297=1,GK$230=1,$GU199=1),GK199,0))</f>
        <v>x</v>
      </c>
      <c r="GL382" s="100" t="str">
        <f>IF(GL199=-1,"x",IF(OR(GL297=1,GL$230=1,$GV199=1),GL199,0))</f>
        <v>x</v>
      </c>
    </row>
    <row r="383" spans="14:194" ht="15" customHeight="1">
      <c r="DJ383" s="104" t="str">
        <f>IF(DJ200=-1,"x",IF(OR(DJ298=1,DJ$228=1,$GT200=1),DJ200,0))</f>
        <v>x</v>
      </c>
      <c r="DK383" s="50" t="str">
        <f>IF(DK200=-1,"x",IF(OR(DK298=1,DK$228=1,$GU200=1),DK200,0))</f>
        <v>x</v>
      </c>
      <c r="DL383" s="51" t="str">
        <f>IF(DL200=-1,"x",IF(OR(DL298=1,DL$228=1,$GV200=1),DL200,0))</f>
        <v>x</v>
      </c>
      <c r="DM383" s="52" t="str">
        <f>IF(DM200=-1,"x",IF(OR(DM298=1,DM$228=1,$GT200=1),DM200,0))</f>
        <v>x</v>
      </c>
      <c r="DN383" s="50" t="str">
        <f>IF(DN200=-1,"x",IF(OR(DN298=1,DN$228=1,$GU200=1),DN200,0))</f>
        <v>x</v>
      </c>
      <c r="DO383" s="51" t="str">
        <f>IF(DO200=-1,"x",IF(OR(DO298=1,DO$228=1,$GV200=1),DO200,0))</f>
        <v>x</v>
      </c>
      <c r="DP383" s="52" t="str">
        <f>IF(DP200=-1,"x",IF(OR(DP298=1,DP$228=1,$GT200=1),DP200,0))</f>
        <v>x</v>
      </c>
      <c r="DQ383" s="50" t="str">
        <f>IF(DQ200=-1,"x",IF(OR(DQ298=1,DQ$228=1,$GU200=1),DQ200,0))</f>
        <v>x</v>
      </c>
      <c r="DR383" s="53" t="str">
        <f>IF(DR200=-1,"x",IF(OR(DR298=1,DR$228=1,$GV200=1),DR200,0))</f>
        <v>x</v>
      </c>
      <c r="DS383" s="49" t="str">
        <f>IF(DS200=-1,"x",IF(OR(DS298=1,DS$228=1,$GT200=1),DS200,0))</f>
        <v>x</v>
      </c>
      <c r="DT383" s="50" t="str">
        <f>IF(DT200=-1,"x",IF(OR(DT298=1,DT$228=1,$GU200=1),DT200,0))</f>
        <v>x</v>
      </c>
      <c r="DU383" s="51" t="str">
        <f>IF(DU200=-1,"x",IF(OR(DU298=1,DU$228=1,$GV200=1),DU200,0))</f>
        <v>x</v>
      </c>
      <c r="DV383" s="52" t="str">
        <f>IF(DV200=-1,"x",IF(OR(DV298=1,DV$228=1,$GT200=1),DV200,0))</f>
        <v>x</v>
      </c>
      <c r="DW383" s="50" t="str">
        <f>IF(DW200=-1,"x",IF(OR(DW298=1,DW$228=1,$GU200=1),DW200,0))</f>
        <v>x</v>
      </c>
      <c r="DX383" s="51" t="str">
        <f>IF(DX200=-1,"x",IF(OR(DX298=1,DX$228=1,$GV200=1),DX200,0))</f>
        <v>x</v>
      </c>
      <c r="DY383" s="52" t="str">
        <f>IF(DY200=-1,"x",IF(OR(DY298=1,DY$228=1,$GT200=1),DY200,0))</f>
        <v>x</v>
      </c>
      <c r="DZ383" s="50" t="str">
        <f>IF(DZ200=-1,"x",IF(OR(DZ298=1,DZ$228=1,$GU200=1),DZ200,0))</f>
        <v>x</v>
      </c>
      <c r="EA383" s="53" t="str">
        <f>IF(EA200=-1,"x",IF(OR(EA298=1,EA$228=1,$GV200=1),EA200,0))</f>
        <v>x</v>
      </c>
      <c r="EB383" s="49" t="str">
        <f>IF(EB200=-1,"x",IF(OR(EB298=1,EB$228=1,$GT200=1),EB200,0))</f>
        <v>x</v>
      </c>
      <c r="EC383" s="50" t="str">
        <f>IF(EC200=-1,"x",IF(OR(EC298=1,EC$228=1,$GU200=1),EC200,0))</f>
        <v>x</v>
      </c>
      <c r="ED383" s="51" t="str">
        <f>IF(ED200=-1,"x",IF(OR(ED298=1,ED$228=1,$GV200=1),ED200,0))</f>
        <v>x</v>
      </c>
      <c r="EE383" s="52" t="str">
        <f>IF(EE200=-1,"x",IF(OR(EE298=1,EE$228=1,$GT200=1),EE200,0))</f>
        <v>x</v>
      </c>
      <c r="EF383" s="50" t="str">
        <f>IF(EF200=-1,"x",IF(OR(EF298=1,EF$228=1,$GU200=1),EF200,0))</f>
        <v>x</v>
      </c>
      <c r="EG383" s="51" t="str">
        <f>IF(EG200=-1,"x",IF(OR(EG298=1,EG$228=1,$GV200=1),EG200,0))</f>
        <v>x</v>
      </c>
      <c r="EH383" s="52" t="str">
        <f>IF(EH200=-1,"x",IF(OR(EH298=1,EH$228=1,$GT200=1),EH200,0))</f>
        <v>x</v>
      </c>
      <c r="EI383" s="50" t="str">
        <f>IF(EI200=-1,"x",IF(OR(EI298=1,EI$228=1,$GU200=1),EI200,0))</f>
        <v>x</v>
      </c>
      <c r="EJ383" s="105" t="str">
        <f>IF(EJ200=-1,"x",IF(OR(EJ298=1,EJ$228=1,$GV200=1),EJ200,0))</f>
        <v>x</v>
      </c>
      <c r="EK383" s="104" t="str">
        <f>IF(EK200=-1,"x",IF(OR(EK298=1,EK$228=1,$GT200=1),EK200,0))</f>
        <v>x</v>
      </c>
      <c r="EL383" s="50" t="str">
        <f>IF(EL200=-1,"x",IF(OR(EL298=1,EL$228=1,$GU200=1),EL200,0))</f>
        <v>x</v>
      </c>
      <c r="EM383" s="51" t="str">
        <f>IF(EM200=-1,"x",IF(OR(EM298=1,EM$228=1,$GV200=1),EM200,0))</f>
        <v>x</v>
      </c>
      <c r="EN383" s="52" t="str">
        <f>IF(EN200=-1,"x",IF(OR(EN298=1,EN$228=1,$GT200=1),EN200,0))</f>
        <v>x</v>
      </c>
      <c r="EO383" s="50" t="str">
        <f>IF(EO200=-1,"x",IF(OR(EO298=1,EO$228=1,$GU200=1),EO200,0))</f>
        <v>x</v>
      </c>
      <c r="EP383" s="51" t="str">
        <f>IF(EP200=-1,"x",IF(OR(EP298=1,EP$228=1,$GV200=1),EP200,0))</f>
        <v>x</v>
      </c>
      <c r="EQ383" s="52" t="str">
        <f>IF(EQ200=-1,"x",IF(OR(EQ298=1,EQ$228=1,$GT200=1),EQ200,0))</f>
        <v>x</v>
      </c>
      <c r="ER383" s="50" t="str">
        <f>IF(ER200=-1,"x",IF(OR(ER298=1,ER$228=1,$GU200=1),ER200,0))</f>
        <v>x</v>
      </c>
      <c r="ES383" s="53" t="str">
        <f>IF(ES200=-1,"x",IF(OR(ES298=1,ES$228=1,$GV200=1),ES200,0))</f>
        <v>x</v>
      </c>
      <c r="ET383" s="49" t="str">
        <f>IF(ET200=-1,"x",IF(OR(ET298=1,ET$228=1,$GT200=1),ET200,0))</f>
        <v>x</v>
      </c>
      <c r="EU383" s="50" t="str">
        <f>IF(EU200=-1,"x",IF(OR(EU298=1,EU$228=1,$GU200=1),EU200,0))</f>
        <v>x</v>
      </c>
      <c r="EV383" s="51" t="str">
        <f>IF(EV200=-1,"x",IF(OR(EV298=1,EV$228=1,$GV200=1),EV200,0))</f>
        <v>x</v>
      </c>
      <c r="EW383" s="52" t="str">
        <f>IF(EW200=-1,"x",IF(OR(EW298=1,EW$228=1,$GT200=1),EW200,0))</f>
        <v>x</v>
      </c>
      <c r="EX383" s="50" t="str">
        <f>IF(EX200=-1,"x",IF(OR(EX298=1,EX$228=1,$GU200=1),EX200,0))</f>
        <v>x</v>
      </c>
      <c r="EY383" s="51" t="str">
        <f>IF(EY200=-1,"x",IF(OR(EY298=1,EY$228=1,$GV200=1),EY200,0))</f>
        <v>x</v>
      </c>
      <c r="EZ383" s="52">
        <f>IF(EZ200=-1,"x",IF(OR(EZ298=1,EZ$228=1,$GT200=1),EZ200,0))</f>
        <v>0</v>
      </c>
      <c r="FA383" s="50">
        <f>IF(FA200=-1,"x",IF(OR(FA298=1,FA$228=1,$GU200=1),FA200,0))</f>
        <v>0</v>
      </c>
      <c r="FB383" s="53">
        <f>IF(FB200=-1,"x",IF(OR(FB298=1,FB$228=1,$GV200=1),FB200,0))</f>
        <v>0</v>
      </c>
      <c r="FC383" s="49" t="str">
        <f>IF(FC200=-1,"x",IF(OR(FC298=1,FC$228=1,$GT200=1),FC200,0))</f>
        <v>x</v>
      </c>
      <c r="FD383" s="50" t="str">
        <f>IF(FD200=-1,"x",IF(OR(FD298=1,FD$228=1,$GU200=1),FD200,0))</f>
        <v>x</v>
      </c>
      <c r="FE383" s="51" t="str">
        <f>IF(FE200=-1,"x",IF(OR(FE298=1,FE$228=1,$GV200=1),FE200,0))</f>
        <v>x</v>
      </c>
      <c r="FF383" s="52" t="str">
        <f>IF(FF200=-1,"x",IF(OR(FF298=1,FF$228=1,$GT200=1),FF200,0))</f>
        <v>x</v>
      </c>
      <c r="FG383" s="50" t="str">
        <f>IF(FG200=-1,"x",IF(OR(FG298=1,FG$228=1,$GU200=1),FG200,0))</f>
        <v>x</v>
      </c>
      <c r="FH383" s="51" t="str">
        <f>IF(FH200=-1,"x",IF(OR(FH298=1,FH$228=1,$GV200=1),FH200,0))</f>
        <v>x</v>
      </c>
      <c r="FI383" s="52" t="str">
        <f>IF(FI200=-1,"x",IF(OR(FI298=1,FI$228=1,$GT200=1),FI200,0))</f>
        <v>x</v>
      </c>
      <c r="FJ383" s="50" t="str">
        <f>IF(FJ200=-1,"x",IF(OR(FJ298=1,FJ$228=1,$GU200=1),FJ200,0))</f>
        <v>x</v>
      </c>
      <c r="FK383" s="105" t="str">
        <f>IF(FK200=-1,"x",IF(OR(FK298=1,FK$228=1,$GV200=1),FK200,0))</f>
        <v>x</v>
      </c>
      <c r="FL383" s="104" t="str">
        <f>IF(FL200=-1,"x",IF(OR(FL298=1,FL$228=1,$GT200=1),FL200,0))</f>
        <v>x</v>
      </c>
      <c r="FM383" s="50" t="str">
        <f>IF(FM200=-1,"x",IF(OR(FM298=1,FM$228=1,$GU200=1),FM200,0))</f>
        <v>x</v>
      </c>
      <c r="FN383" s="51" t="str">
        <f>IF(FN200=-1,"x",IF(OR(FN298=1,FN$228=1,$GV200=1),FN200,0))</f>
        <v>x</v>
      </c>
      <c r="FO383" s="52" t="str">
        <f>IF(FO200=-1,"x",IF(OR(FO298=1,FO$228=1,$GT200=1),FO200,0))</f>
        <v>x</v>
      </c>
      <c r="FP383" s="50" t="str">
        <f>IF(FP200=-1,"x",IF(OR(FP298=1,FP$228=1,$GU200=1),FP200,0))</f>
        <v>x</v>
      </c>
      <c r="FQ383" s="51" t="str">
        <f>IF(FQ200=-1,"x",IF(OR(FQ298=1,FQ$228=1,$GV200=1),FQ200,0))</f>
        <v>x</v>
      </c>
      <c r="FR383" s="52" t="str">
        <f>IF(FR200=-1,"x",IF(OR(FR298=1,FR$228=1,$GT200=1),FR200,0))</f>
        <v>x</v>
      </c>
      <c r="FS383" s="50" t="str">
        <f>IF(FS200=-1,"x",IF(OR(FS298=1,FS$228=1,$GU200=1),FS200,0))</f>
        <v>x</v>
      </c>
      <c r="FT383" s="53" t="str">
        <f>IF(FT200=-1,"x",IF(OR(FT298=1,FT$228=1,$GV200=1),FT200,0))</f>
        <v>x</v>
      </c>
      <c r="FU383" s="49" t="str">
        <f>IF(FU200=-1,"x",IF(OR(FU298=1,FU$228=1,$GT200=1),FU200,0))</f>
        <v>x</v>
      </c>
      <c r="FV383" s="50" t="str">
        <f>IF(FV200=-1,"x",IF(OR(FV298=1,FV$228=1,$GU200=1),FV200,0))</f>
        <v>x</v>
      </c>
      <c r="FW383" s="51" t="str">
        <f>IF(FW200=-1,"x",IF(OR(FW298=1,FW$228=1,$GV200=1),FW200,0))</f>
        <v>x</v>
      </c>
      <c r="FX383" s="52" t="str">
        <f>IF(FX200=-1,"x",IF(OR(FX298=1,FX$228=1,$GT200=1),FX200,0))</f>
        <v>x</v>
      </c>
      <c r="FY383" s="50" t="str">
        <f>IF(FY200=-1,"x",IF(OR(FY298=1,FY$228=1,$GU200=1),FY200,0))</f>
        <v>x</v>
      </c>
      <c r="FZ383" s="51" t="str">
        <f>IF(FZ200=-1,"x",IF(OR(FZ298=1,FZ$228=1,$GV200=1),FZ200,0))</f>
        <v>x</v>
      </c>
      <c r="GA383" s="52" t="str">
        <f>IF(GA200=-1,"x",IF(OR(GA298=1,GA$228=1,$GT200=1),GA200,0))</f>
        <v>x</v>
      </c>
      <c r="GB383" s="50" t="str">
        <f>IF(GB200=-1,"x",IF(OR(GB298=1,GB$228=1,$GU200=1),GB200,0))</f>
        <v>x</v>
      </c>
      <c r="GC383" s="53" t="str">
        <f>IF(GC200=-1,"x",IF(OR(GC298=1,GC$228=1,$GV200=1),GC200,0))</f>
        <v>x</v>
      </c>
      <c r="GD383" s="49" t="str">
        <f>IF(GD200=-1,"x",IF(OR(GD298=1,GD$228=1,$GT200=1),GD200,0))</f>
        <v>x</v>
      </c>
      <c r="GE383" s="50" t="str">
        <f>IF(GE200=-1,"x",IF(OR(GE298=1,GE$228=1,$GU200=1),GE200,0))</f>
        <v>x</v>
      </c>
      <c r="GF383" s="51" t="str">
        <f>IF(GF200=-1,"x",IF(OR(GF298=1,GF$228=1,$GV200=1),GF200,0))</f>
        <v>x</v>
      </c>
      <c r="GG383" s="52" t="str">
        <f>IF(GG200=-1,"x",IF(OR(GG298=1,GG$228=1,$GT200=1),GG200,0))</f>
        <v>x</v>
      </c>
      <c r="GH383" s="50" t="str">
        <f>IF(GH200=-1,"x",IF(OR(GH298=1,GH$228=1,$GU200=1),GH200,0))</f>
        <v>x</v>
      </c>
      <c r="GI383" s="51" t="str">
        <f>IF(GI200=-1,"x",IF(OR(GI298=1,GI$228=1,$GV200=1),GI200,0))</f>
        <v>x</v>
      </c>
      <c r="GJ383" s="52" t="str">
        <f>IF(GJ200=-1,"x",IF(OR(GJ298=1,GJ$228=1,$GT200=1),GJ200,0))</f>
        <v>x</v>
      </c>
      <c r="GK383" s="50" t="str">
        <f>IF(GK200=-1,"x",IF(OR(GK298=1,GK$228=1,$GU200=1),GK200,0))</f>
        <v>x</v>
      </c>
      <c r="GL383" s="105" t="str">
        <f>IF(GL200=-1,"x",IF(OR(GL298=1,GL$228=1,$GV200=1),GL200,0))</f>
        <v>x</v>
      </c>
    </row>
    <row r="384" spans="14:194" ht="15" customHeight="1">
      <c r="DJ384" s="94" t="str">
        <f>IF(DJ201=-1,"x",IF(OR(DJ299=1,DJ$229=1,$GT201=1),DJ201,0))</f>
        <v>x</v>
      </c>
      <c r="DK384" s="39" t="str">
        <f>IF(DK201=-1,"x",IF(OR(DK299=1,DK$229=1,$GU201=1),DK201,0))</f>
        <v>x</v>
      </c>
      <c r="DL384" s="41" t="str">
        <f>IF(DL201=-1,"x",IF(OR(DL299=1,DL$229=1,$GV201=1),DL201,0))</f>
        <v>x</v>
      </c>
      <c r="DM384" s="40" t="str">
        <f>IF(DM201=-1,"x",IF(OR(DM299=1,DM$229=1,$GT201=1),DM201,0))</f>
        <v>x</v>
      </c>
      <c r="DN384" s="39" t="str">
        <f>IF(DN201=-1,"x",IF(OR(DN299=1,DN$229=1,$GU201=1),DN201,0))</f>
        <v>x</v>
      </c>
      <c r="DO384" s="41" t="str">
        <f>IF(DO201=-1,"x",IF(OR(DO299=1,DO$229=1,$GV201=1),DO201,0))</f>
        <v>x</v>
      </c>
      <c r="DP384" s="40" t="str">
        <f>IF(DP201=-1,"x",IF(OR(DP299=1,DP$229=1,$GT201=1),DP201,0))</f>
        <v>x</v>
      </c>
      <c r="DQ384" s="39" t="str">
        <f>IF(DQ201=-1,"x",IF(OR(DQ299=1,DQ$229=1,$GU201=1),DQ201,0))</f>
        <v>x</v>
      </c>
      <c r="DR384" s="42" t="str">
        <f>IF(DR201=-1,"x",IF(OR(DR299=1,DR$229=1,$GV201=1),DR201,0))</f>
        <v>x</v>
      </c>
      <c r="DS384" s="43" t="str">
        <f>IF(DS201=-1,"x",IF(OR(DS299=1,DS$229=1,$GT201=1),DS201,0))</f>
        <v>x</v>
      </c>
      <c r="DT384" s="39" t="str">
        <f>IF(DT201=-1,"x",IF(OR(DT299=1,DT$229=1,$GU201=1),DT201,0))</f>
        <v>x</v>
      </c>
      <c r="DU384" s="41" t="str">
        <f>IF(DU201=-1,"x",IF(OR(DU299=1,DU$229=1,$GV201=1),DU201,0))</f>
        <v>x</v>
      </c>
      <c r="DV384" s="40" t="str">
        <f>IF(DV201=-1,"x",IF(OR(DV299=1,DV$229=1,$GT201=1),DV201,0))</f>
        <v>x</v>
      </c>
      <c r="DW384" s="39" t="str">
        <f>IF(DW201=-1,"x",IF(OR(DW299=1,DW$229=1,$GU201=1),DW201,0))</f>
        <v>x</v>
      </c>
      <c r="DX384" s="41" t="str">
        <f>IF(DX201=-1,"x",IF(OR(DX299=1,DX$229=1,$GV201=1),DX201,0))</f>
        <v>x</v>
      </c>
      <c r="DY384" s="40" t="str">
        <f>IF(DY201=-1,"x",IF(OR(DY299=1,DY$229=1,$GT201=1),DY201,0))</f>
        <v>x</v>
      </c>
      <c r="DZ384" s="39" t="str">
        <f>IF(DZ201=-1,"x",IF(OR(DZ299=1,DZ$229=1,$GU201=1),DZ201,0))</f>
        <v>x</v>
      </c>
      <c r="EA384" s="42" t="str">
        <f>IF(EA201=-1,"x",IF(OR(EA299=1,EA$229=1,$GV201=1),EA201,0))</f>
        <v>x</v>
      </c>
      <c r="EB384" s="43" t="str">
        <f>IF(EB201=-1,"x",IF(OR(EB299=1,EB$229=1,$GT201=1),EB201,0))</f>
        <v>x</v>
      </c>
      <c r="EC384" s="39" t="str">
        <f>IF(EC201=-1,"x",IF(OR(EC299=1,EC$229=1,$GU201=1),EC201,0))</f>
        <v>x</v>
      </c>
      <c r="ED384" s="41" t="str">
        <f>IF(ED201=-1,"x",IF(OR(ED299=1,ED$229=1,$GV201=1),ED201,0))</f>
        <v>x</v>
      </c>
      <c r="EE384" s="40" t="str">
        <f>IF(EE201=-1,"x",IF(OR(EE299=1,EE$229=1,$GT201=1),EE201,0))</f>
        <v>x</v>
      </c>
      <c r="EF384" s="39" t="str">
        <f>IF(EF201=-1,"x",IF(OR(EF299=1,EF$229=1,$GU201=1),EF201,0))</f>
        <v>x</v>
      </c>
      <c r="EG384" s="41" t="str">
        <f>IF(EG201=-1,"x",IF(OR(EG299=1,EG$229=1,$GV201=1),EG201,0))</f>
        <v>x</v>
      </c>
      <c r="EH384" s="40" t="str">
        <f>IF(EH201=-1,"x",IF(OR(EH299=1,EH$229=1,$GT201=1),EH201,0))</f>
        <v>x</v>
      </c>
      <c r="EI384" s="39" t="str">
        <f>IF(EI201=-1,"x",IF(OR(EI299=1,EI$229=1,$GU201=1),EI201,0))</f>
        <v>x</v>
      </c>
      <c r="EJ384" s="95" t="str">
        <f>IF(EJ201=-1,"x",IF(OR(EJ299=1,EJ$229=1,$GV201=1),EJ201,0))</f>
        <v>x</v>
      </c>
      <c r="EK384" s="94" t="str">
        <f>IF(EK201=-1,"x",IF(OR(EK299=1,EK$229=1,$GT201=1),EK201,0))</f>
        <v>x</v>
      </c>
      <c r="EL384" s="39" t="str">
        <f>IF(EL201=-1,"x",IF(OR(EL299=1,EL$229=1,$GU201=1),EL201,0))</f>
        <v>x</v>
      </c>
      <c r="EM384" s="41" t="str">
        <f>IF(EM201=-1,"x",IF(OR(EM299=1,EM$229=1,$GV201=1),EM201,0))</f>
        <v>x</v>
      </c>
      <c r="EN384" s="40" t="str">
        <f>IF(EN201=-1,"x",IF(OR(EN299=1,EN$229=1,$GT201=1),EN201,0))</f>
        <v>x</v>
      </c>
      <c r="EO384" s="39" t="str">
        <f>IF(EO201=-1,"x",IF(OR(EO299=1,EO$229=1,$GU201=1),EO201,0))</f>
        <v>x</v>
      </c>
      <c r="EP384" s="41" t="str">
        <f>IF(EP201=-1,"x",IF(OR(EP299=1,EP$229=1,$GV201=1),EP201,0))</f>
        <v>x</v>
      </c>
      <c r="EQ384" s="40" t="str">
        <f>IF(EQ201=-1,"x",IF(OR(EQ299=1,EQ$229=1,$GT201=1),EQ201,0))</f>
        <v>x</v>
      </c>
      <c r="ER384" s="39" t="str">
        <f>IF(ER201=-1,"x",IF(OR(ER299=1,ER$229=1,$GU201=1),ER201,0))</f>
        <v>x</v>
      </c>
      <c r="ES384" s="42" t="str">
        <f>IF(ES201=-1,"x",IF(OR(ES299=1,ES$229=1,$GV201=1),ES201,0))</f>
        <v>x</v>
      </c>
      <c r="ET384" s="43" t="str">
        <f>IF(ET201=-1,"x",IF(OR(ET299=1,ET$229=1,$GT201=1),ET201,0))</f>
        <v>x</v>
      </c>
      <c r="EU384" s="39" t="str">
        <f>IF(EU201=-1,"x",IF(OR(EU299=1,EU$229=1,$GU201=1),EU201,0))</f>
        <v>x</v>
      </c>
      <c r="EV384" s="41" t="str">
        <f>IF(EV201=-1,"x",IF(OR(EV299=1,EV$229=1,$GV201=1),EV201,0))</f>
        <v>x</v>
      </c>
      <c r="EW384" s="40" t="str">
        <f>IF(EW201=-1,"x",IF(OR(EW299=1,EW$229=1,$GT201=1),EW201,0))</f>
        <v>x</v>
      </c>
      <c r="EX384" s="39" t="str">
        <f>IF(EX201=-1,"x",IF(OR(EX299=1,EX$229=1,$GU201=1),EX201,0))</f>
        <v>x</v>
      </c>
      <c r="EY384" s="41" t="str">
        <f>IF(EY201=-1,"x",IF(OR(EY299=1,EY$229=1,$GV201=1),EY201,0))</f>
        <v>x</v>
      </c>
      <c r="EZ384" s="40">
        <f>IF(EZ201=-1,"x",IF(OR(EZ299=1,EZ$229=1,$GT201=1),EZ201,0))</f>
        <v>0</v>
      </c>
      <c r="FA384" s="39">
        <f>IF(FA201=-1,"x",IF(OR(FA299=1,FA$229=1,$GU201=1),FA201,0))</f>
        <v>0</v>
      </c>
      <c r="FB384" s="42">
        <f>IF(FB201=-1,"x",IF(OR(FB299=1,FB$229=1,$GV201=1),FB201,0))</f>
        <v>0</v>
      </c>
      <c r="FC384" s="43" t="str">
        <f>IF(FC201=-1,"x",IF(OR(FC299=1,FC$229=1,$GT201=1),FC201,0))</f>
        <v>x</v>
      </c>
      <c r="FD384" s="39" t="str">
        <f>IF(FD201=-1,"x",IF(OR(FD299=1,FD$229=1,$GU201=1),FD201,0))</f>
        <v>x</v>
      </c>
      <c r="FE384" s="41" t="str">
        <f>IF(FE201=-1,"x",IF(OR(FE299=1,FE$229=1,$GV201=1),FE201,0))</f>
        <v>x</v>
      </c>
      <c r="FF384" s="40" t="str">
        <f>IF(FF201=-1,"x",IF(OR(FF299=1,FF$229=1,$GT201=1),FF201,0))</f>
        <v>x</v>
      </c>
      <c r="FG384" s="39" t="str">
        <f>IF(FG201=-1,"x",IF(OR(FG299=1,FG$229=1,$GU201=1),FG201,0))</f>
        <v>x</v>
      </c>
      <c r="FH384" s="41" t="str">
        <f>IF(FH201=-1,"x",IF(OR(FH299=1,FH$229=1,$GV201=1),FH201,0))</f>
        <v>x</v>
      </c>
      <c r="FI384" s="40" t="str">
        <f>IF(FI201=-1,"x",IF(OR(FI299=1,FI$229=1,$GT201=1),FI201,0))</f>
        <v>x</v>
      </c>
      <c r="FJ384" s="39" t="str">
        <f>IF(FJ201=-1,"x",IF(OR(FJ299=1,FJ$229=1,$GU201=1),FJ201,0))</f>
        <v>x</v>
      </c>
      <c r="FK384" s="95" t="str">
        <f>IF(FK201=-1,"x",IF(OR(FK299=1,FK$229=1,$GV201=1),FK201,0))</f>
        <v>x</v>
      </c>
      <c r="FL384" s="94" t="str">
        <f>IF(FL201=-1,"x",IF(OR(FL299=1,FL$229=1,$GT201=1),FL201,0))</f>
        <v>x</v>
      </c>
      <c r="FM384" s="39" t="str">
        <f>IF(FM201=-1,"x",IF(OR(FM299=1,FM$229=1,$GU201=1),FM201,0))</f>
        <v>x</v>
      </c>
      <c r="FN384" s="41" t="str">
        <f>IF(FN201=-1,"x",IF(OR(FN299=1,FN$229=1,$GV201=1),FN201,0))</f>
        <v>x</v>
      </c>
      <c r="FO384" s="40" t="str">
        <f>IF(FO201=-1,"x",IF(OR(FO299=1,FO$229=1,$GT201=1),FO201,0))</f>
        <v>x</v>
      </c>
      <c r="FP384" s="39" t="str">
        <f>IF(FP201=-1,"x",IF(OR(FP299=1,FP$229=1,$GU201=1),FP201,0))</f>
        <v>x</v>
      </c>
      <c r="FQ384" s="41" t="str">
        <f>IF(FQ201=-1,"x",IF(OR(FQ299=1,FQ$229=1,$GV201=1),FQ201,0))</f>
        <v>x</v>
      </c>
      <c r="FR384" s="40" t="str">
        <f>IF(FR201=-1,"x",IF(OR(FR299=1,FR$229=1,$GT201=1),FR201,0))</f>
        <v>x</v>
      </c>
      <c r="FS384" s="39" t="str">
        <f>IF(FS201=-1,"x",IF(OR(FS299=1,FS$229=1,$GU201=1),FS201,0))</f>
        <v>x</v>
      </c>
      <c r="FT384" s="42" t="str">
        <f>IF(FT201=-1,"x",IF(OR(FT299=1,FT$229=1,$GV201=1),FT201,0))</f>
        <v>x</v>
      </c>
      <c r="FU384" s="43" t="str">
        <f>IF(FU201=-1,"x",IF(OR(FU299=1,FU$229=1,$GT201=1),FU201,0))</f>
        <v>x</v>
      </c>
      <c r="FV384" s="39" t="str">
        <f>IF(FV201=-1,"x",IF(OR(FV299=1,FV$229=1,$GU201=1),FV201,0))</f>
        <v>x</v>
      </c>
      <c r="FW384" s="41" t="str">
        <f>IF(FW201=-1,"x",IF(OR(FW299=1,FW$229=1,$GV201=1),FW201,0))</f>
        <v>x</v>
      </c>
      <c r="FX384" s="40" t="str">
        <f>IF(FX201=-1,"x",IF(OR(FX299=1,FX$229=1,$GT201=1),FX201,0))</f>
        <v>x</v>
      </c>
      <c r="FY384" s="39" t="str">
        <f>IF(FY201=-1,"x",IF(OR(FY299=1,FY$229=1,$GU201=1),FY201,0))</f>
        <v>x</v>
      </c>
      <c r="FZ384" s="41" t="str">
        <f>IF(FZ201=-1,"x",IF(OR(FZ299=1,FZ$229=1,$GV201=1),FZ201,0))</f>
        <v>x</v>
      </c>
      <c r="GA384" s="40" t="str">
        <f>IF(GA201=-1,"x",IF(OR(GA299=1,GA$229=1,$GT201=1),GA201,0))</f>
        <v>x</v>
      </c>
      <c r="GB384" s="39" t="str">
        <f>IF(GB201=-1,"x",IF(OR(GB299=1,GB$229=1,$GU201=1),GB201,0))</f>
        <v>x</v>
      </c>
      <c r="GC384" s="42" t="str">
        <f>IF(GC201=-1,"x",IF(OR(GC299=1,GC$229=1,$GV201=1),GC201,0))</f>
        <v>x</v>
      </c>
      <c r="GD384" s="43" t="str">
        <f>IF(GD201=-1,"x",IF(OR(GD299=1,GD$229=1,$GT201=1),GD201,0))</f>
        <v>x</v>
      </c>
      <c r="GE384" s="39" t="str">
        <f>IF(GE201=-1,"x",IF(OR(GE299=1,GE$229=1,$GU201=1),GE201,0))</f>
        <v>x</v>
      </c>
      <c r="GF384" s="41" t="str">
        <f>IF(GF201=-1,"x",IF(OR(GF299=1,GF$229=1,$GV201=1),GF201,0))</f>
        <v>x</v>
      </c>
      <c r="GG384" s="40" t="str">
        <f>IF(GG201=-1,"x",IF(OR(GG299=1,GG$229=1,$GT201=1),GG201,0))</f>
        <v>x</v>
      </c>
      <c r="GH384" s="39" t="str">
        <f>IF(GH201=-1,"x",IF(OR(GH299=1,GH$229=1,$GU201=1),GH201,0))</f>
        <v>x</v>
      </c>
      <c r="GI384" s="41" t="str">
        <f>IF(GI201=-1,"x",IF(OR(GI299=1,GI$229=1,$GV201=1),GI201,0))</f>
        <v>x</v>
      </c>
      <c r="GJ384" s="40" t="str">
        <f>IF(GJ201=-1,"x",IF(OR(GJ299=1,GJ$229=1,$GT201=1),GJ201,0))</f>
        <v>x</v>
      </c>
      <c r="GK384" s="39" t="str">
        <f>IF(GK201=-1,"x",IF(OR(GK299=1,GK$229=1,$GU201=1),GK201,0))</f>
        <v>x</v>
      </c>
      <c r="GL384" s="95" t="str">
        <f>IF(GL201=-1,"x",IF(OR(GL299=1,GL$229=1,$GV201=1),GL201,0))</f>
        <v>x</v>
      </c>
    </row>
    <row r="385" spans="114:194" ht="15" customHeight="1" thickBot="1">
      <c r="DJ385" s="106" t="str">
        <f>IF(DJ202=-1,"x",IF(OR(DJ300=1,DJ$230=1,$GT202=1),DJ202,0))</f>
        <v>x</v>
      </c>
      <c r="DK385" s="55" t="str">
        <f>IF(DK202=-1,"x",IF(OR(DK300=1,DK$230=1,$GU202=1),DK202,0))</f>
        <v>x</v>
      </c>
      <c r="DL385" s="56" t="str">
        <f>IF(DL202=-1,"x",IF(OR(DL300=1,DL$230=1,$GV202=1),DL202,0))</f>
        <v>x</v>
      </c>
      <c r="DM385" s="57" t="str">
        <f>IF(DM202=-1,"x",IF(OR(DM300=1,DM$230=1,$GT202=1),DM202,0))</f>
        <v>x</v>
      </c>
      <c r="DN385" s="55" t="str">
        <f>IF(DN202=-1,"x",IF(OR(DN300=1,DN$230=1,$GU202=1),DN202,0))</f>
        <v>x</v>
      </c>
      <c r="DO385" s="56" t="str">
        <f>IF(DO202=-1,"x",IF(OR(DO300=1,DO$230=1,$GV202=1),DO202,0))</f>
        <v>x</v>
      </c>
      <c r="DP385" s="57" t="str">
        <f>IF(DP202=-1,"x",IF(OR(DP300=1,DP$230=1,$GT202=1),DP202,0))</f>
        <v>x</v>
      </c>
      <c r="DQ385" s="55" t="str">
        <f>IF(DQ202=-1,"x",IF(OR(DQ300=1,DQ$230=1,$GU202=1),DQ202,0))</f>
        <v>x</v>
      </c>
      <c r="DR385" s="58" t="str">
        <f>IF(DR202=-1,"x",IF(OR(DR300=1,DR$230=1,$GV202=1),DR202,0))</f>
        <v>x</v>
      </c>
      <c r="DS385" s="54" t="str">
        <f>IF(DS202=-1,"x",IF(OR(DS300=1,DS$230=1,$GT202=1),DS202,0))</f>
        <v>x</v>
      </c>
      <c r="DT385" s="55" t="str">
        <f>IF(DT202=-1,"x",IF(OR(DT300=1,DT$230=1,$GU202=1),DT202,0))</f>
        <v>x</v>
      </c>
      <c r="DU385" s="56" t="str">
        <f>IF(DU202=-1,"x",IF(OR(DU300=1,DU$230=1,$GV202=1),DU202,0))</f>
        <v>x</v>
      </c>
      <c r="DV385" s="57" t="str">
        <f>IF(DV202=-1,"x",IF(OR(DV300=1,DV$230=1,$GT202=1),DV202,0))</f>
        <v>x</v>
      </c>
      <c r="DW385" s="55" t="str">
        <f>IF(DW202=-1,"x",IF(OR(DW300=1,DW$230=1,$GU202=1),DW202,0))</f>
        <v>x</v>
      </c>
      <c r="DX385" s="56" t="str">
        <f>IF(DX202=-1,"x",IF(OR(DX300=1,DX$230=1,$GV202=1),DX202,0))</f>
        <v>x</v>
      </c>
      <c r="DY385" s="57" t="str">
        <f>IF(DY202=-1,"x",IF(OR(DY300=1,DY$230=1,$GT202=1),DY202,0))</f>
        <v>x</v>
      </c>
      <c r="DZ385" s="55" t="str">
        <f>IF(DZ202=-1,"x",IF(OR(DZ300=1,DZ$230=1,$GU202=1),DZ202,0))</f>
        <v>x</v>
      </c>
      <c r="EA385" s="58" t="str">
        <f>IF(EA202=-1,"x",IF(OR(EA300=1,EA$230=1,$GV202=1),EA202,0))</f>
        <v>x</v>
      </c>
      <c r="EB385" s="54" t="str">
        <f>IF(EB202=-1,"x",IF(OR(EB300=1,EB$230=1,$GT202=1),EB202,0))</f>
        <v>x</v>
      </c>
      <c r="EC385" s="55" t="str">
        <f>IF(EC202=-1,"x",IF(OR(EC300=1,EC$230=1,$GU202=1),EC202,0))</f>
        <v>x</v>
      </c>
      <c r="ED385" s="56" t="str">
        <f>IF(ED202=-1,"x",IF(OR(ED300=1,ED$230=1,$GV202=1),ED202,0))</f>
        <v>x</v>
      </c>
      <c r="EE385" s="57" t="str">
        <f>IF(EE202=-1,"x",IF(OR(EE300=1,EE$230=1,$GT202=1),EE202,0))</f>
        <v>x</v>
      </c>
      <c r="EF385" s="55" t="str">
        <f>IF(EF202=-1,"x",IF(OR(EF300=1,EF$230=1,$GU202=1),EF202,0))</f>
        <v>x</v>
      </c>
      <c r="EG385" s="56" t="str">
        <f>IF(EG202=-1,"x",IF(OR(EG300=1,EG$230=1,$GV202=1),EG202,0))</f>
        <v>x</v>
      </c>
      <c r="EH385" s="57" t="str">
        <f>IF(EH202=-1,"x",IF(OR(EH300=1,EH$230=1,$GT202=1),EH202,0))</f>
        <v>x</v>
      </c>
      <c r="EI385" s="55" t="str">
        <f>IF(EI202=-1,"x",IF(OR(EI300=1,EI$230=1,$GU202=1),EI202,0))</f>
        <v>x</v>
      </c>
      <c r="EJ385" s="107" t="str">
        <f>IF(EJ202=-1,"x",IF(OR(EJ300=1,EJ$230=1,$GV202=1),EJ202,0))</f>
        <v>x</v>
      </c>
      <c r="EK385" s="106" t="str">
        <f>IF(EK202=-1,"x",IF(OR(EK300=1,EK$230=1,$GT202=1),EK202,0))</f>
        <v>x</v>
      </c>
      <c r="EL385" s="55" t="str">
        <f>IF(EL202=-1,"x",IF(OR(EL300=1,EL$230=1,$GU202=1),EL202,0))</f>
        <v>x</v>
      </c>
      <c r="EM385" s="56" t="str">
        <f>IF(EM202=-1,"x",IF(OR(EM300=1,EM$230=1,$GV202=1),EM202,0))</f>
        <v>x</v>
      </c>
      <c r="EN385" s="57" t="str">
        <f>IF(EN202=-1,"x",IF(OR(EN300=1,EN$230=1,$GT202=1),EN202,0))</f>
        <v>x</v>
      </c>
      <c r="EO385" s="55" t="str">
        <f>IF(EO202=-1,"x",IF(OR(EO300=1,EO$230=1,$GU202=1),EO202,0))</f>
        <v>x</v>
      </c>
      <c r="EP385" s="56" t="str">
        <f>IF(EP202=-1,"x",IF(OR(EP300=1,EP$230=1,$GV202=1),EP202,0))</f>
        <v>x</v>
      </c>
      <c r="EQ385" s="57" t="str">
        <f>IF(EQ202=-1,"x",IF(OR(EQ300=1,EQ$230=1,$GT202=1),EQ202,0))</f>
        <v>x</v>
      </c>
      <c r="ER385" s="55" t="str">
        <f>IF(ER202=-1,"x",IF(OR(ER300=1,ER$230=1,$GU202=1),ER202,0))</f>
        <v>x</v>
      </c>
      <c r="ES385" s="58" t="str">
        <f>IF(ES202=-1,"x",IF(OR(ES300=1,ES$230=1,$GV202=1),ES202,0))</f>
        <v>x</v>
      </c>
      <c r="ET385" s="54" t="str">
        <f>IF(ET202=-1,"x",IF(OR(ET300=1,ET$230=1,$GT202=1),ET202,0))</f>
        <v>x</v>
      </c>
      <c r="EU385" s="55" t="str">
        <f>IF(EU202=-1,"x",IF(OR(EU300=1,EU$230=1,$GU202=1),EU202,0))</f>
        <v>x</v>
      </c>
      <c r="EV385" s="56" t="str">
        <f>IF(EV202=-1,"x",IF(OR(EV300=1,EV$230=1,$GV202=1),EV202,0))</f>
        <v>x</v>
      </c>
      <c r="EW385" s="57" t="str">
        <f>IF(EW202=-1,"x",IF(OR(EW300=1,EW$230=1,$GT202=1),EW202,0))</f>
        <v>x</v>
      </c>
      <c r="EX385" s="55" t="str">
        <f>IF(EX202=-1,"x",IF(OR(EX300=1,EX$230=1,$GU202=1),EX202,0))</f>
        <v>x</v>
      </c>
      <c r="EY385" s="56" t="str">
        <f>IF(EY202=-1,"x",IF(OR(EY300=1,EY$230=1,$GV202=1),EY202,0))</f>
        <v>x</v>
      </c>
      <c r="EZ385" s="57">
        <f>IF(EZ202=-1,"x",IF(OR(EZ300=1,EZ$230=1,$GT202=1),EZ202,0))</f>
        <v>7</v>
      </c>
      <c r="FA385" s="55">
        <f>IF(FA202=-1,"x",IF(OR(FA300=1,FA$230=1,$GU202=1),FA202,0))</f>
        <v>0</v>
      </c>
      <c r="FB385" s="58">
        <f>IF(FB202=-1,"x",IF(OR(FB300=1,FB$230=1,$GV202=1),FB202,0))</f>
        <v>0</v>
      </c>
      <c r="FC385" s="54" t="str">
        <f>IF(FC202=-1,"x",IF(OR(FC300=1,FC$230=1,$GT202=1),FC202,0))</f>
        <v>x</v>
      </c>
      <c r="FD385" s="55" t="str">
        <f>IF(FD202=-1,"x",IF(OR(FD300=1,FD$230=1,$GU202=1),FD202,0))</f>
        <v>x</v>
      </c>
      <c r="FE385" s="56" t="str">
        <f>IF(FE202=-1,"x",IF(OR(FE300=1,FE$230=1,$GV202=1),FE202,0))</f>
        <v>x</v>
      </c>
      <c r="FF385" s="57" t="str">
        <f>IF(FF202=-1,"x",IF(OR(FF300=1,FF$230=1,$GT202=1),FF202,0))</f>
        <v>x</v>
      </c>
      <c r="FG385" s="55" t="str">
        <f>IF(FG202=-1,"x",IF(OR(FG300=1,FG$230=1,$GU202=1),FG202,0))</f>
        <v>x</v>
      </c>
      <c r="FH385" s="56" t="str">
        <f>IF(FH202=-1,"x",IF(OR(FH300=1,FH$230=1,$GV202=1),FH202,0))</f>
        <v>x</v>
      </c>
      <c r="FI385" s="57" t="str">
        <f>IF(FI202=-1,"x",IF(OR(FI300=1,FI$230=1,$GT202=1),FI202,0))</f>
        <v>x</v>
      </c>
      <c r="FJ385" s="55" t="str">
        <f>IF(FJ202=-1,"x",IF(OR(FJ300=1,FJ$230=1,$GU202=1),FJ202,0))</f>
        <v>x</v>
      </c>
      <c r="FK385" s="107" t="str">
        <f>IF(FK202=-1,"x",IF(OR(FK300=1,FK$230=1,$GV202=1),FK202,0))</f>
        <v>x</v>
      </c>
      <c r="FL385" s="106" t="str">
        <f>IF(FL202=-1,"x",IF(OR(FL300=1,FL$230=1,$GT202=1),FL202,0))</f>
        <v>x</v>
      </c>
      <c r="FM385" s="55" t="str">
        <f>IF(FM202=-1,"x",IF(OR(FM300=1,FM$230=1,$GU202=1),FM202,0))</f>
        <v>x</v>
      </c>
      <c r="FN385" s="56" t="str">
        <f>IF(FN202=-1,"x",IF(OR(FN300=1,FN$230=1,$GV202=1),FN202,0))</f>
        <v>x</v>
      </c>
      <c r="FO385" s="57" t="str">
        <f>IF(FO202=-1,"x",IF(OR(FO300=1,FO$230=1,$GT202=1),FO202,0))</f>
        <v>x</v>
      </c>
      <c r="FP385" s="55" t="str">
        <f>IF(FP202=-1,"x",IF(OR(FP300=1,FP$230=1,$GU202=1),FP202,0))</f>
        <v>x</v>
      </c>
      <c r="FQ385" s="56" t="str">
        <f>IF(FQ202=-1,"x",IF(OR(FQ300=1,FQ$230=1,$GV202=1),FQ202,0))</f>
        <v>x</v>
      </c>
      <c r="FR385" s="57" t="str">
        <f>IF(FR202=-1,"x",IF(OR(FR300=1,FR$230=1,$GT202=1),FR202,0))</f>
        <v>x</v>
      </c>
      <c r="FS385" s="55" t="str">
        <f>IF(FS202=-1,"x",IF(OR(FS300=1,FS$230=1,$GU202=1),FS202,0))</f>
        <v>x</v>
      </c>
      <c r="FT385" s="58" t="str">
        <f>IF(FT202=-1,"x",IF(OR(FT300=1,FT$230=1,$GV202=1),FT202,0))</f>
        <v>x</v>
      </c>
      <c r="FU385" s="54" t="str">
        <f>IF(FU202=-1,"x",IF(OR(FU300=1,FU$230=1,$GT202=1),FU202,0))</f>
        <v>x</v>
      </c>
      <c r="FV385" s="55" t="str">
        <f>IF(FV202=-1,"x",IF(OR(FV300=1,FV$230=1,$GU202=1),FV202,0))</f>
        <v>x</v>
      </c>
      <c r="FW385" s="56" t="str">
        <f>IF(FW202=-1,"x",IF(OR(FW300=1,FW$230=1,$GV202=1),FW202,0))</f>
        <v>x</v>
      </c>
      <c r="FX385" s="57" t="str">
        <f>IF(FX202=-1,"x",IF(OR(FX300=1,FX$230=1,$GT202=1),FX202,0))</f>
        <v>x</v>
      </c>
      <c r="FY385" s="55" t="str">
        <f>IF(FY202=-1,"x",IF(OR(FY300=1,FY$230=1,$GU202=1),FY202,0))</f>
        <v>x</v>
      </c>
      <c r="FZ385" s="56" t="str">
        <f>IF(FZ202=-1,"x",IF(OR(FZ300=1,FZ$230=1,$GV202=1),FZ202,0))</f>
        <v>x</v>
      </c>
      <c r="GA385" s="57" t="str">
        <f>IF(GA202=-1,"x",IF(OR(GA300=1,GA$230=1,$GT202=1),GA202,0))</f>
        <v>x</v>
      </c>
      <c r="GB385" s="55" t="str">
        <f>IF(GB202=-1,"x",IF(OR(GB300=1,GB$230=1,$GU202=1),GB202,0))</f>
        <v>x</v>
      </c>
      <c r="GC385" s="58" t="str">
        <f>IF(GC202=-1,"x",IF(OR(GC300=1,GC$230=1,$GV202=1),GC202,0))</f>
        <v>x</v>
      </c>
      <c r="GD385" s="54" t="str">
        <f>IF(GD202=-1,"x",IF(OR(GD300=1,GD$230=1,$GT202=1),GD202,0))</f>
        <v>x</v>
      </c>
      <c r="GE385" s="55" t="str">
        <f>IF(GE202=-1,"x",IF(OR(GE300=1,GE$230=1,$GU202=1),GE202,0))</f>
        <v>x</v>
      </c>
      <c r="GF385" s="56" t="str">
        <f>IF(GF202=-1,"x",IF(OR(GF300=1,GF$230=1,$GV202=1),GF202,0))</f>
        <v>x</v>
      </c>
      <c r="GG385" s="57" t="str">
        <f>IF(GG202=-1,"x",IF(OR(GG300=1,GG$230=1,$GT202=1),GG202,0))</f>
        <v>x</v>
      </c>
      <c r="GH385" s="55" t="str">
        <f>IF(GH202=-1,"x",IF(OR(GH300=1,GH$230=1,$GU202=1),GH202,0))</f>
        <v>x</v>
      </c>
      <c r="GI385" s="56" t="str">
        <f>IF(GI202=-1,"x",IF(OR(GI300=1,GI$230=1,$GV202=1),GI202,0))</f>
        <v>x</v>
      </c>
      <c r="GJ385" s="57" t="str">
        <f>IF(GJ202=-1,"x",IF(OR(GJ300=1,GJ$230=1,$GT202=1),GJ202,0))</f>
        <v>x</v>
      </c>
      <c r="GK385" s="55" t="str">
        <f>IF(GK202=-1,"x",IF(OR(GK300=1,GK$230=1,$GU202=1),GK202,0))</f>
        <v>x</v>
      </c>
      <c r="GL385" s="107" t="str">
        <f>IF(GL202=-1,"x",IF(OR(GL300=1,GL$230=1,$GV202=1),GL202,0))</f>
        <v>x</v>
      </c>
    </row>
    <row r="386" spans="114:194" ht="15" customHeight="1">
      <c r="DJ386" s="108" t="str">
        <f>IF(DJ203=-1,"x",IF(OR(DJ301=1,DJ$228=1,$GT203=1),DJ203,0))</f>
        <v>x</v>
      </c>
      <c r="DK386" s="37" t="str">
        <f>IF(DK203=-1,"x",IF(OR(DK301=1,DK$228=1,$GU203=1),DK203,0))</f>
        <v>x</v>
      </c>
      <c r="DL386" s="35" t="str">
        <f>IF(DL203=-1,"x",IF(OR(DL301=1,DL$228=1,$GV203=1),DL203,0))</f>
        <v>x</v>
      </c>
      <c r="DM386" s="36" t="str">
        <f>IF(DM203=-1,"x",IF(OR(DM301=1,DM$228=1,$GT203=1),DM203,0))</f>
        <v>x</v>
      </c>
      <c r="DN386" s="37" t="str">
        <f>IF(DN203=-1,"x",IF(OR(DN301=1,DN$228=1,$GU203=1),DN203,0))</f>
        <v>x</v>
      </c>
      <c r="DO386" s="35" t="str">
        <f>IF(DO203=-1,"x",IF(OR(DO301=1,DO$228=1,$GV203=1),DO203,0))</f>
        <v>x</v>
      </c>
      <c r="DP386" s="36" t="str">
        <f>IF(DP203=-1,"x",IF(OR(DP301=1,DP$228=1,$GT203=1),DP203,0))</f>
        <v>x</v>
      </c>
      <c r="DQ386" s="37" t="str">
        <f>IF(DQ203=-1,"x",IF(OR(DQ301=1,DQ$228=1,$GU203=1),DQ203,0))</f>
        <v>x</v>
      </c>
      <c r="DR386" s="38" t="str">
        <f>IF(DR203=-1,"x",IF(OR(DR301=1,DR$228=1,$GV203=1),DR203,0))</f>
        <v>x</v>
      </c>
      <c r="DS386" s="416" t="str">
        <f>IF(DS203=-1,"x",IF(OR(DS301=1,DS$228=1,$GT203=1),DS203,0))</f>
        <v>x</v>
      </c>
      <c r="DT386" s="37" t="str">
        <f>IF(DT203=-1,"x",IF(OR(DT301=1,DT$228=1,$GU203=1),DT203,0))</f>
        <v>x</v>
      </c>
      <c r="DU386" s="35" t="str">
        <f>IF(DU203=-1,"x",IF(OR(DU301=1,DU$228=1,$GV203=1),DU203,0))</f>
        <v>x</v>
      </c>
      <c r="DV386" s="36" t="str">
        <f>IF(DV203=-1,"x",IF(OR(DV301=1,DV$228=1,$GT203=1),DV203,0))</f>
        <v>x</v>
      </c>
      <c r="DW386" s="37" t="str">
        <f>IF(DW203=-1,"x",IF(OR(DW301=1,DW$228=1,$GU203=1),DW203,0))</f>
        <v>x</v>
      </c>
      <c r="DX386" s="35" t="str">
        <f>IF(DX203=-1,"x",IF(OR(DX301=1,DX$228=1,$GV203=1),DX203,0))</f>
        <v>x</v>
      </c>
      <c r="DY386" s="36" t="str">
        <f>IF(DY203=-1,"x",IF(OR(DY301=1,DY$228=1,$GT203=1),DY203,0))</f>
        <v>x</v>
      </c>
      <c r="DZ386" s="37" t="str">
        <f>IF(DZ203=-1,"x",IF(OR(DZ301=1,DZ$228=1,$GU203=1),DZ203,0))</f>
        <v>x</v>
      </c>
      <c r="EA386" s="38" t="str">
        <f>IF(EA203=-1,"x",IF(OR(EA301=1,EA$228=1,$GV203=1),EA203,0))</f>
        <v>x</v>
      </c>
      <c r="EB386" s="416" t="str">
        <f>IF(EB203=-1,"x",IF(OR(EB301=1,EB$228=1,$GT203=1),EB203,0))</f>
        <v>x</v>
      </c>
      <c r="EC386" s="37" t="str">
        <f>IF(EC203=-1,"x",IF(OR(EC301=1,EC$228=1,$GU203=1),EC203,0))</f>
        <v>x</v>
      </c>
      <c r="ED386" s="35" t="str">
        <f>IF(ED203=-1,"x",IF(OR(ED301=1,ED$228=1,$GV203=1),ED203,0))</f>
        <v>x</v>
      </c>
      <c r="EE386" s="36" t="str">
        <f>IF(EE203=-1,"x",IF(OR(EE301=1,EE$228=1,$GT203=1),EE203,0))</f>
        <v>x</v>
      </c>
      <c r="EF386" s="37" t="str">
        <f>IF(EF203=-1,"x",IF(OR(EF301=1,EF$228=1,$GU203=1),EF203,0))</f>
        <v>x</v>
      </c>
      <c r="EG386" s="35" t="str">
        <f>IF(EG203=-1,"x",IF(OR(EG301=1,EG$228=1,$GV203=1),EG203,0))</f>
        <v>x</v>
      </c>
      <c r="EH386" s="36" t="str">
        <f>IF(EH203=-1,"x",IF(OR(EH301=1,EH$228=1,$GT203=1),EH203,0))</f>
        <v>x</v>
      </c>
      <c r="EI386" s="37" t="str">
        <f>IF(EI203=-1,"x",IF(OR(EI301=1,EI$228=1,$GU203=1),EI203,0))</f>
        <v>x</v>
      </c>
      <c r="EJ386" s="109" t="str">
        <f>IF(EJ203=-1,"x",IF(OR(EJ301=1,EJ$228=1,$GV203=1),EJ203,0))</f>
        <v>x</v>
      </c>
      <c r="EK386" s="108" t="str">
        <f>IF(EK203=-1,"x",IF(OR(EK301=1,EK$228=1,$GT203=1),EK203,0))</f>
        <v>x</v>
      </c>
      <c r="EL386" s="37" t="str">
        <f>IF(EL203=-1,"x",IF(OR(EL301=1,EL$228=1,$GU203=1),EL203,0))</f>
        <v>x</v>
      </c>
      <c r="EM386" s="35" t="str">
        <f>IF(EM203=-1,"x",IF(OR(EM301=1,EM$228=1,$GV203=1),EM203,0))</f>
        <v>x</v>
      </c>
      <c r="EN386" s="36" t="str">
        <f>IF(EN203=-1,"x",IF(OR(EN301=1,EN$228=1,$GT203=1),EN203,0))</f>
        <v>x</v>
      </c>
      <c r="EO386" s="37" t="str">
        <f>IF(EO203=-1,"x",IF(OR(EO301=1,EO$228=1,$GU203=1),EO203,0))</f>
        <v>x</v>
      </c>
      <c r="EP386" s="35" t="str">
        <f>IF(EP203=-1,"x",IF(OR(EP301=1,EP$228=1,$GV203=1),EP203,0))</f>
        <v>x</v>
      </c>
      <c r="EQ386" s="36" t="str">
        <f>IF(EQ203=-1,"x",IF(OR(EQ301=1,EQ$228=1,$GT203=1),EQ203,0))</f>
        <v>x</v>
      </c>
      <c r="ER386" s="37" t="str">
        <f>IF(ER203=-1,"x",IF(OR(ER301=1,ER$228=1,$GU203=1),ER203,0))</f>
        <v>x</v>
      </c>
      <c r="ES386" s="38" t="str">
        <f>IF(ES203=-1,"x",IF(OR(ES301=1,ES$228=1,$GV203=1),ES203,0))</f>
        <v>x</v>
      </c>
      <c r="ET386" s="416" t="str">
        <f>IF(ET203=-1,"x",IF(OR(ET301=1,ET$228=1,$GT203=1),ET203,0))</f>
        <v>x</v>
      </c>
      <c r="EU386" s="37" t="str">
        <f>IF(EU203=-1,"x",IF(OR(EU301=1,EU$228=1,$GU203=1),EU203,0))</f>
        <v>x</v>
      </c>
      <c r="EV386" s="35" t="str">
        <f>IF(EV203=-1,"x",IF(OR(EV301=1,EV$228=1,$GV203=1),EV203,0))</f>
        <v>x</v>
      </c>
      <c r="EW386" s="36">
        <f>IF(EW203=-1,"x",IF(OR(EW301=1,EW$228=1,$GT203=1),EW203,0))</f>
        <v>0</v>
      </c>
      <c r="EX386" s="37">
        <f>IF(EX203=-1,"x",IF(OR(EX301=1,EX$228=1,$GU203=1),EX203,0))</f>
        <v>0</v>
      </c>
      <c r="EY386" s="35">
        <f>IF(EY203=-1,"x",IF(OR(EY301=1,EY$228=1,$GV203=1),EY203,0))</f>
        <v>0</v>
      </c>
      <c r="EZ386" s="36" t="str">
        <f>IF(EZ203=-1,"x",IF(OR(EZ301=1,EZ$228=1,$GT203=1),EZ203,0))</f>
        <v>x</v>
      </c>
      <c r="FA386" s="37" t="str">
        <f>IF(FA203=-1,"x",IF(OR(FA301=1,FA$228=1,$GU203=1),FA203,0))</f>
        <v>x</v>
      </c>
      <c r="FB386" s="38" t="str">
        <f>IF(FB203=-1,"x",IF(OR(FB301=1,FB$228=1,$GV203=1),FB203,0))</f>
        <v>x</v>
      </c>
      <c r="FC386" s="416" t="str">
        <f>IF(FC203=-1,"x",IF(OR(FC301=1,FC$228=1,$GT203=1),FC203,0))</f>
        <v>x</v>
      </c>
      <c r="FD386" s="37" t="str">
        <f>IF(FD203=-1,"x",IF(OR(FD301=1,FD$228=1,$GU203=1),FD203,0))</f>
        <v>x</v>
      </c>
      <c r="FE386" s="35" t="str">
        <f>IF(FE203=-1,"x",IF(OR(FE301=1,FE$228=1,$GV203=1),FE203,0))</f>
        <v>x</v>
      </c>
      <c r="FF386" s="36" t="str">
        <f>IF(FF203=-1,"x",IF(OR(FF301=1,FF$228=1,$GT203=1),FF203,0))</f>
        <v>x</v>
      </c>
      <c r="FG386" s="37" t="str">
        <f>IF(FG203=-1,"x",IF(OR(FG301=1,FG$228=1,$GU203=1),FG203,0))</f>
        <v>x</v>
      </c>
      <c r="FH386" s="35" t="str">
        <f>IF(FH203=-1,"x",IF(OR(FH301=1,FH$228=1,$GV203=1),FH203,0))</f>
        <v>x</v>
      </c>
      <c r="FI386" s="36" t="str">
        <f>IF(FI203=-1,"x",IF(OR(FI301=1,FI$228=1,$GT203=1),FI203,0))</f>
        <v>x</v>
      </c>
      <c r="FJ386" s="37" t="str">
        <f>IF(FJ203=-1,"x",IF(OR(FJ301=1,FJ$228=1,$GU203=1),FJ203,0))</f>
        <v>x</v>
      </c>
      <c r="FK386" s="109" t="str">
        <f>IF(FK203=-1,"x",IF(OR(FK301=1,FK$228=1,$GV203=1),FK203,0))</f>
        <v>x</v>
      </c>
      <c r="FL386" s="108" t="str">
        <f>IF(FL203=-1,"x",IF(OR(FL301=1,FL$228=1,$GT203=1),FL203,0))</f>
        <v>x</v>
      </c>
      <c r="FM386" s="37" t="str">
        <f>IF(FM203=-1,"x",IF(OR(FM301=1,FM$228=1,$GU203=1),FM203,0))</f>
        <v>x</v>
      </c>
      <c r="FN386" s="35" t="str">
        <f>IF(FN203=-1,"x",IF(OR(FN301=1,FN$228=1,$GV203=1),FN203,0))</f>
        <v>x</v>
      </c>
      <c r="FO386" s="36" t="str">
        <f>IF(FO203=-1,"x",IF(OR(FO301=1,FO$228=1,$GT203=1),FO203,0))</f>
        <v>x</v>
      </c>
      <c r="FP386" s="37" t="str">
        <f>IF(FP203=-1,"x",IF(OR(FP301=1,FP$228=1,$GU203=1),FP203,0))</f>
        <v>x</v>
      </c>
      <c r="FQ386" s="35" t="str">
        <f>IF(FQ203=-1,"x",IF(OR(FQ301=1,FQ$228=1,$GV203=1),FQ203,0))</f>
        <v>x</v>
      </c>
      <c r="FR386" s="36" t="str">
        <f>IF(FR203=-1,"x",IF(OR(FR301=1,FR$228=1,$GT203=1),FR203,0))</f>
        <v>x</v>
      </c>
      <c r="FS386" s="37" t="str">
        <f>IF(FS203=-1,"x",IF(OR(FS301=1,FS$228=1,$GU203=1),FS203,0))</f>
        <v>x</v>
      </c>
      <c r="FT386" s="38" t="str">
        <f>IF(FT203=-1,"x",IF(OR(FT301=1,FT$228=1,$GV203=1),FT203,0))</f>
        <v>x</v>
      </c>
      <c r="FU386" s="416" t="str">
        <f>IF(FU203=-1,"x",IF(OR(FU301=1,FU$228=1,$GT203=1),FU203,0))</f>
        <v>x</v>
      </c>
      <c r="FV386" s="37" t="str">
        <f>IF(FV203=-1,"x",IF(OR(FV301=1,FV$228=1,$GU203=1),FV203,0))</f>
        <v>x</v>
      </c>
      <c r="FW386" s="35" t="str">
        <f>IF(FW203=-1,"x",IF(OR(FW301=1,FW$228=1,$GV203=1),FW203,0))</f>
        <v>x</v>
      </c>
      <c r="FX386" s="36" t="str">
        <f>IF(FX203=-1,"x",IF(OR(FX301=1,FX$228=1,$GT203=1),FX203,0))</f>
        <v>x</v>
      </c>
      <c r="FY386" s="37" t="str">
        <f>IF(FY203=-1,"x",IF(OR(FY301=1,FY$228=1,$GU203=1),FY203,0))</f>
        <v>x</v>
      </c>
      <c r="FZ386" s="35" t="str">
        <f>IF(FZ203=-1,"x",IF(OR(FZ301=1,FZ$228=1,$GV203=1),FZ203,0))</f>
        <v>x</v>
      </c>
      <c r="GA386" s="36" t="str">
        <f>IF(GA203=-1,"x",IF(OR(GA301=1,GA$228=1,$GT203=1),GA203,0))</f>
        <v>x</v>
      </c>
      <c r="GB386" s="37" t="str">
        <f>IF(GB203=-1,"x",IF(OR(GB301=1,GB$228=1,$GU203=1),GB203,0))</f>
        <v>x</v>
      </c>
      <c r="GC386" s="38" t="str">
        <f>IF(GC203=-1,"x",IF(OR(GC301=1,GC$228=1,$GV203=1),GC203,0))</f>
        <v>x</v>
      </c>
      <c r="GD386" s="416" t="str">
        <f>IF(GD203=-1,"x",IF(OR(GD301=1,GD$228=1,$GT203=1),GD203,0))</f>
        <v>x</v>
      </c>
      <c r="GE386" s="37" t="str">
        <f>IF(GE203=-1,"x",IF(OR(GE301=1,GE$228=1,$GU203=1),GE203,0))</f>
        <v>x</v>
      </c>
      <c r="GF386" s="35" t="str">
        <f>IF(GF203=-1,"x",IF(OR(GF301=1,GF$228=1,$GV203=1),GF203,0))</f>
        <v>x</v>
      </c>
      <c r="GG386" s="36" t="str">
        <f>IF(GG203=-1,"x",IF(OR(GG301=1,GG$228=1,$GT203=1),GG203,0))</f>
        <v>x</v>
      </c>
      <c r="GH386" s="37" t="str">
        <f>IF(GH203=-1,"x",IF(OR(GH301=1,GH$228=1,$GU203=1),GH203,0))</f>
        <v>x</v>
      </c>
      <c r="GI386" s="35" t="str">
        <f>IF(GI203=-1,"x",IF(OR(GI301=1,GI$228=1,$GV203=1),GI203,0))</f>
        <v>x</v>
      </c>
      <c r="GJ386" s="36" t="str">
        <f>IF(GJ203=-1,"x",IF(OR(GJ301=1,GJ$228=1,$GT203=1),GJ203,0))</f>
        <v>x</v>
      </c>
      <c r="GK386" s="37" t="str">
        <f>IF(GK203=-1,"x",IF(OR(GK301=1,GK$228=1,$GU203=1),GK203,0))</f>
        <v>x</v>
      </c>
      <c r="GL386" s="109" t="str">
        <f>IF(GL203=-1,"x",IF(OR(GL301=1,GL$228=1,$GV203=1),GL203,0))</f>
        <v>x</v>
      </c>
    </row>
    <row r="387" spans="114:194" ht="15" customHeight="1">
      <c r="DJ387" s="94" t="str">
        <f>IF(DJ204=-1,"x",IF(OR(DJ302=1,DJ$229=1,$GT204=1),DJ204,0))</f>
        <v>x</v>
      </c>
      <c r="DK387" s="39" t="str">
        <f>IF(DK204=-1,"x",IF(OR(DK302=1,DK$229=1,$GU204=1),DK204,0))</f>
        <v>x</v>
      </c>
      <c r="DL387" s="41" t="str">
        <f>IF(DL204=-1,"x",IF(OR(DL302=1,DL$229=1,$GV204=1),DL204,0))</f>
        <v>x</v>
      </c>
      <c r="DM387" s="40" t="str">
        <f>IF(DM204=-1,"x",IF(OR(DM302=1,DM$229=1,$GT204=1),DM204,0))</f>
        <v>x</v>
      </c>
      <c r="DN387" s="39" t="str">
        <f>IF(DN204=-1,"x",IF(OR(DN302=1,DN$229=1,$GU204=1),DN204,0))</f>
        <v>x</v>
      </c>
      <c r="DO387" s="41" t="str">
        <f>IF(DO204=-1,"x",IF(OR(DO302=1,DO$229=1,$GV204=1),DO204,0))</f>
        <v>x</v>
      </c>
      <c r="DP387" s="40" t="str">
        <f>IF(DP204=-1,"x",IF(OR(DP302=1,DP$229=1,$GT204=1),DP204,0))</f>
        <v>x</v>
      </c>
      <c r="DQ387" s="39" t="str">
        <f>IF(DQ204=-1,"x",IF(OR(DQ302=1,DQ$229=1,$GU204=1),DQ204,0))</f>
        <v>x</v>
      </c>
      <c r="DR387" s="42" t="str">
        <f>IF(DR204=-1,"x",IF(OR(DR302=1,DR$229=1,$GV204=1),DR204,0))</f>
        <v>x</v>
      </c>
      <c r="DS387" s="43" t="str">
        <f>IF(DS204=-1,"x",IF(OR(DS302=1,DS$229=1,$GT204=1),DS204,0))</f>
        <v>x</v>
      </c>
      <c r="DT387" s="39" t="str">
        <f>IF(DT204=-1,"x",IF(OR(DT302=1,DT$229=1,$GU204=1),DT204,0))</f>
        <v>x</v>
      </c>
      <c r="DU387" s="41" t="str">
        <f>IF(DU204=-1,"x",IF(OR(DU302=1,DU$229=1,$GV204=1),DU204,0))</f>
        <v>x</v>
      </c>
      <c r="DV387" s="40" t="str">
        <f>IF(DV204=-1,"x",IF(OR(DV302=1,DV$229=1,$GT204=1),DV204,0))</f>
        <v>x</v>
      </c>
      <c r="DW387" s="39" t="str">
        <f>IF(DW204=-1,"x",IF(OR(DW302=1,DW$229=1,$GU204=1),DW204,0))</f>
        <v>x</v>
      </c>
      <c r="DX387" s="41" t="str">
        <f>IF(DX204=-1,"x",IF(OR(DX302=1,DX$229=1,$GV204=1),DX204,0))</f>
        <v>x</v>
      </c>
      <c r="DY387" s="40" t="str">
        <f>IF(DY204=-1,"x",IF(OR(DY302=1,DY$229=1,$GT204=1),DY204,0))</f>
        <v>x</v>
      </c>
      <c r="DZ387" s="39" t="str">
        <f>IF(DZ204=-1,"x",IF(OR(DZ302=1,DZ$229=1,$GU204=1),DZ204,0))</f>
        <v>x</v>
      </c>
      <c r="EA387" s="42" t="str">
        <f>IF(EA204=-1,"x",IF(OR(EA302=1,EA$229=1,$GV204=1),EA204,0))</f>
        <v>x</v>
      </c>
      <c r="EB387" s="43" t="str">
        <f>IF(EB204=-1,"x",IF(OR(EB302=1,EB$229=1,$GT204=1),EB204,0))</f>
        <v>x</v>
      </c>
      <c r="EC387" s="39" t="str">
        <f>IF(EC204=-1,"x",IF(OR(EC302=1,EC$229=1,$GU204=1),EC204,0))</f>
        <v>x</v>
      </c>
      <c r="ED387" s="41" t="str">
        <f>IF(ED204=-1,"x",IF(OR(ED302=1,ED$229=1,$GV204=1),ED204,0))</f>
        <v>x</v>
      </c>
      <c r="EE387" s="40" t="str">
        <f>IF(EE204=-1,"x",IF(OR(EE302=1,EE$229=1,$GT204=1),EE204,0))</f>
        <v>x</v>
      </c>
      <c r="EF387" s="39" t="str">
        <f>IF(EF204=-1,"x",IF(OR(EF302=1,EF$229=1,$GU204=1),EF204,0))</f>
        <v>x</v>
      </c>
      <c r="EG387" s="41" t="str">
        <f>IF(EG204=-1,"x",IF(OR(EG302=1,EG$229=1,$GV204=1),EG204,0))</f>
        <v>x</v>
      </c>
      <c r="EH387" s="40" t="str">
        <f>IF(EH204=-1,"x",IF(OR(EH302=1,EH$229=1,$GT204=1),EH204,0))</f>
        <v>x</v>
      </c>
      <c r="EI387" s="39" t="str">
        <f>IF(EI204=-1,"x",IF(OR(EI302=1,EI$229=1,$GU204=1),EI204,0))</f>
        <v>x</v>
      </c>
      <c r="EJ387" s="95" t="str">
        <f>IF(EJ204=-1,"x",IF(OR(EJ302=1,EJ$229=1,$GV204=1),EJ204,0))</f>
        <v>x</v>
      </c>
      <c r="EK387" s="94" t="str">
        <f>IF(EK204=-1,"x",IF(OR(EK302=1,EK$229=1,$GT204=1),EK204,0))</f>
        <v>x</v>
      </c>
      <c r="EL387" s="39" t="str">
        <f>IF(EL204=-1,"x",IF(OR(EL302=1,EL$229=1,$GU204=1),EL204,0))</f>
        <v>x</v>
      </c>
      <c r="EM387" s="41" t="str">
        <f>IF(EM204=-1,"x",IF(OR(EM302=1,EM$229=1,$GV204=1),EM204,0))</f>
        <v>x</v>
      </c>
      <c r="EN387" s="40" t="str">
        <f>IF(EN204=-1,"x",IF(OR(EN302=1,EN$229=1,$GT204=1),EN204,0))</f>
        <v>x</v>
      </c>
      <c r="EO387" s="39" t="str">
        <f>IF(EO204=-1,"x",IF(OR(EO302=1,EO$229=1,$GU204=1),EO204,0))</f>
        <v>x</v>
      </c>
      <c r="EP387" s="41" t="str">
        <f>IF(EP204=-1,"x",IF(OR(EP302=1,EP$229=1,$GV204=1),EP204,0))</f>
        <v>x</v>
      </c>
      <c r="EQ387" s="40" t="str">
        <f>IF(EQ204=-1,"x",IF(OR(EQ302=1,EQ$229=1,$GT204=1),EQ204,0))</f>
        <v>x</v>
      </c>
      <c r="ER387" s="39" t="str">
        <f>IF(ER204=-1,"x",IF(OR(ER302=1,ER$229=1,$GU204=1),ER204,0))</f>
        <v>x</v>
      </c>
      <c r="ES387" s="42" t="str">
        <f>IF(ES204=-1,"x",IF(OR(ES302=1,ES$229=1,$GV204=1),ES204,0))</f>
        <v>x</v>
      </c>
      <c r="ET387" s="43" t="str">
        <f>IF(ET204=-1,"x",IF(OR(ET302=1,ET$229=1,$GT204=1),ET204,0))</f>
        <v>x</v>
      </c>
      <c r="EU387" s="39" t="str">
        <f>IF(EU204=-1,"x",IF(OR(EU302=1,EU$229=1,$GU204=1),EU204,0))</f>
        <v>x</v>
      </c>
      <c r="EV387" s="41" t="str">
        <f>IF(EV204=-1,"x",IF(OR(EV302=1,EV$229=1,$GV204=1),EV204,0))</f>
        <v>x</v>
      </c>
      <c r="EW387" s="40">
        <f>IF(EW204=-1,"x",IF(OR(EW302=1,EW$229=1,$GT204=1),EW204,0))</f>
        <v>0</v>
      </c>
      <c r="EX387" s="39">
        <f>IF(EX204=-1,"x",IF(OR(EX302=1,EX$229=1,$GU204=1),EX204,0))</f>
        <v>0</v>
      </c>
      <c r="EY387" s="41">
        <f>IF(EY204=-1,"x",IF(OR(EY302=1,EY$229=1,$GV204=1),EY204,0))</f>
        <v>0</v>
      </c>
      <c r="EZ387" s="40" t="str">
        <f>IF(EZ204=-1,"x",IF(OR(EZ302=1,EZ$229=1,$GT204=1),EZ204,0))</f>
        <v>x</v>
      </c>
      <c r="FA387" s="39" t="str">
        <f>IF(FA204=-1,"x",IF(OR(FA302=1,FA$229=1,$GU204=1),FA204,0))</f>
        <v>x</v>
      </c>
      <c r="FB387" s="42" t="str">
        <f>IF(FB204=-1,"x",IF(OR(FB302=1,FB$229=1,$GV204=1),FB204,0))</f>
        <v>x</v>
      </c>
      <c r="FC387" s="43" t="str">
        <f>IF(FC204=-1,"x",IF(OR(FC302=1,FC$229=1,$GT204=1),FC204,0))</f>
        <v>x</v>
      </c>
      <c r="FD387" s="39" t="str">
        <f>IF(FD204=-1,"x",IF(OR(FD302=1,FD$229=1,$GU204=1),FD204,0))</f>
        <v>x</v>
      </c>
      <c r="FE387" s="41" t="str">
        <f>IF(FE204=-1,"x",IF(OR(FE302=1,FE$229=1,$GV204=1),FE204,0))</f>
        <v>x</v>
      </c>
      <c r="FF387" s="40" t="str">
        <f>IF(FF204=-1,"x",IF(OR(FF302=1,FF$229=1,$GT204=1),FF204,0))</f>
        <v>x</v>
      </c>
      <c r="FG387" s="39" t="str">
        <f>IF(FG204=-1,"x",IF(OR(FG302=1,FG$229=1,$GU204=1),FG204,0))</f>
        <v>x</v>
      </c>
      <c r="FH387" s="41" t="str">
        <f>IF(FH204=-1,"x",IF(OR(FH302=1,FH$229=1,$GV204=1),FH204,0))</f>
        <v>x</v>
      </c>
      <c r="FI387" s="40" t="str">
        <f>IF(FI204=-1,"x",IF(OR(FI302=1,FI$229=1,$GT204=1),FI204,0))</f>
        <v>x</v>
      </c>
      <c r="FJ387" s="39" t="str">
        <f>IF(FJ204=-1,"x",IF(OR(FJ302=1,FJ$229=1,$GU204=1),FJ204,0))</f>
        <v>x</v>
      </c>
      <c r="FK387" s="95" t="str">
        <f>IF(FK204=-1,"x",IF(OR(FK302=1,FK$229=1,$GV204=1),FK204,0))</f>
        <v>x</v>
      </c>
      <c r="FL387" s="94" t="str">
        <f>IF(FL204=-1,"x",IF(OR(FL302=1,FL$229=1,$GT204=1),FL204,0))</f>
        <v>x</v>
      </c>
      <c r="FM387" s="39" t="str">
        <f>IF(FM204=-1,"x",IF(OR(FM302=1,FM$229=1,$GU204=1),FM204,0))</f>
        <v>x</v>
      </c>
      <c r="FN387" s="41" t="str">
        <f>IF(FN204=-1,"x",IF(OR(FN302=1,FN$229=1,$GV204=1),FN204,0))</f>
        <v>x</v>
      </c>
      <c r="FO387" s="40" t="str">
        <f>IF(FO204=-1,"x",IF(OR(FO302=1,FO$229=1,$GT204=1),FO204,0))</f>
        <v>x</v>
      </c>
      <c r="FP387" s="39" t="str">
        <f>IF(FP204=-1,"x",IF(OR(FP302=1,FP$229=1,$GU204=1),FP204,0))</f>
        <v>x</v>
      </c>
      <c r="FQ387" s="41" t="str">
        <f>IF(FQ204=-1,"x",IF(OR(FQ302=1,FQ$229=1,$GV204=1),FQ204,0))</f>
        <v>x</v>
      </c>
      <c r="FR387" s="40" t="str">
        <f>IF(FR204=-1,"x",IF(OR(FR302=1,FR$229=1,$GT204=1),FR204,0))</f>
        <v>x</v>
      </c>
      <c r="FS387" s="39" t="str">
        <f>IF(FS204=-1,"x",IF(OR(FS302=1,FS$229=1,$GU204=1),FS204,0))</f>
        <v>x</v>
      </c>
      <c r="FT387" s="42" t="str">
        <f>IF(FT204=-1,"x",IF(OR(FT302=1,FT$229=1,$GV204=1),FT204,0))</f>
        <v>x</v>
      </c>
      <c r="FU387" s="43" t="str">
        <f>IF(FU204=-1,"x",IF(OR(FU302=1,FU$229=1,$GT204=1),FU204,0))</f>
        <v>x</v>
      </c>
      <c r="FV387" s="39" t="str">
        <f>IF(FV204=-1,"x",IF(OR(FV302=1,FV$229=1,$GU204=1),FV204,0))</f>
        <v>x</v>
      </c>
      <c r="FW387" s="41" t="str">
        <f>IF(FW204=-1,"x",IF(OR(FW302=1,FW$229=1,$GV204=1),FW204,0))</f>
        <v>x</v>
      </c>
      <c r="FX387" s="40" t="str">
        <f>IF(FX204=-1,"x",IF(OR(FX302=1,FX$229=1,$GT204=1),FX204,0))</f>
        <v>x</v>
      </c>
      <c r="FY387" s="39" t="str">
        <f>IF(FY204=-1,"x",IF(OR(FY302=1,FY$229=1,$GU204=1),FY204,0))</f>
        <v>x</v>
      </c>
      <c r="FZ387" s="41" t="str">
        <f>IF(FZ204=-1,"x",IF(OR(FZ302=1,FZ$229=1,$GV204=1),FZ204,0))</f>
        <v>x</v>
      </c>
      <c r="GA387" s="40" t="str">
        <f>IF(GA204=-1,"x",IF(OR(GA302=1,GA$229=1,$GT204=1),GA204,0))</f>
        <v>x</v>
      </c>
      <c r="GB387" s="39" t="str">
        <f>IF(GB204=-1,"x",IF(OR(GB302=1,GB$229=1,$GU204=1),GB204,0))</f>
        <v>x</v>
      </c>
      <c r="GC387" s="42" t="str">
        <f>IF(GC204=-1,"x",IF(OR(GC302=1,GC$229=1,$GV204=1),GC204,0))</f>
        <v>x</v>
      </c>
      <c r="GD387" s="43" t="str">
        <f>IF(GD204=-1,"x",IF(OR(GD302=1,GD$229=1,$GT204=1),GD204,0))</f>
        <v>x</v>
      </c>
      <c r="GE387" s="39" t="str">
        <f>IF(GE204=-1,"x",IF(OR(GE302=1,GE$229=1,$GU204=1),GE204,0))</f>
        <v>x</v>
      </c>
      <c r="GF387" s="41" t="str">
        <f>IF(GF204=-1,"x",IF(OR(GF302=1,GF$229=1,$GV204=1),GF204,0))</f>
        <v>x</v>
      </c>
      <c r="GG387" s="40" t="str">
        <f>IF(GG204=-1,"x",IF(OR(GG302=1,GG$229=1,$GT204=1),GG204,0))</f>
        <v>x</v>
      </c>
      <c r="GH387" s="39" t="str">
        <f>IF(GH204=-1,"x",IF(OR(GH302=1,GH$229=1,$GU204=1),GH204,0))</f>
        <v>x</v>
      </c>
      <c r="GI387" s="41" t="str">
        <f>IF(GI204=-1,"x",IF(OR(GI302=1,GI$229=1,$GV204=1),GI204,0))</f>
        <v>x</v>
      </c>
      <c r="GJ387" s="40" t="str">
        <f>IF(GJ204=-1,"x",IF(OR(GJ302=1,GJ$229=1,$GT204=1),GJ204,0))</f>
        <v>x</v>
      </c>
      <c r="GK387" s="39" t="str">
        <f>IF(GK204=-1,"x",IF(OR(GK302=1,GK$229=1,$GU204=1),GK204,0))</f>
        <v>x</v>
      </c>
      <c r="GL387" s="95" t="str">
        <f>IF(GL204=-1,"x",IF(OR(GL302=1,GL$229=1,$GV204=1),GL204,0))</f>
        <v>x</v>
      </c>
    </row>
    <row r="388" spans="114:194" ht="15" customHeight="1">
      <c r="DJ388" s="99" t="str">
        <f>IF(DJ205=-1,"x",IF(OR(DJ303=1,DJ$230=1,$GT205=1),DJ205,0))</f>
        <v>x</v>
      </c>
      <c r="DK388" s="45" t="str">
        <f>IF(DK205=-1,"x",IF(OR(DK303=1,DK$230=1,$GU205=1),DK205,0))</f>
        <v>x</v>
      </c>
      <c r="DL388" s="47" t="str">
        <f>IF(DL205=-1,"x",IF(OR(DL303=1,DL$230=1,$GV205=1),DL205,0))</f>
        <v>x</v>
      </c>
      <c r="DM388" s="46" t="str">
        <f>IF(DM205=-1,"x",IF(OR(DM303=1,DM$230=1,$GT205=1),DM205,0))</f>
        <v>x</v>
      </c>
      <c r="DN388" s="45" t="str">
        <f>IF(DN205=-1,"x",IF(OR(DN303=1,DN$230=1,$GU205=1),DN205,0))</f>
        <v>x</v>
      </c>
      <c r="DO388" s="47" t="str">
        <f>IF(DO205=-1,"x",IF(OR(DO303=1,DO$230=1,$GV205=1),DO205,0))</f>
        <v>x</v>
      </c>
      <c r="DP388" s="46" t="str">
        <f>IF(DP205=-1,"x",IF(OR(DP303=1,DP$230=1,$GT205=1),DP205,0))</f>
        <v>x</v>
      </c>
      <c r="DQ388" s="45" t="str">
        <f>IF(DQ205=-1,"x",IF(OR(DQ303=1,DQ$230=1,$GU205=1),DQ205,0))</f>
        <v>x</v>
      </c>
      <c r="DR388" s="48" t="str">
        <f>IF(DR205=-1,"x",IF(OR(DR303=1,DR$230=1,$GV205=1),DR205,0))</f>
        <v>x</v>
      </c>
      <c r="DS388" s="44" t="str">
        <f>IF(DS205=-1,"x",IF(OR(DS303=1,DS$230=1,$GT205=1),DS205,0))</f>
        <v>x</v>
      </c>
      <c r="DT388" s="45" t="str">
        <f>IF(DT205=-1,"x",IF(OR(DT303=1,DT$230=1,$GU205=1),DT205,0))</f>
        <v>x</v>
      </c>
      <c r="DU388" s="47" t="str">
        <f>IF(DU205=-1,"x",IF(OR(DU303=1,DU$230=1,$GV205=1),DU205,0))</f>
        <v>x</v>
      </c>
      <c r="DV388" s="46" t="str">
        <f>IF(DV205=-1,"x",IF(OR(DV303=1,DV$230=1,$GT205=1),DV205,0))</f>
        <v>x</v>
      </c>
      <c r="DW388" s="45" t="str">
        <f>IF(DW205=-1,"x",IF(OR(DW303=1,DW$230=1,$GU205=1),DW205,0))</f>
        <v>x</v>
      </c>
      <c r="DX388" s="47" t="str">
        <f>IF(DX205=-1,"x",IF(OR(DX303=1,DX$230=1,$GV205=1),DX205,0))</f>
        <v>x</v>
      </c>
      <c r="DY388" s="46" t="str">
        <f>IF(DY205=-1,"x",IF(OR(DY303=1,DY$230=1,$GT205=1),DY205,0))</f>
        <v>x</v>
      </c>
      <c r="DZ388" s="45" t="str">
        <f>IF(DZ205=-1,"x",IF(OR(DZ303=1,DZ$230=1,$GU205=1),DZ205,0))</f>
        <v>x</v>
      </c>
      <c r="EA388" s="48" t="str">
        <f>IF(EA205=-1,"x",IF(OR(EA303=1,EA$230=1,$GV205=1),EA205,0))</f>
        <v>x</v>
      </c>
      <c r="EB388" s="44" t="str">
        <f>IF(EB205=-1,"x",IF(OR(EB303=1,EB$230=1,$GT205=1),EB205,0))</f>
        <v>x</v>
      </c>
      <c r="EC388" s="45" t="str">
        <f>IF(EC205=-1,"x",IF(OR(EC303=1,EC$230=1,$GU205=1),EC205,0))</f>
        <v>x</v>
      </c>
      <c r="ED388" s="47" t="str">
        <f>IF(ED205=-1,"x",IF(OR(ED303=1,ED$230=1,$GV205=1),ED205,0))</f>
        <v>x</v>
      </c>
      <c r="EE388" s="46" t="str">
        <f>IF(EE205=-1,"x",IF(OR(EE303=1,EE$230=1,$GT205=1),EE205,0))</f>
        <v>x</v>
      </c>
      <c r="EF388" s="45" t="str">
        <f>IF(EF205=-1,"x",IF(OR(EF303=1,EF$230=1,$GU205=1),EF205,0))</f>
        <v>x</v>
      </c>
      <c r="EG388" s="47" t="str">
        <f>IF(EG205=-1,"x",IF(OR(EG303=1,EG$230=1,$GV205=1),EG205,0))</f>
        <v>x</v>
      </c>
      <c r="EH388" s="46" t="str">
        <f>IF(EH205=-1,"x",IF(OR(EH303=1,EH$230=1,$GT205=1),EH205,0))</f>
        <v>x</v>
      </c>
      <c r="EI388" s="45" t="str">
        <f>IF(EI205=-1,"x",IF(OR(EI303=1,EI$230=1,$GU205=1),EI205,0))</f>
        <v>x</v>
      </c>
      <c r="EJ388" s="100" t="str">
        <f>IF(EJ205=-1,"x",IF(OR(EJ303=1,EJ$230=1,$GV205=1),EJ205,0))</f>
        <v>x</v>
      </c>
      <c r="EK388" s="99" t="str">
        <f>IF(EK205=-1,"x",IF(OR(EK303=1,EK$230=1,$GT205=1),EK205,0))</f>
        <v>x</v>
      </c>
      <c r="EL388" s="45" t="str">
        <f>IF(EL205=-1,"x",IF(OR(EL303=1,EL$230=1,$GU205=1),EL205,0))</f>
        <v>x</v>
      </c>
      <c r="EM388" s="47" t="str">
        <f>IF(EM205=-1,"x",IF(OR(EM303=1,EM$230=1,$GV205=1),EM205,0))</f>
        <v>x</v>
      </c>
      <c r="EN388" s="46" t="str">
        <f>IF(EN205=-1,"x",IF(OR(EN303=1,EN$230=1,$GT205=1),EN205,0))</f>
        <v>x</v>
      </c>
      <c r="EO388" s="45" t="str">
        <f>IF(EO205=-1,"x",IF(OR(EO303=1,EO$230=1,$GU205=1),EO205,0))</f>
        <v>x</v>
      </c>
      <c r="EP388" s="47" t="str">
        <f>IF(EP205=-1,"x",IF(OR(EP303=1,EP$230=1,$GV205=1),EP205,0))</f>
        <v>x</v>
      </c>
      <c r="EQ388" s="46" t="str">
        <f>IF(EQ205=-1,"x",IF(OR(EQ303=1,EQ$230=1,$GT205=1),EQ205,0))</f>
        <v>x</v>
      </c>
      <c r="ER388" s="45" t="str">
        <f>IF(ER205=-1,"x",IF(OR(ER303=1,ER$230=1,$GU205=1),ER205,0))</f>
        <v>x</v>
      </c>
      <c r="ES388" s="48" t="str">
        <f>IF(ES205=-1,"x",IF(OR(ES303=1,ES$230=1,$GV205=1),ES205,0))</f>
        <v>x</v>
      </c>
      <c r="ET388" s="44" t="str">
        <f>IF(ET205=-1,"x",IF(OR(ET303=1,ET$230=1,$GT205=1),ET205,0))</f>
        <v>x</v>
      </c>
      <c r="EU388" s="45" t="str">
        <f>IF(EU205=-1,"x",IF(OR(EU303=1,EU$230=1,$GU205=1),EU205,0))</f>
        <v>x</v>
      </c>
      <c r="EV388" s="47" t="str">
        <f>IF(EV205=-1,"x",IF(OR(EV303=1,EV$230=1,$GV205=1),EV205,0))</f>
        <v>x</v>
      </c>
      <c r="EW388" s="46">
        <f>IF(EW205=-1,"x",IF(OR(EW303=1,EW$230=1,$GT205=1),EW205,0))</f>
        <v>0</v>
      </c>
      <c r="EX388" s="45">
        <f>IF(EX205=-1,"x",IF(OR(EX303=1,EX$230=1,$GU205=1),EX205,0))</f>
        <v>0</v>
      </c>
      <c r="EY388" s="47">
        <f>IF(EY205=-1,"x",IF(OR(EY303=1,EY$230=1,$GV205=1),EY205,0))</f>
        <v>0</v>
      </c>
      <c r="EZ388" s="46" t="str">
        <f>IF(EZ205=-1,"x",IF(OR(EZ303=1,EZ$230=1,$GT205=1),EZ205,0))</f>
        <v>x</v>
      </c>
      <c r="FA388" s="45" t="str">
        <f>IF(FA205=-1,"x",IF(OR(FA303=1,FA$230=1,$GU205=1),FA205,0))</f>
        <v>x</v>
      </c>
      <c r="FB388" s="48" t="str">
        <f>IF(FB205=-1,"x",IF(OR(FB303=1,FB$230=1,$GV205=1),FB205,0))</f>
        <v>x</v>
      </c>
      <c r="FC388" s="44" t="str">
        <f>IF(FC205=-1,"x",IF(OR(FC303=1,FC$230=1,$GT205=1),FC205,0))</f>
        <v>x</v>
      </c>
      <c r="FD388" s="45" t="str">
        <f>IF(FD205=-1,"x",IF(OR(FD303=1,FD$230=1,$GU205=1),FD205,0))</f>
        <v>x</v>
      </c>
      <c r="FE388" s="47" t="str">
        <f>IF(FE205=-1,"x",IF(OR(FE303=1,FE$230=1,$GV205=1),FE205,0))</f>
        <v>x</v>
      </c>
      <c r="FF388" s="46" t="str">
        <f>IF(FF205=-1,"x",IF(OR(FF303=1,FF$230=1,$GT205=1),FF205,0))</f>
        <v>x</v>
      </c>
      <c r="FG388" s="45" t="str">
        <f>IF(FG205=-1,"x",IF(OR(FG303=1,FG$230=1,$GU205=1),FG205,0))</f>
        <v>x</v>
      </c>
      <c r="FH388" s="47" t="str">
        <f>IF(FH205=-1,"x",IF(OR(FH303=1,FH$230=1,$GV205=1),FH205,0))</f>
        <v>x</v>
      </c>
      <c r="FI388" s="46" t="str">
        <f>IF(FI205=-1,"x",IF(OR(FI303=1,FI$230=1,$GT205=1),FI205,0))</f>
        <v>x</v>
      </c>
      <c r="FJ388" s="45" t="str">
        <f>IF(FJ205=-1,"x",IF(OR(FJ303=1,FJ$230=1,$GU205=1),FJ205,0))</f>
        <v>x</v>
      </c>
      <c r="FK388" s="100" t="str">
        <f>IF(FK205=-1,"x",IF(OR(FK303=1,FK$230=1,$GV205=1),FK205,0))</f>
        <v>x</v>
      </c>
      <c r="FL388" s="99" t="str">
        <f>IF(FL205=-1,"x",IF(OR(FL303=1,FL$230=1,$GT205=1),FL205,0))</f>
        <v>x</v>
      </c>
      <c r="FM388" s="45" t="str">
        <f>IF(FM205=-1,"x",IF(OR(FM303=1,FM$230=1,$GU205=1),FM205,0))</f>
        <v>x</v>
      </c>
      <c r="FN388" s="47" t="str">
        <f>IF(FN205=-1,"x",IF(OR(FN303=1,FN$230=1,$GV205=1),FN205,0))</f>
        <v>x</v>
      </c>
      <c r="FO388" s="46" t="str">
        <f>IF(FO205=-1,"x",IF(OR(FO303=1,FO$230=1,$GT205=1),FO205,0))</f>
        <v>x</v>
      </c>
      <c r="FP388" s="45" t="str">
        <f>IF(FP205=-1,"x",IF(OR(FP303=1,FP$230=1,$GU205=1),FP205,0))</f>
        <v>x</v>
      </c>
      <c r="FQ388" s="47" t="str">
        <f>IF(FQ205=-1,"x",IF(OR(FQ303=1,FQ$230=1,$GV205=1),FQ205,0))</f>
        <v>x</v>
      </c>
      <c r="FR388" s="46" t="str">
        <f>IF(FR205=-1,"x",IF(OR(FR303=1,FR$230=1,$GT205=1),FR205,0))</f>
        <v>x</v>
      </c>
      <c r="FS388" s="45" t="str">
        <f>IF(FS205=-1,"x",IF(OR(FS303=1,FS$230=1,$GU205=1),FS205,0))</f>
        <v>x</v>
      </c>
      <c r="FT388" s="48" t="str">
        <f>IF(FT205=-1,"x",IF(OR(FT303=1,FT$230=1,$GV205=1),FT205,0))</f>
        <v>x</v>
      </c>
      <c r="FU388" s="44" t="str">
        <f>IF(FU205=-1,"x",IF(OR(FU303=1,FU$230=1,$GT205=1),FU205,0))</f>
        <v>x</v>
      </c>
      <c r="FV388" s="45" t="str">
        <f>IF(FV205=-1,"x",IF(OR(FV303=1,FV$230=1,$GU205=1),FV205,0))</f>
        <v>x</v>
      </c>
      <c r="FW388" s="47" t="str">
        <f>IF(FW205=-1,"x",IF(OR(FW303=1,FW$230=1,$GV205=1),FW205,0))</f>
        <v>x</v>
      </c>
      <c r="FX388" s="46" t="str">
        <f>IF(FX205=-1,"x",IF(OR(FX303=1,FX$230=1,$GT205=1),FX205,0))</f>
        <v>x</v>
      </c>
      <c r="FY388" s="45" t="str">
        <f>IF(FY205=-1,"x",IF(OR(FY303=1,FY$230=1,$GU205=1),FY205,0))</f>
        <v>x</v>
      </c>
      <c r="FZ388" s="47" t="str">
        <f>IF(FZ205=-1,"x",IF(OR(FZ303=1,FZ$230=1,$GV205=1),FZ205,0))</f>
        <v>x</v>
      </c>
      <c r="GA388" s="46" t="str">
        <f>IF(GA205=-1,"x",IF(OR(GA303=1,GA$230=1,$GT205=1),GA205,0))</f>
        <v>x</v>
      </c>
      <c r="GB388" s="45" t="str">
        <f>IF(GB205=-1,"x",IF(OR(GB303=1,GB$230=1,$GU205=1),GB205,0))</f>
        <v>x</v>
      </c>
      <c r="GC388" s="48" t="str">
        <f>IF(GC205=-1,"x",IF(OR(GC303=1,GC$230=1,$GV205=1),GC205,0))</f>
        <v>x</v>
      </c>
      <c r="GD388" s="44" t="str">
        <f>IF(GD205=-1,"x",IF(OR(GD303=1,GD$230=1,$GT205=1),GD205,0))</f>
        <v>x</v>
      </c>
      <c r="GE388" s="45" t="str">
        <f>IF(GE205=-1,"x",IF(OR(GE303=1,GE$230=1,$GU205=1),GE205,0))</f>
        <v>x</v>
      </c>
      <c r="GF388" s="47" t="str">
        <f>IF(GF205=-1,"x",IF(OR(GF303=1,GF$230=1,$GV205=1),GF205,0))</f>
        <v>x</v>
      </c>
      <c r="GG388" s="46" t="str">
        <f>IF(GG205=-1,"x",IF(OR(GG303=1,GG$230=1,$GT205=1),GG205,0))</f>
        <v>x</v>
      </c>
      <c r="GH388" s="45" t="str">
        <f>IF(GH205=-1,"x",IF(OR(GH303=1,GH$230=1,$GU205=1),GH205,0))</f>
        <v>x</v>
      </c>
      <c r="GI388" s="47" t="str">
        <f>IF(GI205=-1,"x",IF(OR(GI303=1,GI$230=1,$GV205=1),GI205,0))</f>
        <v>x</v>
      </c>
      <c r="GJ388" s="46" t="str">
        <f>IF(GJ205=-1,"x",IF(OR(GJ303=1,GJ$230=1,$GT205=1),GJ205,0))</f>
        <v>x</v>
      </c>
      <c r="GK388" s="45" t="str">
        <f>IF(GK205=-1,"x",IF(OR(GK303=1,GK$230=1,$GU205=1),GK205,0))</f>
        <v>x</v>
      </c>
      <c r="GL388" s="100" t="str">
        <f>IF(GL205=-1,"x",IF(OR(GL303=1,GL$230=1,$GV205=1),GL205,0))</f>
        <v>x</v>
      </c>
    </row>
    <row r="389" spans="114:194" ht="15" customHeight="1">
      <c r="DJ389" s="104" t="str">
        <f>IF(DJ206=-1,"x",IF(OR(DJ304=1,DJ$228=1,$GT206=1),DJ206,0))</f>
        <v>x</v>
      </c>
      <c r="DK389" s="50" t="str">
        <f>IF(DK206=-1,"x",IF(OR(DK304=1,DK$228=1,$GU206=1),DK206,0))</f>
        <v>x</v>
      </c>
      <c r="DL389" s="51" t="str">
        <f>IF(DL206=-1,"x",IF(OR(DL304=1,DL$228=1,$GV206=1),DL206,0))</f>
        <v>x</v>
      </c>
      <c r="DM389" s="52" t="str">
        <f>IF(DM206=-1,"x",IF(OR(DM304=1,DM$228=1,$GT206=1),DM206,0))</f>
        <v>x</v>
      </c>
      <c r="DN389" s="50" t="str">
        <f>IF(DN206=-1,"x",IF(OR(DN304=1,DN$228=1,$GU206=1),DN206,0))</f>
        <v>x</v>
      </c>
      <c r="DO389" s="51" t="str">
        <f>IF(DO206=-1,"x",IF(OR(DO304=1,DO$228=1,$GV206=1),DO206,0))</f>
        <v>x</v>
      </c>
      <c r="DP389" s="52" t="str">
        <f>IF(DP206=-1,"x",IF(OR(DP304=1,DP$228=1,$GT206=1),DP206,0))</f>
        <v>x</v>
      </c>
      <c r="DQ389" s="50" t="str">
        <f>IF(DQ206=-1,"x",IF(OR(DQ304=1,DQ$228=1,$GU206=1),DQ206,0))</f>
        <v>x</v>
      </c>
      <c r="DR389" s="53" t="str">
        <f>IF(DR206=-1,"x",IF(OR(DR304=1,DR$228=1,$GV206=1),DR206,0))</f>
        <v>x</v>
      </c>
      <c r="DS389" s="49" t="str">
        <f>IF(DS206=-1,"x",IF(OR(DS304=1,DS$228=1,$GT206=1),DS206,0))</f>
        <v>x</v>
      </c>
      <c r="DT389" s="50" t="str">
        <f>IF(DT206=-1,"x",IF(OR(DT304=1,DT$228=1,$GU206=1),DT206,0))</f>
        <v>x</v>
      </c>
      <c r="DU389" s="51" t="str">
        <f>IF(DU206=-1,"x",IF(OR(DU304=1,DU$228=1,$GV206=1),DU206,0))</f>
        <v>x</v>
      </c>
      <c r="DV389" s="52" t="str">
        <f>IF(DV206=-1,"x",IF(OR(DV304=1,DV$228=1,$GT206=1),DV206,0))</f>
        <v>x</v>
      </c>
      <c r="DW389" s="50" t="str">
        <f>IF(DW206=-1,"x",IF(OR(DW304=1,DW$228=1,$GU206=1),DW206,0))</f>
        <v>x</v>
      </c>
      <c r="DX389" s="51" t="str">
        <f>IF(DX206=-1,"x",IF(OR(DX304=1,DX$228=1,$GV206=1),DX206,0))</f>
        <v>x</v>
      </c>
      <c r="DY389" s="52" t="str">
        <f>IF(DY206=-1,"x",IF(OR(DY304=1,DY$228=1,$GT206=1),DY206,0))</f>
        <v>x</v>
      </c>
      <c r="DZ389" s="50" t="str">
        <f>IF(DZ206=-1,"x",IF(OR(DZ304=1,DZ$228=1,$GU206=1),DZ206,0))</f>
        <v>x</v>
      </c>
      <c r="EA389" s="53" t="str">
        <f>IF(EA206=-1,"x",IF(OR(EA304=1,EA$228=1,$GV206=1),EA206,0))</f>
        <v>x</v>
      </c>
      <c r="EB389" s="49" t="str">
        <f>IF(EB206=-1,"x",IF(OR(EB304=1,EB$228=1,$GT206=1),EB206,0))</f>
        <v>x</v>
      </c>
      <c r="EC389" s="50" t="str">
        <f>IF(EC206=-1,"x",IF(OR(EC304=1,EC$228=1,$GU206=1),EC206,0))</f>
        <v>x</v>
      </c>
      <c r="ED389" s="51" t="str">
        <f>IF(ED206=-1,"x",IF(OR(ED304=1,ED$228=1,$GV206=1),ED206,0))</f>
        <v>x</v>
      </c>
      <c r="EE389" s="52" t="str">
        <f>IF(EE206=-1,"x",IF(OR(EE304=1,EE$228=1,$GT206=1),EE206,0))</f>
        <v>x</v>
      </c>
      <c r="EF389" s="50" t="str">
        <f>IF(EF206=-1,"x",IF(OR(EF304=1,EF$228=1,$GU206=1),EF206,0))</f>
        <v>x</v>
      </c>
      <c r="EG389" s="51" t="str">
        <f>IF(EG206=-1,"x",IF(OR(EG304=1,EG$228=1,$GV206=1),EG206,0))</f>
        <v>x</v>
      </c>
      <c r="EH389" s="52" t="str">
        <f>IF(EH206=-1,"x",IF(OR(EH304=1,EH$228=1,$GT206=1),EH206,0))</f>
        <v>x</v>
      </c>
      <c r="EI389" s="50" t="str">
        <f>IF(EI206=-1,"x",IF(OR(EI304=1,EI$228=1,$GU206=1),EI206,0))</f>
        <v>x</v>
      </c>
      <c r="EJ389" s="105" t="str">
        <f>IF(EJ206=-1,"x",IF(OR(EJ304=1,EJ$228=1,$GV206=1),EJ206,0))</f>
        <v>x</v>
      </c>
      <c r="EK389" s="104" t="str">
        <f>IF(EK206=-1,"x",IF(OR(EK304=1,EK$228=1,$GT206=1),EK206,0))</f>
        <v>x</v>
      </c>
      <c r="EL389" s="50" t="str">
        <f>IF(EL206=-1,"x",IF(OR(EL304=1,EL$228=1,$GU206=1),EL206,0))</f>
        <v>x</v>
      </c>
      <c r="EM389" s="51" t="str">
        <f>IF(EM206=-1,"x",IF(OR(EM304=1,EM$228=1,$GV206=1),EM206,0))</f>
        <v>x</v>
      </c>
      <c r="EN389" s="52" t="str">
        <f>IF(EN206=-1,"x",IF(OR(EN304=1,EN$228=1,$GT206=1),EN206,0))</f>
        <v>x</v>
      </c>
      <c r="EO389" s="50" t="str">
        <f>IF(EO206=-1,"x",IF(OR(EO304=1,EO$228=1,$GU206=1),EO206,0))</f>
        <v>x</v>
      </c>
      <c r="EP389" s="51" t="str">
        <f>IF(EP206=-1,"x",IF(OR(EP304=1,EP$228=1,$GV206=1),EP206,0))</f>
        <v>x</v>
      </c>
      <c r="EQ389" s="52" t="str">
        <f>IF(EQ206=-1,"x",IF(OR(EQ304=1,EQ$228=1,$GT206=1),EQ206,0))</f>
        <v>x</v>
      </c>
      <c r="ER389" s="50" t="str">
        <f>IF(ER206=-1,"x",IF(OR(ER304=1,ER$228=1,$GU206=1),ER206,0))</f>
        <v>x</v>
      </c>
      <c r="ES389" s="53" t="str">
        <f>IF(ES206=-1,"x",IF(OR(ES304=1,ES$228=1,$GV206=1),ES206,0))</f>
        <v>x</v>
      </c>
      <c r="ET389" s="49">
        <f>IF(ET206=-1,"x",IF(OR(ET304=1,ET$228=1,$GT206=1),ET206,0))</f>
        <v>0</v>
      </c>
      <c r="EU389" s="50">
        <f>IF(EU206=-1,"x",IF(OR(EU304=1,EU$228=1,$GU206=1),EU206,0))</f>
        <v>0</v>
      </c>
      <c r="EV389" s="51">
        <f>IF(EV206=-1,"x",IF(OR(EV304=1,EV$228=1,$GV206=1),EV206,0))</f>
        <v>0</v>
      </c>
      <c r="EW389" s="52" t="str">
        <f>IF(EW206=-1,"x",IF(OR(EW304=1,EW$228=1,$GT206=1),EW206,0))</f>
        <v>x</v>
      </c>
      <c r="EX389" s="50" t="str">
        <f>IF(EX206=-1,"x",IF(OR(EX304=1,EX$228=1,$GU206=1),EX206,0))</f>
        <v>x</v>
      </c>
      <c r="EY389" s="51" t="str">
        <f>IF(EY206=-1,"x",IF(OR(EY304=1,EY$228=1,$GV206=1),EY206,0))</f>
        <v>x</v>
      </c>
      <c r="EZ389" s="52" t="str">
        <f>IF(EZ206=-1,"x",IF(OR(EZ304=1,EZ$228=1,$GT206=1),EZ206,0))</f>
        <v>x</v>
      </c>
      <c r="FA389" s="50" t="str">
        <f>IF(FA206=-1,"x",IF(OR(FA304=1,FA$228=1,$GU206=1),FA206,0))</f>
        <v>x</v>
      </c>
      <c r="FB389" s="53" t="str">
        <f>IF(FB206=-1,"x",IF(OR(FB304=1,FB$228=1,$GV206=1),FB206,0))</f>
        <v>x</v>
      </c>
      <c r="FC389" s="49" t="str">
        <f>IF(FC206=-1,"x",IF(OR(FC304=1,FC$228=1,$GT206=1),FC206,0))</f>
        <v>x</v>
      </c>
      <c r="FD389" s="50" t="str">
        <f>IF(FD206=-1,"x",IF(OR(FD304=1,FD$228=1,$GU206=1),FD206,0))</f>
        <v>x</v>
      </c>
      <c r="FE389" s="51" t="str">
        <f>IF(FE206=-1,"x",IF(OR(FE304=1,FE$228=1,$GV206=1),FE206,0))</f>
        <v>x</v>
      </c>
      <c r="FF389" s="52" t="str">
        <f>IF(FF206=-1,"x",IF(OR(FF304=1,FF$228=1,$GT206=1),FF206,0))</f>
        <v>x</v>
      </c>
      <c r="FG389" s="50" t="str">
        <f>IF(FG206=-1,"x",IF(OR(FG304=1,FG$228=1,$GU206=1),FG206,0))</f>
        <v>x</v>
      </c>
      <c r="FH389" s="51" t="str">
        <f>IF(FH206=-1,"x",IF(OR(FH304=1,FH$228=1,$GV206=1),FH206,0))</f>
        <v>x</v>
      </c>
      <c r="FI389" s="52" t="str">
        <f>IF(FI206=-1,"x",IF(OR(FI304=1,FI$228=1,$GT206=1),FI206,0))</f>
        <v>x</v>
      </c>
      <c r="FJ389" s="50" t="str">
        <f>IF(FJ206=-1,"x",IF(OR(FJ304=1,FJ$228=1,$GU206=1),FJ206,0))</f>
        <v>x</v>
      </c>
      <c r="FK389" s="105" t="str">
        <f>IF(FK206=-1,"x",IF(OR(FK304=1,FK$228=1,$GV206=1),FK206,0))</f>
        <v>x</v>
      </c>
      <c r="FL389" s="104" t="str">
        <f>IF(FL206=-1,"x",IF(OR(FL304=1,FL$228=1,$GT206=1),FL206,0))</f>
        <v>x</v>
      </c>
      <c r="FM389" s="50" t="str">
        <f>IF(FM206=-1,"x",IF(OR(FM304=1,FM$228=1,$GU206=1),FM206,0))</f>
        <v>x</v>
      </c>
      <c r="FN389" s="51" t="str">
        <f>IF(FN206=-1,"x",IF(OR(FN304=1,FN$228=1,$GV206=1),FN206,0))</f>
        <v>x</v>
      </c>
      <c r="FO389" s="52" t="str">
        <f>IF(FO206=-1,"x",IF(OR(FO304=1,FO$228=1,$GT206=1),FO206,0))</f>
        <v>x</v>
      </c>
      <c r="FP389" s="50" t="str">
        <f>IF(FP206=-1,"x",IF(OR(FP304=1,FP$228=1,$GU206=1),FP206,0))</f>
        <v>x</v>
      </c>
      <c r="FQ389" s="51" t="str">
        <f>IF(FQ206=-1,"x",IF(OR(FQ304=1,FQ$228=1,$GV206=1),FQ206,0))</f>
        <v>x</v>
      </c>
      <c r="FR389" s="52" t="str">
        <f>IF(FR206=-1,"x",IF(OR(FR304=1,FR$228=1,$GT206=1),FR206,0))</f>
        <v>x</v>
      </c>
      <c r="FS389" s="50" t="str">
        <f>IF(FS206=-1,"x",IF(OR(FS304=1,FS$228=1,$GU206=1),FS206,0))</f>
        <v>x</v>
      </c>
      <c r="FT389" s="53" t="str">
        <f>IF(FT206=-1,"x",IF(OR(FT304=1,FT$228=1,$GV206=1),FT206,0))</f>
        <v>x</v>
      </c>
      <c r="FU389" s="49" t="str">
        <f>IF(FU206=-1,"x",IF(OR(FU304=1,FU$228=1,$GT206=1),FU206,0))</f>
        <v>x</v>
      </c>
      <c r="FV389" s="50" t="str">
        <f>IF(FV206=-1,"x",IF(OR(FV304=1,FV$228=1,$GU206=1),FV206,0))</f>
        <v>x</v>
      </c>
      <c r="FW389" s="51" t="str">
        <f>IF(FW206=-1,"x",IF(OR(FW304=1,FW$228=1,$GV206=1),FW206,0))</f>
        <v>x</v>
      </c>
      <c r="FX389" s="52" t="str">
        <f>IF(FX206=-1,"x",IF(OR(FX304=1,FX$228=1,$GT206=1),FX206,0))</f>
        <v>x</v>
      </c>
      <c r="FY389" s="50" t="str">
        <f>IF(FY206=-1,"x",IF(OR(FY304=1,FY$228=1,$GU206=1),FY206,0))</f>
        <v>x</v>
      </c>
      <c r="FZ389" s="51" t="str">
        <f>IF(FZ206=-1,"x",IF(OR(FZ304=1,FZ$228=1,$GV206=1),FZ206,0))</f>
        <v>x</v>
      </c>
      <c r="GA389" s="52" t="str">
        <f>IF(GA206=-1,"x",IF(OR(GA304=1,GA$228=1,$GT206=1),GA206,0))</f>
        <v>x</v>
      </c>
      <c r="GB389" s="50" t="str">
        <f>IF(GB206=-1,"x",IF(OR(GB304=1,GB$228=1,$GU206=1),GB206,0))</f>
        <v>x</v>
      </c>
      <c r="GC389" s="53" t="str">
        <f>IF(GC206=-1,"x",IF(OR(GC304=1,GC$228=1,$GV206=1),GC206,0))</f>
        <v>x</v>
      </c>
      <c r="GD389" s="49" t="str">
        <f>IF(GD206=-1,"x",IF(OR(GD304=1,GD$228=1,$GT206=1),GD206,0))</f>
        <v>x</v>
      </c>
      <c r="GE389" s="50" t="str">
        <f>IF(GE206=-1,"x",IF(OR(GE304=1,GE$228=1,$GU206=1),GE206,0))</f>
        <v>x</v>
      </c>
      <c r="GF389" s="51" t="str">
        <f>IF(GF206=-1,"x",IF(OR(GF304=1,GF$228=1,$GV206=1),GF206,0))</f>
        <v>x</v>
      </c>
      <c r="GG389" s="52" t="str">
        <f>IF(GG206=-1,"x",IF(OR(GG304=1,GG$228=1,$GT206=1),GG206,0))</f>
        <v>x</v>
      </c>
      <c r="GH389" s="50" t="str">
        <f>IF(GH206=-1,"x",IF(OR(GH304=1,GH$228=1,$GU206=1),GH206,0))</f>
        <v>x</v>
      </c>
      <c r="GI389" s="51" t="str">
        <f>IF(GI206=-1,"x",IF(OR(GI304=1,GI$228=1,$GV206=1),GI206,0))</f>
        <v>x</v>
      </c>
      <c r="GJ389" s="52" t="str">
        <f>IF(GJ206=-1,"x",IF(OR(GJ304=1,GJ$228=1,$GT206=1),GJ206,0))</f>
        <v>x</v>
      </c>
      <c r="GK389" s="50" t="str">
        <f>IF(GK206=-1,"x",IF(OR(GK304=1,GK$228=1,$GU206=1),GK206,0))</f>
        <v>x</v>
      </c>
      <c r="GL389" s="105" t="str">
        <f>IF(GL206=-1,"x",IF(OR(GL304=1,GL$228=1,$GV206=1),GL206,0))</f>
        <v>x</v>
      </c>
    </row>
    <row r="390" spans="114:194" ht="15" customHeight="1">
      <c r="DJ390" s="94" t="str">
        <f>IF(DJ207=-1,"x",IF(OR(DJ305=1,DJ$229=1,$GT207=1),DJ207,0))</f>
        <v>x</v>
      </c>
      <c r="DK390" s="39" t="str">
        <f>IF(DK207=-1,"x",IF(OR(DK305=1,DK$229=1,$GU207=1),DK207,0))</f>
        <v>x</v>
      </c>
      <c r="DL390" s="41" t="str">
        <f>IF(DL207=-1,"x",IF(OR(DL305=1,DL$229=1,$GV207=1),DL207,0))</f>
        <v>x</v>
      </c>
      <c r="DM390" s="40" t="str">
        <f>IF(DM207=-1,"x",IF(OR(DM305=1,DM$229=1,$GT207=1),DM207,0))</f>
        <v>x</v>
      </c>
      <c r="DN390" s="39" t="str">
        <f>IF(DN207=-1,"x",IF(OR(DN305=1,DN$229=1,$GU207=1),DN207,0))</f>
        <v>x</v>
      </c>
      <c r="DO390" s="41" t="str">
        <f>IF(DO207=-1,"x",IF(OR(DO305=1,DO$229=1,$GV207=1),DO207,0))</f>
        <v>x</v>
      </c>
      <c r="DP390" s="40" t="str">
        <f>IF(DP207=-1,"x",IF(OR(DP305=1,DP$229=1,$GT207=1),DP207,0))</f>
        <v>x</v>
      </c>
      <c r="DQ390" s="39" t="str">
        <f>IF(DQ207=-1,"x",IF(OR(DQ305=1,DQ$229=1,$GU207=1),DQ207,0))</f>
        <v>x</v>
      </c>
      <c r="DR390" s="42" t="str">
        <f>IF(DR207=-1,"x",IF(OR(DR305=1,DR$229=1,$GV207=1),DR207,0))</f>
        <v>x</v>
      </c>
      <c r="DS390" s="43" t="str">
        <f>IF(DS207=-1,"x",IF(OR(DS305=1,DS$229=1,$GT207=1),DS207,0))</f>
        <v>x</v>
      </c>
      <c r="DT390" s="39" t="str">
        <f>IF(DT207=-1,"x",IF(OR(DT305=1,DT$229=1,$GU207=1),DT207,0))</f>
        <v>x</v>
      </c>
      <c r="DU390" s="41" t="str">
        <f>IF(DU207=-1,"x",IF(OR(DU305=1,DU$229=1,$GV207=1),DU207,0))</f>
        <v>x</v>
      </c>
      <c r="DV390" s="40" t="str">
        <f>IF(DV207=-1,"x",IF(OR(DV305=1,DV$229=1,$GT207=1),DV207,0))</f>
        <v>x</v>
      </c>
      <c r="DW390" s="39" t="str">
        <f>IF(DW207=-1,"x",IF(OR(DW305=1,DW$229=1,$GU207=1),DW207,0))</f>
        <v>x</v>
      </c>
      <c r="DX390" s="41" t="str">
        <f>IF(DX207=-1,"x",IF(OR(DX305=1,DX$229=1,$GV207=1),DX207,0))</f>
        <v>x</v>
      </c>
      <c r="DY390" s="40" t="str">
        <f>IF(DY207=-1,"x",IF(OR(DY305=1,DY$229=1,$GT207=1),DY207,0))</f>
        <v>x</v>
      </c>
      <c r="DZ390" s="39" t="str">
        <f>IF(DZ207=-1,"x",IF(OR(DZ305=1,DZ$229=1,$GU207=1),DZ207,0))</f>
        <v>x</v>
      </c>
      <c r="EA390" s="42" t="str">
        <f>IF(EA207=-1,"x",IF(OR(EA305=1,EA$229=1,$GV207=1),EA207,0))</f>
        <v>x</v>
      </c>
      <c r="EB390" s="43" t="str">
        <f>IF(EB207=-1,"x",IF(OR(EB305=1,EB$229=1,$GT207=1),EB207,0))</f>
        <v>x</v>
      </c>
      <c r="EC390" s="39" t="str">
        <f>IF(EC207=-1,"x",IF(OR(EC305=1,EC$229=1,$GU207=1),EC207,0))</f>
        <v>x</v>
      </c>
      <c r="ED390" s="41" t="str">
        <f>IF(ED207=-1,"x",IF(OR(ED305=1,ED$229=1,$GV207=1),ED207,0))</f>
        <v>x</v>
      </c>
      <c r="EE390" s="40" t="str">
        <f>IF(EE207=-1,"x",IF(OR(EE305=1,EE$229=1,$GT207=1),EE207,0))</f>
        <v>x</v>
      </c>
      <c r="EF390" s="39" t="str">
        <f>IF(EF207=-1,"x",IF(OR(EF305=1,EF$229=1,$GU207=1),EF207,0))</f>
        <v>x</v>
      </c>
      <c r="EG390" s="41" t="str">
        <f>IF(EG207=-1,"x",IF(OR(EG305=1,EG$229=1,$GV207=1),EG207,0))</f>
        <v>x</v>
      </c>
      <c r="EH390" s="40" t="str">
        <f>IF(EH207=-1,"x",IF(OR(EH305=1,EH$229=1,$GT207=1),EH207,0))</f>
        <v>x</v>
      </c>
      <c r="EI390" s="39" t="str">
        <f>IF(EI207=-1,"x",IF(OR(EI305=1,EI$229=1,$GU207=1),EI207,0))</f>
        <v>x</v>
      </c>
      <c r="EJ390" s="95" t="str">
        <f>IF(EJ207=-1,"x",IF(OR(EJ305=1,EJ$229=1,$GV207=1),EJ207,0))</f>
        <v>x</v>
      </c>
      <c r="EK390" s="94" t="str">
        <f>IF(EK207=-1,"x",IF(OR(EK305=1,EK$229=1,$GT207=1),EK207,0))</f>
        <v>x</v>
      </c>
      <c r="EL390" s="39" t="str">
        <f>IF(EL207=-1,"x",IF(OR(EL305=1,EL$229=1,$GU207=1),EL207,0))</f>
        <v>x</v>
      </c>
      <c r="EM390" s="41" t="str">
        <f>IF(EM207=-1,"x",IF(OR(EM305=1,EM$229=1,$GV207=1),EM207,0))</f>
        <v>x</v>
      </c>
      <c r="EN390" s="40" t="str">
        <f>IF(EN207=-1,"x",IF(OR(EN305=1,EN$229=1,$GT207=1),EN207,0))</f>
        <v>x</v>
      </c>
      <c r="EO390" s="39" t="str">
        <f>IF(EO207=-1,"x",IF(OR(EO305=1,EO$229=1,$GU207=1),EO207,0))</f>
        <v>x</v>
      </c>
      <c r="EP390" s="41" t="str">
        <f>IF(EP207=-1,"x",IF(OR(EP305=1,EP$229=1,$GV207=1),EP207,0))</f>
        <v>x</v>
      </c>
      <c r="EQ390" s="40" t="str">
        <f>IF(EQ207=-1,"x",IF(OR(EQ305=1,EQ$229=1,$GT207=1),EQ207,0))</f>
        <v>x</v>
      </c>
      <c r="ER390" s="39" t="str">
        <f>IF(ER207=-1,"x",IF(OR(ER305=1,ER$229=1,$GU207=1),ER207,0))</f>
        <v>x</v>
      </c>
      <c r="ES390" s="42" t="str">
        <f>IF(ES207=-1,"x",IF(OR(ES305=1,ES$229=1,$GV207=1),ES207,0))</f>
        <v>x</v>
      </c>
      <c r="ET390" s="43">
        <f>IF(ET207=-1,"x",IF(OR(ET305=1,ET$229=1,$GT207=1),ET207,0))</f>
        <v>0</v>
      </c>
      <c r="EU390" s="39">
        <f>IF(EU207=-1,"x",IF(OR(EU305=1,EU$229=1,$GU207=1),EU207,0))</f>
        <v>0</v>
      </c>
      <c r="EV390" s="41">
        <f>IF(EV207=-1,"x",IF(OR(EV305=1,EV$229=1,$GV207=1),EV207,0))</f>
        <v>0</v>
      </c>
      <c r="EW390" s="40" t="str">
        <f>IF(EW207=-1,"x",IF(OR(EW305=1,EW$229=1,$GT207=1),EW207,0))</f>
        <v>x</v>
      </c>
      <c r="EX390" s="39" t="str">
        <f>IF(EX207=-1,"x",IF(OR(EX305=1,EX$229=1,$GU207=1),EX207,0))</f>
        <v>x</v>
      </c>
      <c r="EY390" s="41" t="str">
        <f>IF(EY207=-1,"x",IF(OR(EY305=1,EY$229=1,$GV207=1),EY207,0))</f>
        <v>x</v>
      </c>
      <c r="EZ390" s="40" t="str">
        <f>IF(EZ207=-1,"x",IF(OR(EZ305=1,EZ$229=1,$GT207=1),EZ207,0))</f>
        <v>x</v>
      </c>
      <c r="FA390" s="39" t="str">
        <f>IF(FA207=-1,"x",IF(OR(FA305=1,FA$229=1,$GU207=1),FA207,0))</f>
        <v>x</v>
      </c>
      <c r="FB390" s="42" t="str">
        <f>IF(FB207=-1,"x",IF(OR(FB305=1,FB$229=1,$GV207=1),FB207,0))</f>
        <v>x</v>
      </c>
      <c r="FC390" s="43" t="str">
        <f>IF(FC207=-1,"x",IF(OR(FC305=1,FC$229=1,$GT207=1),FC207,0))</f>
        <v>x</v>
      </c>
      <c r="FD390" s="39" t="str">
        <f>IF(FD207=-1,"x",IF(OR(FD305=1,FD$229=1,$GU207=1),FD207,0))</f>
        <v>x</v>
      </c>
      <c r="FE390" s="41" t="str">
        <f>IF(FE207=-1,"x",IF(OR(FE305=1,FE$229=1,$GV207=1),FE207,0))</f>
        <v>x</v>
      </c>
      <c r="FF390" s="40" t="str">
        <f>IF(FF207=-1,"x",IF(OR(FF305=1,FF$229=1,$GT207=1),FF207,0))</f>
        <v>x</v>
      </c>
      <c r="FG390" s="39" t="str">
        <f>IF(FG207=-1,"x",IF(OR(FG305=1,FG$229=1,$GU207=1),FG207,0))</f>
        <v>x</v>
      </c>
      <c r="FH390" s="41" t="str">
        <f>IF(FH207=-1,"x",IF(OR(FH305=1,FH$229=1,$GV207=1),FH207,0))</f>
        <v>x</v>
      </c>
      <c r="FI390" s="40" t="str">
        <f>IF(FI207=-1,"x",IF(OR(FI305=1,FI$229=1,$GT207=1),FI207,0))</f>
        <v>x</v>
      </c>
      <c r="FJ390" s="39" t="str">
        <f>IF(FJ207=-1,"x",IF(OR(FJ305=1,FJ$229=1,$GU207=1),FJ207,0))</f>
        <v>x</v>
      </c>
      <c r="FK390" s="95" t="str">
        <f>IF(FK207=-1,"x",IF(OR(FK305=1,FK$229=1,$GV207=1),FK207,0))</f>
        <v>x</v>
      </c>
      <c r="FL390" s="94" t="str">
        <f>IF(FL207=-1,"x",IF(OR(FL305=1,FL$229=1,$GT207=1),FL207,0))</f>
        <v>x</v>
      </c>
      <c r="FM390" s="39" t="str">
        <f>IF(FM207=-1,"x",IF(OR(FM305=1,FM$229=1,$GU207=1),FM207,0))</f>
        <v>x</v>
      </c>
      <c r="FN390" s="41" t="str">
        <f>IF(FN207=-1,"x",IF(OR(FN305=1,FN$229=1,$GV207=1),FN207,0))</f>
        <v>x</v>
      </c>
      <c r="FO390" s="40" t="str">
        <f>IF(FO207=-1,"x",IF(OR(FO305=1,FO$229=1,$GT207=1),FO207,0))</f>
        <v>x</v>
      </c>
      <c r="FP390" s="39" t="str">
        <f>IF(FP207=-1,"x",IF(OR(FP305=1,FP$229=1,$GU207=1),FP207,0))</f>
        <v>x</v>
      </c>
      <c r="FQ390" s="41" t="str">
        <f>IF(FQ207=-1,"x",IF(OR(FQ305=1,FQ$229=1,$GV207=1),FQ207,0))</f>
        <v>x</v>
      </c>
      <c r="FR390" s="40" t="str">
        <f>IF(FR207=-1,"x",IF(OR(FR305=1,FR$229=1,$GT207=1),FR207,0))</f>
        <v>x</v>
      </c>
      <c r="FS390" s="39" t="str">
        <f>IF(FS207=-1,"x",IF(OR(FS305=1,FS$229=1,$GU207=1),FS207,0))</f>
        <v>x</v>
      </c>
      <c r="FT390" s="42" t="str">
        <f>IF(FT207=-1,"x",IF(OR(FT305=1,FT$229=1,$GV207=1),FT207,0))</f>
        <v>x</v>
      </c>
      <c r="FU390" s="43" t="str">
        <f>IF(FU207=-1,"x",IF(OR(FU305=1,FU$229=1,$GT207=1),FU207,0))</f>
        <v>x</v>
      </c>
      <c r="FV390" s="39" t="str">
        <f>IF(FV207=-1,"x",IF(OR(FV305=1,FV$229=1,$GU207=1),FV207,0))</f>
        <v>x</v>
      </c>
      <c r="FW390" s="41" t="str">
        <f>IF(FW207=-1,"x",IF(OR(FW305=1,FW$229=1,$GV207=1),FW207,0))</f>
        <v>x</v>
      </c>
      <c r="FX390" s="40" t="str">
        <f>IF(FX207=-1,"x",IF(OR(FX305=1,FX$229=1,$GT207=1),FX207,0))</f>
        <v>x</v>
      </c>
      <c r="FY390" s="39" t="str">
        <f>IF(FY207=-1,"x",IF(OR(FY305=1,FY$229=1,$GU207=1),FY207,0))</f>
        <v>x</v>
      </c>
      <c r="FZ390" s="41" t="str">
        <f>IF(FZ207=-1,"x",IF(OR(FZ305=1,FZ$229=1,$GV207=1),FZ207,0))</f>
        <v>x</v>
      </c>
      <c r="GA390" s="40" t="str">
        <f>IF(GA207=-1,"x",IF(OR(GA305=1,GA$229=1,$GT207=1),GA207,0))</f>
        <v>x</v>
      </c>
      <c r="GB390" s="39" t="str">
        <f>IF(GB207=-1,"x",IF(OR(GB305=1,GB$229=1,$GU207=1),GB207,0))</f>
        <v>x</v>
      </c>
      <c r="GC390" s="42" t="str">
        <f>IF(GC207=-1,"x",IF(OR(GC305=1,GC$229=1,$GV207=1),GC207,0))</f>
        <v>x</v>
      </c>
      <c r="GD390" s="43" t="str">
        <f>IF(GD207=-1,"x",IF(OR(GD305=1,GD$229=1,$GT207=1),GD207,0))</f>
        <v>x</v>
      </c>
      <c r="GE390" s="39" t="str">
        <f>IF(GE207=-1,"x",IF(OR(GE305=1,GE$229=1,$GU207=1),GE207,0))</f>
        <v>x</v>
      </c>
      <c r="GF390" s="41" t="str">
        <f>IF(GF207=-1,"x",IF(OR(GF305=1,GF$229=1,$GV207=1),GF207,0))</f>
        <v>x</v>
      </c>
      <c r="GG390" s="40" t="str">
        <f>IF(GG207=-1,"x",IF(OR(GG305=1,GG$229=1,$GT207=1),GG207,0))</f>
        <v>x</v>
      </c>
      <c r="GH390" s="39" t="str">
        <f>IF(GH207=-1,"x",IF(OR(GH305=1,GH$229=1,$GU207=1),GH207,0))</f>
        <v>x</v>
      </c>
      <c r="GI390" s="41" t="str">
        <f>IF(GI207=-1,"x",IF(OR(GI305=1,GI$229=1,$GV207=1),GI207,0))</f>
        <v>x</v>
      </c>
      <c r="GJ390" s="40" t="str">
        <f>IF(GJ207=-1,"x",IF(OR(GJ305=1,GJ$229=1,$GT207=1),GJ207,0))</f>
        <v>x</v>
      </c>
      <c r="GK390" s="39" t="str">
        <f>IF(GK207=-1,"x",IF(OR(GK305=1,GK$229=1,$GU207=1),GK207,0))</f>
        <v>x</v>
      </c>
      <c r="GL390" s="95" t="str">
        <f>IF(GL207=-1,"x",IF(OR(GL305=1,GL$229=1,$GV207=1),GL207,0))</f>
        <v>x</v>
      </c>
    </row>
    <row r="391" spans="114:194" ht="15" customHeight="1">
      <c r="DJ391" s="99" t="str">
        <f>IF(DJ208=-1,"x",IF(OR(DJ306=1,DJ$230=1,$GT208=1),DJ208,0))</f>
        <v>x</v>
      </c>
      <c r="DK391" s="45" t="str">
        <f>IF(DK208=-1,"x",IF(OR(DK306=1,DK$230=1,$GU208=1),DK208,0))</f>
        <v>x</v>
      </c>
      <c r="DL391" s="47" t="str">
        <f>IF(DL208=-1,"x",IF(OR(DL306=1,DL$230=1,$GV208=1),DL208,0))</f>
        <v>x</v>
      </c>
      <c r="DM391" s="46" t="str">
        <f>IF(DM208=-1,"x",IF(OR(DM306=1,DM$230=1,$GT208=1),DM208,0))</f>
        <v>x</v>
      </c>
      <c r="DN391" s="45" t="str">
        <f>IF(DN208=-1,"x",IF(OR(DN306=1,DN$230=1,$GU208=1),DN208,0))</f>
        <v>x</v>
      </c>
      <c r="DO391" s="47" t="str">
        <f>IF(DO208=-1,"x",IF(OR(DO306=1,DO$230=1,$GV208=1),DO208,0))</f>
        <v>x</v>
      </c>
      <c r="DP391" s="46" t="str">
        <f>IF(DP208=-1,"x",IF(OR(DP306=1,DP$230=1,$GT208=1),DP208,0))</f>
        <v>x</v>
      </c>
      <c r="DQ391" s="45" t="str">
        <f>IF(DQ208=-1,"x",IF(OR(DQ306=1,DQ$230=1,$GU208=1),DQ208,0))</f>
        <v>x</v>
      </c>
      <c r="DR391" s="48" t="str">
        <f>IF(DR208=-1,"x",IF(OR(DR306=1,DR$230=1,$GV208=1),DR208,0))</f>
        <v>x</v>
      </c>
      <c r="DS391" s="44" t="str">
        <f>IF(DS208=-1,"x",IF(OR(DS306=1,DS$230=1,$GT208=1),DS208,0))</f>
        <v>x</v>
      </c>
      <c r="DT391" s="45" t="str">
        <f>IF(DT208=-1,"x",IF(OR(DT306=1,DT$230=1,$GU208=1),DT208,0))</f>
        <v>x</v>
      </c>
      <c r="DU391" s="47" t="str">
        <f>IF(DU208=-1,"x",IF(OR(DU306=1,DU$230=1,$GV208=1),DU208,0))</f>
        <v>x</v>
      </c>
      <c r="DV391" s="46" t="str">
        <f>IF(DV208=-1,"x",IF(OR(DV306=1,DV$230=1,$GT208=1),DV208,0))</f>
        <v>x</v>
      </c>
      <c r="DW391" s="45" t="str">
        <f>IF(DW208=-1,"x",IF(OR(DW306=1,DW$230=1,$GU208=1),DW208,0))</f>
        <v>x</v>
      </c>
      <c r="DX391" s="47" t="str">
        <f>IF(DX208=-1,"x",IF(OR(DX306=1,DX$230=1,$GV208=1),DX208,0))</f>
        <v>x</v>
      </c>
      <c r="DY391" s="46" t="str">
        <f>IF(DY208=-1,"x",IF(OR(DY306=1,DY$230=1,$GT208=1),DY208,0))</f>
        <v>x</v>
      </c>
      <c r="DZ391" s="45" t="str">
        <f>IF(DZ208=-1,"x",IF(OR(DZ306=1,DZ$230=1,$GU208=1),DZ208,0))</f>
        <v>x</v>
      </c>
      <c r="EA391" s="48" t="str">
        <f>IF(EA208=-1,"x",IF(OR(EA306=1,EA$230=1,$GV208=1),EA208,0))</f>
        <v>x</v>
      </c>
      <c r="EB391" s="44" t="str">
        <f>IF(EB208=-1,"x",IF(OR(EB306=1,EB$230=1,$GT208=1),EB208,0))</f>
        <v>x</v>
      </c>
      <c r="EC391" s="45" t="str">
        <f>IF(EC208=-1,"x",IF(OR(EC306=1,EC$230=1,$GU208=1),EC208,0))</f>
        <v>x</v>
      </c>
      <c r="ED391" s="47" t="str">
        <f>IF(ED208=-1,"x",IF(OR(ED306=1,ED$230=1,$GV208=1),ED208,0))</f>
        <v>x</v>
      </c>
      <c r="EE391" s="46" t="str">
        <f>IF(EE208=-1,"x",IF(OR(EE306=1,EE$230=1,$GT208=1),EE208,0))</f>
        <v>x</v>
      </c>
      <c r="EF391" s="45" t="str">
        <f>IF(EF208=-1,"x",IF(OR(EF306=1,EF$230=1,$GU208=1),EF208,0))</f>
        <v>x</v>
      </c>
      <c r="EG391" s="47" t="str">
        <f>IF(EG208=-1,"x",IF(OR(EG306=1,EG$230=1,$GV208=1),EG208,0))</f>
        <v>x</v>
      </c>
      <c r="EH391" s="46" t="str">
        <f>IF(EH208=-1,"x",IF(OR(EH306=1,EH$230=1,$GT208=1),EH208,0))</f>
        <v>x</v>
      </c>
      <c r="EI391" s="45" t="str">
        <f>IF(EI208=-1,"x",IF(OR(EI306=1,EI$230=1,$GU208=1),EI208,0))</f>
        <v>x</v>
      </c>
      <c r="EJ391" s="100" t="str">
        <f>IF(EJ208=-1,"x",IF(OR(EJ306=1,EJ$230=1,$GV208=1),EJ208,0))</f>
        <v>x</v>
      </c>
      <c r="EK391" s="99" t="str">
        <f>IF(EK208=-1,"x",IF(OR(EK306=1,EK$230=1,$GT208=1),EK208,0))</f>
        <v>x</v>
      </c>
      <c r="EL391" s="45" t="str">
        <f>IF(EL208=-1,"x",IF(OR(EL306=1,EL$230=1,$GU208=1),EL208,0))</f>
        <v>x</v>
      </c>
      <c r="EM391" s="47" t="str">
        <f>IF(EM208=-1,"x",IF(OR(EM306=1,EM$230=1,$GV208=1),EM208,0))</f>
        <v>x</v>
      </c>
      <c r="EN391" s="46" t="str">
        <f>IF(EN208=-1,"x",IF(OR(EN306=1,EN$230=1,$GT208=1),EN208,0))</f>
        <v>x</v>
      </c>
      <c r="EO391" s="45" t="str">
        <f>IF(EO208=-1,"x",IF(OR(EO306=1,EO$230=1,$GU208=1),EO208,0))</f>
        <v>x</v>
      </c>
      <c r="EP391" s="47" t="str">
        <f>IF(EP208=-1,"x",IF(OR(EP306=1,EP$230=1,$GV208=1),EP208,0))</f>
        <v>x</v>
      </c>
      <c r="EQ391" s="46" t="str">
        <f>IF(EQ208=-1,"x",IF(OR(EQ306=1,EQ$230=1,$GT208=1),EQ208,0))</f>
        <v>x</v>
      </c>
      <c r="ER391" s="45" t="str">
        <f>IF(ER208=-1,"x",IF(OR(ER306=1,ER$230=1,$GU208=1),ER208,0))</f>
        <v>x</v>
      </c>
      <c r="ES391" s="48" t="str">
        <f>IF(ES208=-1,"x",IF(OR(ES306=1,ES$230=1,$GV208=1),ES208,0))</f>
        <v>x</v>
      </c>
      <c r="ET391" s="44">
        <f>IF(ET208=-1,"x",IF(OR(ET306=1,ET$230=1,$GT208=1),ET208,0))</f>
        <v>0</v>
      </c>
      <c r="EU391" s="45">
        <f>IF(EU208=-1,"x",IF(OR(EU306=1,EU$230=1,$GU208=1),EU208,0))</f>
        <v>0</v>
      </c>
      <c r="EV391" s="47">
        <f>IF(EV208=-1,"x",IF(OR(EV306=1,EV$230=1,$GV208=1),EV208,0))</f>
        <v>0</v>
      </c>
      <c r="EW391" s="46" t="str">
        <f>IF(EW208=-1,"x",IF(OR(EW306=1,EW$230=1,$GT208=1),EW208,0))</f>
        <v>x</v>
      </c>
      <c r="EX391" s="45" t="str">
        <f>IF(EX208=-1,"x",IF(OR(EX306=1,EX$230=1,$GU208=1),EX208,0))</f>
        <v>x</v>
      </c>
      <c r="EY391" s="47" t="str">
        <f>IF(EY208=-1,"x",IF(OR(EY306=1,EY$230=1,$GV208=1),EY208,0))</f>
        <v>x</v>
      </c>
      <c r="EZ391" s="46" t="str">
        <f>IF(EZ208=-1,"x",IF(OR(EZ306=1,EZ$230=1,$GT208=1),EZ208,0))</f>
        <v>x</v>
      </c>
      <c r="FA391" s="45" t="str">
        <f>IF(FA208=-1,"x",IF(OR(FA306=1,FA$230=1,$GU208=1),FA208,0))</f>
        <v>x</v>
      </c>
      <c r="FB391" s="48" t="str">
        <f>IF(FB208=-1,"x",IF(OR(FB306=1,FB$230=1,$GV208=1),FB208,0))</f>
        <v>x</v>
      </c>
      <c r="FC391" s="44" t="str">
        <f>IF(FC208=-1,"x",IF(OR(FC306=1,FC$230=1,$GT208=1),FC208,0))</f>
        <v>x</v>
      </c>
      <c r="FD391" s="45" t="str">
        <f>IF(FD208=-1,"x",IF(OR(FD306=1,FD$230=1,$GU208=1),FD208,0))</f>
        <v>x</v>
      </c>
      <c r="FE391" s="47" t="str">
        <f>IF(FE208=-1,"x",IF(OR(FE306=1,FE$230=1,$GV208=1),FE208,0))</f>
        <v>x</v>
      </c>
      <c r="FF391" s="46" t="str">
        <f>IF(FF208=-1,"x",IF(OR(FF306=1,FF$230=1,$GT208=1),FF208,0))</f>
        <v>x</v>
      </c>
      <c r="FG391" s="45" t="str">
        <f>IF(FG208=-1,"x",IF(OR(FG306=1,FG$230=1,$GU208=1),FG208,0))</f>
        <v>x</v>
      </c>
      <c r="FH391" s="47" t="str">
        <f>IF(FH208=-1,"x",IF(OR(FH306=1,FH$230=1,$GV208=1),FH208,0))</f>
        <v>x</v>
      </c>
      <c r="FI391" s="46" t="str">
        <f>IF(FI208=-1,"x",IF(OR(FI306=1,FI$230=1,$GT208=1),FI208,0))</f>
        <v>x</v>
      </c>
      <c r="FJ391" s="45" t="str">
        <f>IF(FJ208=-1,"x",IF(OR(FJ306=1,FJ$230=1,$GU208=1),FJ208,0))</f>
        <v>x</v>
      </c>
      <c r="FK391" s="100" t="str">
        <f>IF(FK208=-1,"x",IF(OR(FK306=1,FK$230=1,$GV208=1),FK208,0))</f>
        <v>x</v>
      </c>
      <c r="FL391" s="99" t="str">
        <f>IF(FL208=-1,"x",IF(OR(FL306=1,FL$230=1,$GT208=1),FL208,0))</f>
        <v>x</v>
      </c>
      <c r="FM391" s="45" t="str">
        <f>IF(FM208=-1,"x",IF(OR(FM306=1,FM$230=1,$GU208=1),FM208,0))</f>
        <v>x</v>
      </c>
      <c r="FN391" s="47" t="str">
        <f>IF(FN208=-1,"x",IF(OR(FN306=1,FN$230=1,$GV208=1),FN208,0))</f>
        <v>x</v>
      </c>
      <c r="FO391" s="46" t="str">
        <f>IF(FO208=-1,"x",IF(OR(FO306=1,FO$230=1,$GT208=1),FO208,0))</f>
        <v>x</v>
      </c>
      <c r="FP391" s="45" t="str">
        <f>IF(FP208=-1,"x",IF(OR(FP306=1,FP$230=1,$GU208=1),FP208,0))</f>
        <v>x</v>
      </c>
      <c r="FQ391" s="47" t="str">
        <f>IF(FQ208=-1,"x",IF(OR(FQ306=1,FQ$230=1,$GV208=1),FQ208,0))</f>
        <v>x</v>
      </c>
      <c r="FR391" s="46" t="str">
        <f>IF(FR208=-1,"x",IF(OR(FR306=1,FR$230=1,$GT208=1),FR208,0))</f>
        <v>x</v>
      </c>
      <c r="FS391" s="45" t="str">
        <f>IF(FS208=-1,"x",IF(OR(FS306=1,FS$230=1,$GU208=1),FS208,0))</f>
        <v>x</v>
      </c>
      <c r="FT391" s="48" t="str">
        <f>IF(FT208=-1,"x",IF(OR(FT306=1,FT$230=1,$GV208=1),FT208,0))</f>
        <v>x</v>
      </c>
      <c r="FU391" s="44" t="str">
        <f>IF(FU208=-1,"x",IF(OR(FU306=1,FU$230=1,$GT208=1),FU208,0))</f>
        <v>x</v>
      </c>
      <c r="FV391" s="45" t="str">
        <f>IF(FV208=-1,"x",IF(OR(FV306=1,FV$230=1,$GU208=1),FV208,0))</f>
        <v>x</v>
      </c>
      <c r="FW391" s="47" t="str">
        <f>IF(FW208=-1,"x",IF(OR(FW306=1,FW$230=1,$GV208=1),FW208,0))</f>
        <v>x</v>
      </c>
      <c r="FX391" s="46" t="str">
        <f>IF(FX208=-1,"x",IF(OR(FX306=1,FX$230=1,$GT208=1),FX208,0))</f>
        <v>x</v>
      </c>
      <c r="FY391" s="45" t="str">
        <f>IF(FY208=-1,"x",IF(OR(FY306=1,FY$230=1,$GU208=1),FY208,0))</f>
        <v>x</v>
      </c>
      <c r="FZ391" s="47" t="str">
        <f>IF(FZ208=-1,"x",IF(OR(FZ306=1,FZ$230=1,$GV208=1),FZ208,0))</f>
        <v>x</v>
      </c>
      <c r="GA391" s="46" t="str">
        <f>IF(GA208=-1,"x",IF(OR(GA306=1,GA$230=1,$GT208=1),GA208,0))</f>
        <v>x</v>
      </c>
      <c r="GB391" s="45" t="str">
        <f>IF(GB208=-1,"x",IF(OR(GB306=1,GB$230=1,$GU208=1),GB208,0))</f>
        <v>x</v>
      </c>
      <c r="GC391" s="48" t="str">
        <f>IF(GC208=-1,"x",IF(OR(GC306=1,GC$230=1,$GV208=1),GC208,0))</f>
        <v>x</v>
      </c>
      <c r="GD391" s="44" t="str">
        <f>IF(GD208=-1,"x",IF(OR(GD306=1,GD$230=1,$GT208=1),GD208,0))</f>
        <v>x</v>
      </c>
      <c r="GE391" s="45" t="str">
        <f>IF(GE208=-1,"x",IF(OR(GE306=1,GE$230=1,$GU208=1),GE208,0))</f>
        <v>x</v>
      </c>
      <c r="GF391" s="47" t="str">
        <f>IF(GF208=-1,"x",IF(OR(GF306=1,GF$230=1,$GV208=1),GF208,0))</f>
        <v>x</v>
      </c>
      <c r="GG391" s="46" t="str">
        <f>IF(GG208=-1,"x",IF(OR(GG306=1,GG$230=1,$GT208=1),GG208,0))</f>
        <v>x</v>
      </c>
      <c r="GH391" s="45" t="str">
        <f>IF(GH208=-1,"x",IF(OR(GH306=1,GH$230=1,$GU208=1),GH208,0))</f>
        <v>x</v>
      </c>
      <c r="GI391" s="47" t="str">
        <f>IF(GI208=-1,"x",IF(OR(GI306=1,GI$230=1,$GV208=1),GI208,0))</f>
        <v>x</v>
      </c>
      <c r="GJ391" s="46" t="str">
        <f>IF(GJ208=-1,"x",IF(OR(GJ306=1,GJ$230=1,$GT208=1),GJ208,0))</f>
        <v>x</v>
      </c>
      <c r="GK391" s="45" t="str">
        <f>IF(GK208=-1,"x",IF(OR(GK306=1,GK$230=1,$GU208=1),GK208,0))</f>
        <v>x</v>
      </c>
      <c r="GL391" s="100" t="str">
        <f>IF(GL208=-1,"x",IF(OR(GL306=1,GL$230=1,$GV208=1),GL208,0))</f>
        <v>x</v>
      </c>
    </row>
    <row r="392" spans="114:194" ht="15" customHeight="1">
      <c r="DJ392" s="104" t="str">
        <f>IF(DJ209=-1,"x",IF(OR(DJ307=1,DJ$228=1,$GT209=1),DJ209,0))</f>
        <v>x</v>
      </c>
      <c r="DK392" s="50" t="str">
        <f>IF(DK209=-1,"x",IF(OR(DK307=1,DK$228=1,$GU209=1),DK209,0))</f>
        <v>x</v>
      </c>
      <c r="DL392" s="51" t="str">
        <f>IF(DL209=-1,"x",IF(OR(DL307=1,DL$228=1,$GV209=1),DL209,0))</f>
        <v>x</v>
      </c>
      <c r="DM392" s="52" t="str">
        <f>IF(DM209=-1,"x",IF(OR(DM307=1,DM$228=1,$GT209=1),DM209,0))</f>
        <v>x</v>
      </c>
      <c r="DN392" s="50" t="str">
        <f>IF(DN209=-1,"x",IF(OR(DN307=1,DN$228=1,$GU209=1),DN209,0))</f>
        <v>x</v>
      </c>
      <c r="DO392" s="51" t="str">
        <f>IF(DO209=-1,"x",IF(OR(DO307=1,DO$228=1,$GV209=1),DO209,0))</f>
        <v>x</v>
      </c>
      <c r="DP392" s="52" t="str">
        <f>IF(DP209=-1,"x",IF(OR(DP307=1,DP$228=1,$GT209=1),DP209,0))</f>
        <v>x</v>
      </c>
      <c r="DQ392" s="50" t="str">
        <f>IF(DQ209=-1,"x",IF(OR(DQ307=1,DQ$228=1,$GU209=1),DQ209,0))</f>
        <v>x</v>
      </c>
      <c r="DR392" s="53" t="str">
        <f>IF(DR209=-1,"x",IF(OR(DR307=1,DR$228=1,$GV209=1),DR209,0))</f>
        <v>x</v>
      </c>
      <c r="DS392" s="49" t="str">
        <f>IF(DS209=-1,"x",IF(OR(DS307=1,DS$228=1,$GT209=1),DS209,0))</f>
        <v>x</v>
      </c>
      <c r="DT392" s="50" t="str">
        <f>IF(DT209=-1,"x",IF(OR(DT307=1,DT$228=1,$GU209=1),DT209,0))</f>
        <v>x</v>
      </c>
      <c r="DU392" s="51" t="str">
        <f>IF(DU209=-1,"x",IF(OR(DU307=1,DU$228=1,$GV209=1),DU209,0))</f>
        <v>x</v>
      </c>
      <c r="DV392" s="52" t="str">
        <f>IF(DV209=-1,"x",IF(OR(DV307=1,DV$228=1,$GT209=1),DV209,0))</f>
        <v>x</v>
      </c>
      <c r="DW392" s="50" t="str">
        <f>IF(DW209=-1,"x",IF(OR(DW307=1,DW$228=1,$GU209=1),DW209,0))</f>
        <v>x</v>
      </c>
      <c r="DX392" s="51" t="str">
        <f>IF(DX209=-1,"x",IF(OR(DX307=1,DX$228=1,$GV209=1),DX209,0))</f>
        <v>x</v>
      </c>
      <c r="DY392" s="52" t="str">
        <f>IF(DY209=-1,"x",IF(OR(DY307=1,DY$228=1,$GT209=1),DY209,0))</f>
        <v>x</v>
      </c>
      <c r="DZ392" s="50" t="str">
        <f>IF(DZ209=-1,"x",IF(OR(DZ307=1,DZ$228=1,$GU209=1),DZ209,0))</f>
        <v>x</v>
      </c>
      <c r="EA392" s="53" t="str">
        <f>IF(EA209=-1,"x",IF(OR(EA307=1,EA$228=1,$GV209=1),EA209,0))</f>
        <v>x</v>
      </c>
      <c r="EB392" s="49" t="str">
        <f>IF(EB209=-1,"x",IF(OR(EB307=1,EB$228=1,$GT209=1),EB209,0))</f>
        <v>x</v>
      </c>
      <c r="EC392" s="50" t="str">
        <f>IF(EC209=-1,"x",IF(OR(EC307=1,EC$228=1,$GU209=1),EC209,0))</f>
        <v>x</v>
      </c>
      <c r="ED392" s="51" t="str">
        <f>IF(ED209=-1,"x",IF(OR(ED307=1,ED$228=1,$GV209=1),ED209,0))</f>
        <v>x</v>
      </c>
      <c r="EE392" s="52" t="str">
        <f>IF(EE209=-1,"x",IF(OR(EE307=1,EE$228=1,$GT209=1),EE209,0))</f>
        <v>x</v>
      </c>
      <c r="EF392" s="50" t="str">
        <f>IF(EF209=-1,"x",IF(OR(EF307=1,EF$228=1,$GU209=1),EF209,0))</f>
        <v>x</v>
      </c>
      <c r="EG392" s="51" t="str">
        <f>IF(EG209=-1,"x",IF(OR(EG307=1,EG$228=1,$GV209=1),EG209,0))</f>
        <v>x</v>
      </c>
      <c r="EH392" s="52" t="str">
        <f>IF(EH209=-1,"x",IF(OR(EH307=1,EH$228=1,$GT209=1),EH209,0))</f>
        <v>x</v>
      </c>
      <c r="EI392" s="50" t="str">
        <f>IF(EI209=-1,"x",IF(OR(EI307=1,EI$228=1,$GU209=1),EI209,0))</f>
        <v>x</v>
      </c>
      <c r="EJ392" s="105" t="str">
        <f>IF(EJ209=-1,"x",IF(OR(EJ307=1,EJ$228=1,$GV209=1),EJ209,0))</f>
        <v>x</v>
      </c>
      <c r="EK392" s="104" t="str">
        <f>IF(EK209=-1,"x",IF(OR(EK307=1,EK$228=1,$GT209=1),EK209,0))</f>
        <v>x</v>
      </c>
      <c r="EL392" s="50" t="str">
        <f>IF(EL209=-1,"x",IF(OR(EL307=1,EL$228=1,$GU209=1),EL209,0))</f>
        <v>x</v>
      </c>
      <c r="EM392" s="51" t="str">
        <f>IF(EM209=-1,"x",IF(OR(EM307=1,EM$228=1,$GV209=1),EM209,0))</f>
        <v>x</v>
      </c>
      <c r="EN392" s="52" t="str">
        <f>IF(EN209=-1,"x",IF(OR(EN307=1,EN$228=1,$GT209=1),EN209,0))</f>
        <v>x</v>
      </c>
      <c r="EO392" s="50" t="str">
        <f>IF(EO209=-1,"x",IF(OR(EO307=1,EO$228=1,$GU209=1),EO209,0))</f>
        <v>x</v>
      </c>
      <c r="EP392" s="51" t="str">
        <f>IF(EP209=-1,"x",IF(OR(EP307=1,EP$228=1,$GV209=1),EP209,0))</f>
        <v>x</v>
      </c>
      <c r="EQ392" s="52" t="str">
        <f>IF(EQ209=-1,"x",IF(OR(EQ307=1,EQ$228=1,$GT209=1),EQ209,0))</f>
        <v>x</v>
      </c>
      <c r="ER392" s="50" t="str">
        <f>IF(ER209=-1,"x",IF(OR(ER307=1,ER$228=1,$GU209=1),ER209,0))</f>
        <v>x</v>
      </c>
      <c r="ES392" s="53" t="str">
        <f>IF(ES209=-1,"x",IF(OR(ES307=1,ES$228=1,$GV209=1),ES209,0))</f>
        <v>x</v>
      </c>
      <c r="ET392" s="49" t="str">
        <f>IF(ET209=-1,"x",IF(OR(ET307=1,ET$228=1,$GT209=1),ET209,0))</f>
        <v>x</v>
      </c>
      <c r="EU392" s="50" t="str">
        <f>IF(EU209=-1,"x",IF(OR(EU307=1,EU$228=1,$GU209=1),EU209,0))</f>
        <v>x</v>
      </c>
      <c r="EV392" s="51" t="str">
        <f>IF(EV209=-1,"x",IF(OR(EV307=1,EV$228=1,$GV209=1),EV209,0))</f>
        <v>x</v>
      </c>
      <c r="EW392" s="52">
        <f>IF(EW209=-1,"x",IF(OR(EW307=1,EW$228=1,$GT209=1),EW209,0))</f>
        <v>0</v>
      </c>
      <c r="EX392" s="50">
        <f>IF(EX209=-1,"x",IF(OR(EX307=1,EX$228=1,$GU209=1),EX209,0))</f>
        <v>0</v>
      </c>
      <c r="EY392" s="51">
        <f>IF(EY209=-1,"x",IF(OR(EY307=1,EY$228=1,$GV209=1),EY209,0))</f>
        <v>0</v>
      </c>
      <c r="EZ392" s="52">
        <f>IF(EZ209=-1,"x",IF(OR(EZ307=1,EZ$228=1,$GT209=1),EZ209,0))</f>
        <v>0</v>
      </c>
      <c r="FA392" s="50">
        <f>IF(FA209=-1,"x",IF(OR(FA307=1,FA$228=1,$GU209=1),FA209,0))</f>
        <v>0</v>
      </c>
      <c r="FB392" s="53">
        <f>IF(FB209=-1,"x",IF(OR(FB307=1,FB$228=1,$GV209=1),FB209,0))</f>
        <v>0</v>
      </c>
      <c r="FC392" s="49">
        <f>IF(FC209=-1,"x",IF(OR(FC307=1,FC$228=1,$GT209=1),FC209,0))</f>
        <v>0</v>
      </c>
      <c r="FD392" s="50">
        <f>IF(FD209=-1,"x",IF(OR(FD307=1,FD$228=1,$GU209=1),FD209,0))</f>
        <v>0</v>
      </c>
      <c r="FE392" s="51">
        <f>IF(FE209=-1,"x",IF(OR(FE307=1,FE$228=1,$GV209=1),FE209,0))</f>
        <v>0</v>
      </c>
      <c r="FF392" s="52" t="str">
        <f>IF(FF209=-1,"x",IF(OR(FF307=1,FF$228=1,$GT209=1),FF209,0))</f>
        <v>x</v>
      </c>
      <c r="FG392" s="50" t="str">
        <f>IF(FG209=-1,"x",IF(OR(FG307=1,FG$228=1,$GU209=1),FG209,0))</f>
        <v>x</v>
      </c>
      <c r="FH392" s="51" t="str">
        <f>IF(FH209=-1,"x",IF(OR(FH307=1,FH$228=1,$GV209=1),FH209,0))</f>
        <v>x</v>
      </c>
      <c r="FI392" s="52" t="str">
        <f>IF(FI209=-1,"x",IF(OR(FI307=1,FI$228=1,$GT209=1),FI209,0))</f>
        <v>x</v>
      </c>
      <c r="FJ392" s="50" t="str">
        <f>IF(FJ209=-1,"x",IF(OR(FJ307=1,FJ$228=1,$GU209=1),FJ209,0))</f>
        <v>x</v>
      </c>
      <c r="FK392" s="105" t="str">
        <f>IF(FK209=-1,"x",IF(OR(FK307=1,FK$228=1,$GV209=1),FK209,0))</f>
        <v>x</v>
      </c>
      <c r="FL392" s="104" t="str">
        <f>IF(FL209=-1,"x",IF(OR(FL307=1,FL$228=1,$GT209=1),FL209,0))</f>
        <v>x</v>
      </c>
      <c r="FM392" s="50" t="str">
        <f>IF(FM209=-1,"x",IF(OR(FM307=1,FM$228=1,$GU209=1),FM209,0))</f>
        <v>x</v>
      </c>
      <c r="FN392" s="51" t="str">
        <f>IF(FN209=-1,"x",IF(OR(FN307=1,FN$228=1,$GV209=1),FN209,0))</f>
        <v>x</v>
      </c>
      <c r="FO392" s="52" t="str">
        <f>IF(FO209=-1,"x",IF(OR(FO307=1,FO$228=1,$GT209=1),FO209,0))</f>
        <v>x</v>
      </c>
      <c r="FP392" s="50" t="str">
        <f>IF(FP209=-1,"x",IF(OR(FP307=1,FP$228=1,$GU209=1),FP209,0))</f>
        <v>x</v>
      </c>
      <c r="FQ392" s="51" t="str">
        <f>IF(FQ209=-1,"x",IF(OR(FQ307=1,FQ$228=1,$GV209=1),FQ209,0))</f>
        <v>x</v>
      </c>
      <c r="FR392" s="52" t="str">
        <f>IF(FR209=-1,"x",IF(OR(FR307=1,FR$228=1,$GT209=1),FR209,0))</f>
        <v>x</v>
      </c>
      <c r="FS392" s="50" t="str">
        <f>IF(FS209=-1,"x",IF(OR(FS307=1,FS$228=1,$GU209=1),FS209,0))</f>
        <v>x</v>
      </c>
      <c r="FT392" s="53" t="str">
        <f>IF(FT209=-1,"x",IF(OR(FT307=1,FT$228=1,$GV209=1),FT209,0))</f>
        <v>x</v>
      </c>
      <c r="FU392" s="49" t="str">
        <f>IF(FU209=-1,"x",IF(OR(FU307=1,FU$228=1,$GT209=1),FU209,0))</f>
        <v>x</v>
      </c>
      <c r="FV392" s="50" t="str">
        <f>IF(FV209=-1,"x",IF(OR(FV307=1,FV$228=1,$GU209=1),FV209,0))</f>
        <v>x</v>
      </c>
      <c r="FW392" s="51" t="str">
        <f>IF(FW209=-1,"x",IF(OR(FW307=1,FW$228=1,$GV209=1),FW209,0))</f>
        <v>x</v>
      </c>
      <c r="FX392" s="52" t="str">
        <f>IF(FX209=-1,"x",IF(OR(FX307=1,FX$228=1,$GT209=1),FX209,0))</f>
        <v>x</v>
      </c>
      <c r="FY392" s="50" t="str">
        <f>IF(FY209=-1,"x",IF(OR(FY307=1,FY$228=1,$GU209=1),FY209,0))</f>
        <v>x</v>
      </c>
      <c r="FZ392" s="51" t="str">
        <f>IF(FZ209=-1,"x",IF(OR(FZ307=1,FZ$228=1,$GV209=1),FZ209,0))</f>
        <v>x</v>
      </c>
      <c r="GA392" s="52" t="str">
        <f>IF(GA209=-1,"x",IF(OR(GA307=1,GA$228=1,$GT209=1),GA209,0))</f>
        <v>x</v>
      </c>
      <c r="GB392" s="50" t="str">
        <f>IF(GB209=-1,"x",IF(OR(GB307=1,GB$228=1,$GU209=1),GB209,0))</f>
        <v>x</v>
      </c>
      <c r="GC392" s="53" t="str">
        <f>IF(GC209=-1,"x",IF(OR(GC307=1,GC$228=1,$GV209=1),GC209,0))</f>
        <v>x</v>
      </c>
      <c r="GD392" s="49" t="str">
        <f>IF(GD209=-1,"x",IF(OR(GD307=1,GD$228=1,$GT209=1),GD209,0))</f>
        <v>x</v>
      </c>
      <c r="GE392" s="50" t="str">
        <f>IF(GE209=-1,"x",IF(OR(GE307=1,GE$228=1,$GU209=1),GE209,0))</f>
        <v>x</v>
      </c>
      <c r="GF392" s="51" t="str">
        <f>IF(GF209=-1,"x",IF(OR(GF307=1,GF$228=1,$GV209=1),GF209,0))</f>
        <v>x</v>
      </c>
      <c r="GG392" s="52" t="str">
        <f>IF(GG209=-1,"x",IF(OR(GG307=1,GG$228=1,$GT209=1),GG209,0))</f>
        <v>x</v>
      </c>
      <c r="GH392" s="50" t="str">
        <f>IF(GH209=-1,"x",IF(OR(GH307=1,GH$228=1,$GU209=1),GH209,0))</f>
        <v>x</v>
      </c>
      <c r="GI392" s="51" t="str">
        <f>IF(GI209=-1,"x",IF(OR(GI307=1,GI$228=1,$GV209=1),GI209,0))</f>
        <v>x</v>
      </c>
      <c r="GJ392" s="52" t="str">
        <f>IF(GJ209=-1,"x",IF(OR(GJ307=1,GJ$228=1,$GT209=1),GJ209,0))</f>
        <v>x</v>
      </c>
      <c r="GK392" s="50" t="str">
        <f>IF(GK209=-1,"x",IF(OR(GK307=1,GK$228=1,$GU209=1),GK209,0))</f>
        <v>x</v>
      </c>
      <c r="GL392" s="105" t="str">
        <f>IF(GL209=-1,"x",IF(OR(GL307=1,GL$228=1,$GV209=1),GL209,0))</f>
        <v>x</v>
      </c>
    </row>
    <row r="393" spans="114:194" ht="15" customHeight="1">
      <c r="DJ393" s="94" t="str">
        <f>IF(DJ210=-1,"x",IF(OR(DJ308=1,DJ$229=1,$GT210=1),DJ210,0))</f>
        <v>x</v>
      </c>
      <c r="DK393" s="39" t="str">
        <f>IF(DK210=-1,"x",IF(OR(DK308=1,DK$229=1,$GU210=1),DK210,0))</f>
        <v>x</v>
      </c>
      <c r="DL393" s="41" t="str">
        <f>IF(DL210=-1,"x",IF(OR(DL308=1,DL$229=1,$GV210=1),DL210,0))</f>
        <v>x</v>
      </c>
      <c r="DM393" s="40" t="str">
        <f>IF(DM210=-1,"x",IF(OR(DM308=1,DM$229=1,$GT210=1),DM210,0))</f>
        <v>x</v>
      </c>
      <c r="DN393" s="39" t="str">
        <f>IF(DN210=-1,"x",IF(OR(DN308=1,DN$229=1,$GU210=1),DN210,0))</f>
        <v>x</v>
      </c>
      <c r="DO393" s="41" t="str">
        <f>IF(DO210=-1,"x",IF(OR(DO308=1,DO$229=1,$GV210=1),DO210,0))</f>
        <v>x</v>
      </c>
      <c r="DP393" s="40" t="str">
        <f>IF(DP210=-1,"x",IF(OR(DP308=1,DP$229=1,$GT210=1),DP210,0))</f>
        <v>x</v>
      </c>
      <c r="DQ393" s="39" t="str">
        <f>IF(DQ210=-1,"x",IF(OR(DQ308=1,DQ$229=1,$GU210=1),DQ210,0))</f>
        <v>x</v>
      </c>
      <c r="DR393" s="42" t="str">
        <f>IF(DR210=-1,"x",IF(OR(DR308=1,DR$229=1,$GV210=1),DR210,0))</f>
        <v>x</v>
      </c>
      <c r="DS393" s="43" t="str">
        <f>IF(DS210=-1,"x",IF(OR(DS308=1,DS$229=1,$GT210=1),DS210,0))</f>
        <v>x</v>
      </c>
      <c r="DT393" s="39" t="str">
        <f>IF(DT210=-1,"x",IF(OR(DT308=1,DT$229=1,$GU210=1),DT210,0))</f>
        <v>x</v>
      </c>
      <c r="DU393" s="41" t="str">
        <f>IF(DU210=-1,"x",IF(OR(DU308=1,DU$229=1,$GV210=1),DU210,0))</f>
        <v>x</v>
      </c>
      <c r="DV393" s="40" t="str">
        <f>IF(DV210=-1,"x",IF(OR(DV308=1,DV$229=1,$GT210=1),DV210,0))</f>
        <v>x</v>
      </c>
      <c r="DW393" s="39" t="str">
        <f>IF(DW210=-1,"x",IF(OR(DW308=1,DW$229=1,$GU210=1),DW210,0))</f>
        <v>x</v>
      </c>
      <c r="DX393" s="41" t="str">
        <f>IF(DX210=-1,"x",IF(OR(DX308=1,DX$229=1,$GV210=1),DX210,0))</f>
        <v>x</v>
      </c>
      <c r="DY393" s="40" t="str">
        <f>IF(DY210=-1,"x",IF(OR(DY308=1,DY$229=1,$GT210=1),DY210,0))</f>
        <v>x</v>
      </c>
      <c r="DZ393" s="39" t="str">
        <f>IF(DZ210=-1,"x",IF(OR(DZ308=1,DZ$229=1,$GU210=1),DZ210,0))</f>
        <v>x</v>
      </c>
      <c r="EA393" s="42" t="str">
        <f>IF(EA210=-1,"x",IF(OR(EA308=1,EA$229=1,$GV210=1),EA210,0))</f>
        <v>x</v>
      </c>
      <c r="EB393" s="43" t="str">
        <f>IF(EB210=-1,"x",IF(OR(EB308=1,EB$229=1,$GT210=1),EB210,0))</f>
        <v>x</v>
      </c>
      <c r="EC393" s="39" t="str">
        <f>IF(EC210=-1,"x",IF(OR(EC308=1,EC$229=1,$GU210=1),EC210,0))</f>
        <v>x</v>
      </c>
      <c r="ED393" s="41" t="str">
        <f>IF(ED210=-1,"x",IF(OR(ED308=1,ED$229=1,$GV210=1),ED210,0))</f>
        <v>x</v>
      </c>
      <c r="EE393" s="40" t="str">
        <f>IF(EE210=-1,"x",IF(OR(EE308=1,EE$229=1,$GT210=1),EE210,0))</f>
        <v>x</v>
      </c>
      <c r="EF393" s="39" t="str">
        <f>IF(EF210=-1,"x",IF(OR(EF308=1,EF$229=1,$GU210=1),EF210,0))</f>
        <v>x</v>
      </c>
      <c r="EG393" s="41" t="str">
        <f>IF(EG210=-1,"x",IF(OR(EG308=1,EG$229=1,$GV210=1),EG210,0))</f>
        <v>x</v>
      </c>
      <c r="EH393" s="40" t="str">
        <f>IF(EH210=-1,"x",IF(OR(EH308=1,EH$229=1,$GT210=1),EH210,0))</f>
        <v>x</v>
      </c>
      <c r="EI393" s="39" t="str">
        <f>IF(EI210=-1,"x",IF(OR(EI308=1,EI$229=1,$GU210=1),EI210,0))</f>
        <v>x</v>
      </c>
      <c r="EJ393" s="95" t="str">
        <f>IF(EJ210=-1,"x",IF(OR(EJ308=1,EJ$229=1,$GV210=1),EJ210,0))</f>
        <v>x</v>
      </c>
      <c r="EK393" s="94" t="str">
        <f>IF(EK210=-1,"x",IF(OR(EK308=1,EK$229=1,$GT210=1),EK210,0))</f>
        <v>x</v>
      </c>
      <c r="EL393" s="39" t="str">
        <f>IF(EL210=-1,"x",IF(OR(EL308=1,EL$229=1,$GU210=1),EL210,0))</f>
        <v>x</v>
      </c>
      <c r="EM393" s="41" t="str">
        <f>IF(EM210=-1,"x",IF(OR(EM308=1,EM$229=1,$GV210=1),EM210,0))</f>
        <v>x</v>
      </c>
      <c r="EN393" s="40" t="str">
        <f>IF(EN210=-1,"x",IF(OR(EN308=1,EN$229=1,$GT210=1),EN210,0))</f>
        <v>x</v>
      </c>
      <c r="EO393" s="39" t="str">
        <f>IF(EO210=-1,"x",IF(OR(EO308=1,EO$229=1,$GU210=1),EO210,0))</f>
        <v>x</v>
      </c>
      <c r="EP393" s="41" t="str">
        <f>IF(EP210=-1,"x",IF(OR(EP308=1,EP$229=1,$GV210=1),EP210,0))</f>
        <v>x</v>
      </c>
      <c r="EQ393" s="40" t="str">
        <f>IF(EQ210=-1,"x",IF(OR(EQ308=1,EQ$229=1,$GT210=1),EQ210,0))</f>
        <v>x</v>
      </c>
      <c r="ER393" s="39" t="str">
        <f>IF(ER210=-1,"x",IF(OR(ER308=1,ER$229=1,$GU210=1),ER210,0))</f>
        <v>x</v>
      </c>
      <c r="ES393" s="42" t="str">
        <f>IF(ES210=-1,"x",IF(OR(ES308=1,ES$229=1,$GV210=1),ES210,0))</f>
        <v>x</v>
      </c>
      <c r="ET393" s="43" t="str">
        <f>IF(ET210=-1,"x",IF(OR(ET308=1,ET$229=1,$GT210=1),ET210,0))</f>
        <v>x</v>
      </c>
      <c r="EU393" s="39" t="str">
        <f>IF(EU210=-1,"x",IF(OR(EU308=1,EU$229=1,$GU210=1),EU210,0))</f>
        <v>x</v>
      </c>
      <c r="EV393" s="41" t="str">
        <f>IF(EV210=-1,"x",IF(OR(EV308=1,EV$229=1,$GV210=1),EV210,0))</f>
        <v>x</v>
      </c>
      <c r="EW393" s="40">
        <f>IF(EW210=-1,"x",IF(OR(EW308=1,EW$229=1,$GT210=1),EW210,0))</f>
        <v>4</v>
      </c>
      <c r="EX393" s="39">
        <f>IF(EX210=-1,"x",IF(OR(EX308=1,EX$229=1,$GU210=1),EX210,0))</f>
        <v>0</v>
      </c>
      <c r="EY393" s="41">
        <f>IF(EY210=-1,"x",IF(OR(EY308=1,EY$229=1,$GV210=1),EY210,0))</f>
        <v>0</v>
      </c>
      <c r="EZ393" s="40">
        <f>IF(EZ210=-1,"x",IF(OR(EZ308=1,EZ$229=1,$GT210=1),EZ210,0))</f>
        <v>0</v>
      </c>
      <c r="FA393" s="39">
        <f>IF(FA210=-1,"x",IF(OR(FA308=1,FA$229=1,$GU210=1),FA210,0))</f>
        <v>0</v>
      </c>
      <c r="FB393" s="42">
        <f>IF(FB210=-1,"x",IF(OR(FB308=1,FB$229=1,$GV210=1),FB210,0))</f>
        <v>0</v>
      </c>
      <c r="FC393" s="43">
        <f>IF(FC210=-1,"x",IF(OR(FC308=1,FC$229=1,$GT210=1),FC210,0))</f>
        <v>0</v>
      </c>
      <c r="FD393" s="39">
        <f>IF(FD210=-1,"x",IF(OR(FD308=1,FD$229=1,$GU210=1),FD210,0))</f>
        <v>0</v>
      </c>
      <c r="FE393" s="41">
        <f>IF(FE210=-1,"x",IF(OR(FE308=1,FE$229=1,$GV210=1),FE210,0))</f>
        <v>0</v>
      </c>
      <c r="FF393" s="40" t="str">
        <f>IF(FF210=-1,"x",IF(OR(FF308=1,FF$229=1,$GT210=1),FF210,0))</f>
        <v>x</v>
      </c>
      <c r="FG393" s="39" t="str">
        <f>IF(FG210=-1,"x",IF(OR(FG308=1,FG$229=1,$GU210=1),FG210,0))</f>
        <v>x</v>
      </c>
      <c r="FH393" s="41" t="str">
        <f>IF(FH210=-1,"x",IF(OR(FH308=1,FH$229=1,$GV210=1),FH210,0))</f>
        <v>x</v>
      </c>
      <c r="FI393" s="40" t="str">
        <f>IF(FI210=-1,"x",IF(OR(FI308=1,FI$229=1,$GT210=1),FI210,0))</f>
        <v>x</v>
      </c>
      <c r="FJ393" s="39" t="str">
        <f>IF(FJ210=-1,"x",IF(OR(FJ308=1,FJ$229=1,$GU210=1),FJ210,0))</f>
        <v>x</v>
      </c>
      <c r="FK393" s="95" t="str">
        <f>IF(FK210=-1,"x",IF(OR(FK308=1,FK$229=1,$GV210=1),FK210,0))</f>
        <v>x</v>
      </c>
      <c r="FL393" s="94" t="str">
        <f>IF(FL210=-1,"x",IF(OR(FL308=1,FL$229=1,$GT210=1),FL210,0))</f>
        <v>x</v>
      </c>
      <c r="FM393" s="39" t="str">
        <f>IF(FM210=-1,"x",IF(OR(FM308=1,FM$229=1,$GU210=1),FM210,0))</f>
        <v>x</v>
      </c>
      <c r="FN393" s="41" t="str">
        <f>IF(FN210=-1,"x",IF(OR(FN308=1,FN$229=1,$GV210=1),FN210,0))</f>
        <v>x</v>
      </c>
      <c r="FO393" s="40" t="str">
        <f>IF(FO210=-1,"x",IF(OR(FO308=1,FO$229=1,$GT210=1),FO210,0))</f>
        <v>x</v>
      </c>
      <c r="FP393" s="39" t="str">
        <f>IF(FP210=-1,"x",IF(OR(FP308=1,FP$229=1,$GU210=1),FP210,0))</f>
        <v>x</v>
      </c>
      <c r="FQ393" s="41" t="str">
        <f>IF(FQ210=-1,"x",IF(OR(FQ308=1,FQ$229=1,$GV210=1),FQ210,0))</f>
        <v>x</v>
      </c>
      <c r="FR393" s="40" t="str">
        <f>IF(FR210=-1,"x",IF(OR(FR308=1,FR$229=1,$GT210=1),FR210,0))</f>
        <v>x</v>
      </c>
      <c r="FS393" s="39" t="str">
        <f>IF(FS210=-1,"x",IF(OR(FS308=1,FS$229=1,$GU210=1),FS210,0))</f>
        <v>x</v>
      </c>
      <c r="FT393" s="42" t="str">
        <f>IF(FT210=-1,"x",IF(OR(FT308=1,FT$229=1,$GV210=1),FT210,0))</f>
        <v>x</v>
      </c>
      <c r="FU393" s="43" t="str">
        <f>IF(FU210=-1,"x",IF(OR(FU308=1,FU$229=1,$GT210=1),FU210,0))</f>
        <v>x</v>
      </c>
      <c r="FV393" s="39" t="str">
        <f>IF(FV210=-1,"x",IF(OR(FV308=1,FV$229=1,$GU210=1),FV210,0))</f>
        <v>x</v>
      </c>
      <c r="FW393" s="41" t="str">
        <f>IF(FW210=-1,"x",IF(OR(FW308=1,FW$229=1,$GV210=1),FW210,0))</f>
        <v>x</v>
      </c>
      <c r="FX393" s="40" t="str">
        <f>IF(FX210=-1,"x",IF(OR(FX308=1,FX$229=1,$GT210=1),FX210,0))</f>
        <v>x</v>
      </c>
      <c r="FY393" s="39" t="str">
        <f>IF(FY210=-1,"x",IF(OR(FY308=1,FY$229=1,$GU210=1),FY210,0))</f>
        <v>x</v>
      </c>
      <c r="FZ393" s="41" t="str">
        <f>IF(FZ210=-1,"x",IF(OR(FZ308=1,FZ$229=1,$GV210=1),FZ210,0))</f>
        <v>x</v>
      </c>
      <c r="GA393" s="40" t="str">
        <f>IF(GA210=-1,"x",IF(OR(GA308=1,GA$229=1,$GT210=1),GA210,0))</f>
        <v>x</v>
      </c>
      <c r="GB393" s="39" t="str">
        <f>IF(GB210=-1,"x",IF(OR(GB308=1,GB$229=1,$GU210=1),GB210,0))</f>
        <v>x</v>
      </c>
      <c r="GC393" s="42" t="str">
        <f>IF(GC210=-1,"x",IF(OR(GC308=1,GC$229=1,$GV210=1),GC210,0))</f>
        <v>x</v>
      </c>
      <c r="GD393" s="43" t="str">
        <f>IF(GD210=-1,"x",IF(OR(GD308=1,GD$229=1,$GT210=1),GD210,0))</f>
        <v>x</v>
      </c>
      <c r="GE393" s="39" t="str">
        <f>IF(GE210=-1,"x",IF(OR(GE308=1,GE$229=1,$GU210=1),GE210,0))</f>
        <v>x</v>
      </c>
      <c r="GF393" s="41" t="str">
        <f>IF(GF210=-1,"x",IF(OR(GF308=1,GF$229=1,$GV210=1),GF210,0))</f>
        <v>x</v>
      </c>
      <c r="GG393" s="40" t="str">
        <f>IF(GG210=-1,"x",IF(OR(GG308=1,GG$229=1,$GT210=1),GG210,0))</f>
        <v>x</v>
      </c>
      <c r="GH393" s="39" t="str">
        <f>IF(GH210=-1,"x",IF(OR(GH308=1,GH$229=1,$GU210=1),GH210,0))</f>
        <v>x</v>
      </c>
      <c r="GI393" s="41" t="str">
        <f>IF(GI210=-1,"x",IF(OR(GI308=1,GI$229=1,$GV210=1),GI210,0))</f>
        <v>x</v>
      </c>
      <c r="GJ393" s="40" t="str">
        <f>IF(GJ210=-1,"x",IF(OR(GJ308=1,GJ$229=1,$GT210=1),GJ210,0))</f>
        <v>x</v>
      </c>
      <c r="GK393" s="39" t="str">
        <f>IF(GK210=-1,"x",IF(OR(GK308=1,GK$229=1,$GU210=1),GK210,0))</f>
        <v>x</v>
      </c>
      <c r="GL393" s="95" t="str">
        <f>IF(GL210=-1,"x",IF(OR(GL308=1,GL$229=1,$GV210=1),GL210,0))</f>
        <v>x</v>
      </c>
    </row>
    <row r="394" spans="114:194" ht="15" customHeight="1" thickBot="1">
      <c r="DJ394" s="106" t="str">
        <f>IF(DJ211=-1,"x",IF(OR(DJ309=1,DJ$230=1,$GT211=1),DJ211,0))</f>
        <v>x</v>
      </c>
      <c r="DK394" s="55" t="str">
        <f>IF(DK211=-1,"x",IF(OR(DK309=1,DK$230=1,$GU211=1),DK211,0))</f>
        <v>x</v>
      </c>
      <c r="DL394" s="56" t="str">
        <f>IF(DL211=-1,"x",IF(OR(DL309=1,DL$230=1,$GV211=1),DL211,0))</f>
        <v>x</v>
      </c>
      <c r="DM394" s="57" t="str">
        <f>IF(DM211=-1,"x",IF(OR(DM309=1,DM$230=1,$GT211=1),DM211,0))</f>
        <v>x</v>
      </c>
      <c r="DN394" s="55" t="str">
        <f>IF(DN211=-1,"x",IF(OR(DN309=1,DN$230=1,$GU211=1),DN211,0))</f>
        <v>x</v>
      </c>
      <c r="DO394" s="56" t="str">
        <f>IF(DO211=-1,"x",IF(OR(DO309=1,DO$230=1,$GV211=1),DO211,0))</f>
        <v>x</v>
      </c>
      <c r="DP394" s="57" t="str">
        <f>IF(DP211=-1,"x",IF(OR(DP309=1,DP$230=1,$GT211=1),DP211,0))</f>
        <v>x</v>
      </c>
      <c r="DQ394" s="55" t="str">
        <f>IF(DQ211=-1,"x",IF(OR(DQ309=1,DQ$230=1,$GU211=1),DQ211,0))</f>
        <v>x</v>
      </c>
      <c r="DR394" s="58" t="str">
        <f>IF(DR211=-1,"x",IF(OR(DR309=1,DR$230=1,$GV211=1),DR211,0))</f>
        <v>x</v>
      </c>
      <c r="DS394" s="54" t="str">
        <f>IF(DS211=-1,"x",IF(OR(DS309=1,DS$230=1,$GT211=1),DS211,0))</f>
        <v>x</v>
      </c>
      <c r="DT394" s="55" t="str">
        <f>IF(DT211=-1,"x",IF(OR(DT309=1,DT$230=1,$GU211=1),DT211,0))</f>
        <v>x</v>
      </c>
      <c r="DU394" s="56" t="str">
        <f>IF(DU211=-1,"x",IF(OR(DU309=1,DU$230=1,$GV211=1),DU211,0))</f>
        <v>x</v>
      </c>
      <c r="DV394" s="57" t="str">
        <f>IF(DV211=-1,"x",IF(OR(DV309=1,DV$230=1,$GT211=1),DV211,0))</f>
        <v>x</v>
      </c>
      <c r="DW394" s="55" t="str">
        <f>IF(DW211=-1,"x",IF(OR(DW309=1,DW$230=1,$GU211=1),DW211,0))</f>
        <v>x</v>
      </c>
      <c r="DX394" s="56" t="str">
        <f>IF(DX211=-1,"x",IF(OR(DX309=1,DX$230=1,$GV211=1),DX211,0))</f>
        <v>x</v>
      </c>
      <c r="DY394" s="57" t="str">
        <f>IF(DY211=-1,"x",IF(OR(DY309=1,DY$230=1,$GT211=1),DY211,0))</f>
        <v>x</v>
      </c>
      <c r="DZ394" s="55" t="str">
        <f>IF(DZ211=-1,"x",IF(OR(DZ309=1,DZ$230=1,$GU211=1),DZ211,0))</f>
        <v>x</v>
      </c>
      <c r="EA394" s="58" t="str">
        <f>IF(EA211=-1,"x",IF(OR(EA309=1,EA$230=1,$GV211=1),EA211,0))</f>
        <v>x</v>
      </c>
      <c r="EB394" s="54" t="str">
        <f>IF(EB211=-1,"x",IF(OR(EB309=1,EB$230=1,$GT211=1),EB211,0))</f>
        <v>x</v>
      </c>
      <c r="EC394" s="55" t="str">
        <f>IF(EC211=-1,"x",IF(OR(EC309=1,EC$230=1,$GU211=1),EC211,0))</f>
        <v>x</v>
      </c>
      <c r="ED394" s="56" t="str">
        <f>IF(ED211=-1,"x",IF(OR(ED309=1,ED$230=1,$GV211=1),ED211,0))</f>
        <v>x</v>
      </c>
      <c r="EE394" s="57" t="str">
        <f>IF(EE211=-1,"x",IF(OR(EE309=1,EE$230=1,$GT211=1),EE211,0))</f>
        <v>x</v>
      </c>
      <c r="EF394" s="55" t="str">
        <f>IF(EF211=-1,"x",IF(OR(EF309=1,EF$230=1,$GU211=1),EF211,0))</f>
        <v>x</v>
      </c>
      <c r="EG394" s="56" t="str">
        <f>IF(EG211=-1,"x",IF(OR(EG309=1,EG$230=1,$GV211=1),EG211,0))</f>
        <v>x</v>
      </c>
      <c r="EH394" s="57" t="str">
        <f>IF(EH211=-1,"x",IF(OR(EH309=1,EH$230=1,$GT211=1),EH211,0))</f>
        <v>x</v>
      </c>
      <c r="EI394" s="55" t="str">
        <f>IF(EI211=-1,"x",IF(OR(EI309=1,EI$230=1,$GU211=1),EI211,0))</f>
        <v>x</v>
      </c>
      <c r="EJ394" s="107" t="str">
        <f>IF(EJ211=-1,"x",IF(OR(EJ309=1,EJ$230=1,$GV211=1),EJ211,0))</f>
        <v>x</v>
      </c>
      <c r="EK394" s="106" t="str">
        <f>IF(EK211=-1,"x",IF(OR(EK309=1,EK$230=1,$GT211=1),EK211,0))</f>
        <v>x</v>
      </c>
      <c r="EL394" s="55" t="str">
        <f>IF(EL211=-1,"x",IF(OR(EL309=1,EL$230=1,$GU211=1),EL211,0))</f>
        <v>x</v>
      </c>
      <c r="EM394" s="56" t="str">
        <f>IF(EM211=-1,"x",IF(OR(EM309=1,EM$230=1,$GV211=1),EM211,0))</f>
        <v>x</v>
      </c>
      <c r="EN394" s="57" t="str">
        <f>IF(EN211=-1,"x",IF(OR(EN309=1,EN$230=1,$GT211=1),EN211,0))</f>
        <v>x</v>
      </c>
      <c r="EO394" s="55" t="str">
        <f>IF(EO211=-1,"x",IF(OR(EO309=1,EO$230=1,$GU211=1),EO211,0))</f>
        <v>x</v>
      </c>
      <c r="EP394" s="56" t="str">
        <f>IF(EP211=-1,"x",IF(OR(EP309=1,EP$230=1,$GV211=1),EP211,0))</f>
        <v>x</v>
      </c>
      <c r="EQ394" s="57" t="str">
        <f>IF(EQ211=-1,"x",IF(OR(EQ309=1,EQ$230=1,$GT211=1),EQ211,0))</f>
        <v>x</v>
      </c>
      <c r="ER394" s="55" t="str">
        <f>IF(ER211=-1,"x",IF(OR(ER309=1,ER$230=1,$GU211=1),ER211,0))</f>
        <v>x</v>
      </c>
      <c r="ES394" s="58" t="str">
        <f>IF(ES211=-1,"x",IF(OR(ES309=1,ES$230=1,$GV211=1),ES211,0))</f>
        <v>x</v>
      </c>
      <c r="ET394" s="54" t="str">
        <f>IF(ET211=-1,"x",IF(OR(ET309=1,ET$230=1,$GT211=1),ET211,0))</f>
        <v>x</v>
      </c>
      <c r="EU394" s="55" t="str">
        <f>IF(EU211=-1,"x",IF(OR(EU309=1,EU$230=1,$GU211=1),EU211,0))</f>
        <v>x</v>
      </c>
      <c r="EV394" s="56" t="str">
        <f>IF(EV211=-1,"x",IF(OR(EV309=1,EV$230=1,$GV211=1),EV211,0))</f>
        <v>x</v>
      </c>
      <c r="EW394" s="57">
        <f>IF(EW211=-1,"x",IF(OR(EW309=1,EW$230=1,$GT211=1),EW211,0))</f>
        <v>0</v>
      </c>
      <c r="EX394" s="55">
        <f>IF(EX211=-1,"x",IF(OR(EX309=1,EX$230=1,$GU211=1),EX211,0))</f>
        <v>0</v>
      </c>
      <c r="EY394" s="56">
        <f>IF(EY211=-1,"x",IF(OR(EY309=1,EY$230=1,$GV211=1),EY211,0))</f>
        <v>0</v>
      </c>
      <c r="EZ394" s="57">
        <f>IF(EZ211=-1,"x",IF(OR(EZ309=1,EZ$230=1,$GT211=1),EZ211,0))</f>
        <v>0</v>
      </c>
      <c r="FA394" s="55">
        <f>IF(FA211=-1,"x",IF(OR(FA309=1,FA$230=1,$GU211=1),FA211,0))</f>
        <v>0</v>
      </c>
      <c r="FB394" s="58">
        <f>IF(FB211=-1,"x",IF(OR(FB309=1,FB$230=1,$GV211=1),FB211,0))</f>
        <v>0</v>
      </c>
      <c r="FC394" s="54">
        <f>IF(FC211=-1,"x",IF(OR(FC309=1,FC$230=1,$GT211=1),FC211,0))</f>
        <v>0</v>
      </c>
      <c r="FD394" s="55">
        <f>IF(FD211=-1,"x",IF(OR(FD309=1,FD$230=1,$GU211=1),FD211,0))</f>
        <v>0</v>
      </c>
      <c r="FE394" s="56">
        <f>IF(FE211=-1,"x",IF(OR(FE309=1,FE$230=1,$GV211=1),FE211,0))</f>
        <v>0</v>
      </c>
      <c r="FF394" s="57" t="str">
        <f>IF(FF211=-1,"x",IF(OR(FF309=1,FF$230=1,$GT211=1),FF211,0))</f>
        <v>x</v>
      </c>
      <c r="FG394" s="55" t="str">
        <f>IF(FG211=-1,"x",IF(OR(FG309=1,FG$230=1,$GU211=1),FG211,0))</f>
        <v>x</v>
      </c>
      <c r="FH394" s="56" t="str">
        <f>IF(FH211=-1,"x",IF(OR(FH309=1,FH$230=1,$GV211=1),FH211,0))</f>
        <v>x</v>
      </c>
      <c r="FI394" s="57" t="str">
        <f>IF(FI211=-1,"x",IF(OR(FI309=1,FI$230=1,$GT211=1),FI211,0))</f>
        <v>x</v>
      </c>
      <c r="FJ394" s="55" t="str">
        <f>IF(FJ211=-1,"x",IF(OR(FJ309=1,FJ$230=1,$GU211=1),FJ211,0))</f>
        <v>x</v>
      </c>
      <c r="FK394" s="107" t="str">
        <f>IF(FK211=-1,"x",IF(OR(FK309=1,FK$230=1,$GV211=1),FK211,0))</f>
        <v>x</v>
      </c>
      <c r="FL394" s="106" t="str">
        <f>IF(FL211=-1,"x",IF(OR(FL309=1,FL$230=1,$GT211=1),FL211,0))</f>
        <v>x</v>
      </c>
      <c r="FM394" s="55" t="str">
        <f>IF(FM211=-1,"x",IF(OR(FM309=1,FM$230=1,$GU211=1),FM211,0))</f>
        <v>x</v>
      </c>
      <c r="FN394" s="56" t="str">
        <f>IF(FN211=-1,"x",IF(OR(FN309=1,FN$230=1,$GV211=1),FN211,0))</f>
        <v>x</v>
      </c>
      <c r="FO394" s="57" t="str">
        <f>IF(FO211=-1,"x",IF(OR(FO309=1,FO$230=1,$GT211=1),FO211,0))</f>
        <v>x</v>
      </c>
      <c r="FP394" s="55" t="str">
        <f>IF(FP211=-1,"x",IF(OR(FP309=1,FP$230=1,$GU211=1),FP211,0))</f>
        <v>x</v>
      </c>
      <c r="FQ394" s="56" t="str">
        <f>IF(FQ211=-1,"x",IF(OR(FQ309=1,FQ$230=1,$GV211=1),FQ211,0))</f>
        <v>x</v>
      </c>
      <c r="FR394" s="57" t="str">
        <f>IF(FR211=-1,"x",IF(OR(FR309=1,FR$230=1,$GT211=1),FR211,0))</f>
        <v>x</v>
      </c>
      <c r="FS394" s="55" t="str">
        <f>IF(FS211=-1,"x",IF(OR(FS309=1,FS$230=1,$GU211=1),FS211,0))</f>
        <v>x</v>
      </c>
      <c r="FT394" s="58" t="str">
        <f>IF(FT211=-1,"x",IF(OR(FT309=1,FT$230=1,$GV211=1),FT211,0))</f>
        <v>x</v>
      </c>
      <c r="FU394" s="54" t="str">
        <f>IF(FU211=-1,"x",IF(OR(FU309=1,FU$230=1,$GT211=1),FU211,0))</f>
        <v>x</v>
      </c>
      <c r="FV394" s="55" t="str">
        <f>IF(FV211=-1,"x",IF(OR(FV309=1,FV$230=1,$GU211=1),FV211,0))</f>
        <v>x</v>
      </c>
      <c r="FW394" s="56" t="str">
        <f>IF(FW211=-1,"x",IF(OR(FW309=1,FW$230=1,$GV211=1),FW211,0))</f>
        <v>x</v>
      </c>
      <c r="FX394" s="57" t="str">
        <f>IF(FX211=-1,"x",IF(OR(FX309=1,FX$230=1,$GT211=1),FX211,0))</f>
        <v>x</v>
      </c>
      <c r="FY394" s="55" t="str">
        <f>IF(FY211=-1,"x",IF(OR(FY309=1,FY$230=1,$GU211=1),FY211,0))</f>
        <v>x</v>
      </c>
      <c r="FZ394" s="56" t="str">
        <f>IF(FZ211=-1,"x",IF(OR(FZ309=1,FZ$230=1,$GV211=1),FZ211,0))</f>
        <v>x</v>
      </c>
      <c r="GA394" s="57" t="str">
        <f>IF(GA211=-1,"x",IF(OR(GA309=1,GA$230=1,$GT211=1),GA211,0))</f>
        <v>x</v>
      </c>
      <c r="GB394" s="55" t="str">
        <f>IF(GB211=-1,"x",IF(OR(GB309=1,GB$230=1,$GU211=1),GB211,0))</f>
        <v>x</v>
      </c>
      <c r="GC394" s="58" t="str">
        <f>IF(GC211=-1,"x",IF(OR(GC309=1,GC$230=1,$GV211=1),GC211,0))</f>
        <v>x</v>
      </c>
      <c r="GD394" s="54" t="str">
        <f>IF(GD211=-1,"x",IF(OR(GD309=1,GD$230=1,$GT211=1),GD211,0))</f>
        <v>x</v>
      </c>
      <c r="GE394" s="55" t="str">
        <f>IF(GE211=-1,"x",IF(OR(GE309=1,GE$230=1,$GU211=1),GE211,0))</f>
        <v>x</v>
      </c>
      <c r="GF394" s="56" t="str">
        <f>IF(GF211=-1,"x",IF(OR(GF309=1,GF$230=1,$GV211=1),GF211,0))</f>
        <v>x</v>
      </c>
      <c r="GG394" s="57" t="str">
        <f>IF(GG211=-1,"x",IF(OR(GG309=1,GG$230=1,$GT211=1),GG211,0))</f>
        <v>x</v>
      </c>
      <c r="GH394" s="55" t="str">
        <f>IF(GH211=-1,"x",IF(OR(GH309=1,GH$230=1,$GU211=1),GH211,0))</f>
        <v>x</v>
      </c>
      <c r="GI394" s="56" t="str">
        <f>IF(GI211=-1,"x",IF(OR(GI309=1,GI$230=1,$GV211=1),GI211,0))</f>
        <v>x</v>
      </c>
      <c r="GJ394" s="57" t="str">
        <f>IF(GJ211=-1,"x",IF(OR(GJ309=1,GJ$230=1,$GT211=1),GJ211,0))</f>
        <v>x</v>
      </c>
      <c r="GK394" s="55" t="str">
        <f>IF(GK211=-1,"x",IF(OR(GK309=1,GK$230=1,$GU211=1),GK211,0))</f>
        <v>x</v>
      </c>
      <c r="GL394" s="107" t="str">
        <f>IF(GL211=-1,"x",IF(OR(GL309=1,GL$230=1,$GV211=1),GL211,0))</f>
        <v>x</v>
      </c>
    </row>
    <row r="395" spans="114:194" ht="15" customHeight="1">
      <c r="DJ395" s="108" t="str">
        <f>IF(DJ212=-1,"x",IF(OR(DJ310=1,DJ$228=1,$GT212=1),DJ212,0))</f>
        <v>x</v>
      </c>
      <c r="DK395" s="37" t="str">
        <f>IF(DK212=-1,"x",IF(OR(DK310=1,DK$228=1,$GU212=1),DK212,0))</f>
        <v>x</v>
      </c>
      <c r="DL395" s="35" t="str">
        <f>IF(DL212=-1,"x",IF(OR(DL310=1,DL$228=1,$GV212=1),DL212,0))</f>
        <v>x</v>
      </c>
      <c r="DM395" s="36" t="str">
        <f>IF(DM212=-1,"x",IF(OR(DM310=1,DM$228=1,$GT212=1),DM212,0))</f>
        <v>x</v>
      </c>
      <c r="DN395" s="37" t="str">
        <f>IF(DN212=-1,"x",IF(OR(DN310=1,DN$228=1,$GU212=1),DN212,0))</f>
        <v>x</v>
      </c>
      <c r="DO395" s="35" t="str">
        <f>IF(DO212=-1,"x",IF(OR(DO310=1,DO$228=1,$GV212=1),DO212,0))</f>
        <v>x</v>
      </c>
      <c r="DP395" s="36" t="str">
        <f>IF(DP212=-1,"x",IF(OR(DP310=1,DP$228=1,$GT212=1),DP212,0))</f>
        <v>x</v>
      </c>
      <c r="DQ395" s="37" t="str">
        <f>IF(DQ212=-1,"x",IF(OR(DQ310=1,DQ$228=1,$GU212=1),DQ212,0))</f>
        <v>x</v>
      </c>
      <c r="DR395" s="38" t="str">
        <f>IF(DR212=-1,"x",IF(OR(DR310=1,DR$228=1,$GV212=1),DR212,0))</f>
        <v>x</v>
      </c>
      <c r="DS395" s="416" t="str">
        <f>IF(DS212=-1,"x",IF(OR(DS310=1,DS$228=1,$GT212=1),DS212,0))</f>
        <v>x</v>
      </c>
      <c r="DT395" s="37" t="str">
        <f>IF(DT212=-1,"x",IF(OR(DT310=1,DT$228=1,$GU212=1),DT212,0))</f>
        <v>x</v>
      </c>
      <c r="DU395" s="35" t="str">
        <f>IF(DU212=-1,"x",IF(OR(DU310=1,DU$228=1,$GV212=1),DU212,0))</f>
        <v>x</v>
      </c>
      <c r="DV395" s="36" t="str">
        <f>IF(DV212=-1,"x",IF(OR(DV310=1,DV$228=1,$GT212=1),DV212,0))</f>
        <v>x</v>
      </c>
      <c r="DW395" s="37" t="str">
        <f>IF(DW212=-1,"x",IF(OR(DW310=1,DW$228=1,$GU212=1),DW212,0))</f>
        <v>x</v>
      </c>
      <c r="DX395" s="35" t="str">
        <f>IF(DX212=-1,"x",IF(OR(DX310=1,DX$228=1,$GV212=1),DX212,0))</f>
        <v>x</v>
      </c>
      <c r="DY395" s="36">
        <f>IF(DY212=-1,"x",IF(OR(DY310=1,DY$228=1,$GT212=1),DY212,0))</f>
        <v>0</v>
      </c>
      <c r="DZ395" s="37">
        <f>IF(DZ212=-1,"x",IF(OR(DZ310=1,DZ$228=1,$GU212=1),DZ212,0))</f>
        <v>0</v>
      </c>
      <c r="EA395" s="38">
        <f>IF(EA212=-1,"x",IF(OR(EA310=1,EA$228=1,$GV212=1),EA212,0))</f>
        <v>0</v>
      </c>
      <c r="EB395" s="416" t="str">
        <f>IF(EB212=-1,"x",IF(OR(EB310=1,EB$228=1,$GT212=1),EB212,0))</f>
        <v>x</v>
      </c>
      <c r="EC395" s="37" t="str">
        <f>IF(EC212=-1,"x",IF(OR(EC310=1,EC$228=1,$GU212=1),EC212,0))</f>
        <v>x</v>
      </c>
      <c r="ED395" s="35" t="str">
        <f>IF(ED212=-1,"x",IF(OR(ED310=1,ED$228=1,$GV212=1),ED212,0))</f>
        <v>x</v>
      </c>
      <c r="EE395" s="36" t="str">
        <f>IF(EE212=-1,"x",IF(OR(EE310=1,EE$228=1,$GT212=1),EE212,0))</f>
        <v>x</v>
      </c>
      <c r="EF395" s="37" t="str">
        <f>IF(EF212=-1,"x",IF(OR(EF310=1,EF$228=1,$GU212=1),EF212,0))</f>
        <v>x</v>
      </c>
      <c r="EG395" s="35" t="str">
        <f>IF(EG212=-1,"x",IF(OR(EG310=1,EG$228=1,$GV212=1),EG212,0))</f>
        <v>x</v>
      </c>
      <c r="EH395" s="36" t="str">
        <f>IF(EH212=-1,"x",IF(OR(EH310=1,EH$228=1,$GT212=1),EH212,0))</f>
        <v>x</v>
      </c>
      <c r="EI395" s="37" t="str">
        <f>IF(EI212=-1,"x",IF(OR(EI310=1,EI$228=1,$GU212=1),EI212,0))</f>
        <v>x</v>
      </c>
      <c r="EJ395" s="109" t="str">
        <f>IF(EJ212=-1,"x",IF(OR(EJ310=1,EJ$228=1,$GV212=1),EJ212,0))</f>
        <v>x</v>
      </c>
      <c r="EK395" s="108" t="str">
        <f>IF(EK212=-1,"x",IF(OR(EK310=1,EK$228=1,$GT212=1),EK212,0))</f>
        <v>x</v>
      </c>
      <c r="EL395" s="37" t="str">
        <f>IF(EL212=-1,"x",IF(OR(EL310=1,EL$228=1,$GU212=1),EL212,0))</f>
        <v>x</v>
      </c>
      <c r="EM395" s="35" t="str">
        <f>IF(EM212=-1,"x",IF(OR(EM310=1,EM$228=1,$GV212=1),EM212,0))</f>
        <v>x</v>
      </c>
      <c r="EN395" s="36" t="str">
        <f>IF(EN212=-1,"x",IF(OR(EN310=1,EN$228=1,$GT212=1),EN212,0))</f>
        <v>x</v>
      </c>
      <c r="EO395" s="37" t="str">
        <f>IF(EO212=-1,"x",IF(OR(EO310=1,EO$228=1,$GU212=1),EO212,0))</f>
        <v>x</v>
      </c>
      <c r="EP395" s="35" t="str">
        <f>IF(EP212=-1,"x",IF(OR(EP310=1,EP$228=1,$GV212=1),EP212,0))</f>
        <v>x</v>
      </c>
      <c r="EQ395" s="36" t="str">
        <f>IF(EQ212=-1,"x",IF(OR(EQ310=1,EQ$228=1,$GT212=1),EQ212,0))</f>
        <v>x</v>
      </c>
      <c r="ER395" s="37" t="str">
        <f>IF(ER212=-1,"x",IF(OR(ER310=1,ER$228=1,$GU212=1),ER212,0))</f>
        <v>x</v>
      </c>
      <c r="ES395" s="38" t="str">
        <f>IF(ES212=-1,"x",IF(OR(ES310=1,ES$228=1,$GV212=1),ES212,0))</f>
        <v>x</v>
      </c>
      <c r="ET395" s="416">
        <f>IF(ET212=-1,"x",IF(OR(ET310=1,ET$228=1,$GT212=1),ET212,0))</f>
        <v>0</v>
      </c>
      <c r="EU395" s="37">
        <f>IF(EU212=-1,"x",IF(OR(EU310=1,EU$228=1,$GU212=1),EU212,0))</f>
        <v>0</v>
      </c>
      <c r="EV395" s="35">
        <f>IF(EV212=-1,"x",IF(OR(EV310=1,EV$228=1,$GV212=1),EV212,0))</f>
        <v>0</v>
      </c>
      <c r="EW395" s="36">
        <f>IF(EW212=-1,"x",IF(OR(EW310=1,EW$228=1,$GT212=1),EW212,0))</f>
        <v>0</v>
      </c>
      <c r="EX395" s="37">
        <f>IF(EX212=-1,"x",IF(OR(EX310=1,EX$228=1,$GU212=1),EX212,0))</f>
        <v>0</v>
      </c>
      <c r="EY395" s="35">
        <f>IF(EY212=-1,"x",IF(OR(EY310=1,EY$228=1,$GV212=1),EY212,0))</f>
        <v>0</v>
      </c>
      <c r="EZ395" s="36" t="str">
        <f>IF(EZ212=-1,"x",IF(OR(EZ310=1,EZ$228=1,$GT212=1),EZ212,0))</f>
        <v>x</v>
      </c>
      <c r="FA395" s="37" t="str">
        <f>IF(FA212=-1,"x",IF(OR(FA310=1,FA$228=1,$GU212=1),FA212,0))</f>
        <v>x</v>
      </c>
      <c r="FB395" s="38" t="str">
        <f>IF(FB212=-1,"x",IF(OR(FB310=1,FB$228=1,$GV212=1),FB212,0))</f>
        <v>x</v>
      </c>
      <c r="FC395" s="416" t="str">
        <f>IF(FC212=-1,"x",IF(OR(FC310=1,FC$228=1,$GT212=1),FC212,0))</f>
        <v>x</v>
      </c>
      <c r="FD395" s="37" t="str">
        <f>IF(FD212=-1,"x",IF(OR(FD310=1,FD$228=1,$GU212=1),FD212,0))</f>
        <v>x</v>
      </c>
      <c r="FE395" s="35" t="str">
        <f>IF(FE212=-1,"x",IF(OR(FE310=1,FE$228=1,$GV212=1),FE212,0))</f>
        <v>x</v>
      </c>
      <c r="FF395" s="36">
        <f>IF(FF212=-1,"x",IF(OR(FF310=1,FF$228=1,$GT212=1),FF212,0))</f>
        <v>0</v>
      </c>
      <c r="FG395" s="37">
        <f>IF(FG212=-1,"x",IF(OR(FG310=1,FG$228=1,$GU212=1),FG212,0))</f>
        <v>0</v>
      </c>
      <c r="FH395" s="35">
        <f>IF(FH212=-1,"x",IF(OR(FH310=1,FH$228=1,$GV212=1),FH212,0))</f>
        <v>0</v>
      </c>
      <c r="FI395" s="36" t="str">
        <f>IF(FI212=-1,"x",IF(OR(FI310=1,FI$228=1,$GT212=1),FI212,0))</f>
        <v>x</v>
      </c>
      <c r="FJ395" s="37" t="str">
        <f>IF(FJ212=-1,"x",IF(OR(FJ310=1,FJ$228=1,$GU212=1),FJ212,0))</f>
        <v>x</v>
      </c>
      <c r="FK395" s="109" t="str">
        <f>IF(FK212=-1,"x",IF(OR(FK310=1,FK$228=1,$GV212=1),FK212,0))</f>
        <v>x</v>
      </c>
      <c r="FL395" s="108" t="str">
        <f>IF(FL212=-1,"x",IF(OR(FL310=1,FL$228=1,$GT212=1),FL212,0))</f>
        <v>x</v>
      </c>
      <c r="FM395" s="37" t="str">
        <f>IF(FM212=-1,"x",IF(OR(FM310=1,FM$228=1,$GU212=1),FM212,0))</f>
        <v>x</v>
      </c>
      <c r="FN395" s="35" t="str">
        <f>IF(FN212=-1,"x",IF(OR(FN310=1,FN$228=1,$GV212=1),FN212,0))</f>
        <v>x</v>
      </c>
      <c r="FO395" s="36" t="str">
        <f>IF(FO212=-1,"x",IF(OR(FO310=1,FO$228=1,$GT212=1),FO212,0))</f>
        <v>x</v>
      </c>
      <c r="FP395" s="37" t="str">
        <f>IF(FP212=-1,"x",IF(OR(FP310=1,FP$228=1,$GU212=1),FP212,0))</f>
        <v>x</v>
      </c>
      <c r="FQ395" s="35" t="str">
        <f>IF(FQ212=-1,"x",IF(OR(FQ310=1,FQ$228=1,$GV212=1),FQ212,0))</f>
        <v>x</v>
      </c>
      <c r="FR395" s="36" t="str">
        <f>IF(FR212=-1,"x",IF(OR(FR310=1,FR$228=1,$GT212=1),FR212,0))</f>
        <v>x</v>
      </c>
      <c r="FS395" s="37" t="str">
        <f>IF(FS212=-1,"x",IF(OR(FS310=1,FS$228=1,$GU212=1),FS212,0))</f>
        <v>x</v>
      </c>
      <c r="FT395" s="38" t="str">
        <f>IF(FT212=-1,"x",IF(OR(FT310=1,FT$228=1,$GV212=1),FT212,0))</f>
        <v>x</v>
      </c>
      <c r="FU395" s="416" t="str">
        <f>IF(FU212=-1,"x",IF(OR(FU310=1,FU$228=1,$GT212=1),FU212,0))</f>
        <v>x</v>
      </c>
      <c r="FV395" s="37" t="str">
        <f>IF(FV212=-1,"x",IF(OR(FV310=1,FV$228=1,$GU212=1),FV212,0))</f>
        <v>x</v>
      </c>
      <c r="FW395" s="35" t="str">
        <f>IF(FW212=-1,"x",IF(OR(FW310=1,FW$228=1,$GV212=1),FW212,0))</f>
        <v>x</v>
      </c>
      <c r="FX395" s="36" t="str">
        <f>IF(FX212=-1,"x",IF(OR(FX310=1,FX$228=1,$GT212=1),FX212,0))</f>
        <v>x</v>
      </c>
      <c r="FY395" s="37" t="str">
        <f>IF(FY212=-1,"x",IF(OR(FY310=1,FY$228=1,$GU212=1),FY212,0))</f>
        <v>x</v>
      </c>
      <c r="FZ395" s="35" t="str">
        <f>IF(FZ212=-1,"x",IF(OR(FZ310=1,FZ$228=1,$GV212=1),FZ212,0))</f>
        <v>x</v>
      </c>
      <c r="GA395" s="36" t="str">
        <f>IF(GA212=-1,"x",IF(OR(GA310=1,GA$228=1,$GT212=1),GA212,0))</f>
        <v>x</v>
      </c>
      <c r="GB395" s="37" t="str">
        <f>IF(GB212=-1,"x",IF(OR(GB310=1,GB$228=1,$GU212=1),GB212,0))</f>
        <v>x</v>
      </c>
      <c r="GC395" s="38" t="str">
        <f>IF(GC212=-1,"x",IF(OR(GC310=1,GC$228=1,$GV212=1),GC212,0))</f>
        <v>x</v>
      </c>
      <c r="GD395" s="416" t="str">
        <f>IF(GD212=-1,"x",IF(OR(GD310=1,GD$228=1,$GT212=1),GD212,0))</f>
        <v>x</v>
      </c>
      <c r="GE395" s="37" t="str">
        <f>IF(GE212=-1,"x",IF(OR(GE310=1,GE$228=1,$GU212=1),GE212,0))</f>
        <v>x</v>
      </c>
      <c r="GF395" s="35" t="str">
        <f>IF(GF212=-1,"x",IF(OR(GF310=1,GF$228=1,$GV212=1),GF212,0))</f>
        <v>x</v>
      </c>
      <c r="GG395" s="36" t="str">
        <f>IF(GG212=-1,"x",IF(OR(GG310=1,GG$228=1,$GT212=1),GG212,0))</f>
        <v>x</v>
      </c>
      <c r="GH395" s="37" t="str">
        <f>IF(GH212=-1,"x",IF(OR(GH310=1,GH$228=1,$GU212=1),GH212,0))</f>
        <v>x</v>
      </c>
      <c r="GI395" s="35" t="str">
        <f>IF(GI212=-1,"x",IF(OR(GI310=1,GI$228=1,$GV212=1),GI212,0))</f>
        <v>x</v>
      </c>
      <c r="GJ395" s="36" t="str">
        <f>IF(GJ212=-1,"x",IF(OR(GJ310=1,GJ$228=1,$GT212=1),GJ212,0))</f>
        <v>x</v>
      </c>
      <c r="GK395" s="37" t="str">
        <f>IF(GK212=-1,"x",IF(OR(GK310=1,GK$228=1,$GU212=1),GK212,0))</f>
        <v>x</v>
      </c>
      <c r="GL395" s="109" t="str">
        <f>IF(GL212=-1,"x",IF(OR(GL310=1,GL$228=1,$GV212=1),GL212,0))</f>
        <v>x</v>
      </c>
    </row>
    <row r="396" spans="114:194" ht="15" customHeight="1">
      <c r="DJ396" s="94" t="str">
        <f>IF(DJ213=-1,"x",IF(OR(DJ311=1,DJ$229=1,$GT213=1),DJ213,0))</f>
        <v>x</v>
      </c>
      <c r="DK396" s="39" t="str">
        <f>IF(DK213=-1,"x",IF(OR(DK311=1,DK$229=1,$GU213=1),DK213,0))</f>
        <v>x</v>
      </c>
      <c r="DL396" s="41" t="str">
        <f>IF(DL213=-1,"x",IF(OR(DL311=1,DL$229=1,$GV213=1),DL213,0))</f>
        <v>x</v>
      </c>
      <c r="DM396" s="40" t="str">
        <f>IF(DM213=-1,"x",IF(OR(DM311=1,DM$229=1,$GT213=1),DM213,0))</f>
        <v>x</v>
      </c>
      <c r="DN396" s="39" t="str">
        <f>IF(DN213=-1,"x",IF(OR(DN311=1,DN$229=1,$GU213=1),DN213,0))</f>
        <v>x</v>
      </c>
      <c r="DO396" s="41" t="str">
        <f>IF(DO213=-1,"x",IF(OR(DO311=1,DO$229=1,$GV213=1),DO213,0))</f>
        <v>x</v>
      </c>
      <c r="DP396" s="40" t="str">
        <f>IF(DP213=-1,"x",IF(OR(DP311=1,DP$229=1,$GT213=1),DP213,0))</f>
        <v>x</v>
      </c>
      <c r="DQ396" s="39" t="str">
        <f>IF(DQ213=-1,"x",IF(OR(DQ311=1,DQ$229=1,$GU213=1),DQ213,0))</f>
        <v>x</v>
      </c>
      <c r="DR396" s="42" t="str">
        <f>IF(DR213=-1,"x",IF(OR(DR311=1,DR$229=1,$GV213=1),DR213,0))</f>
        <v>x</v>
      </c>
      <c r="DS396" s="43" t="str">
        <f>IF(DS213=-1,"x",IF(OR(DS311=1,DS$229=1,$GT213=1),DS213,0))</f>
        <v>x</v>
      </c>
      <c r="DT396" s="39" t="str">
        <f>IF(DT213=-1,"x",IF(OR(DT311=1,DT$229=1,$GU213=1),DT213,0))</f>
        <v>x</v>
      </c>
      <c r="DU396" s="41" t="str">
        <f>IF(DU213=-1,"x",IF(OR(DU311=1,DU$229=1,$GV213=1),DU213,0))</f>
        <v>x</v>
      </c>
      <c r="DV396" s="40" t="str">
        <f>IF(DV213=-1,"x",IF(OR(DV311=1,DV$229=1,$GT213=1),DV213,0))</f>
        <v>x</v>
      </c>
      <c r="DW396" s="39" t="str">
        <f>IF(DW213=-1,"x",IF(OR(DW311=1,DW$229=1,$GU213=1),DW213,0))</f>
        <v>x</v>
      </c>
      <c r="DX396" s="41" t="str">
        <f>IF(DX213=-1,"x",IF(OR(DX311=1,DX$229=1,$GV213=1),DX213,0))</f>
        <v>x</v>
      </c>
      <c r="DY396" s="40">
        <f>IF(DY213=-1,"x",IF(OR(DY311=1,DY$229=1,$GT213=1),DY213,0))</f>
        <v>0</v>
      </c>
      <c r="DZ396" s="39">
        <f>IF(DZ213=-1,"x",IF(OR(DZ311=1,DZ$229=1,$GU213=1),DZ213,0))</f>
        <v>0</v>
      </c>
      <c r="EA396" s="42">
        <f>IF(EA213=-1,"x",IF(OR(EA311=1,EA$229=1,$GV213=1),EA213,0))</f>
        <v>0</v>
      </c>
      <c r="EB396" s="43" t="str">
        <f>IF(EB213=-1,"x",IF(OR(EB311=1,EB$229=1,$GT213=1),EB213,0))</f>
        <v>x</v>
      </c>
      <c r="EC396" s="39" t="str">
        <f>IF(EC213=-1,"x",IF(OR(EC311=1,EC$229=1,$GU213=1),EC213,0))</f>
        <v>x</v>
      </c>
      <c r="ED396" s="41" t="str">
        <f>IF(ED213=-1,"x",IF(OR(ED311=1,ED$229=1,$GV213=1),ED213,0))</f>
        <v>x</v>
      </c>
      <c r="EE396" s="40" t="str">
        <f>IF(EE213=-1,"x",IF(OR(EE311=1,EE$229=1,$GT213=1),EE213,0))</f>
        <v>x</v>
      </c>
      <c r="EF396" s="39" t="str">
        <f>IF(EF213=-1,"x",IF(OR(EF311=1,EF$229=1,$GU213=1),EF213,0))</f>
        <v>x</v>
      </c>
      <c r="EG396" s="41" t="str">
        <f>IF(EG213=-1,"x",IF(OR(EG311=1,EG$229=1,$GV213=1),EG213,0))</f>
        <v>x</v>
      </c>
      <c r="EH396" s="40" t="str">
        <f>IF(EH213=-1,"x",IF(OR(EH311=1,EH$229=1,$GT213=1),EH213,0))</f>
        <v>x</v>
      </c>
      <c r="EI396" s="39" t="str">
        <f>IF(EI213=-1,"x",IF(OR(EI311=1,EI$229=1,$GU213=1),EI213,0))</f>
        <v>x</v>
      </c>
      <c r="EJ396" s="95" t="str">
        <f>IF(EJ213=-1,"x",IF(OR(EJ311=1,EJ$229=1,$GV213=1),EJ213,0))</f>
        <v>x</v>
      </c>
      <c r="EK396" s="94" t="str">
        <f>IF(EK213=-1,"x",IF(OR(EK311=1,EK$229=1,$GT213=1),EK213,0))</f>
        <v>x</v>
      </c>
      <c r="EL396" s="39" t="str">
        <f>IF(EL213=-1,"x",IF(OR(EL311=1,EL$229=1,$GU213=1),EL213,0))</f>
        <v>x</v>
      </c>
      <c r="EM396" s="41" t="str">
        <f>IF(EM213=-1,"x",IF(OR(EM311=1,EM$229=1,$GV213=1),EM213,0))</f>
        <v>x</v>
      </c>
      <c r="EN396" s="40" t="str">
        <f>IF(EN213=-1,"x",IF(OR(EN311=1,EN$229=1,$GT213=1),EN213,0))</f>
        <v>x</v>
      </c>
      <c r="EO396" s="39" t="str">
        <f>IF(EO213=-1,"x",IF(OR(EO311=1,EO$229=1,$GU213=1),EO213,0))</f>
        <v>x</v>
      </c>
      <c r="EP396" s="41" t="str">
        <f>IF(EP213=-1,"x",IF(OR(EP311=1,EP$229=1,$GV213=1),EP213,0))</f>
        <v>x</v>
      </c>
      <c r="EQ396" s="40" t="str">
        <f>IF(EQ213=-1,"x",IF(OR(EQ311=1,EQ$229=1,$GT213=1),EQ213,0))</f>
        <v>x</v>
      </c>
      <c r="ER396" s="39" t="str">
        <f>IF(ER213=-1,"x",IF(OR(ER311=1,ER$229=1,$GU213=1),ER213,0))</f>
        <v>x</v>
      </c>
      <c r="ES396" s="42" t="str">
        <f>IF(ES213=-1,"x",IF(OR(ES311=1,ES$229=1,$GV213=1),ES213,0))</f>
        <v>x</v>
      </c>
      <c r="ET396" s="43">
        <f>IF(ET213=-1,"x",IF(OR(ET311=1,ET$229=1,$GT213=1),ET213,0))</f>
        <v>0</v>
      </c>
      <c r="EU396" s="39">
        <f>IF(EU213=-1,"x",IF(OR(EU311=1,EU$229=1,$GU213=1),EU213,0))</f>
        <v>0</v>
      </c>
      <c r="EV396" s="41">
        <f>IF(EV213=-1,"x",IF(OR(EV311=1,EV$229=1,$GV213=1),EV213,0))</f>
        <v>0</v>
      </c>
      <c r="EW396" s="40">
        <f>IF(EW213=-1,"x",IF(OR(EW311=1,EW$229=1,$GT213=1),EW213,0))</f>
        <v>0</v>
      </c>
      <c r="EX396" s="39">
        <f>IF(EX213=-1,"x",IF(OR(EX311=1,EX$229=1,$GU213=1),EX213,0))</f>
        <v>0</v>
      </c>
      <c r="EY396" s="41">
        <f>IF(EY213=-1,"x",IF(OR(EY311=1,EY$229=1,$GV213=1),EY213,0))</f>
        <v>0</v>
      </c>
      <c r="EZ396" s="40" t="str">
        <f>IF(EZ213=-1,"x",IF(OR(EZ311=1,EZ$229=1,$GT213=1),EZ213,0))</f>
        <v>x</v>
      </c>
      <c r="FA396" s="39" t="str">
        <f>IF(FA213=-1,"x",IF(OR(FA311=1,FA$229=1,$GU213=1),FA213,0))</f>
        <v>x</v>
      </c>
      <c r="FB396" s="42" t="str">
        <f>IF(FB213=-1,"x",IF(OR(FB311=1,FB$229=1,$GV213=1),FB213,0))</f>
        <v>x</v>
      </c>
      <c r="FC396" s="43" t="str">
        <f>IF(FC213=-1,"x",IF(OR(FC311=1,FC$229=1,$GT213=1),FC213,0))</f>
        <v>x</v>
      </c>
      <c r="FD396" s="39" t="str">
        <f>IF(FD213=-1,"x",IF(OR(FD311=1,FD$229=1,$GU213=1),FD213,0))</f>
        <v>x</v>
      </c>
      <c r="FE396" s="41" t="str">
        <f>IF(FE213=-1,"x",IF(OR(FE311=1,FE$229=1,$GV213=1),FE213,0))</f>
        <v>x</v>
      </c>
      <c r="FF396" s="40">
        <f>IF(FF213=-1,"x",IF(OR(FF311=1,FF$229=1,$GT213=1),FF213,0))</f>
        <v>0</v>
      </c>
      <c r="FG396" s="39">
        <f>IF(FG213=-1,"x",IF(OR(FG311=1,FG$229=1,$GU213=1),FG213,0))</f>
        <v>0</v>
      </c>
      <c r="FH396" s="41">
        <f>IF(FH213=-1,"x",IF(OR(FH311=1,FH$229=1,$GV213=1),FH213,0))</f>
        <v>0</v>
      </c>
      <c r="FI396" s="40" t="str">
        <f>IF(FI213=-1,"x",IF(OR(FI311=1,FI$229=1,$GT213=1),FI213,0))</f>
        <v>x</v>
      </c>
      <c r="FJ396" s="39" t="str">
        <f>IF(FJ213=-1,"x",IF(OR(FJ311=1,FJ$229=1,$GU213=1),FJ213,0))</f>
        <v>x</v>
      </c>
      <c r="FK396" s="95" t="str">
        <f>IF(FK213=-1,"x",IF(OR(FK311=1,FK$229=1,$GV213=1),FK213,0))</f>
        <v>x</v>
      </c>
      <c r="FL396" s="94" t="str">
        <f>IF(FL213=-1,"x",IF(OR(FL311=1,FL$229=1,$GT213=1),FL213,0))</f>
        <v>x</v>
      </c>
      <c r="FM396" s="39" t="str">
        <f>IF(FM213=-1,"x",IF(OR(FM311=1,FM$229=1,$GU213=1),FM213,0))</f>
        <v>x</v>
      </c>
      <c r="FN396" s="41" t="str">
        <f>IF(FN213=-1,"x",IF(OR(FN311=1,FN$229=1,$GV213=1),FN213,0))</f>
        <v>x</v>
      </c>
      <c r="FO396" s="40" t="str">
        <f>IF(FO213=-1,"x",IF(OR(FO311=1,FO$229=1,$GT213=1),FO213,0))</f>
        <v>x</v>
      </c>
      <c r="FP396" s="39" t="str">
        <f>IF(FP213=-1,"x",IF(OR(FP311=1,FP$229=1,$GU213=1),FP213,0))</f>
        <v>x</v>
      </c>
      <c r="FQ396" s="41" t="str">
        <f>IF(FQ213=-1,"x",IF(OR(FQ311=1,FQ$229=1,$GV213=1),FQ213,0))</f>
        <v>x</v>
      </c>
      <c r="FR396" s="40" t="str">
        <f>IF(FR213=-1,"x",IF(OR(FR311=1,FR$229=1,$GT213=1),FR213,0))</f>
        <v>x</v>
      </c>
      <c r="FS396" s="39" t="str">
        <f>IF(FS213=-1,"x",IF(OR(FS311=1,FS$229=1,$GU213=1),FS213,0))</f>
        <v>x</v>
      </c>
      <c r="FT396" s="42" t="str">
        <f>IF(FT213=-1,"x",IF(OR(FT311=1,FT$229=1,$GV213=1),FT213,0))</f>
        <v>x</v>
      </c>
      <c r="FU396" s="43" t="str">
        <f>IF(FU213=-1,"x",IF(OR(FU311=1,FU$229=1,$GT213=1),FU213,0))</f>
        <v>x</v>
      </c>
      <c r="FV396" s="39" t="str">
        <f>IF(FV213=-1,"x",IF(OR(FV311=1,FV$229=1,$GU213=1),FV213,0))</f>
        <v>x</v>
      </c>
      <c r="FW396" s="41" t="str">
        <f>IF(FW213=-1,"x",IF(OR(FW311=1,FW$229=1,$GV213=1),FW213,0))</f>
        <v>x</v>
      </c>
      <c r="FX396" s="40" t="str">
        <f>IF(FX213=-1,"x",IF(OR(FX311=1,FX$229=1,$GT213=1),FX213,0))</f>
        <v>x</v>
      </c>
      <c r="FY396" s="39" t="str">
        <f>IF(FY213=-1,"x",IF(OR(FY311=1,FY$229=1,$GU213=1),FY213,0))</f>
        <v>x</v>
      </c>
      <c r="FZ396" s="41" t="str">
        <f>IF(FZ213=-1,"x",IF(OR(FZ311=1,FZ$229=1,$GV213=1),FZ213,0))</f>
        <v>x</v>
      </c>
      <c r="GA396" s="40" t="str">
        <f>IF(GA213=-1,"x",IF(OR(GA311=1,GA$229=1,$GT213=1),GA213,0))</f>
        <v>x</v>
      </c>
      <c r="GB396" s="39" t="str">
        <f>IF(GB213=-1,"x",IF(OR(GB311=1,GB$229=1,$GU213=1),GB213,0))</f>
        <v>x</v>
      </c>
      <c r="GC396" s="42" t="str">
        <f>IF(GC213=-1,"x",IF(OR(GC311=1,GC$229=1,$GV213=1),GC213,0))</f>
        <v>x</v>
      </c>
      <c r="GD396" s="43" t="str">
        <f>IF(GD213=-1,"x",IF(OR(GD311=1,GD$229=1,$GT213=1),GD213,0))</f>
        <v>x</v>
      </c>
      <c r="GE396" s="39" t="str">
        <f>IF(GE213=-1,"x",IF(OR(GE311=1,GE$229=1,$GU213=1),GE213,0))</f>
        <v>x</v>
      </c>
      <c r="GF396" s="41" t="str">
        <f>IF(GF213=-1,"x",IF(OR(GF311=1,GF$229=1,$GV213=1),GF213,0))</f>
        <v>x</v>
      </c>
      <c r="GG396" s="40" t="str">
        <f>IF(GG213=-1,"x",IF(OR(GG311=1,GG$229=1,$GT213=1),GG213,0))</f>
        <v>x</v>
      </c>
      <c r="GH396" s="39" t="str">
        <f>IF(GH213=-1,"x",IF(OR(GH311=1,GH$229=1,$GU213=1),GH213,0))</f>
        <v>x</v>
      </c>
      <c r="GI396" s="41" t="str">
        <f>IF(GI213=-1,"x",IF(OR(GI311=1,GI$229=1,$GV213=1),GI213,0))</f>
        <v>x</v>
      </c>
      <c r="GJ396" s="40" t="str">
        <f>IF(GJ213=-1,"x",IF(OR(GJ311=1,GJ$229=1,$GT213=1),GJ213,0))</f>
        <v>x</v>
      </c>
      <c r="GK396" s="39" t="str">
        <f>IF(GK213=-1,"x",IF(OR(GK311=1,GK$229=1,$GU213=1),GK213,0))</f>
        <v>x</v>
      </c>
      <c r="GL396" s="95" t="str">
        <f>IF(GL213=-1,"x",IF(OR(GL311=1,GL$229=1,$GV213=1),GL213,0))</f>
        <v>x</v>
      </c>
    </row>
    <row r="397" spans="114:194" ht="15" customHeight="1">
      <c r="DJ397" s="99" t="str">
        <f>IF(DJ214=-1,"x",IF(OR(DJ312=1,DJ$230=1,$GT214=1),DJ214,0))</f>
        <v>x</v>
      </c>
      <c r="DK397" s="45" t="str">
        <f>IF(DK214=-1,"x",IF(OR(DK312=1,DK$230=1,$GU214=1),DK214,0))</f>
        <v>x</v>
      </c>
      <c r="DL397" s="47" t="str">
        <f>IF(DL214=-1,"x",IF(OR(DL312=1,DL$230=1,$GV214=1),DL214,0))</f>
        <v>x</v>
      </c>
      <c r="DM397" s="46" t="str">
        <f>IF(DM214=-1,"x",IF(OR(DM312=1,DM$230=1,$GT214=1),DM214,0))</f>
        <v>x</v>
      </c>
      <c r="DN397" s="45" t="str">
        <f>IF(DN214=-1,"x",IF(OR(DN312=1,DN$230=1,$GU214=1),DN214,0))</f>
        <v>x</v>
      </c>
      <c r="DO397" s="47" t="str">
        <f>IF(DO214=-1,"x",IF(OR(DO312=1,DO$230=1,$GV214=1),DO214,0))</f>
        <v>x</v>
      </c>
      <c r="DP397" s="46" t="str">
        <f>IF(DP214=-1,"x",IF(OR(DP312=1,DP$230=1,$GT214=1),DP214,0))</f>
        <v>x</v>
      </c>
      <c r="DQ397" s="45" t="str">
        <f>IF(DQ214=-1,"x",IF(OR(DQ312=1,DQ$230=1,$GU214=1),DQ214,0))</f>
        <v>x</v>
      </c>
      <c r="DR397" s="48" t="str">
        <f>IF(DR214=-1,"x",IF(OR(DR312=1,DR$230=1,$GV214=1),DR214,0))</f>
        <v>x</v>
      </c>
      <c r="DS397" s="44" t="str">
        <f>IF(DS214=-1,"x",IF(OR(DS312=1,DS$230=1,$GT214=1),DS214,0))</f>
        <v>x</v>
      </c>
      <c r="DT397" s="45" t="str">
        <f>IF(DT214=-1,"x",IF(OR(DT312=1,DT$230=1,$GU214=1),DT214,0))</f>
        <v>x</v>
      </c>
      <c r="DU397" s="47" t="str">
        <f>IF(DU214=-1,"x",IF(OR(DU312=1,DU$230=1,$GV214=1),DU214,0))</f>
        <v>x</v>
      </c>
      <c r="DV397" s="46" t="str">
        <f>IF(DV214=-1,"x",IF(OR(DV312=1,DV$230=1,$GT214=1),DV214,0))</f>
        <v>x</v>
      </c>
      <c r="DW397" s="45" t="str">
        <f>IF(DW214=-1,"x",IF(OR(DW312=1,DW$230=1,$GU214=1),DW214,0))</f>
        <v>x</v>
      </c>
      <c r="DX397" s="47" t="str">
        <f>IF(DX214=-1,"x",IF(OR(DX312=1,DX$230=1,$GV214=1),DX214,0))</f>
        <v>x</v>
      </c>
      <c r="DY397" s="46">
        <f>IF(DY214=-1,"x",IF(OR(DY312=1,DY$230=1,$GT214=1),DY214,0))</f>
        <v>0</v>
      </c>
      <c r="DZ397" s="45">
        <f>IF(DZ214=-1,"x",IF(OR(DZ312=1,DZ$230=1,$GU214=1),DZ214,0))</f>
        <v>0</v>
      </c>
      <c r="EA397" s="48">
        <f>IF(EA214=-1,"x",IF(OR(EA312=1,EA$230=1,$GV214=1),EA214,0))</f>
        <v>0</v>
      </c>
      <c r="EB397" s="44" t="str">
        <f>IF(EB214=-1,"x",IF(OR(EB312=1,EB$230=1,$GT214=1),EB214,0))</f>
        <v>x</v>
      </c>
      <c r="EC397" s="45" t="str">
        <f>IF(EC214=-1,"x",IF(OR(EC312=1,EC$230=1,$GU214=1),EC214,0))</f>
        <v>x</v>
      </c>
      <c r="ED397" s="47" t="str">
        <f>IF(ED214=-1,"x",IF(OR(ED312=1,ED$230=1,$GV214=1),ED214,0))</f>
        <v>x</v>
      </c>
      <c r="EE397" s="46" t="str">
        <f>IF(EE214=-1,"x",IF(OR(EE312=1,EE$230=1,$GT214=1),EE214,0))</f>
        <v>x</v>
      </c>
      <c r="EF397" s="45" t="str">
        <f>IF(EF214=-1,"x",IF(OR(EF312=1,EF$230=1,$GU214=1),EF214,0))</f>
        <v>x</v>
      </c>
      <c r="EG397" s="47" t="str">
        <f>IF(EG214=-1,"x",IF(OR(EG312=1,EG$230=1,$GV214=1),EG214,0))</f>
        <v>x</v>
      </c>
      <c r="EH397" s="46" t="str">
        <f>IF(EH214=-1,"x",IF(OR(EH312=1,EH$230=1,$GT214=1),EH214,0))</f>
        <v>x</v>
      </c>
      <c r="EI397" s="45" t="str">
        <f>IF(EI214=-1,"x",IF(OR(EI312=1,EI$230=1,$GU214=1),EI214,0))</f>
        <v>x</v>
      </c>
      <c r="EJ397" s="100" t="str">
        <f>IF(EJ214=-1,"x",IF(OR(EJ312=1,EJ$230=1,$GV214=1),EJ214,0))</f>
        <v>x</v>
      </c>
      <c r="EK397" s="99" t="str">
        <f>IF(EK214=-1,"x",IF(OR(EK312=1,EK$230=1,$GT214=1),EK214,0))</f>
        <v>x</v>
      </c>
      <c r="EL397" s="45" t="str">
        <f>IF(EL214=-1,"x",IF(OR(EL312=1,EL$230=1,$GU214=1),EL214,0))</f>
        <v>x</v>
      </c>
      <c r="EM397" s="47" t="str">
        <f>IF(EM214=-1,"x",IF(OR(EM312=1,EM$230=1,$GV214=1),EM214,0))</f>
        <v>x</v>
      </c>
      <c r="EN397" s="46" t="str">
        <f>IF(EN214=-1,"x",IF(OR(EN312=1,EN$230=1,$GT214=1),EN214,0))</f>
        <v>x</v>
      </c>
      <c r="EO397" s="45" t="str">
        <f>IF(EO214=-1,"x",IF(OR(EO312=1,EO$230=1,$GU214=1),EO214,0))</f>
        <v>x</v>
      </c>
      <c r="EP397" s="47" t="str">
        <f>IF(EP214=-1,"x",IF(OR(EP312=1,EP$230=1,$GV214=1),EP214,0))</f>
        <v>x</v>
      </c>
      <c r="EQ397" s="46" t="str">
        <f>IF(EQ214=-1,"x",IF(OR(EQ312=1,EQ$230=1,$GT214=1),EQ214,0))</f>
        <v>x</v>
      </c>
      <c r="ER397" s="45" t="str">
        <f>IF(ER214=-1,"x",IF(OR(ER312=1,ER$230=1,$GU214=1),ER214,0))</f>
        <v>x</v>
      </c>
      <c r="ES397" s="48" t="str">
        <f>IF(ES214=-1,"x",IF(OR(ES312=1,ES$230=1,$GV214=1),ES214,0))</f>
        <v>x</v>
      </c>
      <c r="ET397" s="44">
        <f>IF(ET214=-1,"x",IF(OR(ET312=1,ET$230=1,$GT214=1),ET214,0))</f>
        <v>0</v>
      </c>
      <c r="EU397" s="45">
        <f>IF(EU214=-1,"x",IF(OR(EU312=1,EU$230=1,$GU214=1),EU214,0))</f>
        <v>0</v>
      </c>
      <c r="EV397" s="47">
        <f>IF(EV214=-1,"x",IF(OR(EV312=1,EV$230=1,$GV214=1),EV214,0))</f>
        <v>0</v>
      </c>
      <c r="EW397" s="46">
        <f>IF(EW214=-1,"x",IF(OR(EW312=1,EW$230=1,$GT214=1),EW214,0))</f>
        <v>0</v>
      </c>
      <c r="EX397" s="45">
        <f>IF(EX214=-1,"x",IF(OR(EX312=1,EX$230=1,$GU214=1),EX214,0))</f>
        <v>0</v>
      </c>
      <c r="EY397" s="47">
        <f>IF(EY214=-1,"x",IF(OR(EY312=1,EY$230=1,$GV214=1),EY214,0))</f>
        <v>0</v>
      </c>
      <c r="EZ397" s="46" t="str">
        <f>IF(EZ214=-1,"x",IF(OR(EZ312=1,EZ$230=1,$GT214=1),EZ214,0))</f>
        <v>x</v>
      </c>
      <c r="FA397" s="45" t="str">
        <f>IF(FA214=-1,"x",IF(OR(FA312=1,FA$230=1,$GU214=1),FA214,0))</f>
        <v>x</v>
      </c>
      <c r="FB397" s="48" t="str">
        <f>IF(FB214=-1,"x",IF(OR(FB312=1,FB$230=1,$GV214=1),FB214,0))</f>
        <v>x</v>
      </c>
      <c r="FC397" s="44" t="str">
        <f>IF(FC214=-1,"x",IF(OR(FC312=1,FC$230=1,$GT214=1),FC214,0))</f>
        <v>x</v>
      </c>
      <c r="FD397" s="45" t="str">
        <f>IF(FD214=-1,"x",IF(OR(FD312=1,FD$230=1,$GU214=1),FD214,0))</f>
        <v>x</v>
      </c>
      <c r="FE397" s="47" t="str">
        <f>IF(FE214=-1,"x",IF(OR(FE312=1,FE$230=1,$GV214=1),FE214,0))</f>
        <v>x</v>
      </c>
      <c r="FF397" s="46">
        <f>IF(FF214=-1,"x",IF(OR(FF312=1,FF$230=1,$GT214=1),FF214,0))</f>
        <v>0</v>
      </c>
      <c r="FG397" s="45">
        <f>IF(FG214=-1,"x",IF(OR(FG312=1,FG$230=1,$GU214=1),FG214,0))</f>
        <v>0</v>
      </c>
      <c r="FH397" s="47">
        <f>IF(FH214=-1,"x",IF(OR(FH312=1,FH$230=1,$GV214=1),FH214,0))</f>
        <v>0</v>
      </c>
      <c r="FI397" s="46" t="str">
        <f>IF(FI214=-1,"x",IF(OR(FI312=1,FI$230=1,$GT214=1),FI214,0))</f>
        <v>x</v>
      </c>
      <c r="FJ397" s="45" t="str">
        <f>IF(FJ214=-1,"x",IF(OR(FJ312=1,FJ$230=1,$GU214=1),FJ214,0))</f>
        <v>x</v>
      </c>
      <c r="FK397" s="100" t="str">
        <f>IF(FK214=-1,"x",IF(OR(FK312=1,FK$230=1,$GV214=1),FK214,0))</f>
        <v>x</v>
      </c>
      <c r="FL397" s="99" t="str">
        <f>IF(FL214=-1,"x",IF(OR(FL312=1,FL$230=1,$GT214=1),FL214,0))</f>
        <v>x</v>
      </c>
      <c r="FM397" s="45" t="str">
        <f>IF(FM214=-1,"x",IF(OR(FM312=1,FM$230=1,$GU214=1),FM214,0))</f>
        <v>x</v>
      </c>
      <c r="FN397" s="47" t="str">
        <f>IF(FN214=-1,"x",IF(OR(FN312=1,FN$230=1,$GV214=1),FN214,0))</f>
        <v>x</v>
      </c>
      <c r="FO397" s="46" t="str">
        <f>IF(FO214=-1,"x",IF(OR(FO312=1,FO$230=1,$GT214=1),FO214,0))</f>
        <v>x</v>
      </c>
      <c r="FP397" s="45" t="str">
        <f>IF(FP214=-1,"x",IF(OR(FP312=1,FP$230=1,$GU214=1),FP214,0))</f>
        <v>x</v>
      </c>
      <c r="FQ397" s="47" t="str">
        <f>IF(FQ214=-1,"x",IF(OR(FQ312=1,FQ$230=1,$GV214=1),FQ214,0))</f>
        <v>x</v>
      </c>
      <c r="FR397" s="46" t="str">
        <f>IF(FR214=-1,"x",IF(OR(FR312=1,FR$230=1,$GT214=1),FR214,0))</f>
        <v>x</v>
      </c>
      <c r="FS397" s="45" t="str">
        <f>IF(FS214=-1,"x",IF(OR(FS312=1,FS$230=1,$GU214=1),FS214,0))</f>
        <v>x</v>
      </c>
      <c r="FT397" s="48" t="str">
        <f>IF(FT214=-1,"x",IF(OR(FT312=1,FT$230=1,$GV214=1),FT214,0))</f>
        <v>x</v>
      </c>
      <c r="FU397" s="44" t="str">
        <f>IF(FU214=-1,"x",IF(OR(FU312=1,FU$230=1,$GT214=1),FU214,0))</f>
        <v>x</v>
      </c>
      <c r="FV397" s="45" t="str">
        <f>IF(FV214=-1,"x",IF(OR(FV312=1,FV$230=1,$GU214=1),FV214,0))</f>
        <v>x</v>
      </c>
      <c r="FW397" s="47" t="str">
        <f>IF(FW214=-1,"x",IF(OR(FW312=1,FW$230=1,$GV214=1),FW214,0))</f>
        <v>x</v>
      </c>
      <c r="FX397" s="46" t="str">
        <f>IF(FX214=-1,"x",IF(OR(FX312=1,FX$230=1,$GT214=1),FX214,0))</f>
        <v>x</v>
      </c>
      <c r="FY397" s="45" t="str">
        <f>IF(FY214=-1,"x",IF(OR(FY312=1,FY$230=1,$GU214=1),FY214,0))</f>
        <v>x</v>
      </c>
      <c r="FZ397" s="47" t="str">
        <f>IF(FZ214=-1,"x",IF(OR(FZ312=1,FZ$230=1,$GV214=1),FZ214,0))</f>
        <v>x</v>
      </c>
      <c r="GA397" s="46" t="str">
        <f>IF(GA214=-1,"x",IF(OR(GA312=1,GA$230=1,$GT214=1),GA214,0))</f>
        <v>x</v>
      </c>
      <c r="GB397" s="45" t="str">
        <f>IF(GB214=-1,"x",IF(OR(GB312=1,GB$230=1,$GU214=1),GB214,0))</f>
        <v>x</v>
      </c>
      <c r="GC397" s="48" t="str">
        <f>IF(GC214=-1,"x",IF(OR(GC312=1,GC$230=1,$GV214=1),GC214,0))</f>
        <v>x</v>
      </c>
      <c r="GD397" s="44" t="str">
        <f>IF(GD214=-1,"x",IF(OR(GD312=1,GD$230=1,$GT214=1),GD214,0))</f>
        <v>x</v>
      </c>
      <c r="GE397" s="45" t="str">
        <f>IF(GE214=-1,"x",IF(OR(GE312=1,GE$230=1,$GU214=1),GE214,0))</f>
        <v>x</v>
      </c>
      <c r="GF397" s="47" t="str">
        <f>IF(GF214=-1,"x",IF(OR(GF312=1,GF$230=1,$GV214=1),GF214,0))</f>
        <v>x</v>
      </c>
      <c r="GG397" s="46" t="str">
        <f>IF(GG214=-1,"x",IF(OR(GG312=1,GG$230=1,$GT214=1),GG214,0))</f>
        <v>x</v>
      </c>
      <c r="GH397" s="45" t="str">
        <f>IF(GH214=-1,"x",IF(OR(GH312=1,GH$230=1,$GU214=1),GH214,0))</f>
        <v>x</v>
      </c>
      <c r="GI397" s="47" t="str">
        <f>IF(GI214=-1,"x",IF(OR(GI312=1,GI$230=1,$GV214=1),GI214,0))</f>
        <v>x</v>
      </c>
      <c r="GJ397" s="46" t="str">
        <f>IF(GJ214=-1,"x",IF(OR(GJ312=1,GJ$230=1,$GT214=1),GJ214,0))</f>
        <v>x</v>
      </c>
      <c r="GK397" s="45" t="str">
        <f>IF(GK214=-1,"x",IF(OR(GK312=1,GK$230=1,$GU214=1),GK214,0))</f>
        <v>x</v>
      </c>
      <c r="GL397" s="100" t="str">
        <f>IF(GL214=-1,"x",IF(OR(GL312=1,GL$230=1,$GV214=1),GL214,0))</f>
        <v>x</v>
      </c>
    </row>
    <row r="398" spans="114:194" ht="15" customHeight="1">
      <c r="DJ398" s="104">
        <f>IF(DJ215=-1,"x",IF(OR(DJ313=1,DJ$228=1,$GT215=1),DJ215,0))</f>
        <v>0</v>
      </c>
      <c r="DK398" s="50">
        <f>IF(DK215=-1,"x",IF(OR(DK313=1,DK$228=1,$GU215=1),DK215,0))</f>
        <v>0</v>
      </c>
      <c r="DL398" s="51">
        <f>IF(DL215=-1,"x",IF(OR(DL313=1,DL$228=1,$GV215=1),DL215,0))</f>
        <v>0</v>
      </c>
      <c r="DM398" s="52">
        <f>IF(DM215=-1,"x",IF(OR(DM313=1,DM$228=1,$GT215=1),DM215,0))</f>
        <v>0</v>
      </c>
      <c r="DN398" s="50">
        <f>IF(DN215=-1,"x",IF(OR(DN313=1,DN$228=1,$GU215=1),DN215,0))</f>
        <v>0</v>
      </c>
      <c r="DO398" s="51">
        <f>IF(DO215=-1,"x",IF(OR(DO313=1,DO$228=1,$GV215=1),DO215,0))</f>
        <v>0</v>
      </c>
      <c r="DP398" s="52" t="str">
        <f>IF(DP215=-1,"x",IF(OR(DP313=1,DP$228=1,$GT215=1),DP215,0))</f>
        <v>x</v>
      </c>
      <c r="DQ398" s="50" t="str">
        <f>IF(DQ215=-1,"x",IF(OR(DQ313=1,DQ$228=1,$GU215=1),DQ215,0))</f>
        <v>x</v>
      </c>
      <c r="DR398" s="53" t="str">
        <f>IF(DR215=-1,"x",IF(OR(DR313=1,DR$228=1,$GV215=1),DR215,0))</f>
        <v>x</v>
      </c>
      <c r="DS398" s="49">
        <f>IF(DS215=-1,"x",IF(OR(DS313=1,DS$228=1,$GT215=1),DS215,0))</f>
        <v>0</v>
      </c>
      <c r="DT398" s="50">
        <f>IF(DT215=-1,"x",IF(OR(DT313=1,DT$228=1,$GU215=1),DT215,0))</f>
        <v>0</v>
      </c>
      <c r="DU398" s="51">
        <f>IF(DU215=-1,"x",IF(OR(DU313=1,DU$228=1,$GV215=1),DU215,0))</f>
        <v>0</v>
      </c>
      <c r="DV398" s="52">
        <f>IF(DV215=-1,"x",IF(OR(DV313=1,DV$228=1,$GT215=1),DV215,0))</f>
        <v>0</v>
      </c>
      <c r="DW398" s="50">
        <f>IF(DW215=-1,"x",IF(OR(DW313=1,DW$228=1,$GU215=1),DW215,0))</f>
        <v>0</v>
      </c>
      <c r="DX398" s="51">
        <f>IF(DX215=-1,"x",IF(OR(DX313=1,DX$228=1,$GV215=1),DX215,0))</f>
        <v>0</v>
      </c>
      <c r="DY398" s="52" t="str">
        <f>IF(DY215=-1,"x",IF(OR(DY313=1,DY$228=1,$GT215=1),DY215,0))</f>
        <v>x</v>
      </c>
      <c r="DZ398" s="50" t="str">
        <f>IF(DZ215=-1,"x",IF(OR(DZ313=1,DZ$228=1,$GU215=1),DZ215,0))</f>
        <v>x</v>
      </c>
      <c r="EA398" s="53" t="str">
        <f>IF(EA215=-1,"x",IF(OR(EA313=1,EA$228=1,$GV215=1),EA215,0))</f>
        <v>x</v>
      </c>
      <c r="EB398" s="49" t="str">
        <f>IF(EB215=-1,"x",IF(OR(EB313=1,EB$228=1,$GT215=1),EB215,0))</f>
        <v>x</v>
      </c>
      <c r="EC398" s="50" t="str">
        <f>IF(EC215=-1,"x",IF(OR(EC313=1,EC$228=1,$GU215=1),EC215,0))</f>
        <v>x</v>
      </c>
      <c r="ED398" s="51" t="str">
        <f>IF(ED215=-1,"x",IF(OR(ED313=1,ED$228=1,$GV215=1),ED215,0))</f>
        <v>x</v>
      </c>
      <c r="EE398" s="52" t="str">
        <f>IF(EE215=-1,"x",IF(OR(EE313=1,EE$228=1,$GT215=1),EE215,0))</f>
        <v>x</v>
      </c>
      <c r="EF398" s="50" t="str">
        <f>IF(EF215=-1,"x",IF(OR(EF313=1,EF$228=1,$GU215=1),EF215,0))</f>
        <v>x</v>
      </c>
      <c r="EG398" s="51" t="str">
        <f>IF(EG215=-1,"x",IF(OR(EG313=1,EG$228=1,$GV215=1),EG215,0))</f>
        <v>x</v>
      </c>
      <c r="EH398" s="52" t="str">
        <f>IF(EH215=-1,"x",IF(OR(EH313=1,EH$228=1,$GT215=1),EH215,0))</f>
        <v>x</v>
      </c>
      <c r="EI398" s="50" t="str">
        <f>IF(EI215=-1,"x",IF(OR(EI313=1,EI$228=1,$GU215=1),EI215,0))</f>
        <v>x</v>
      </c>
      <c r="EJ398" s="105" t="str">
        <f>IF(EJ215=-1,"x",IF(OR(EJ313=1,EJ$228=1,$GV215=1),EJ215,0))</f>
        <v>x</v>
      </c>
      <c r="EK398" s="104" t="str">
        <f>IF(EK215=-1,"x",IF(OR(EK313=1,EK$228=1,$GT215=1),EK215,0))</f>
        <v>x</v>
      </c>
      <c r="EL398" s="50" t="str">
        <f>IF(EL215=-1,"x",IF(OR(EL313=1,EL$228=1,$GU215=1),EL215,0))</f>
        <v>x</v>
      </c>
      <c r="EM398" s="51" t="str">
        <f>IF(EM215=-1,"x",IF(OR(EM313=1,EM$228=1,$GV215=1),EM215,0))</f>
        <v>x</v>
      </c>
      <c r="EN398" s="52" t="str">
        <f>IF(EN215=-1,"x",IF(OR(EN313=1,EN$228=1,$GT215=1),EN215,0))</f>
        <v>x</v>
      </c>
      <c r="EO398" s="50" t="str">
        <f>IF(EO215=-1,"x",IF(OR(EO313=1,EO$228=1,$GU215=1),EO215,0))</f>
        <v>x</v>
      </c>
      <c r="EP398" s="51" t="str">
        <f>IF(EP215=-1,"x",IF(OR(EP313=1,EP$228=1,$GV215=1),EP215,0))</f>
        <v>x</v>
      </c>
      <c r="EQ398" s="52" t="str">
        <f>IF(EQ215=-1,"x",IF(OR(EQ313=1,EQ$228=1,$GT215=1),EQ215,0))</f>
        <v>x</v>
      </c>
      <c r="ER398" s="50" t="str">
        <f>IF(ER215=-1,"x",IF(OR(ER313=1,ER$228=1,$GU215=1),ER215,0))</f>
        <v>x</v>
      </c>
      <c r="ES398" s="53" t="str">
        <f>IF(ES215=-1,"x",IF(OR(ES313=1,ES$228=1,$GV215=1),ES215,0))</f>
        <v>x</v>
      </c>
      <c r="ET398" s="49" t="str">
        <f>IF(ET215=-1,"x",IF(OR(ET313=1,ET$228=1,$GT215=1),ET215,0))</f>
        <v>x</v>
      </c>
      <c r="EU398" s="50" t="str">
        <f>IF(EU215=-1,"x",IF(OR(EU313=1,EU$228=1,$GU215=1),EU215,0))</f>
        <v>x</v>
      </c>
      <c r="EV398" s="51" t="str">
        <f>IF(EV215=-1,"x",IF(OR(EV313=1,EV$228=1,$GV215=1),EV215,0))</f>
        <v>x</v>
      </c>
      <c r="EW398" s="52" t="str">
        <f>IF(EW215=-1,"x",IF(OR(EW313=1,EW$228=1,$GT215=1),EW215,0))</f>
        <v>x</v>
      </c>
      <c r="EX398" s="50" t="str">
        <f>IF(EX215=-1,"x",IF(OR(EX313=1,EX$228=1,$GU215=1),EX215,0))</f>
        <v>x</v>
      </c>
      <c r="EY398" s="51" t="str">
        <f>IF(EY215=-1,"x",IF(OR(EY313=1,EY$228=1,$GV215=1),EY215,0))</f>
        <v>x</v>
      </c>
      <c r="EZ398" s="52" t="str">
        <f>IF(EZ215=-1,"x",IF(OR(EZ313=1,EZ$228=1,$GT215=1),EZ215,0))</f>
        <v>x</v>
      </c>
      <c r="FA398" s="50" t="str">
        <f>IF(FA215=-1,"x",IF(OR(FA313=1,FA$228=1,$GU215=1),FA215,0))</f>
        <v>x</v>
      </c>
      <c r="FB398" s="53" t="str">
        <f>IF(FB215=-1,"x",IF(OR(FB313=1,FB$228=1,$GV215=1),FB215,0))</f>
        <v>x</v>
      </c>
      <c r="FC398" s="49" t="str">
        <f>IF(FC215=-1,"x",IF(OR(FC313=1,FC$228=1,$GT215=1),FC215,0))</f>
        <v>x</v>
      </c>
      <c r="FD398" s="50" t="str">
        <f>IF(FD215=-1,"x",IF(OR(FD313=1,FD$228=1,$GU215=1),FD215,0))</f>
        <v>x</v>
      </c>
      <c r="FE398" s="51" t="str">
        <f>IF(FE215=-1,"x",IF(OR(FE313=1,FE$228=1,$GV215=1),FE215,0))</f>
        <v>x</v>
      </c>
      <c r="FF398" s="52" t="str">
        <f>IF(FF215=-1,"x",IF(OR(FF313=1,FF$228=1,$GT215=1),FF215,0))</f>
        <v>x</v>
      </c>
      <c r="FG398" s="50" t="str">
        <f>IF(FG215=-1,"x",IF(OR(FG313=1,FG$228=1,$GU215=1),FG215,0))</f>
        <v>x</v>
      </c>
      <c r="FH398" s="51" t="str">
        <f>IF(FH215=-1,"x",IF(OR(FH313=1,FH$228=1,$GV215=1),FH215,0))</f>
        <v>x</v>
      </c>
      <c r="FI398" s="52" t="str">
        <f>IF(FI215=-1,"x",IF(OR(FI313=1,FI$228=1,$GT215=1),FI215,0))</f>
        <v>x</v>
      </c>
      <c r="FJ398" s="50" t="str">
        <f>IF(FJ215=-1,"x",IF(OR(FJ313=1,FJ$228=1,$GU215=1),FJ215,0))</f>
        <v>x</v>
      </c>
      <c r="FK398" s="105" t="str">
        <f>IF(FK215=-1,"x",IF(OR(FK313=1,FK$228=1,$GV215=1),FK215,0))</f>
        <v>x</v>
      </c>
      <c r="FL398" s="104" t="str">
        <f>IF(FL215=-1,"x",IF(OR(FL313=1,FL$228=1,$GT215=1),FL215,0))</f>
        <v>x</v>
      </c>
      <c r="FM398" s="50" t="str">
        <f>IF(FM215=-1,"x",IF(OR(FM313=1,FM$228=1,$GU215=1),FM215,0))</f>
        <v>x</v>
      </c>
      <c r="FN398" s="51" t="str">
        <f>IF(FN215=-1,"x",IF(OR(FN313=1,FN$228=1,$GV215=1),FN215,0))</f>
        <v>x</v>
      </c>
      <c r="FO398" s="52" t="str">
        <f>IF(FO215=-1,"x",IF(OR(FO313=1,FO$228=1,$GT215=1),FO215,0))</f>
        <v>x</v>
      </c>
      <c r="FP398" s="50" t="str">
        <f>IF(FP215=-1,"x",IF(OR(FP313=1,FP$228=1,$GU215=1),FP215,0))</f>
        <v>x</v>
      </c>
      <c r="FQ398" s="51" t="str">
        <f>IF(FQ215=-1,"x",IF(OR(FQ313=1,FQ$228=1,$GV215=1),FQ215,0))</f>
        <v>x</v>
      </c>
      <c r="FR398" s="52" t="str">
        <f>IF(FR215=-1,"x",IF(OR(FR313=1,FR$228=1,$GT215=1),FR215,0))</f>
        <v>x</v>
      </c>
      <c r="FS398" s="50" t="str">
        <f>IF(FS215=-1,"x",IF(OR(FS313=1,FS$228=1,$GU215=1),FS215,0))</f>
        <v>x</v>
      </c>
      <c r="FT398" s="53" t="str">
        <f>IF(FT215=-1,"x",IF(OR(FT313=1,FT$228=1,$GV215=1),FT215,0))</f>
        <v>x</v>
      </c>
      <c r="FU398" s="49" t="str">
        <f>IF(FU215=-1,"x",IF(OR(FU313=1,FU$228=1,$GT215=1),FU215,0))</f>
        <v>x</v>
      </c>
      <c r="FV398" s="50" t="str">
        <f>IF(FV215=-1,"x",IF(OR(FV313=1,FV$228=1,$GU215=1),FV215,0))</f>
        <v>x</v>
      </c>
      <c r="FW398" s="51" t="str">
        <f>IF(FW215=-1,"x",IF(OR(FW313=1,FW$228=1,$GV215=1),FW215,0))</f>
        <v>x</v>
      </c>
      <c r="FX398" s="52" t="str">
        <f>IF(FX215=-1,"x",IF(OR(FX313=1,FX$228=1,$GT215=1),FX215,0))</f>
        <v>x</v>
      </c>
      <c r="FY398" s="50" t="str">
        <f>IF(FY215=-1,"x",IF(OR(FY313=1,FY$228=1,$GU215=1),FY215,0))</f>
        <v>x</v>
      </c>
      <c r="FZ398" s="51" t="str">
        <f>IF(FZ215=-1,"x",IF(OR(FZ313=1,FZ$228=1,$GV215=1),FZ215,0))</f>
        <v>x</v>
      </c>
      <c r="GA398" s="52">
        <f>IF(GA215=-1,"x",IF(OR(GA313=1,GA$228=1,$GT215=1),GA215,0))</f>
        <v>0</v>
      </c>
      <c r="GB398" s="50">
        <f>IF(GB215=-1,"x",IF(OR(GB313=1,GB$228=1,$GU215=1),GB215,0))</f>
        <v>0</v>
      </c>
      <c r="GC398" s="53">
        <f>IF(GC215=-1,"x",IF(OR(GC313=1,GC$228=1,$GV215=1),GC215,0))</f>
        <v>0</v>
      </c>
      <c r="GD398" s="49">
        <f>IF(GD215=-1,"x",IF(OR(GD313=1,GD$228=1,$GT215=1),GD215,0))</f>
        <v>0</v>
      </c>
      <c r="GE398" s="50">
        <f>IF(GE215=-1,"x",IF(OR(GE313=1,GE$228=1,$GU215=1),GE215,0))</f>
        <v>0</v>
      </c>
      <c r="GF398" s="51">
        <f>IF(GF215=-1,"x",IF(OR(GF313=1,GF$228=1,$GV215=1),GF215,0))</f>
        <v>0</v>
      </c>
      <c r="GG398" s="52">
        <f>IF(GG215=-1,"x",IF(OR(GG313=1,GG$228=1,$GT215=1),GG215,0))</f>
        <v>0</v>
      </c>
      <c r="GH398" s="50">
        <f>IF(GH215=-1,"x",IF(OR(GH313=1,GH$228=1,$GU215=1),GH215,0))</f>
        <v>0</v>
      </c>
      <c r="GI398" s="51">
        <f>IF(GI215=-1,"x",IF(OR(GI313=1,GI$228=1,$GV215=1),GI215,0))</f>
        <v>0</v>
      </c>
      <c r="GJ398" s="52">
        <f>IF(GJ215=-1,"x",IF(OR(GJ313=1,GJ$228=1,$GT215=1),GJ215,0))</f>
        <v>0</v>
      </c>
      <c r="GK398" s="50">
        <f>IF(GK215=-1,"x",IF(OR(GK313=1,GK$228=1,$GU215=1),GK215,0))</f>
        <v>0</v>
      </c>
      <c r="GL398" s="105">
        <f>IF(GL215=-1,"x",IF(OR(GL313=1,GL$228=1,$GV215=1),GL215,0))</f>
        <v>0</v>
      </c>
    </row>
    <row r="399" spans="114:194" ht="15" customHeight="1">
      <c r="DJ399" s="94">
        <f>IF(DJ216=-1,"x",IF(OR(DJ314=1,DJ$229=1,$GT216=1),DJ216,0))</f>
        <v>0</v>
      </c>
      <c r="DK399" s="39">
        <f>IF(DK216=-1,"x",IF(OR(DK314=1,DK$229=1,$GU216=1),DK216,0))</f>
        <v>5</v>
      </c>
      <c r="DL399" s="41">
        <f>IF(DL216=-1,"x",IF(OR(DL314=1,DL$229=1,$GV216=1),DL216,0))</f>
        <v>0</v>
      </c>
      <c r="DM399" s="40">
        <f>IF(DM216=-1,"x",IF(OR(DM314=1,DM$229=1,$GT216=1),DM216,0))</f>
        <v>0</v>
      </c>
      <c r="DN399" s="39">
        <f>IF(DN216=-1,"x",IF(OR(DN314=1,DN$229=1,$GU216=1),DN216,0))</f>
        <v>0</v>
      </c>
      <c r="DO399" s="41">
        <f>IF(DO216=-1,"x",IF(OR(DO314=1,DO$229=1,$GV216=1),DO216,0))</f>
        <v>0</v>
      </c>
      <c r="DP399" s="40" t="str">
        <f>IF(DP216=-1,"x",IF(OR(DP314=1,DP$229=1,$GT216=1),DP216,0))</f>
        <v>x</v>
      </c>
      <c r="DQ399" s="39" t="str">
        <f>IF(DQ216=-1,"x",IF(OR(DQ314=1,DQ$229=1,$GU216=1),DQ216,0))</f>
        <v>x</v>
      </c>
      <c r="DR399" s="42" t="str">
        <f>IF(DR216=-1,"x",IF(OR(DR314=1,DR$229=1,$GV216=1),DR216,0))</f>
        <v>x</v>
      </c>
      <c r="DS399" s="43">
        <f>IF(DS216=-1,"x",IF(OR(DS314=1,DS$229=1,$GT216=1),DS216,0))</f>
        <v>0</v>
      </c>
      <c r="DT399" s="39">
        <f>IF(DT216=-1,"x",IF(OR(DT314=1,DT$229=1,$GU216=1),DT216,0))</f>
        <v>0</v>
      </c>
      <c r="DU399" s="41">
        <f>IF(DU216=-1,"x",IF(OR(DU314=1,DU$229=1,$GV216=1),DU216,0))</f>
        <v>0</v>
      </c>
      <c r="DV399" s="40">
        <f>IF(DV216=-1,"x",IF(OR(DV314=1,DV$229=1,$GT216=1),DV216,0))</f>
        <v>0</v>
      </c>
      <c r="DW399" s="39">
        <f>IF(DW216=-1,"x",IF(OR(DW314=1,DW$229=1,$GU216=1),DW216,0))</f>
        <v>0</v>
      </c>
      <c r="DX399" s="41">
        <f>IF(DX216=-1,"x",IF(OR(DX314=1,DX$229=1,$GV216=1),DX216,0))</f>
        <v>0</v>
      </c>
      <c r="DY399" s="40" t="str">
        <f>IF(DY216=-1,"x",IF(OR(DY314=1,DY$229=1,$GT216=1),DY216,0))</f>
        <v>x</v>
      </c>
      <c r="DZ399" s="39" t="str">
        <f>IF(DZ216=-1,"x",IF(OR(DZ314=1,DZ$229=1,$GU216=1),DZ216,0))</f>
        <v>x</v>
      </c>
      <c r="EA399" s="42" t="str">
        <f>IF(EA216=-1,"x",IF(OR(EA314=1,EA$229=1,$GV216=1),EA216,0))</f>
        <v>x</v>
      </c>
      <c r="EB399" s="43" t="str">
        <f>IF(EB216=-1,"x",IF(OR(EB314=1,EB$229=1,$GT216=1),EB216,0))</f>
        <v>x</v>
      </c>
      <c r="EC399" s="39" t="str">
        <f>IF(EC216=-1,"x",IF(OR(EC314=1,EC$229=1,$GU216=1),EC216,0))</f>
        <v>x</v>
      </c>
      <c r="ED399" s="41" t="str">
        <f>IF(ED216=-1,"x",IF(OR(ED314=1,ED$229=1,$GV216=1),ED216,0))</f>
        <v>x</v>
      </c>
      <c r="EE399" s="40" t="str">
        <f>IF(EE216=-1,"x",IF(OR(EE314=1,EE$229=1,$GT216=1),EE216,0))</f>
        <v>x</v>
      </c>
      <c r="EF399" s="39" t="str">
        <f>IF(EF216=-1,"x",IF(OR(EF314=1,EF$229=1,$GU216=1),EF216,0))</f>
        <v>x</v>
      </c>
      <c r="EG399" s="41" t="str">
        <f>IF(EG216=-1,"x",IF(OR(EG314=1,EG$229=1,$GV216=1),EG216,0))</f>
        <v>x</v>
      </c>
      <c r="EH399" s="40" t="str">
        <f>IF(EH216=-1,"x",IF(OR(EH314=1,EH$229=1,$GT216=1),EH216,0))</f>
        <v>x</v>
      </c>
      <c r="EI399" s="39" t="str">
        <f>IF(EI216=-1,"x",IF(OR(EI314=1,EI$229=1,$GU216=1),EI216,0))</f>
        <v>x</v>
      </c>
      <c r="EJ399" s="95" t="str">
        <f>IF(EJ216=-1,"x",IF(OR(EJ314=1,EJ$229=1,$GV216=1),EJ216,0))</f>
        <v>x</v>
      </c>
      <c r="EK399" s="94" t="str">
        <f>IF(EK216=-1,"x",IF(OR(EK314=1,EK$229=1,$GT216=1),EK216,0))</f>
        <v>x</v>
      </c>
      <c r="EL399" s="39" t="str">
        <f>IF(EL216=-1,"x",IF(OR(EL314=1,EL$229=1,$GU216=1),EL216,0))</f>
        <v>x</v>
      </c>
      <c r="EM399" s="41" t="str">
        <f>IF(EM216=-1,"x",IF(OR(EM314=1,EM$229=1,$GV216=1),EM216,0))</f>
        <v>x</v>
      </c>
      <c r="EN399" s="40" t="str">
        <f>IF(EN216=-1,"x",IF(OR(EN314=1,EN$229=1,$GT216=1),EN216,0))</f>
        <v>x</v>
      </c>
      <c r="EO399" s="39" t="str">
        <f>IF(EO216=-1,"x",IF(OR(EO314=1,EO$229=1,$GU216=1),EO216,0))</f>
        <v>x</v>
      </c>
      <c r="EP399" s="41" t="str">
        <f>IF(EP216=-1,"x",IF(OR(EP314=1,EP$229=1,$GV216=1),EP216,0))</f>
        <v>x</v>
      </c>
      <c r="EQ399" s="40" t="str">
        <f>IF(EQ216=-1,"x",IF(OR(EQ314=1,EQ$229=1,$GT216=1),EQ216,0))</f>
        <v>x</v>
      </c>
      <c r="ER399" s="39" t="str">
        <f>IF(ER216=-1,"x",IF(OR(ER314=1,ER$229=1,$GU216=1),ER216,0))</f>
        <v>x</v>
      </c>
      <c r="ES399" s="42" t="str">
        <f>IF(ES216=-1,"x",IF(OR(ES314=1,ES$229=1,$GV216=1),ES216,0))</f>
        <v>x</v>
      </c>
      <c r="ET399" s="43" t="str">
        <f>IF(ET216=-1,"x",IF(OR(ET314=1,ET$229=1,$GT216=1),ET216,0))</f>
        <v>x</v>
      </c>
      <c r="EU399" s="39" t="str">
        <f>IF(EU216=-1,"x",IF(OR(EU314=1,EU$229=1,$GU216=1),EU216,0))</f>
        <v>x</v>
      </c>
      <c r="EV399" s="41" t="str">
        <f>IF(EV216=-1,"x",IF(OR(EV314=1,EV$229=1,$GV216=1),EV216,0))</f>
        <v>x</v>
      </c>
      <c r="EW399" s="40" t="str">
        <f>IF(EW216=-1,"x",IF(OR(EW314=1,EW$229=1,$GT216=1),EW216,0))</f>
        <v>x</v>
      </c>
      <c r="EX399" s="39" t="str">
        <f>IF(EX216=-1,"x",IF(OR(EX314=1,EX$229=1,$GU216=1),EX216,0))</f>
        <v>x</v>
      </c>
      <c r="EY399" s="41" t="str">
        <f>IF(EY216=-1,"x",IF(OR(EY314=1,EY$229=1,$GV216=1),EY216,0))</f>
        <v>x</v>
      </c>
      <c r="EZ399" s="40" t="str">
        <f>IF(EZ216=-1,"x",IF(OR(EZ314=1,EZ$229=1,$GT216=1),EZ216,0))</f>
        <v>x</v>
      </c>
      <c r="FA399" s="39" t="str">
        <f>IF(FA216=-1,"x",IF(OR(FA314=1,FA$229=1,$GU216=1),FA216,0))</f>
        <v>x</v>
      </c>
      <c r="FB399" s="42" t="str">
        <f>IF(FB216=-1,"x",IF(OR(FB314=1,FB$229=1,$GV216=1),FB216,0))</f>
        <v>x</v>
      </c>
      <c r="FC399" s="43" t="str">
        <f>IF(FC216=-1,"x",IF(OR(FC314=1,FC$229=1,$GT216=1),FC216,0))</f>
        <v>x</v>
      </c>
      <c r="FD399" s="39" t="str">
        <f>IF(FD216=-1,"x",IF(OR(FD314=1,FD$229=1,$GU216=1),FD216,0))</f>
        <v>x</v>
      </c>
      <c r="FE399" s="41" t="str">
        <f>IF(FE216=-1,"x",IF(OR(FE314=1,FE$229=1,$GV216=1),FE216,0))</f>
        <v>x</v>
      </c>
      <c r="FF399" s="40" t="str">
        <f>IF(FF216=-1,"x",IF(OR(FF314=1,FF$229=1,$GT216=1),FF216,0))</f>
        <v>x</v>
      </c>
      <c r="FG399" s="39" t="str">
        <f>IF(FG216=-1,"x",IF(OR(FG314=1,FG$229=1,$GU216=1),FG216,0))</f>
        <v>x</v>
      </c>
      <c r="FH399" s="41" t="str">
        <f>IF(FH216=-1,"x",IF(OR(FH314=1,FH$229=1,$GV216=1),FH216,0))</f>
        <v>x</v>
      </c>
      <c r="FI399" s="40" t="str">
        <f>IF(FI216=-1,"x",IF(OR(FI314=1,FI$229=1,$GT216=1),FI216,0))</f>
        <v>x</v>
      </c>
      <c r="FJ399" s="39" t="str">
        <f>IF(FJ216=-1,"x",IF(OR(FJ314=1,FJ$229=1,$GU216=1),FJ216,0))</f>
        <v>x</v>
      </c>
      <c r="FK399" s="95" t="str">
        <f>IF(FK216=-1,"x",IF(OR(FK314=1,FK$229=1,$GV216=1),FK216,0))</f>
        <v>x</v>
      </c>
      <c r="FL399" s="94" t="str">
        <f>IF(FL216=-1,"x",IF(OR(FL314=1,FL$229=1,$GT216=1),FL216,0))</f>
        <v>x</v>
      </c>
      <c r="FM399" s="39" t="str">
        <f>IF(FM216=-1,"x",IF(OR(FM314=1,FM$229=1,$GU216=1),FM216,0))</f>
        <v>x</v>
      </c>
      <c r="FN399" s="41" t="str">
        <f>IF(FN216=-1,"x",IF(OR(FN314=1,FN$229=1,$GV216=1),FN216,0))</f>
        <v>x</v>
      </c>
      <c r="FO399" s="40" t="str">
        <f>IF(FO216=-1,"x",IF(OR(FO314=1,FO$229=1,$GT216=1),FO216,0))</f>
        <v>x</v>
      </c>
      <c r="FP399" s="39" t="str">
        <f>IF(FP216=-1,"x",IF(OR(FP314=1,FP$229=1,$GU216=1),FP216,0))</f>
        <v>x</v>
      </c>
      <c r="FQ399" s="41" t="str">
        <f>IF(FQ216=-1,"x",IF(OR(FQ314=1,FQ$229=1,$GV216=1),FQ216,0))</f>
        <v>x</v>
      </c>
      <c r="FR399" s="40" t="str">
        <f>IF(FR216=-1,"x",IF(OR(FR314=1,FR$229=1,$GT216=1),FR216,0))</f>
        <v>x</v>
      </c>
      <c r="FS399" s="39" t="str">
        <f>IF(FS216=-1,"x",IF(OR(FS314=1,FS$229=1,$GU216=1),FS216,0))</f>
        <v>x</v>
      </c>
      <c r="FT399" s="42" t="str">
        <f>IF(FT216=-1,"x",IF(OR(FT314=1,FT$229=1,$GV216=1),FT216,0))</f>
        <v>x</v>
      </c>
      <c r="FU399" s="43" t="str">
        <f>IF(FU216=-1,"x",IF(OR(FU314=1,FU$229=1,$GT216=1),FU216,0))</f>
        <v>x</v>
      </c>
      <c r="FV399" s="39" t="str">
        <f>IF(FV216=-1,"x",IF(OR(FV314=1,FV$229=1,$GU216=1),FV216,0))</f>
        <v>x</v>
      </c>
      <c r="FW399" s="41" t="str">
        <f>IF(FW216=-1,"x",IF(OR(FW314=1,FW$229=1,$GV216=1),FW216,0))</f>
        <v>x</v>
      </c>
      <c r="FX399" s="40" t="str">
        <f>IF(FX216=-1,"x",IF(OR(FX314=1,FX$229=1,$GT216=1),FX216,0))</f>
        <v>x</v>
      </c>
      <c r="FY399" s="39" t="str">
        <f>IF(FY216=-1,"x",IF(OR(FY314=1,FY$229=1,$GU216=1),FY216,0))</f>
        <v>x</v>
      </c>
      <c r="FZ399" s="41" t="str">
        <f>IF(FZ216=-1,"x",IF(OR(FZ314=1,FZ$229=1,$GV216=1),FZ216,0))</f>
        <v>x</v>
      </c>
      <c r="GA399" s="40">
        <f>IF(GA216=-1,"x",IF(OR(GA314=1,GA$229=1,$GT216=1),GA216,0))</f>
        <v>0</v>
      </c>
      <c r="GB399" s="39">
        <f>IF(GB216=-1,"x",IF(OR(GB314=1,GB$229=1,$GU216=1),GB216,0))</f>
        <v>0</v>
      </c>
      <c r="GC399" s="42">
        <f>IF(GC216=-1,"x",IF(OR(GC314=1,GC$229=1,$GV216=1),GC216,0))</f>
        <v>0</v>
      </c>
      <c r="GD399" s="43">
        <f>IF(GD216=-1,"x",IF(OR(GD314=1,GD$229=1,$GT216=1),GD216,0))</f>
        <v>0</v>
      </c>
      <c r="GE399" s="39">
        <f>IF(GE216=-1,"x",IF(OR(GE314=1,GE$229=1,$GU216=1),GE216,0))</f>
        <v>0</v>
      </c>
      <c r="GF399" s="41">
        <f>IF(GF216=-1,"x",IF(OR(GF314=1,GF$229=1,$GV216=1),GF216,0))</f>
        <v>0</v>
      </c>
      <c r="GG399" s="40">
        <f>IF(GG216=-1,"x",IF(OR(GG314=1,GG$229=1,$GT216=1),GG216,0))</f>
        <v>0</v>
      </c>
      <c r="GH399" s="39">
        <f>IF(GH216=-1,"x",IF(OR(GH314=1,GH$229=1,$GU216=1),GH216,0))</f>
        <v>0</v>
      </c>
      <c r="GI399" s="41">
        <f>IF(GI216=-1,"x",IF(OR(GI314=1,GI$229=1,$GV216=1),GI216,0))</f>
        <v>0</v>
      </c>
      <c r="GJ399" s="40">
        <f>IF(GJ216=-1,"x",IF(OR(GJ314=1,GJ$229=1,$GT216=1),GJ216,0))</f>
        <v>0</v>
      </c>
      <c r="GK399" s="39">
        <f>IF(GK216=-1,"x",IF(OR(GK314=1,GK$229=1,$GU216=1),GK216,0))</f>
        <v>0</v>
      </c>
      <c r="GL399" s="95">
        <f>IF(GL216=-1,"x",IF(OR(GL314=1,GL$229=1,$GV216=1),GL216,0))</f>
        <v>0</v>
      </c>
    </row>
    <row r="400" spans="114:194" ht="15" customHeight="1">
      <c r="DJ400" s="99">
        <f>IF(DJ217=-1,"x",IF(OR(DJ315=1,DJ$230=1,$GT217=1),DJ217,0))</f>
        <v>0</v>
      </c>
      <c r="DK400" s="45">
        <f>IF(DK217=-1,"x",IF(OR(DK315=1,DK$230=1,$GU217=1),DK217,0))</f>
        <v>0</v>
      </c>
      <c r="DL400" s="47">
        <f>IF(DL217=-1,"x",IF(OR(DL315=1,DL$230=1,$GV217=1),DL217,0))</f>
        <v>0</v>
      </c>
      <c r="DM400" s="46">
        <f>IF(DM217=-1,"x",IF(OR(DM315=1,DM$230=1,$GT217=1),DM217,0))</f>
        <v>0</v>
      </c>
      <c r="DN400" s="45">
        <f>IF(DN217=-1,"x",IF(OR(DN315=1,DN$230=1,$GU217=1),DN217,0))</f>
        <v>0</v>
      </c>
      <c r="DO400" s="47">
        <f>IF(DO217=-1,"x",IF(OR(DO315=1,DO$230=1,$GV217=1),DO217,0))</f>
        <v>0</v>
      </c>
      <c r="DP400" s="46" t="str">
        <f>IF(DP217=-1,"x",IF(OR(DP315=1,DP$230=1,$GT217=1),DP217,0))</f>
        <v>x</v>
      </c>
      <c r="DQ400" s="45" t="str">
        <f>IF(DQ217=-1,"x",IF(OR(DQ315=1,DQ$230=1,$GU217=1),DQ217,0))</f>
        <v>x</v>
      </c>
      <c r="DR400" s="48" t="str">
        <f>IF(DR217=-1,"x",IF(OR(DR315=1,DR$230=1,$GV217=1),DR217,0))</f>
        <v>x</v>
      </c>
      <c r="DS400" s="44">
        <f>IF(DS217=-1,"x",IF(OR(DS315=1,DS$230=1,$GT217=1),DS217,0))</f>
        <v>0</v>
      </c>
      <c r="DT400" s="45">
        <f>IF(DT217=-1,"x",IF(OR(DT315=1,DT$230=1,$GU217=1),DT217,0))</f>
        <v>0</v>
      </c>
      <c r="DU400" s="47">
        <f>IF(DU217=-1,"x",IF(OR(DU315=1,DU$230=1,$GV217=1),DU217,0))</f>
        <v>0</v>
      </c>
      <c r="DV400" s="46">
        <f>IF(DV217=-1,"x",IF(OR(DV315=1,DV$230=1,$GT217=1),DV217,0))</f>
        <v>0</v>
      </c>
      <c r="DW400" s="45">
        <f>IF(DW217=-1,"x",IF(OR(DW315=1,DW$230=1,$GU217=1),DW217,0))</f>
        <v>0</v>
      </c>
      <c r="DX400" s="47">
        <f>IF(DX217=-1,"x",IF(OR(DX315=1,DX$230=1,$GV217=1),DX217,0))</f>
        <v>0</v>
      </c>
      <c r="DY400" s="46" t="str">
        <f>IF(DY217=-1,"x",IF(OR(DY315=1,DY$230=1,$GT217=1),DY217,0))</f>
        <v>x</v>
      </c>
      <c r="DZ400" s="45" t="str">
        <f>IF(DZ217=-1,"x",IF(OR(DZ315=1,DZ$230=1,$GU217=1),DZ217,0))</f>
        <v>x</v>
      </c>
      <c r="EA400" s="48" t="str">
        <f>IF(EA217=-1,"x",IF(OR(EA315=1,EA$230=1,$GV217=1),EA217,0))</f>
        <v>x</v>
      </c>
      <c r="EB400" s="44" t="str">
        <f>IF(EB217=-1,"x",IF(OR(EB315=1,EB$230=1,$GT217=1),EB217,0))</f>
        <v>x</v>
      </c>
      <c r="EC400" s="45" t="str">
        <f>IF(EC217=-1,"x",IF(OR(EC315=1,EC$230=1,$GU217=1),EC217,0))</f>
        <v>x</v>
      </c>
      <c r="ED400" s="47" t="str">
        <f>IF(ED217=-1,"x",IF(OR(ED315=1,ED$230=1,$GV217=1),ED217,0))</f>
        <v>x</v>
      </c>
      <c r="EE400" s="46" t="str">
        <f>IF(EE217=-1,"x",IF(OR(EE315=1,EE$230=1,$GT217=1),EE217,0))</f>
        <v>x</v>
      </c>
      <c r="EF400" s="45" t="str">
        <f>IF(EF217=-1,"x",IF(OR(EF315=1,EF$230=1,$GU217=1),EF217,0))</f>
        <v>x</v>
      </c>
      <c r="EG400" s="47" t="str">
        <f>IF(EG217=-1,"x",IF(OR(EG315=1,EG$230=1,$GV217=1),EG217,0))</f>
        <v>x</v>
      </c>
      <c r="EH400" s="46" t="str">
        <f>IF(EH217=-1,"x",IF(OR(EH315=1,EH$230=1,$GT217=1),EH217,0))</f>
        <v>x</v>
      </c>
      <c r="EI400" s="45" t="str">
        <f>IF(EI217=-1,"x",IF(OR(EI315=1,EI$230=1,$GU217=1),EI217,0))</f>
        <v>x</v>
      </c>
      <c r="EJ400" s="100" t="str">
        <f>IF(EJ217=-1,"x",IF(OR(EJ315=1,EJ$230=1,$GV217=1),EJ217,0))</f>
        <v>x</v>
      </c>
      <c r="EK400" s="99" t="str">
        <f>IF(EK217=-1,"x",IF(OR(EK315=1,EK$230=1,$GT217=1),EK217,0))</f>
        <v>x</v>
      </c>
      <c r="EL400" s="45" t="str">
        <f>IF(EL217=-1,"x",IF(OR(EL315=1,EL$230=1,$GU217=1),EL217,0))</f>
        <v>x</v>
      </c>
      <c r="EM400" s="47" t="str">
        <f>IF(EM217=-1,"x",IF(OR(EM315=1,EM$230=1,$GV217=1),EM217,0))</f>
        <v>x</v>
      </c>
      <c r="EN400" s="46" t="str">
        <f>IF(EN217=-1,"x",IF(OR(EN315=1,EN$230=1,$GT217=1),EN217,0))</f>
        <v>x</v>
      </c>
      <c r="EO400" s="45" t="str">
        <f>IF(EO217=-1,"x",IF(OR(EO315=1,EO$230=1,$GU217=1),EO217,0))</f>
        <v>x</v>
      </c>
      <c r="EP400" s="47" t="str">
        <f>IF(EP217=-1,"x",IF(OR(EP315=1,EP$230=1,$GV217=1),EP217,0))</f>
        <v>x</v>
      </c>
      <c r="EQ400" s="46" t="str">
        <f>IF(EQ217=-1,"x",IF(OR(EQ315=1,EQ$230=1,$GT217=1),EQ217,0))</f>
        <v>x</v>
      </c>
      <c r="ER400" s="45" t="str">
        <f>IF(ER217=-1,"x",IF(OR(ER315=1,ER$230=1,$GU217=1),ER217,0))</f>
        <v>x</v>
      </c>
      <c r="ES400" s="48" t="str">
        <f>IF(ES217=-1,"x",IF(OR(ES315=1,ES$230=1,$GV217=1),ES217,0))</f>
        <v>x</v>
      </c>
      <c r="ET400" s="44" t="str">
        <f>IF(ET217=-1,"x",IF(OR(ET315=1,ET$230=1,$GT217=1),ET217,0))</f>
        <v>x</v>
      </c>
      <c r="EU400" s="45" t="str">
        <f>IF(EU217=-1,"x",IF(OR(EU315=1,EU$230=1,$GU217=1),EU217,0))</f>
        <v>x</v>
      </c>
      <c r="EV400" s="47" t="str">
        <f>IF(EV217=-1,"x",IF(OR(EV315=1,EV$230=1,$GV217=1),EV217,0))</f>
        <v>x</v>
      </c>
      <c r="EW400" s="46" t="str">
        <f>IF(EW217=-1,"x",IF(OR(EW315=1,EW$230=1,$GT217=1),EW217,0))</f>
        <v>x</v>
      </c>
      <c r="EX400" s="45" t="str">
        <f>IF(EX217=-1,"x",IF(OR(EX315=1,EX$230=1,$GU217=1),EX217,0))</f>
        <v>x</v>
      </c>
      <c r="EY400" s="47" t="str">
        <f>IF(EY217=-1,"x",IF(OR(EY315=1,EY$230=1,$GV217=1),EY217,0))</f>
        <v>x</v>
      </c>
      <c r="EZ400" s="46" t="str">
        <f>IF(EZ217=-1,"x",IF(OR(EZ315=1,EZ$230=1,$GT217=1),EZ217,0))</f>
        <v>x</v>
      </c>
      <c r="FA400" s="45" t="str">
        <f>IF(FA217=-1,"x",IF(OR(FA315=1,FA$230=1,$GU217=1),FA217,0))</f>
        <v>x</v>
      </c>
      <c r="FB400" s="48" t="str">
        <f>IF(FB217=-1,"x",IF(OR(FB315=1,FB$230=1,$GV217=1),FB217,0))</f>
        <v>x</v>
      </c>
      <c r="FC400" s="44" t="str">
        <f>IF(FC217=-1,"x",IF(OR(FC315=1,FC$230=1,$GT217=1),FC217,0))</f>
        <v>x</v>
      </c>
      <c r="FD400" s="45" t="str">
        <f>IF(FD217=-1,"x",IF(OR(FD315=1,FD$230=1,$GU217=1),FD217,0))</f>
        <v>x</v>
      </c>
      <c r="FE400" s="47" t="str">
        <f>IF(FE217=-1,"x",IF(OR(FE315=1,FE$230=1,$GV217=1),FE217,0))</f>
        <v>x</v>
      </c>
      <c r="FF400" s="46" t="str">
        <f>IF(FF217=-1,"x",IF(OR(FF315=1,FF$230=1,$GT217=1),FF217,0))</f>
        <v>x</v>
      </c>
      <c r="FG400" s="45" t="str">
        <f>IF(FG217=-1,"x",IF(OR(FG315=1,FG$230=1,$GU217=1),FG217,0))</f>
        <v>x</v>
      </c>
      <c r="FH400" s="47" t="str">
        <f>IF(FH217=-1,"x",IF(OR(FH315=1,FH$230=1,$GV217=1),FH217,0))</f>
        <v>x</v>
      </c>
      <c r="FI400" s="46" t="str">
        <f>IF(FI217=-1,"x",IF(OR(FI315=1,FI$230=1,$GT217=1),FI217,0))</f>
        <v>x</v>
      </c>
      <c r="FJ400" s="45" t="str">
        <f>IF(FJ217=-1,"x",IF(OR(FJ315=1,FJ$230=1,$GU217=1),FJ217,0))</f>
        <v>x</v>
      </c>
      <c r="FK400" s="100" t="str">
        <f>IF(FK217=-1,"x",IF(OR(FK315=1,FK$230=1,$GV217=1),FK217,0))</f>
        <v>x</v>
      </c>
      <c r="FL400" s="99" t="str">
        <f>IF(FL217=-1,"x",IF(OR(FL315=1,FL$230=1,$GT217=1),FL217,0))</f>
        <v>x</v>
      </c>
      <c r="FM400" s="45" t="str">
        <f>IF(FM217=-1,"x",IF(OR(FM315=1,FM$230=1,$GU217=1),FM217,0))</f>
        <v>x</v>
      </c>
      <c r="FN400" s="47" t="str">
        <f>IF(FN217=-1,"x",IF(OR(FN315=1,FN$230=1,$GV217=1),FN217,0))</f>
        <v>x</v>
      </c>
      <c r="FO400" s="46" t="str">
        <f>IF(FO217=-1,"x",IF(OR(FO315=1,FO$230=1,$GT217=1),FO217,0))</f>
        <v>x</v>
      </c>
      <c r="FP400" s="45" t="str">
        <f>IF(FP217=-1,"x",IF(OR(FP315=1,FP$230=1,$GU217=1),FP217,0))</f>
        <v>x</v>
      </c>
      <c r="FQ400" s="47" t="str">
        <f>IF(FQ217=-1,"x",IF(OR(FQ315=1,FQ$230=1,$GV217=1),FQ217,0))</f>
        <v>x</v>
      </c>
      <c r="FR400" s="46" t="str">
        <f>IF(FR217=-1,"x",IF(OR(FR315=1,FR$230=1,$GT217=1),FR217,0))</f>
        <v>x</v>
      </c>
      <c r="FS400" s="45" t="str">
        <f>IF(FS217=-1,"x",IF(OR(FS315=1,FS$230=1,$GU217=1),FS217,0))</f>
        <v>x</v>
      </c>
      <c r="FT400" s="48" t="str">
        <f>IF(FT217=-1,"x",IF(OR(FT315=1,FT$230=1,$GV217=1),FT217,0))</f>
        <v>x</v>
      </c>
      <c r="FU400" s="44" t="str">
        <f>IF(FU217=-1,"x",IF(OR(FU315=1,FU$230=1,$GT217=1),FU217,0))</f>
        <v>x</v>
      </c>
      <c r="FV400" s="45" t="str">
        <f>IF(FV217=-1,"x",IF(OR(FV315=1,FV$230=1,$GU217=1),FV217,0))</f>
        <v>x</v>
      </c>
      <c r="FW400" s="47" t="str">
        <f>IF(FW217=-1,"x",IF(OR(FW315=1,FW$230=1,$GV217=1),FW217,0))</f>
        <v>x</v>
      </c>
      <c r="FX400" s="46" t="str">
        <f>IF(FX217=-1,"x",IF(OR(FX315=1,FX$230=1,$GT217=1),FX217,0))</f>
        <v>x</v>
      </c>
      <c r="FY400" s="45" t="str">
        <f>IF(FY217=-1,"x",IF(OR(FY315=1,FY$230=1,$GU217=1),FY217,0))</f>
        <v>x</v>
      </c>
      <c r="FZ400" s="47" t="str">
        <f>IF(FZ217=-1,"x",IF(OR(FZ315=1,FZ$230=1,$GV217=1),FZ217,0))</f>
        <v>x</v>
      </c>
      <c r="GA400" s="46">
        <f>IF(GA217=-1,"x",IF(OR(GA315=1,GA$230=1,$GT217=1),GA217,0))</f>
        <v>0</v>
      </c>
      <c r="GB400" s="45">
        <f>IF(GB217=-1,"x",IF(OR(GB315=1,GB$230=1,$GU217=1),GB217,0))</f>
        <v>0</v>
      </c>
      <c r="GC400" s="48">
        <f>IF(GC217=-1,"x",IF(OR(GC315=1,GC$230=1,$GV217=1),GC217,0))</f>
        <v>0</v>
      </c>
      <c r="GD400" s="44">
        <f>IF(GD217=-1,"x",IF(OR(GD315=1,GD$230=1,$GT217=1),GD217,0))</f>
        <v>0</v>
      </c>
      <c r="GE400" s="45">
        <f>IF(GE217=-1,"x",IF(OR(GE315=1,GE$230=1,$GU217=1),GE217,0))</f>
        <v>0</v>
      </c>
      <c r="GF400" s="47">
        <f>IF(GF217=-1,"x",IF(OR(GF315=1,GF$230=1,$GV217=1),GF217,0))</f>
        <v>0</v>
      </c>
      <c r="GG400" s="46">
        <f>IF(GG217=-1,"x",IF(OR(GG315=1,GG$230=1,$GT217=1),GG217,0))</f>
        <v>0</v>
      </c>
      <c r="GH400" s="45">
        <f>IF(GH217=-1,"x",IF(OR(GH315=1,GH$230=1,$GU217=1),GH217,0))</f>
        <v>0</v>
      </c>
      <c r="GI400" s="47">
        <f>IF(GI217=-1,"x",IF(OR(GI315=1,GI$230=1,$GV217=1),GI217,0))</f>
        <v>0</v>
      </c>
      <c r="GJ400" s="46">
        <f>IF(GJ217=-1,"x",IF(OR(GJ315=1,GJ$230=1,$GT217=1),GJ217,0))</f>
        <v>0</v>
      </c>
      <c r="GK400" s="45">
        <f>IF(GK217=-1,"x",IF(OR(GK315=1,GK$230=1,$GU217=1),GK217,0))</f>
        <v>0</v>
      </c>
      <c r="GL400" s="100">
        <f>IF(GL217=-1,"x",IF(OR(GL315=1,GL$230=1,$GV217=1),GL217,0))</f>
        <v>0</v>
      </c>
    </row>
    <row r="401" spans="114:194" ht="15" customHeight="1">
      <c r="DJ401" s="104">
        <f>IF(DJ218=-1,"x",IF(OR(DJ316=1,DJ$228=1,$GT218=1),DJ218,0))</f>
        <v>0</v>
      </c>
      <c r="DK401" s="50">
        <f>IF(DK218=-1,"x",IF(OR(DK316=1,DK$228=1,$GU218=1),DK218,0))</f>
        <v>0</v>
      </c>
      <c r="DL401" s="51">
        <f>IF(DL218=-1,"x",IF(OR(DL316=1,DL$228=1,$GV218=1),DL218,0))</f>
        <v>0</v>
      </c>
      <c r="DM401" s="52">
        <f>IF(DM218=-1,"x",IF(OR(DM316=1,DM$228=1,$GT218=1),DM218,0))</f>
        <v>0</v>
      </c>
      <c r="DN401" s="50">
        <f>IF(DN218=-1,"x",IF(OR(DN316=1,DN$228=1,$GU218=1),DN218,0))</f>
        <v>0</v>
      </c>
      <c r="DO401" s="51">
        <f>IF(DO218=-1,"x",IF(OR(DO316=1,DO$228=1,$GV218=1),DO218,0))</f>
        <v>0</v>
      </c>
      <c r="DP401" s="52">
        <f>IF(DP218=-1,"x",IF(OR(DP316=1,DP$228=1,$GT218=1),DP218,0))</f>
        <v>0</v>
      </c>
      <c r="DQ401" s="50">
        <f>IF(DQ218=-1,"x",IF(OR(DQ316=1,DQ$228=1,$GU218=1),DQ218,0))</f>
        <v>0</v>
      </c>
      <c r="DR401" s="53">
        <f>IF(DR218=-1,"x",IF(OR(DR316=1,DR$228=1,$GV218=1),DR218,0))</f>
        <v>0</v>
      </c>
      <c r="DS401" s="49">
        <f>IF(DS218=-1,"x",IF(OR(DS316=1,DS$228=1,$GT218=1),DS218,0))</f>
        <v>0</v>
      </c>
      <c r="DT401" s="50">
        <f>IF(DT218=-1,"x",IF(OR(DT316=1,DT$228=1,$GU218=1),DT218,0))</f>
        <v>0</v>
      </c>
      <c r="DU401" s="51">
        <f>IF(DU218=-1,"x",IF(OR(DU316=1,DU$228=1,$GV218=1),DU218,0))</f>
        <v>0</v>
      </c>
      <c r="DV401" s="52" t="str">
        <f>IF(DV218=-1,"x",IF(OR(DV316=1,DV$228=1,$GT218=1),DV218,0))</f>
        <v>x</v>
      </c>
      <c r="DW401" s="50" t="str">
        <f>IF(DW218=-1,"x",IF(OR(DW316=1,DW$228=1,$GU218=1),DW218,0))</f>
        <v>x</v>
      </c>
      <c r="DX401" s="51" t="str">
        <f>IF(DX218=-1,"x",IF(OR(DX316=1,DX$228=1,$GV218=1),DX218,0))</f>
        <v>x</v>
      </c>
      <c r="DY401" s="52" t="str">
        <f>IF(DY218=-1,"x",IF(OR(DY316=1,DY$228=1,$GT218=1),DY218,0))</f>
        <v>x</v>
      </c>
      <c r="DZ401" s="50" t="str">
        <f>IF(DZ218=-1,"x",IF(OR(DZ316=1,DZ$228=1,$GU218=1),DZ218,0))</f>
        <v>x</v>
      </c>
      <c r="EA401" s="53" t="str">
        <f>IF(EA218=-1,"x",IF(OR(EA316=1,EA$228=1,$GV218=1),EA218,0))</f>
        <v>x</v>
      </c>
      <c r="EB401" s="49" t="str">
        <f>IF(EB218=-1,"x",IF(OR(EB316=1,EB$228=1,$GT218=1),EB218,0))</f>
        <v>x</v>
      </c>
      <c r="EC401" s="50" t="str">
        <f>IF(EC218=-1,"x",IF(OR(EC316=1,EC$228=1,$GU218=1),EC218,0))</f>
        <v>x</v>
      </c>
      <c r="ED401" s="51" t="str">
        <f>IF(ED218=-1,"x",IF(OR(ED316=1,ED$228=1,$GV218=1),ED218,0))</f>
        <v>x</v>
      </c>
      <c r="EE401" s="52" t="str">
        <f>IF(EE218=-1,"x",IF(OR(EE316=1,EE$228=1,$GT218=1),EE218,0))</f>
        <v>x</v>
      </c>
      <c r="EF401" s="50" t="str">
        <f>IF(EF218=-1,"x",IF(OR(EF316=1,EF$228=1,$GU218=1),EF218,0))</f>
        <v>x</v>
      </c>
      <c r="EG401" s="51" t="str">
        <f>IF(EG218=-1,"x",IF(OR(EG316=1,EG$228=1,$GV218=1),EG218,0))</f>
        <v>x</v>
      </c>
      <c r="EH401" s="52" t="str">
        <f>IF(EH218=-1,"x",IF(OR(EH316=1,EH$228=1,$GT218=1),EH218,0))</f>
        <v>x</v>
      </c>
      <c r="EI401" s="50" t="str">
        <f>IF(EI218=-1,"x",IF(OR(EI316=1,EI$228=1,$GU218=1),EI218,0))</f>
        <v>x</v>
      </c>
      <c r="EJ401" s="105" t="str">
        <f>IF(EJ218=-1,"x",IF(OR(EJ316=1,EJ$228=1,$GV218=1),EJ218,0))</f>
        <v>x</v>
      </c>
      <c r="EK401" s="104" t="str">
        <f>IF(EK218=-1,"x",IF(OR(EK316=1,EK$228=1,$GT218=1),EK218,0))</f>
        <v>x</v>
      </c>
      <c r="EL401" s="50" t="str">
        <f>IF(EL218=-1,"x",IF(OR(EL316=1,EL$228=1,$GU218=1),EL218,0))</f>
        <v>x</v>
      </c>
      <c r="EM401" s="51" t="str">
        <f>IF(EM218=-1,"x",IF(OR(EM316=1,EM$228=1,$GV218=1),EM218,0))</f>
        <v>x</v>
      </c>
      <c r="EN401" s="52" t="str">
        <f>IF(EN218=-1,"x",IF(OR(EN316=1,EN$228=1,$GT218=1),EN218,0))</f>
        <v>x</v>
      </c>
      <c r="EO401" s="50" t="str">
        <f>IF(EO218=-1,"x",IF(OR(EO316=1,EO$228=1,$GU218=1),EO218,0))</f>
        <v>x</v>
      </c>
      <c r="EP401" s="51" t="str">
        <f>IF(EP218=-1,"x",IF(OR(EP316=1,EP$228=1,$GV218=1),EP218,0))</f>
        <v>x</v>
      </c>
      <c r="EQ401" s="52" t="str">
        <f>IF(EQ218=-1,"x",IF(OR(EQ316=1,EQ$228=1,$GT218=1),EQ218,0))</f>
        <v>x</v>
      </c>
      <c r="ER401" s="50" t="str">
        <f>IF(ER218=-1,"x",IF(OR(ER316=1,ER$228=1,$GU218=1),ER218,0))</f>
        <v>x</v>
      </c>
      <c r="ES401" s="53" t="str">
        <f>IF(ES218=-1,"x",IF(OR(ES316=1,ES$228=1,$GV218=1),ES218,0))</f>
        <v>x</v>
      </c>
      <c r="ET401" s="49" t="str">
        <f>IF(ET218=-1,"x",IF(OR(ET316=1,ET$228=1,$GT218=1),ET218,0))</f>
        <v>x</v>
      </c>
      <c r="EU401" s="50" t="str">
        <f>IF(EU218=-1,"x",IF(OR(EU316=1,EU$228=1,$GU218=1),EU218,0))</f>
        <v>x</v>
      </c>
      <c r="EV401" s="51" t="str">
        <f>IF(EV218=-1,"x",IF(OR(EV316=1,EV$228=1,$GV218=1),EV218,0))</f>
        <v>x</v>
      </c>
      <c r="EW401" s="52" t="str">
        <f>IF(EW218=-1,"x",IF(OR(EW316=1,EW$228=1,$GT218=1),EW218,0))</f>
        <v>x</v>
      </c>
      <c r="EX401" s="50" t="str">
        <f>IF(EX218=-1,"x",IF(OR(EX316=1,EX$228=1,$GU218=1),EX218,0))</f>
        <v>x</v>
      </c>
      <c r="EY401" s="51" t="str">
        <f>IF(EY218=-1,"x",IF(OR(EY316=1,EY$228=1,$GV218=1),EY218,0))</f>
        <v>x</v>
      </c>
      <c r="EZ401" s="52" t="str">
        <f>IF(EZ218=-1,"x",IF(OR(EZ316=1,EZ$228=1,$GT218=1),EZ218,0))</f>
        <v>x</v>
      </c>
      <c r="FA401" s="50" t="str">
        <f>IF(FA218=-1,"x",IF(OR(FA316=1,FA$228=1,$GU218=1),FA218,0))</f>
        <v>x</v>
      </c>
      <c r="FB401" s="53" t="str">
        <f>IF(FB218=-1,"x",IF(OR(FB316=1,FB$228=1,$GV218=1),FB218,0))</f>
        <v>x</v>
      </c>
      <c r="FC401" s="49" t="str">
        <f>IF(FC218=-1,"x",IF(OR(FC316=1,FC$228=1,$GT218=1),FC218,0))</f>
        <v>x</v>
      </c>
      <c r="FD401" s="50" t="str">
        <f>IF(FD218=-1,"x",IF(OR(FD316=1,FD$228=1,$GU218=1),FD218,0))</f>
        <v>x</v>
      </c>
      <c r="FE401" s="51" t="str">
        <f>IF(FE218=-1,"x",IF(OR(FE316=1,FE$228=1,$GV218=1),FE218,0))</f>
        <v>x</v>
      </c>
      <c r="FF401" s="52" t="str">
        <f>IF(FF218=-1,"x",IF(OR(FF316=1,FF$228=1,$GT218=1),FF218,0))</f>
        <v>x</v>
      </c>
      <c r="FG401" s="50" t="str">
        <f>IF(FG218=-1,"x",IF(OR(FG316=1,FG$228=1,$GU218=1),FG218,0))</f>
        <v>x</v>
      </c>
      <c r="FH401" s="51" t="str">
        <f>IF(FH218=-1,"x",IF(OR(FH316=1,FH$228=1,$GV218=1),FH218,0))</f>
        <v>x</v>
      </c>
      <c r="FI401" s="52" t="str">
        <f>IF(FI218=-1,"x",IF(OR(FI316=1,FI$228=1,$GT218=1),FI218,0))</f>
        <v>x</v>
      </c>
      <c r="FJ401" s="50" t="str">
        <f>IF(FJ218=-1,"x",IF(OR(FJ316=1,FJ$228=1,$GU218=1),FJ218,0))</f>
        <v>x</v>
      </c>
      <c r="FK401" s="105" t="str">
        <f>IF(FK218=-1,"x",IF(OR(FK316=1,FK$228=1,$GV218=1),FK218,0))</f>
        <v>x</v>
      </c>
      <c r="FL401" s="104" t="str">
        <f>IF(FL218=-1,"x",IF(OR(FL316=1,FL$228=1,$GT218=1),FL218,0))</f>
        <v>x</v>
      </c>
      <c r="FM401" s="50" t="str">
        <f>IF(FM218=-1,"x",IF(OR(FM316=1,FM$228=1,$GU218=1),FM218,0))</f>
        <v>x</v>
      </c>
      <c r="FN401" s="51" t="str">
        <f>IF(FN218=-1,"x",IF(OR(FN316=1,FN$228=1,$GV218=1),FN218,0))</f>
        <v>x</v>
      </c>
      <c r="FO401" s="52" t="str">
        <f>IF(FO218=-1,"x",IF(OR(FO316=1,FO$228=1,$GT218=1),FO218,0))</f>
        <v>x</v>
      </c>
      <c r="FP401" s="50" t="str">
        <f>IF(FP218=-1,"x",IF(OR(FP316=1,FP$228=1,$GU218=1),FP218,0))</f>
        <v>x</v>
      </c>
      <c r="FQ401" s="51" t="str">
        <f>IF(FQ218=-1,"x",IF(OR(FQ316=1,FQ$228=1,$GV218=1),FQ218,0))</f>
        <v>x</v>
      </c>
      <c r="FR401" s="52" t="str">
        <f>IF(FR218=-1,"x",IF(OR(FR316=1,FR$228=1,$GT218=1),FR218,0))</f>
        <v>x</v>
      </c>
      <c r="FS401" s="50" t="str">
        <f>IF(FS218=-1,"x",IF(OR(FS316=1,FS$228=1,$GU218=1),FS218,0))</f>
        <v>x</v>
      </c>
      <c r="FT401" s="53" t="str">
        <f>IF(FT218=-1,"x",IF(OR(FT316=1,FT$228=1,$GV218=1),FT218,0))</f>
        <v>x</v>
      </c>
      <c r="FU401" s="49" t="str">
        <f>IF(FU218=-1,"x",IF(OR(FU316=1,FU$228=1,$GT218=1),FU218,0))</f>
        <v>x</v>
      </c>
      <c r="FV401" s="50" t="str">
        <f>IF(FV218=-1,"x",IF(OR(FV316=1,FV$228=1,$GU218=1),FV218,0))</f>
        <v>x</v>
      </c>
      <c r="FW401" s="51" t="str">
        <f>IF(FW218=-1,"x",IF(OR(FW316=1,FW$228=1,$GV218=1),FW218,0))</f>
        <v>x</v>
      </c>
      <c r="FX401" s="52">
        <f>IF(FX218=-1,"x",IF(OR(FX316=1,FX$228=1,$GT218=1),FX218,0))</f>
        <v>0</v>
      </c>
      <c r="FY401" s="50">
        <f>IF(FY218=-1,"x",IF(OR(FY316=1,FY$228=1,$GU218=1),FY218,0))</f>
        <v>0</v>
      </c>
      <c r="FZ401" s="51">
        <f>IF(FZ218=-1,"x",IF(OR(FZ316=1,FZ$228=1,$GV218=1),FZ218,0))</f>
        <v>0</v>
      </c>
      <c r="GA401" s="52">
        <f>IF(GA218=-1,"x",IF(OR(GA316=1,GA$228=1,$GT218=1),GA218,0))</f>
        <v>0</v>
      </c>
      <c r="GB401" s="50">
        <f>IF(GB218=-1,"x",IF(OR(GB316=1,GB$228=1,$GU218=1),GB218,0))</f>
        <v>0</v>
      </c>
      <c r="GC401" s="53">
        <f>IF(GC218=-1,"x",IF(OR(GC316=1,GC$228=1,$GV218=1),GC218,0))</f>
        <v>0</v>
      </c>
      <c r="GD401" s="49">
        <f>IF(GD218=-1,"x",IF(OR(GD316=1,GD$228=1,$GT218=1),GD218,0))</f>
        <v>0</v>
      </c>
      <c r="GE401" s="50">
        <f>IF(GE218=-1,"x",IF(OR(GE316=1,GE$228=1,$GU218=1),GE218,0))</f>
        <v>0</v>
      </c>
      <c r="GF401" s="51">
        <f>IF(GF218=-1,"x",IF(OR(GF316=1,GF$228=1,$GV218=1),GF218,0))</f>
        <v>0</v>
      </c>
      <c r="GG401" s="52">
        <f>IF(GG218=-1,"x",IF(OR(GG316=1,GG$228=1,$GT218=1),GG218,0))</f>
        <v>0</v>
      </c>
      <c r="GH401" s="50">
        <f>IF(GH218=-1,"x",IF(OR(GH316=1,GH$228=1,$GU218=1),GH218,0))</f>
        <v>0</v>
      </c>
      <c r="GI401" s="51">
        <f>IF(GI218=-1,"x",IF(OR(GI316=1,GI$228=1,$GV218=1),GI218,0))</f>
        <v>0</v>
      </c>
      <c r="GJ401" s="52">
        <f>IF(GJ218=-1,"x",IF(OR(GJ316=1,GJ$228=1,$GT218=1),GJ218,0))</f>
        <v>0</v>
      </c>
      <c r="GK401" s="50">
        <f>IF(GK218=-1,"x",IF(OR(GK316=1,GK$228=1,$GU218=1),GK218,0))</f>
        <v>0</v>
      </c>
      <c r="GL401" s="105">
        <f>IF(GL218=-1,"x",IF(OR(GL316=1,GL$228=1,$GV218=1),GL218,0))</f>
        <v>0</v>
      </c>
    </row>
    <row r="402" spans="114:194" ht="15" customHeight="1">
      <c r="DJ402" s="94">
        <f>IF(DJ219=-1,"x",IF(OR(DJ317=1,DJ$229=1,$GT219=1),DJ219,0))</f>
        <v>0</v>
      </c>
      <c r="DK402" s="39">
        <f>IF(DK219=-1,"x",IF(OR(DK317=1,DK$229=1,$GU219=1),DK219,0))</f>
        <v>0</v>
      </c>
      <c r="DL402" s="41">
        <f>IF(DL219=-1,"x",IF(OR(DL317=1,DL$229=1,$GV219=1),DL219,0))</f>
        <v>0</v>
      </c>
      <c r="DM402" s="40">
        <f>IF(DM219=-1,"x",IF(OR(DM317=1,DM$229=1,$GT219=1),DM219,0))</f>
        <v>0</v>
      </c>
      <c r="DN402" s="39">
        <f>IF(DN219=-1,"x",IF(OR(DN317=1,DN$229=1,$GU219=1),DN219,0))</f>
        <v>0</v>
      </c>
      <c r="DO402" s="41">
        <f>IF(DO219=-1,"x",IF(OR(DO317=1,DO$229=1,$GV219=1),DO219,0))</f>
        <v>0</v>
      </c>
      <c r="DP402" s="40">
        <f>IF(DP219=-1,"x",IF(OR(DP317=1,DP$229=1,$GT219=1),DP219,0))</f>
        <v>0</v>
      </c>
      <c r="DQ402" s="39">
        <f>IF(DQ219=-1,"x",IF(OR(DQ317=1,DQ$229=1,$GU219=1),DQ219,0))</f>
        <v>0</v>
      </c>
      <c r="DR402" s="42">
        <f>IF(DR219=-1,"x",IF(OR(DR317=1,DR$229=1,$GV219=1),DR219,0))</f>
        <v>0</v>
      </c>
      <c r="DS402" s="43">
        <f>IF(DS219=-1,"x",IF(OR(DS317=1,DS$229=1,$GT219=1),DS219,0))</f>
        <v>0</v>
      </c>
      <c r="DT402" s="39">
        <f>IF(DT219=-1,"x",IF(OR(DT317=1,DT$229=1,$GU219=1),DT219,0))</f>
        <v>0</v>
      </c>
      <c r="DU402" s="41">
        <f>IF(DU219=-1,"x",IF(OR(DU317=1,DU$229=1,$GV219=1),DU219,0))</f>
        <v>0</v>
      </c>
      <c r="DV402" s="40" t="str">
        <f>IF(DV219=-1,"x",IF(OR(DV317=1,DV$229=1,$GT219=1),DV219,0))</f>
        <v>x</v>
      </c>
      <c r="DW402" s="39" t="str">
        <f>IF(DW219=-1,"x",IF(OR(DW317=1,DW$229=1,$GU219=1),DW219,0))</f>
        <v>x</v>
      </c>
      <c r="DX402" s="41" t="str">
        <f>IF(DX219=-1,"x",IF(OR(DX317=1,DX$229=1,$GV219=1),DX219,0))</f>
        <v>x</v>
      </c>
      <c r="DY402" s="40" t="str">
        <f>IF(DY219=-1,"x",IF(OR(DY317=1,DY$229=1,$GT219=1),DY219,0))</f>
        <v>x</v>
      </c>
      <c r="DZ402" s="39" t="str">
        <f>IF(DZ219=-1,"x",IF(OR(DZ317=1,DZ$229=1,$GU219=1),DZ219,0))</f>
        <v>x</v>
      </c>
      <c r="EA402" s="42" t="str">
        <f>IF(EA219=-1,"x",IF(OR(EA317=1,EA$229=1,$GV219=1),EA219,0))</f>
        <v>x</v>
      </c>
      <c r="EB402" s="43" t="str">
        <f>IF(EB219=-1,"x",IF(OR(EB317=1,EB$229=1,$GT219=1),EB219,0))</f>
        <v>x</v>
      </c>
      <c r="EC402" s="39" t="str">
        <f>IF(EC219=-1,"x",IF(OR(EC317=1,EC$229=1,$GU219=1),EC219,0))</f>
        <v>x</v>
      </c>
      <c r="ED402" s="41" t="str">
        <f>IF(ED219=-1,"x",IF(OR(ED317=1,ED$229=1,$GV219=1),ED219,0))</f>
        <v>x</v>
      </c>
      <c r="EE402" s="40" t="str">
        <f>IF(EE219=-1,"x",IF(OR(EE317=1,EE$229=1,$GT219=1),EE219,0))</f>
        <v>x</v>
      </c>
      <c r="EF402" s="39" t="str">
        <f>IF(EF219=-1,"x",IF(OR(EF317=1,EF$229=1,$GU219=1),EF219,0))</f>
        <v>x</v>
      </c>
      <c r="EG402" s="41" t="str">
        <f>IF(EG219=-1,"x",IF(OR(EG317=1,EG$229=1,$GV219=1),EG219,0))</f>
        <v>x</v>
      </c>
      <c r="EH402" s="40" t="str">
        <f>IF(EH219=-1,"x",IF(OR(EH317=1,EH$229=1,$GT219=1),EH219,0))</f>
        <v>x</v>
      </c>
      <c r="EI402" s="39" t="str">
        <f>IF(EI219=-1,"x",IF(OR(EI317=1,EI$229=1,$GU219=1),EI219,0))</f>
        <v>x</v>
      </c>
      <c r="EJ402" s="95" t="str">
        <f>IF(EJ219=-1,"x",IF(OR(EJ317=1,EJ$229=1,$GV219=1),EJ219,0))</f>
        <v>x</v>
      </c>
      <c r="EK402" s="94" t="str">
        <f>IF(EK219=-1,"x",IF(OR(EK317=1,EK$229=1,$GT219=1),EK219,0))</f>
        <v>x</v>
      </c>
      <c r="EL402" s="39" t="str">
        <f>IF(EL219=-1,"x",IF(OR(EL317=1,EL$229=1,$GU219=1),EL219,0))</f>
        <v>x</v>
      </c>
      <c r="EM402" s="41" t="str">
        <f>IF(EM219=-1,"x",IF(OR(EM317=1,EM$229=1,$GV219=1),EM219,0))</f>
        <v>x</v>
      </c>
      <c r="EN402" s="40" t="str">
        <f>IF(EN219=-1,"x",IF(OR(EN317=1,EN$229=1,$GT219=1),EN219,0))</f>
        <v>x</v>
      </c>
      <c r="EO402" s="39" t="str">
        <f>IF(EO219=-1,"x",IF(OR(EO317=1,EO$229=1,$GU219=1),EO219,0))</f>
        <v>x</v>
      </c>
      <c r="EP402" s="41" t="str">
        <f>IF(EP219=-1,"x",IF(OR(EP317=1,EP$229=1,$GV219=1),EP219,0))</f>
        <v>x</v>
      </c>
      <c r="EQ402" s="40" t="str">
        <f>IF(EQ219=-1,"x",IF(OR(EQ317=1,EQ$229=1,$GT219=1),EQ219,0))</f>
        <v>x</v>
      </c>
      <c r="ER402" s="39" t="str">
        <f>IF(ER219=-1,"x",IF(OR(ER317=1,ER$229=1,$GU219=1),ER219,0))</f>
        <v>x</v>
      </c>
      <c r="ES402" s="42" t="str">
        <f>IF(ES219=-1,"x",IF(OR(ES317=1,ES$229=1,$GV219=1),ES219,0))</f>
        <v>x</v>
      </c>
      <c r="ET402" s="43" t="str">
        <f>IF(ET219=-1,"x",IF(OR(ET317=1,ET$229=1,$GT219=1),ET219,0))</f>
        <v>x</v>
      </c>
      <c r="EU402" s="39" t="str">
        <f>IF(EU219=-1,"x",IF(OR(EU317=1,EU$229=1,$GU219=1),EU219,0))</f>
        <v>x</v>
      </c>
      <c r="EV402" s="41" t="str">
        <f>IF(EV219=-1,"x",IF(OR(EV317=1,EV$229=1,$GV219=1),EV219,0))</f>
        <v>x</v>
      </c>
      <c r="EW402" s="40" t="str">
        <f>IF(EW219=-1,"x",IF(OR(EW317=1,EW$229=1,$GT219=1),EW219,0))</f>
        <v>x</v>
      </c>
      <c r="EX402" s="39" t="str">
        <f>IF(EX219=-1,"x",IF(OR(EX317=1,EX$229=1,$GU219=1),EX219,0))</f>
        <v>x</v>
      </c>
      <c r="EY402" s="41" t="str">
        <f>IF(EY219=-1,"x",IF(OR(EY317=1,EY$229=1,$GV219=1),EY219,0))</f>
        <v>x</v>
      </c>
      <c r="EZ402" s="40" t="str">
        <f>IF(EZ219=-1,"x",IF(OR(EZ317=1,EZ$229=1,$GT219=1),EZ219,0))</f>
        <v>x</v>
      </c>
      <c r="FA402" s="39" t="str">
        <f>IF(FA219=-1,"x",IF(OR(FA317=1,FA$229=1,$GU219=1),FA219,0))</f>
        <v>x</v>
      </c>
      <c r="FB402" s="42" t="str">
        <f>IF(FB219=-1,"x",IF(OR(FB317=1,FB$229=1,$GV219=1),FB219,0))</f>
        <v>x</v>
      </c>
      <c r="FC402" s="43" t="str">
        <f>IF(FC219=-1,"x",IF(OR(FC317=1,FC$229=1,$GT219=1),FC219,0))</f>
        <v>x</v>
      </c>
      <c r="FD402" s="39" t="str">
        <f>IF(FD219=-1,"x",IF(OR(FD317=1,FD$229=1,$GU219=1),FD219,0))</f>
        <v>x</v>
      </c>
      <c r="FE402" s="41" t="str">
        <f>IF(FE219=-1,"x",IF(OR(FE317=1,FE$229=1,$GV219=1),FE219,0))</f>
        <v>x</v>
      </c>
      <c r="FF402" s="40" t="str">
        <f>IF(FF219=-1,"x",IF(OR(FF317=1,FF$229=1,$GT219=1),FF219,0))</f>
        <v>x</v>
      </c>
      <c r="FG402" s="39" t="str">
        <f>IF(FG219=-1,"x",IF(OR(FG317=1,FG$229=1,$GU219=1),FG219,0))</f>
        <v>x</v>
      </c>
      <c r="FH402" s="41" t="str">
        <f>IF(FH219=-1,"x",IF(OR(FH317=1,FH$229=1,$GV219=1),FH219,0))</f>
        <v>x</v>
      </c>
      <c r="FI402" s="40" t="str">
        <f>IF(FI219=-1,"x",IF(OR(FI317=1,FI$229=1,$GT219=1),FI219,0))</f>
        <v>x</v>
      </c>
      <c r="FJ402" s="39" t="str">
        <f>IF(FJ219=-1,"x",IF(OR(FJ317=1,FJ$229=1,$GU219=1),FJ219,0))</f>
        <v>x</v>
      </c>
      <c r="FK402" s="95" t="str">
        <f>IF(FK219=-1,"x",IF(OR(FK317=1,FK$229=1,$GV219=1),FK219,0))</f>
        <v>x</v>
      </c>
      <c r="FL402" s="94" t="str">
        <f>IF(FL219=-1,"x",IF(OR(FL317=1,FL$229=1,$GT219=1),FL219,0))</f>
        <v>x</v>
      </c>
      <c r="FM402" s="39" t="str">
        <f>IF(FM219=-1,"x",IF(OR(FM317=1,FM$229=1,$GU219=1),FM219,0))</f>
        <v>x</v>
      </c>
      <c r="FN402" s="41" t="str">
        <f>IF(FN219=-1,"x",IF(OR(FN317=1,FN$229=1,$GV219=1),FN219,0))</f>
        <v>x</v>
      </c>
      <c r="FO402" s="40" t="str">
        <f>IF(FO219=-1,"x",IF(OR(FO317=1,FO$229=1,$GT219=1),FO219,0))</f>
        <v>x</v>
      </c>
      <c r="FP402" s="39" t="str">
        <f>IF(FP219=-1,"x",IF(OR(FP317=1,FP$229=1,$GU219=1),FP219,0))</f>
        <v>x</v>
      </c>
      <c r="FQ402" s="41" t="str">
        <f>IF(FQ219=-1,"x",IF(OR(FQ317=1,FQ$229=1,$GV219=1),FQ219,0))</f>
        <v>x</v>
      </c>
      <c r="FR402" s="40" t="str">
        <f>IF(FR219=-1,"x",IF(OR(FR317=1,FR$229=1,$GT219=1),FR219,0))</f>
        <v>x</v>
      </c>
      <c r="FS402" s="39" t="str">
        <f>IF(FS219=-1,"x",IF(OR(FS317=1,FS$229=1,$GU219=1),FS219,0))</f>
        <v>x</v>
      </c>
      <c r="FT402" s="42" t="str">
        <f>IF(FT219=-1,"x",IF(OR(FT317=1,FT$229=1,$GV219=1),FT219,0))</f>
        <v>x</v>
      </c>
      <c r="FU402" s="43" t="str">
        <f>IF(FU219=-1,"x",IF(OR(FU317=1,FU$229=1,$GT219=1),FU219,0))</f>
        <v>x</v>
      </c>
      <c r="FV402" s="39" t="str">
        <f>IF(FV219=-1,"x",IF(OR(FV317=1,FV$229=1,$GU219=1),FV219,0))</f>
        <v>x</v>
      </c>
      <c r="FW402" s="41" t="str">
        <f>IF(FW219=-1,"x",IF(OR(FW317=1,FW$229=1,$GV219=1),FW219,0))</f>
        <v>x</v>
      </c>
      <c r="FX402" s="40">
        <f>IF(FX219=-1,"x",IF(OR(FX317=1,FX$229=1,$GT219=1),FX219,0))</f>
        <v>0</v>
      </c>
      <c r="FY402" s="39">
        <f>IF(FY219=-1,"x",IF(OR(FY317=1,FY$229=1,$GU219=1),FY219,0))</f>
        <v>0</v>
      </c>
      <c r="FZ402" s="41">
        <f>IF(FZ219=-1,"x",IF(OR(FZ317=1,FZ$229=1,$GV219=1),FZ219,0))</f>
        <v>0</v>
      </c>
      <c r="GA402" s="40">
        <f>IF(GA219=-1,"x",IF(OR(GA317=1,GA$229=1,$GT219=1),GA219,0))</f>
        <v>0</v>
      </c>
      <c r="GB402" s="39">
        <f>IF(GB219=-1,"x",IF(OR(GB317=1,GB$229=1,$GU219=1),GB219,0))</f>
        <v>0</v>
      </c>
      <c r="GC402" s="42">
        <f>IF(GC219=-1,"x",IF(OR(GC317=1,GC$229=1,$GV219=1),GC219,0))</f>
        <v>0</v>
      </c>
      <c r="GD402" s="43">
        <f>IF(GD219=-1,"x",IF(OR(GD317=1,GD$229=1,$GT219=1),GD219,0))</f>
        <v>0</v>
      </c>
      <c r="GE402" s="39">
        <f>IF(GE219=-1,"x",IF(OR(GE317=1,GE$229=1,$GU219=1),GE219,0))</f>
        <v>0</v>
      </c>
      <c r="GF402" s="41">
        <f>IF(GF219=-1,"x",IF(OR(GF317=1,GF$229=1,$GV219=1),GF219,0))</f>
        <v>0</v>
      </c>
      <c r="GG402" s="40">
        <f>IF(GG219=-1,"x",IF(OR(GG317=1,GG$229=1,$GT219=1),GG219,0))</f>
        <v>0</v>
      </c>
      <c r="GH402" s="39">
        <f>IF(GH219=-1,"x",IF(OR(GH317=1,GH$229=1,$GU219=1),GH219,0))</f>
        <v>0</v>
      </c>
      <c r="GI402" s="41">
        <f>IF(GI219=-1,"x",IF(OR(GI317=1,GI$229=1,$GV219=1),GI219,0))</f>
        <v>0</v>
      </c>
      <c r="GJ402" s="40">
        <f>IF(GJ219=-1,"x",IF(OR(GJ317=1,GJ$229=1,$GT219=1),GJ219,0))</f>
        <v>0</v>
      </c>
      <c r="GK402" s="39">
        <f>IF(GK219=-1,"x",IF(OR(GK317=1,GK$229=1,$GU219=1),GK219,0))</f>
        <v>0</v>
      </c>
      <c r="GL402" s="95">
        <f>IF(GL219=-1,"x",IF(OR(GL317=1,GL$229=1,$GV219=1),GL219,0))</f>
        <v>0</v>
      </c>
    </row>
    <row r="403" spans="114:194" ht="15" customHeight="1" thickBot="1">
      <c r="DJ403" s="110">
        <f>IF(DJ220=-1,"x",IF(OR(DJ318=1,DJ$230=1,$GT220=1),DJ220,0))</f>
        <v>0</v>
      </c>
      <c r="DK403" s="83">
        <f>IF(DK220=-1,"x",IF(OR(DK318=1,DK$230=1,$GU220=1),DK220,0))</f>
        <v>0</v>
      </c>
      <c r="DL403" s="111">
        <f>IF(DL220=-1,"x",IF(OR(DL318=1,DL$230=1,$GV220=1),DL220,0))</f>
        <v>0</v>
      </c>
      <c r="DM403" s="112">
        <f>IF(DM220=-1,"x",IF(OR(DM318=1,DM$230=1,$GT220=1),DM220,0))</f>
        <v>0</v>
      </c>
      <c r="DN403" s="83">
        <f>IF(DN220=-1,"x",IF(OR(DN318=1,DN$230=1,$GU220=1),DN220,0))</f>
        <v>0</v>
      </c>
      <c r="DO403" s="111">
        <f>IF(DO220=-1,"x",IF(OR(DO318=1,DO$230=1,$GV220=1),DO220,0))</f>
        <v>0</v>
      </c>
      <c r="DP403" s="112">
        <f>IF(DP220=-1,"x",IF(OR(DP318=1,DP$230=1,$GT220=1),DP220,0))</f>
        <v>0</v>
      </c>
      <c r="DQ403" s="83">
        <f>IF(DQ220=-1,"x",IF(OR(DQ318=1,DQ$230=1,$GU220=1),DQ220,0))</f>
        <v>0</v>
      </c>
      <c r="DR403" s="113">
        <f>IF(DR220=-1,"x",IF(OR(DR318=1,DR$230=1,$GV220=1),DR220,0))</f>
        <v>0</v>
      </c>
      <c r="DS403" s="114">
        <f>IF(DS220=-1,"x",IF(OR(DS318=1,DS$230=1,$GT220=1),DS220,0))</f>
        <v>0</v>
      </c>
      <c r="DT403" s="83">
        <f>IF(DT220=-1,"x",IF(OR(DT318=1,DT$230=1,$GU220=1),DT220,0))</f>
        <v>0</v>
      </c>
      <c r="DU403" s="111">
        <f>IF(DU220=-1,"x",IF(OR(DU318=1,DU$230=1,$GV220=1),DU220,0))</f>
        <v>0</v>
      </c>
      <c r="DV403" s="112" t="str">
        <f>IF(DV220=-1,"x",IF(OR(DV318=1,DV$230=1,$GT220=1),DV220,0))</f>
        <v>x</v>
      </c>
      <c r="DW403" s="83" t="str">
        <f>IF(DW220=-1,"x",IF(OR(DW318=1,DW$230=1,$GU220=1),DW220,0))</f>
        <v>x</v>
      </c>
      <c r="DX403" s="111" t="str">
        <f>IF(DX220=-1,"x",IF(OR(DX318=1,DX$230=1,$GV220=1),DX220,0))</f>
        <v>x</v>
      </c>
      <c r="DY403" s="112" t="str">
        <f>IF(DY220=-1,"x",IF(OR(DY318=1,DY$230=1,$GT220=1),DY220,0))</f>
        <v>x</v>
      </c>
      <c r="DZ403" s="83" t="str">
        <f>IF(DZ220=-1,"x",IF(OR(DZ318=1,DZ$230=1,$GU220=1),DZ220,0))</f>
        <v>x</v>
      </c>
      <c r="EA403" s="113" t="str">
        <f>IF(EA220=-1,"x",IF(OR(EA318=1,EA$230=1,$GV220=1),EA220,0))</f>
        <v>x</v>
      </c>
      <c r="EB403" s="114" t="str">
        <f>IF(EB220=-1,"x",IF(OR(EB318=1,EB$230=1,$GT220=1),EB220,0))</f>
        <v>x</v>
      </c>
      <c r="EC403" s="83" t="str">
        <f>IF(EC220=-1,"x",IF(OR(EC318=1,EC$230=1,$GU220=1),EC220,0))</f>
        <v>x</v>
      </c>
      <c r="ED403" s="111" t="str">
        <f>IF(ED220=-1,"x",IF(OR(ED318=1,ED$230=1,$GV220=1),ED220,0))</f>
        <v>x</v>
      </c>
      <c r="EE403" s="112" t="str">
        <f>IF(EE220=-1,"x",IF(OR(EE318=1,EE$230=1,$GT220=1),EE220,0))</f>
        <v>x</v>
      </c>
      <c r="EF403" s="83" t="str">
        <f>IF(EF220=-1,"x",IF(OR(EF318=1,EF$230=1,$GU220=1),EF220,0))</f>
        <v>x</v>
      </c>
      <c r="EG403" s="111" t="str">
        <f>IF(EG220=-1,"x",IF(OR(EG318=1,EG$230=1,$GV220=1),EG220,0))</f>
        <v>x</v>
      </c>
      <c r="EH403" s="112" t="str">
        <f>IF(EH220=-1,"x",IF(OR(EH318=1,EH$230=1,$GT220=1),EH220,0))</f>
        <v>x</v>
      </c>
      <c r="EI403" s="83" t="str">
        <f>IF(EI220=-1,"x",IF(OR(EI318=1,EI$230=1,$GU220=1),EI220,0))</f>
        <v>x</v>
      </c>
      <c r="EJ403" s="115" t="str">
        <f>IF(EJ220=-1,"x",IF(OR(EJ318=1,EJ$230=1,$GV220=1),EJ220,0))</f>
        <v>x</v>
      </c>
      <c r="EK403" s="110" t="str">
        <f>IF(EK220=-1,"x",IF(OR(EK318=1,EK$230=1,$GT220=1),EK220,0))</f>
        <v>x</v>
      </c>
      <c r="EL403" s="83" t="str">
        <f>IF(EL220=-1,"x",IF(OR(EL318=1,EL$230=1,$GU220=1),EL220,0))</f>
        <v>x</v>
      </c>
      <c r="EM403" s="111" t="str">
        <f>IF(EM220=-1,"x",IF(OR(EM318=1,EM$230=1,$GV220=1),EM220,0))</f>
        <v>x</v>
      </c>
      <c r="EN403" s="112" t="str">
        <f>IF(EN220=-1,"x",IF(OR(EN318=1,EN$230=1,$GT220=1),EN220,0))</f>
        <v>x</v>
      </c>
      <c r="EO403" s="83" t="str">
        <f>IF(EO220=-1,"x",IF(OR(EO318=1,EO$230=1,$GU220=1),EO220,0))</f>
        <v>x</v>
      </c>
      <c r="EP403" s="111" t="str">
        <f>IF(EP220=-1,"x",IF(OR(EP318=1,EP$230=1,$GV220=1),EP220,0))</f>
        <v>x</v>
      </c>
      <c r="EQ403" s="112" t="str">
        <f>IF(EQ220=-1,"x",IF(OR(EQ318=1,EQ$230=1,$GT220=1),EQ220,0))</f>
        <v>x</v>
      </c>
      <c r="ER403" s="83" t="str">
        <f>IF(ER220=-1,"x",IF(OR(ER318=1,ER$230=1,$GU220=1),ER220,0))</f>
        <v>x</v>
      </c>
      <c r="ES403" s="113" t="str">
        <f>IF(ES220=-1,"x",IF(OR(ES318=1,ES$230=1,$GV220=1),ES220,0))</f>
        <v>x</v>
      </c>
      <c r="ET403" s="114" t="str">
        <f>IF(ET220=-1,"x",IF(OR(ET318=1,ET$230=1,$GT220=1),ET220,0))</f>
        <v>x</v>
      </c>
      <c r="EU403" s="83" t="str">
        <f>IF(EU220=-1,"x",IF(OR(EU318=1,EU$230=1,$GU220=1),EU220,0))</f>
        <v>x</v>
      </c>
      <c r="EV403" s="111" t="str">
        <f>IF(EV220=-1,"x",IF(OR(EV318=1,EV$230=1,$GV220=1),EV220,0))</f>
        <v>x</v>
      </c>
      <c r="EW403" s="112" t="str">
        <f>IF(EW220=-1,"x",IF(OR(EW318=1,EW$230=1,$GT220=1),EW220,0))</f>
        <v>x</v>
      </c>
      <c r="EX403" s="83" t="str">
        <f>IF(EX220=-1,"x",IF(OR(EX318=1,EX$230=1,$GU220=1),EX220,0))</f>
        <v>x</v>
      </c>
      <c r="EY403" s="111" t="str">
        <f>IF(EY220=-1,"x",IF(OR(EY318=1,EY$230=1,$GV220=1),EY220,0))</f>
        <v>x</v>
      </c>
      <c r="EZ403" s="112" t="str">
        <f>IF(EZ220=-1,"x",IF(OR(EZ318=1,EZ$230=1,$GT220=1),EZ220,0))</f>
        <v>x</v>
      </c>
      <c r="FA403" s="83" t="str">
        <f>IF(FA220=-1,"x",IF(OR(FA318=1,FA$230=1,$GU220=1),FA220,0))</f>
        <v>x</v>
      </c>
      <c r="FB403" s="113" t="str">
        <f>IF(FB220=-1,"x",IF(OR(FB318=1,FB$230=1,$GV220=1),FB220,0))</f>
        <v>x</v>
      </c>
      <c r="FC403" s="114" t="str">
        <f>IF(FC220=-1,"x",IF(OR(FC318=1,FC$230=1,$GT220=1),FC220,0))</f>
        <v>x</v>
      </c>
      <c r="FD403" s="83" t="str">
        <f>IF(FD220=-1,"x",IF(OR(FD318=1,FD$230=1,$GU220=1),FD220,0))</f>
        <v>x</v>
      </c>
      <c r="FE403" s="111" t="str">
        <f>IF(FE220=-1,"x",IF(OR(FE318=1,FE$230=1,$GV220=1),FE220,0))</f>
        <v>x</v>
      </c>
      <c r="FF403" s="112" t="str">
        <f>IF(FF220=-1,"x",IF(OR(FF318=1,FF$230=1,$GT220=1),FF220,0))</f>
        <v>x</v>
      </c>
      <c r="FG403" s="83" t="str">
        <f>IF(FG220=-1,"x",IF(OR(FG318=1,FG$230=1,$GU220=1),FG220,0))</f>
        <v>x</v>
      </c>
      <c r="FH403" s="111" t="str">
        <f>IF(FH220=-1,"x",IF(OR(FH318=1,FH$230=1,$GV220=1),FH220,0))</f>
        <v>x</v>
      </c>
      <c r="FI403" s="112" t="str">
        <f>IF(FI220=-1,"x",IF(OR(FI318=1,FI$230=1,$GT220=1),FI220,0))</f>
        <v>x</v>
      </c>
      <c r="FJ403" s="83" t="str">
        <f>IF(FJ220=-1,"x",IF(OR(FJ318=1,FJ$230=1,$GU220=1),FJ220,0))</f>
        <v>x</v>
      </c>
      <c r="FK403" s="115" t="str">
        <f>IF(FK220=-1,"x",IF(OR(FK318=1,FK$230=1,$GV220=1),FK220,0))</f>
        <v>x</v>
      </c>
      <c r="FL403" s="110" t="str">
        <f>IF(FL220=-1,"x",IF(OR(FL318=1,FL$230=1,$GT220=1),FL220,0))</f>
        <v>x</v>
      </c>
      <c r="FM403" s="83" t="str">
        <f>IF(FM220=-1,"x",IF(OR(FM318=1,FM$230=1,$GU220=1),FM220,0))</f>
        <v>x</v>
      </c>
      <c r="FN403" s="111" t="str">
        <f>IF(FN220=-1,"x",IF(OR(FN318=1,FN$230=1,$GV220=1),FN220,0))</f>
        <v>x</v>
      </c>
      <c r="FO403" s="112" t="str">
        <f>IF(FO220=-1,"x",IF(OR(FO318=1,FO$230=1,$GT220=1),FO220,0))</f>
        <v>x</v>
      </c>
      <c r="FP403" s="83" t="str">
        <f>IF(FP220=-1,"x",IF(OR(FP318=1,FP$230=1,$GU220=1),FP220,0))</f>
        <v>x</v>
      </c>
      <c r="FQ403" s="111" t="str">
        <f>IF(FQ220=-1,"x",IF(OR(FQ318=1,FQ$230=1,$GV220=1),FQ220,0))</f>
        <v>x</v>
      </c>
      <c r="FR403" s="112" t="str">
        <f>IF(FR220=-1,"x",IF(OR(FR318=1,FR$230=1,$GT220=1),FR220,0))</f>
        <v>x</v>
      </c>
      <c r="FS403" s="83" t="str">
        <f>IF(FS220=-1,"x",IF(OR(FS318=1,FS$230=1,$GU220=1),FS220,0))</f>
        <v>x</v>
      </c>
      <c r="FT403" s="113" t="str">
        <f>IF(FT220=-1,"x",IF(OR(FT318=1,FT$230=1,$GV220=1),FT220,0))</f>
        <v>x</v>
      </c>
      <c r="FU403" s="114" t="str">
        <f>IF(FU220=-1,"x",IF(OR(FU318=1,FU$230=1,$GT220=1),FU220,0))</f>
        <v>x</v>
      </c>
      <c r="FV403" s="83" t="str">
        <f>IF(FV220=-1,"x",IF(OR(FV318=1,FV$230=1,$GU220=1),FV220,0))</f>
        <v>x</v>
      </c>
      <c r="FW403" s="111" t="str">
        <f>IF(FW220=-1,"x",IF(OR(FW318=1,FW$230=1,$GV220=1),FW220,0))</f>
        <v>x</v>
      </c>
      <c r="FX403" s="112">
        <f>IF(FX220=-1,"x",IF(OR(FX318=1,FX$230=1,$GT220=1),FX220,0))</f>
        <v>0</v>
      </c>
      <c r="FY403" s="83">
        <f>IF(FY220=-1,"x",IF(OR(FY318=1,FY$230=1,$GU220=1),FY220,0))</f>
        <v>0</v>
      </c>
      <c r="FZ403" s="111">
        <f>IF(FZ220=-1,"x",IF(OR(FZ318=1,FZ$230=1,$GV220=1),FZ220,0))</f>
        <v>0</v>
      </c>
      <c r="GA403" s="112">
        <f>IF(GA220=-1,"x",IF(OR(GA318=1,GA$230=1,$GT220=1),GA220,0))</f>
        <v>0</v>
      </c>
      <c r="GB403" s="83">
        <f>IF(GB220=-1,"x",IF(OR(GB318=1,GB$230=1,$GU220=1),GB220,0))</f>
        <v>0</v>
      </c>
      <c r="GC403" s="113">
        <f>IF(GC220=-1,"x",IF(OR(GC318=1,GC$230=1,$GV220=1),GC220,0))</f>
        <v>0</v>
      </c>
      <c r="GD403" s="114">
        <f>IF(GD220=-1,"x",IF(OR(GD318=1,GD$230=1,$GT220=1),GD220,0))</f>
        <v>7</v>
      </c>
      <c r="GE403" s="83">
        <f>IF(GE220=-1,"x",IF(OR(GE318=1,GE$230=1,$GU220=1),GE220,0))</f>
        <v>0</v>
      </c>
      <c r="GF403" s="111">
        <f>IF(GF220=-1,"x",IF(OR(GF318=1,GF$230=1,$GV220=1),GF220,0))</f>
        <v>0</v>
      </c>
      <c r="GG403" s="112">
        <f>IF(GG220=-1,"x",IF(OR(GG318=1,GG$230=1,$GT220=1),GG220,0))</f>
        <v>0</v>
      </c>
      <c r="GH403" s="83">
        <f>IF(GH220=-1,"x",IF(OR(GH318=1,GH$230=1,$GU220=1),GH220,0))</f>
        <v>0</v>
      </c>
      <c r="GI403" s="111">
        <f>IF(GI220=-1,"x",IF(OR(GI318=1,GI$230=1,$GV220=1),GI220,0))</f>
        <v>0</v>
      </c>
      <c r="GJ403" s="112">
        <f>IF(GJ220=-1,"x",IF(OR(GJ318=1,GJ$230=1,$GT220=1),GJ220,0))</f>
        <v>0</v>
      </c>
      <c r="GK403" s="83">
        <f>IF(GK220=-1,"x",IF(OR(GK318=1,GK$230=1,$GU220=1),GK220,0))</f>
        <v>0</v>
      </c>
      <c r="GL403" s="115">
        <f>IF(GL220=-1,"x",IF(OR(GL318=1,GL$230=1,$GV220=1),GL220,0))</f>
        <v>0</v>
      </c>
    </row>
    <row r="404" spans="114:194" ht="15" customHeight="1" thickTop="1">
      <c r="GD404" s="29"/>
    </row>
  </sheetData>
  <mergeCells count="29">
    <mergeCell ref="AW37:CJ40"/>
    <mergeCell ref="EM134:EN134"/>
    <mergeCell ref="BG41:BG43"/>
    <mergeCell ref="GO118:GW118"/>
    <mergeCell ref="GO124:GW124"/>
    <mergeCell ref="GH104:GM104"/>
    <mergeCell ref="AW11:CJ22"/>
    <mergeCell ref="AW23:CJ35"/>
    <mergeCell ref="P34:AT34"/>
    <mergeCell ref="AQ4:AR4"/>
    <mergeCell ref="AQ5:AR5"/>
    <mergeCell ref="AW3:CJ10"/>
    <mergeCell ref="AS5:AU5"/>
    <mergeCell ref="J3:J4"/>
    <mergeCell ref="B41:N41"/>
    <mergeCell ref="EF113:EH113"/>
    <mergeCell ref="FJ113:FL113"/>
    <mergeCell ref="GO112:GW112"/>
    <mergeCell ref="G72:O72"/>
    <mergeCell ref="B73:E73"/>
    <mergeCell ref="B72:E72"/>
    <mergeCell ref="E71:F71"/>
    <mergeCell ref="AD41:AU42"/>
    <mergeCell ref="AN71:AO71"/>
    <mergeCell ref="EJ104:EK104"/>
    <mergeCell ref="FN104:FO104"/>
    <mergeCell ref="BR71:BS71"/>
    <mergeCell ref="AT75:BF75"/>
    <mergeCell ref="AQ3:AR3"/>
  </mergeCells>
  <phoneticPr fontId="12" type="noConversion"/>
  <conditionalFormatting sqref="N107:CP187 N290:CP370">
    <cfRule type="cellIs" dxfId="71" priority="152" stopIfTrue="1" operator="equal">
      <formula>0</formula>
    </cfRule>
    <cfRule type="cellIs" dxfId="70" priority="153" stopIfTrue="1" operator="between">
      <formula>1</formula>
      <formula>9</formula>
    </cfRule>
  </conditionalFormatting>
  <conditionalFormatting sqref="O107:P107 O290:P290">
    <cfRule type="cellIs" dxfId="69" priority="154" stopIfTrue="1" operator="equal">
      <formula>0</formula>
    </cfRule>
  </conditionalFormatting>
  <conditionalFormatting sqref="B77:AB103">
    <cfRule type="cellIs" dxfId="68" priority="157" stopIfTrue="1" operator="between">
      <formula>0</formula>
      <formula>9</formula>
    </cfRule>
  </conditionalFormatting>
  <conditionalFormatting sqref="AC77:CD85 B104:J157">
    <cfRule type="cellIs" dxfId="67" priority="158" stopIfTrue="1" operator="between">
      <formula>0</formula>
      <formula>9</formula>
    </cfRule>
  </conditionalFormatting>
  <conditionalFormatting sqref="G72:O72">
    <cfRule type="cellIs" dxfId="66" priority="161" stopIfTrue="1" operator="equal">
      <formula>"Hurra Lösung gefunden!"</formula>
    </cfRule>
  </conditionalFormatting>
  <conditionalFormatting sqref="AQ5:AR5">
    <cfRule type="cellIs" dxfId="65" priority="162" stopIfTrue="1" operator="notEqual">
      <formula>81</formula>
    </cfRule>
  </conditionalFormatting>
  <conditionalFormatting sqref="AQ3:AR3">
    <cfRule type="cellIs" dxfId="64" priority="163" stopIfTrue="1" operator="greaterThan">
      <formula>9</formula>
    </cfRule>
  </conditionalFormatting>
  <conditionalFormatting sqref="B73:E73">
    <cfRule type="expression" dxfId="63" priority="174" stopIfTrue="1">
      <formula>NOT(ISERROR(SEARCH("OK",B73)))</formula>
    </cfRule>
    <cfRule type="expression" dxfId="62" priority="175" stopIfTrue="1">
      <formula>NOT(ISERROR(SEARCH("Fehler",B73)))</formula>
    </cfRule>
  </conditionalFormatting>
  <conditionalFormatting sqref="AD41:AU42">
    <cfRule type="cellIs" dxfId="61" priority="176" stopIfTrue="1" operator="equal">
      <formula>"Ich bin am Arbeiten!"</formula>
    </cfRule>
  </conditionalFormatting>
  <conditionalFormatting sqref="DE107:EE133">
    <cfRule type="cellIs" dxfId="60" priority="114" stopIfTrue="1" operator="between">
      <formula>90</formula>
      <formula>99</formula>
    </cfRule>
    <cfRule type="cellIs" dxfId="59" priority="115" stopIfTrue="1" operator="between">
      <formula>80</formula>
      <formula>89</formula>
    </cfRule>
    <cfRule type="cellIs" dxfId="58" priority="116" stopIfTrue="1" operator="between">
      <formula>70</formula>
      <formula>79</formula>
    </cfRule>
    <cfRule type="cellIs" dxfId="57" priority="117" stopIfTrue="1" operator="between">
      <formula>60</formula>
      <formula>69</formula>
    </cfRule>
    <cfRule type="cellIs" dxfId="56" priority="118" stopIfTrue="1" operator="between">
      <formula>50</formula>
      <formula>59</formula>
    </cfRule>
    <cfRule type="cellIs" dxfId="55" priority="119" stopIfTrue="1" operator="between">
      <formula>40</formula>
      <formula>49</formula>
    </cfRule>
    <cfRule type="cellIs" dxfId="54" priority="120" stopIfTrue="1" operator="between">
      <formula>30</formula>
      <formula>39</formula>
    </cfRule>
    <cfRule type="cellIs" dxfId="53" priority="122" stopIfTrue="1" operator="between">
      <formula>20</formula>
      <formula>29</formula>
    </cfRule>
    <cfRule type="cellIs" dxfId="52" priority="123" stopIfTrue="1" operator="between">
      <formula>10</formula>
      <formula>19</formula>
    </cfRule>
  </conditionalFormatting>
  <conditionalFormatting sqref="DE107:DM133">
    <cfRule type="cellIs" dxfId="51" priority="121" operator="between">
      <formula>30</formula>
      <formula>39</formula>
    </cfRule>
  </conditionalFormatting>
  <conditionalFormatting sqref="DN107:EE133">
    <cfRule type="cellIs" dxfId="50" priority="113" operator="between">
      <formula>30</formula>
      <formula>39</formula>
    </cfRule>
  </conditionalFormatting>
  <conditionalFormatting sqref="AF44:BF70">
    <cfRule type="cellIs" dxfId="49" priority="106" stopIfTrue="1" operator="between">
      <formula>1</formula>
      <formula>9</formula>
    </cfRule>
    <cfRule type="cellIs" dxfId="48" priority="107" stopIfTrue="1" operator="equal">
      <formula>0</formula>
    </cfRule>
  </conditionalFormatting>
  <conditionalFormatting sqref="BJ44:CJ70">
    <cfRule type="cellIs" dxfId="47" priority="104" stopIfTrue="1" operator="between">
      <formula>1</formula>
      <formula>9</formula>
    </cfRule>
    <cfRule type="cellIs" dxfId="46" priority="105" stopIfTrue="1" operator="equal">
      <formula>0</formula>
    </cfRule>
  </conditionalFormatting>
  <conditionalFormatting sqref="DJ323:GL403 DJ140:GL220">
    <cfRule type="cellIs" dxfId="45" priority="84" stopIfTrue="1" operator="equal">
      <formula>0</formula>
    </cfRule>
    <cfRule type="cellIs" dxfId="44" priority="85" stopIfTrue="1" operator="between">
      <formula>1</formula>
      <formula>9</formula>
    </cfRule>
  </conditionalFormatting>
  <conditionalFormatting sqref="DK323:DL323 DK140:DL166">
    <cfRule type="cellIs" dxfId="43" priority="86" stopIfTrue="1" operator="equal">
      <formula>0</formula>
    </cfRule>
  </conditionalFormatting>
  <conditionalFormatting sqref="EL140:EM166">
    <cfRule type="cellIs" dxfId="42" priority="83" stopIfTrue="1" operator="equal">
      <formula>0</formula>
    </cfRule>
  </conditionalFormatting>
  <conditionalFormatting sqref="EL140:EM166">
    <cfRule type="cellIs" dxfId="41" priority="82" stopIfTrue="1" operator="equal">
      <formula>0</formula>
    </cfRule>
  </conditionalFormatting>
  <conditionalFormatting sqref="FM140:FN166">
    <cfRule type="cellIs" dxfId="40" priority="81" stopIfTrue="1" operator="equal">
      <formula>0</formula>
    </cfRule>
  </conditionalFormatting>
  <conditionalFormatting sqref="DK167:DL193">
    <cfRule type="cellIs" dxfId="39" priority="80" stopIfTrue="1" operator="equal">
      <formula>0</formula>
    </cfRule>
  </conditionalFormatting>
  <conditionalFormatting sqref="EL167:EM193">
    <cfRule type="cellIs" dxfId="38" priority="79" stopIfTrue="1" operator="equal">
      <formula>0</formula>
    </cfRule>
  </conditionalFormatting>
  <conditionalFormatting sqref="FM167:FN193">
    <cfRule type="cellIs" dxfId="37" priority="78" stopIfTrue="1" operator="equal">
      <formula>0</formula>
    </cfRule>
  </conditionalFormatting>
  <conditionalFormatting sqref="DK194:DL220">
    <cfRule type="cellIs" dxfId="36" priority="77" stopIfTrue="1" operator="equal">
      <formula>0</formula>
    </cfRule>
  </conditionalFormatting>
  <conditionalFormatting sqref="EL194:EM220">
    <cfRule type="cellIs" dxfId="35" priority="76" stopIfTrue="1" operator="equal">
      <formula>0</formula>
    </cfRule>
  </conditionalFormatting>
  <conditionalFormatting sqref="FM194:FN220">
    <cfRule type="cellIs" dxfId="34" priority="75" stopIfTrue="1" operator="equal">
      <formula>0</formula>
    </cfRule>
  </conditionalFormatting>
  <conditionalFormatting sqref="FF77:GF103">
    <cfRule type="cellIs" dxfId="33" priority="71" stopIfTrue="1" operator="between">
      <formula>1</formula>
      <formula>9</formula>
    </cfRule>
    <cfRule type="cellIs" dxfId="32" priority="72" stopIfTrue="1" operator="equal">
      <formula>0</formula>
    </cfRule>
  </conditionalFormatting>
  <conditionalFormatting sqref="EB77:FB103">
    <cfRule type="cellIs" dxfId="31" priority="69" stopIfTrue="1" operator="between">
      <formula>1</formula>
      <formula>9</formula>
    </cfRule>
    <cfRule type="cellIs" dxfId="30" priority="70" stopIfTrue="1" operator="equal">
      <formula>0</formula>
    </cfRule>
  </conditionalFormatting>
  <conditionalFormatting sqref="AS5:AU5">
    <cfRule type="containsText" dxfId="29" priority="18" operator="containsText" text="Teil OK">
      <formula>NOT(ISERROR(SEARCH("Teil OK",AS5)))</formula>
    </cfRule>
  </conditionalFormatting>
  <conditionalFormatting sqref="B6:AB32">
    <cfRule type="cellIs" dxfId="28" priority="2" stopIfTrue="1" operator="between">
      <formula>0</formula>
      <formula>9</formula>
    </cfRule>
  </conditionalFormatting>
  <conditionalFormatting sqref="B44:AB70">
    <cfRule type="cellIs" dxfId="27" priority="1" stopIfTrue="1" operator="between">
      <formula>0</formula>
      <formula>9</formula>
    </cfRule>
  </conditionalFormatting>
  <pageMargins left="0.75000000000000011" right="0.75000000000000011" top="1" bottom="1" header="0.5" footer="0.5"/>
  <pageSetup paperSize="9" scale="150"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7" r:id="rId3" name="Button 3">
              <controlPr defaultSize="0" print="0" autoFill="0" autoPict="0" macro="[0]!loeschen">
                <anchor moveWithCells="1" sizeWithCells="1">
                  <from>
                    <xdr:col>10</xdr:col>
                    <xdr:colOff>0</xdr:colOff>
                    <xdr:row>2</xdr:row>
                    <xdr:rowOff>0</xdr:rowOff>
                  </from>
                  <to>
                    <xdr:col>28</xdr:col>
                    <xdr:colOff>0</xdr:colOff>
                    <xdr:row>4</xdr:row>
                    <xdr:rowOff>0</xdr:rowOff>
                  </to>
                </anchor>
              </controlPr>
            </control>
          </mc:Choice>
          <mc:Fallback/>
        </mc:AlternateContent>
        <mc:AlternateContent xmlns:mc="http://schemas.openxmlformats.org/markup-compatibility/2006">
          <mc:Choice Requires="x14">
            <control shapeId="1034" r:id="rId4" name="Button 10">
              <controlPr defaultSize="0" print="0" autoFill="0" autoPict="0" macro="[0]!Modul1.Beispielaufgabe">
                <anchor moveWithCells="1" sizeWithCells="1">
                  <from>
                    <xdr:col>32</xdr:col>
                    <xdr:colOff>0</xdr:colOff>
                    <xdr:row>26</xdr:row>
                    <xdr:rowOff>165100</xdr:rowOff>
                  </from>
                  <to>
                    <xdr:col>42</xdr:col>
                    <xdr:colOff>177800</xdr:colOff>
                    <xdr:row>29</xdr:row>
                    <xdr:rowOff>114300</xdr:rowOff>
                  </to>
                </anchor>
              </controlPr>
            </control>
          </mc:Choice>
          <mc:Fallback/>
        </mc:AlternateContent>
        <mc:AlternateContent xmlns:mc="http://schemas.openxmlformats.org/markup-compatibility/2006">
          <mc:Choice Requires="x14">
            <control shapeId="1035" r:id="rId5" name="Button 11">
              <controlPr defaultSize="0" print="0" autoFill="0" autoPict="0" macro="[0]!obenunten">
                <anchor moveWithCells="1" sizeWithCells="1">
                  <from>
                    <xdr:col>1</xdr:col>
                    <xdr:colOff>0</xdr:colOff>
                    <xdr:row>32</xdr:row>
                    <xdr:rowOff>177800</xdr:rowOff>
                  </from>
                  <to>
                    <xdr:col>14</xdr:col>
                    <xdr:colOff>0</xdr:colOff>
                    <xdr:row>40</xdr:row>
                    <xdr:rowOff>0</xdr:rowOff>
                  </to>
                </anchor>
              </controlPr>
            </control>
          </mc:Choice>
          <mc:Fallback/>
        </mc:AlternateContent>
        <mc:AlternateContent xmlns:mc="http://schemas.openxmlformats.org/markup-compatibility/2006">
          <mc:Choice Requires="x14">
            <control shapeId="1053" r:id="rId6" name="Button 29">
              <controlPr defaultSize="0" print="0" autoFill="0" autoPict="0" macro="[0]!EntdurchstreichenNull">
                <anchor moveWithCells="1" sizeWithCells="1">
                  <from>
                    <xdr:col>15</xdr:col>
                    <xdr:colOff>0</xdr:colOff>
                    <xdr:row>35</xdr:row>
                    <xdr:rowOff>165100</xdr:rowOff>
                  </from>
                  <to>
                    <xdr:col>30</xdr:col>
                    <xdr:colOff>0</xdr:colOff>
                    <xdr:row>38</xdr:row>
                    <xdr:rowOff>0</xdr:rowOff>
                  </to>
                </anchor>
              </controlPr>
            </control>
          </mc:Choice>
          <mc:Fallback/>
        </mc:AlternateContent>
        <mc:AlternateContent xmlns:mc="http://schemas.openxmlformats.org/markup-compatibility/2006">
          <mc:Choice Requires="x14">
            <control shapeId="1054" r:id="rId7" name="Button 30">
              <controlPr defaultSize="0" print="0" autoFill="0" autoPict="0" macro="[0]!Durchstreichen">
                <anchor moveWithCells="1" sizeWithCells="1">
                  <from>
                    <xdr:col>15</xdr:col>
                    <xdr:colOff>0</xdr:colOff>
                    <xdr:row>34</xdr:row>
                    <xdr:rowOff>0</xdr:rowOff>
                  </from>
                  <to>
                    <xdr:col>30</xdr:col>
                    <xdr:colOff>0</xdr:colOff>
                    <xdr:row>36</xdr:row>
                    <xdr:rowOff>0</xdr:rowOff>
                  </to>
                </anchor>
              </controlPr>
            </control>
          </mc:Choice>
          <mc:Fallback/>
        </mc:AlternateContent>
        <mc:AlternateContent xmlns:mc="http://schemas.openxmlformats.org/markup-compatibility/2006">
          <mc:Choice Requires="x14">
            <control shapeId="1056" r:id="rId8" name="Button 32">
              <controlPr defaultSize="0" print="0" autoFill="0" autoPict="0" macro="[0]!Kursiv">
                <anchor moveWithCells="1" sizeWithCells="1">
                  <from>
                    <xdr:col>31</xdr:col>
                    <xdr:colOff>0</xdr:colOff>
                    <xdr:row>34</xdr:row>
                    <xdr:rowOff>0</xdr:rowOff>
                  </from>
                  <to>
                    <xdr:col>46</xdr:col>
                    <xdr:colOff>0</xdr:colOff>
                    <xdr:row>36</xdr:row>
                    <xdr:rowOff>0</xdr:rowOff>
                  </to>
                </anchor>
              </controlPr>
            </control>
          </mc:Choice>
          <mc:Fallback/>
        </mc:AlternateContent>
        <mc:AlternateContent xmlns:mc="http://schemas.openxmlformats.org/markup-compatibility/2006">
          <mc:Choice Requires="x14">
            <control shapeId="1057" r:id="rId9" name="Button 33">
              <controlPr defaultSize="0" print="0" autoFill="0" autoPict="0" macro="[0]!EntkursierenNull">
                <anchor moveWithCells="1" sizeWithCells="1">
                  <from>
                    <xdr:col>31</xdr:col>
                    <xdr:colOff>0</xdr:colOff>
                    <xdr:row>36</xdr:row>
                    <xdr:rowOff>0</xdr:rowOff>
                  </from>
                  <to>
                    <xdr:col>46</xdr:col>
                    <xdr:colOff>0</xdr:colOff>
                    <xdr:row>38</xdr:row>
                    <xdr:rowOff>0</xdr:rowOff>
                  </to>
                </anchor>
              </controlPr>
            </control>
          </mc:Choice>
          <mc:Fallback/>
        </mc:AlternateContent>
        <mc:AlternateContent xmlns:mc="http://schemas.openxmlformats.org/markup-compatibility/2006">
          <mc:Choice Requires="x14">
            <control shapeId="1058" r:id="rId10" name="Button 34">
              <controlPr defaultSize="0" print="0" autoFill="0" autoPict="0" macro="[0]!Entdurchstreichen">
                <anchor moveWithCells="1" sizeWithCells="1">
                  <from>
                    <xdr:col>15</xdr:col>
                    <xdr:colOff>0</xdr:colOff>
                    <xdr:row>38</xdr:row>
                    <xdr:rowOff>0</xdr:rowOff>
                  </from>
                  <to>
                    <xdr:col>30</xdr:col>
                    <xdr:colOff>0</xdr:colOff>
                    <xdr:row>40</xdr:row>
                    <xdr:rowOff>0</xdr:rowOff>
                  </to>
                </anchor>
              </controlPr>
            </control>
          </mc:Choice>
          <mc:Fallback/>
        </mc:AlternateContent>
        <mc:AlternateContent xmlns:mc="http://schemas.openxmlformats.org/markup-compatibility/2006">
          <mc:Choice Requires="x14">
            <control shapeId="1059" r:id="rId11" name="Button 35">
              <controlPr defaultSize="0" print="0" autoFill="0" autoPict="0" macro="[0]!Entkursieren">
                <anchor moveWithCells="1" sizeWithCells="1">
                  <from>
                    <xdr:col>31</xdr:col>
                    <xdr:colOff>0</xdr:colOff>
                    <xdr:row>38</xdr:row>
                    <xdr:rowOff>0</xdr:rowOff>
                  </from>
                  <to>
                    <xdr:col>46</xdr:col>
                    <xdr:colOff>0</xdr:colOff>
                    <xdr:row>40</xdr:row>
                    <xdr:rowOff>0</xdr:rowOff>
                  </to>
                </anchor>
              </controlPr>
            </control>
          </mc:Choice>
          <mc:Fallback/>
        </mc:AlternateContent>
        <mc:AlternateContent xmlns:mc="http://schemas.openxmlformats.org/markup-compatibility/2006">
          <mc:Choice Requires="x14">
            <control shapeId="1137" r:id="rId12" name="Button 113">
              <controlPr defaultSize="0" print="0" autoFill="0" autoPict="0" macro="[0]!Aufgabenkontrolle">
                <anchor moveWithCells="1" sizeWithCells="1">
                  <from>
                    <xdr:col>28</xdr:col>
                    <xdr:colOff>63500</xdr:colOff>
                    <xdr:row>5</xdr:row>
                    <xdr:rowOff>50800</xdr:rowOff>
                  </from>
                  <to>
                    <xdr:col>32</xdr:col>
                    <xdr:colOff>152400</xdr:colOff>
                    <xdr:row>12</xdr:row>
                    <xdr:rowOff>177800</xdr:rowOff>
                  </to>
                </anchor>
              </controlPr>
            </control>
          </mc:Choice>
          <mc:Fallback/>
        </mc:AlternateContent>
        <mc:AlternateContent xmlns:mc="http://schemas.openxmlformats.org/markup-compatibility/2006">
          <mc:Choice Requires="x14">
            <control shapeId="1591" r:id="rId13" name="Button 567">
              <controlPr defaultSize="0" print="0" autoFill="0" autoPict="0" macro="[0]!Zusammenstellung">
                <anchor moveWithCells="1" sizeWithCells="1">
                  <from>
                    <xdr:col>88</xdr:col>
                    <xdr:colOff>76200</xdr:colOff>
                    <xdr:row>43</xdr:row>
                    <xdr:rowOff>0</xdr:rowOff>
                  </from>
                  <to>
                    <xdr:col>92</xdr:col>
                    <xdr:colOff>127000</xdr:colOff>
                    <xdr:row>50</xdr:row>
                    <xdr:rowOff>127000</xdr:rowOff>
                  </to>
                </anchor>
              </controlPr>
            </control>
          </mc:Choice>
          <mc:Fallback/>
        </mc:AlternateContent>
        <mc:AlternateContent xmlns:mc="http://schemas.openxmlformats.org/markup-compatibility/2006">
          <mc:Choice Requires="x14">
            <control shapeId="1593" r:id="rId14" name="Button 569">
              <controlPr defaultSize="0" print="0" autoFill="0" autoPict="0" macro="[0]!Kandidatenuebertrag">
                <anchor moveWithCells="1" sizeWithCells="1">
                  <from>
                    <xdr:col>135</xdr:col>
                    <xdr:colOff>12700</xdr:colOff>
                    <xdr:row>106</xdr:row>
                    <xdr:rowOff>25400</xdr:rowOff>
                  </from>
                  <to>
                    <xdr:col>137</xdr:col>
                    <xdr:colOff>190500</xdr:colOff>
                    <xdr:row>112</xdr:row>
                    <xdr:rowOff>0</xdr:rowOff>
                  </to>
                </anchor>
              </controlPr>
            </control>
          </mc:Choice>
          <mc:Fallback/>
        </mc:AlternateContent>
        <mc:AlternateContent xmlns:mc="http://schemas.openxmlformats.org/markup-compatibility/2006">
          <mc:Choice Requires="x14">
            <control shapeId="1596" r:id="rId15" name="Button 572">
              <controlPr defaultSize="0" print="0" autoFill="0" autoPict="0" macro="[0]!Trivialuebertrag">
                <anchor moveWithCells="1" sizeWithCells="1">
                  <from>
                    <xdr:col>45</xdr:col>
                    <xdr:colOff>0</xdr:colOff>
                    <xdr:row>71</xdr:row>
                    <xdr:rowOff>0</xdr:rowOff>
                  </from>
                  <to>
                    <xdr:col>58</xdr:col>
                    <xdr:colOff>0</xdr:colOff>
                    <xdr:row>74</xdr:row>
                    <xdr:rowOff>0</xdr:rowOff>
                  </to>
                </anchor>
              </controlPr>
            </control>
          </mc:Choice>
          <mc:Fallback/>
        </mc:AlternateContent>
        <mc:AlternateContent xmlns:mc="http://schemas.openxmlformats.org/markup-compatibility/2006">
          <mc:Choice Requires="x14">
            <control shapeId="1598" r:id="rId16" name="Button 574">
              <controlPr defaultSize="0" print="0" autoFill="0" autoPict="0" macro="[0]!Paareuebertragen">
                <anchor moveWithCells="1" sizeWithCells="1">
                  <from>
                    <xdr:col>165</xdr:col>
                    <xdr:colOff>12700</xdr:colOff>
                    <xdr:row>106</xdr:row>
                    <xdr:rowOff>12700</xdr:rowOff>
                  </from>
                  <to>
                    <xdr:col>167</xdr:col>
                    <xdr:colOff>190500</xdr:colOff>
                    <xdr:row>112</xdr:row>
                    <xdr:rowOff>0</xdr:rowOff>
                  </to>
                </anchor>
              </controlPr>
            </control>
          </mc:Choice>
          <mc:Fallback/>
        </mc:AlternateContent>
        <mc:AlternateContent xmlns:mc="http://schemas.openxmlformats.org/markup-compatibility/2006">
          <mc:Choice Requires="x14">
            <control shapeId="1599" r:id="rId17" name="Button 575">
              <controlPr defaultSize="0" print="0" autoFill="0" autoPict="0" macro="[0]!EindeutigePaare">
                <anchor moveWithCells="1" sizeWithCells="1">
                  <from>
                    <xdr:col>196</xdr:col>
                    <xdr:colOff>0</xdr:colOff>
                    <xdr:row>107</xdr:row>
                    <xdr:rowOff>0</xdr:rowOff>
                  </from>
                  <to>
                    <xdr:col>205</xdr:col>
                    <xdr:colOff>0</xdr:colOff>
                    <xdr:row>111</xdr:row>
                    <xdr:rowOff>0</xdr:rowOff>
                  </to>
                </anchor>
              </controlPr>
            </control>
          </mc:Choice>
          <mc:Fallback/>
        </mc:AlternateContent>
        <mc:AlternateContent xmlns:mc="http://schemas.openxmlformats.org/markup-compatibility/2006">
          <mc:Choice Requires="x14">
            <control shapeId="1601" r:id="rId18" name="Button 577">
              <controlPr defaultSize="0" print="0" autoFill="0" autoPict="0" macro="[0]!EinsamePaare">
                <anchor moveWithCells="1" sizeWithCells="1">
                  <from>
                    <xdr:col>196</xdr:col>
                    <xdr:colOff>0</xdr:colOff>
                    <xdr:row>113</xdr:row>
                    <xdr:rowOff>0</xdr:rowOff>
                  </from>
                  <to>
                    <xdr:col>205</xdr:col>
                    <xdr:colOff>0</xdr:colOff>
                    <xdr:row>117</xdr:row>
                    <xdr:rowOff>0</xdr:rowOff>
                  </to>
                </anchor>
              </controlPr>
            </control>
          </mc:Choice>
          <mc:Fallback/>
        </mc:AlternateContent>
        <mc:AlternateContent xmlns:mc="http://schemas.openxmlformats.org/markup-compatibility/2006">
          <mc:Choice Requires="x14">
            <control shapeId="1602" r:id="rId19" name="Button 578">
              <controlPr defaultSize="0" print="0" autoFill="0" autoPict="0" macro="[0]!AbsorbierendeReihen">
                <anchor moveWithCells="1" sizeWithCells="1">
                  <from>
                    <xdr:col>196</xdr:col>
                    <xdr:colOff>0</xdr:colOff>
                    <xdr:row>119</xdr:row>
                    <xdr:rowOff>0</xdr:rowOff>
                  </from>
                  <to>
                    <xdr:col>205</xdr:col>
                    <xdr:colOff>0</xdr:colOff>
                    <xdr:row>123</xdr:row>
                    <xdr:rowOff>0</xdr:rowOff>
                  </to>
                </anchor>
              </controlPr>
            </control>
          </mc:Choice>
          <mc:Fallback/>
        </mc:AlternateContent>
        <mc:AlternateContent xmlns:mc="http://schemas.openxmlformats.org/markup-compatibility/2006">
          <mc:Choice Requires="x14">
            <control shapeId="1604" r:id="rId20" name="Button 580">
              <controlPr defaultSize="0" print="0" autoFill="0" autoPict="0" macro="[0]!Bereinigteuebertrag">
                <anchor moveWithCells="1" sizeWithCells="1">
                  <from>
                    <xdr:col>189</xdr:col>
                    <xdr:colOff>0</xdr:colOff>
                    <xdr:row>96</xdr:row>
                    <xdr:rowOff>0</xdr:rowOff>
                  </from>
                  <to>
                    <xdr:col>195</xdr:col>
                    <xdr:colOff>0</xdr:colOff>
                    <xdr:row>103</xdr:row>
                    <xdr:rowOff>0</xdr:rowOff>
                  </to>
                </anchor>
              </controlPr>
            </control>
          </mc:Choice>
          <mc:Fallback/>
        </mc:AlternateContent>
        <mc:AlternateContent xmlns:mc="http://schemas.openxmlformats.org/markup-compatibility/2006">
          <mc:Choice Requires="x14">
            <control shapeId="1606" r:id="rId21" name="Button 582">
              <controlPr defaultSize="0" print="0" autoFill="0" autoPict="0" macro="[0]!Gesamtprogramm">
                <anchor moveWithCells="1" sizeWithCells="1">
                  <from>
                    <xdr:col>48</xdr:col>
                    <xdr:colOff>0</xdr:colOff>
                    <xdr:row>40</xdr:row>
                    <xdr:rowOff>12700</xdr:rowOff>
                  </from>
                  <to>
                    <xdr:col>57</xdr:col>
                    <xdr:colOff>177800</xdr:colOff>
                    <xdr:row>42</xdr:row>
                    <xdr:rowOff>165100</xdr:rowOff>
                  </to>
                </anchor>
              </controlPr>
            </control>
          </mc:Choice>
          <mc:Fallback/>
        </mc:AlternateContent>
        <mc:AlternateContent xmlns:mc="http://schemas.openxmlformats.org/markup-compatibility/2006">
          <mc:Choice Requires="x14">
            <control shapeId="1608" r:id="rId22" name="Button 584">
              <controlPr defaultSize="0" print="0" autoFill="0" autoPict="0" macro="[0]!Aufgabespeichern">
                <anchor moveWithCells="1" sizeWithCells="1">
                  <from>
                    <xdr:col>90</xdr:col>
                    <xdr:colOff>0</xdr:colOff>
                    <xdr:row>29</xdr:row>
                    <xdr:rowOff>0</xdr:rowOff>
                  </from>
                  <to>
                    <xdr:col>100</xdr:col>
                    <xdr:colOff>0</xdr:colOff>
                    <xdr:row>34</xdr:row>
                    <xdr:rowOff>0</xdr:rowOff>
                  </to>
                </anchor>
              </controlPr>
            </control>
          </mc:Choice>
          <mc:Fallback/>
        </mc:AlternateContent>
        <mc:AlternateContent xmlns:mc="http://schemas.openxmlformats.org/markup-compatibility/2006">
          <mc:Choice Requires="x14">
            <control shapeId="1609" r:id="rId23" name="Button 585">
              <controlPr defaultSize="0" print="0" autoFill="0" autoPict="0" macro="[0]!Loesungspeichern">
                <anchor moveWithCells="1" sizeWithCells="1">
                  <from>
                    <xdr:col>90</xdr:col>
                    <xdr:colOff>0</xdr:colOff>
                    <xdr:row>35</xdr:row>
                    <xdr:rowOff>38100</xdr:rowOff>
                  </from>
                  <to>
                    <xdr:col>100</xdr:col>
                    <xdr:colOff>0</xdr:colOff>
                    <xdr:row>40</xdr:row>
                    <xdr:rowOff>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dimension ref="B1:DJ344"/>
  <sheetViews>
    <sheetView topLeftCell="A311" zoomScale="75" zoomScaleNormal="75" zoomScalePageLayoutView="75" workbookViewId="0">
      <selection activeCell="CI260" sqref="CI260:DI286"/>
    </sheetView>
  </sheetViews>
  <sheetFormatPr baseColWidth="10" defaultColWidth="2.5" defaultRowHeight="15" customHeight="1" x14ac:dyDescent="0"/>
  <cols>
    <col min="1" max="1" width="2.5" style="33"/>
    <col min="2" max="3" width="2.83203125" style="33" bestFit="1" customWidth="1"/>
    <col min="4" max="5" width="2.6640625" style="33" bestFit="1" customWidth="1"/>
    <col min="6" max="12" width="2.5" style="33"/>
    <col min="13" max="17" width="2.6640625" style="33" bestFit="1" customWidth="1"/>
    <col min="18" max="24" width="2.5" style="33"/>
    <col min="25" max="28" width="2.6640625" style="33" bestFit="1" customWidth="1"/>
    <col min="29" max="29" width="2.5" style="33"/>
    <col min="30" max="35" width="2.6640625" style="33" bestFit="1" customWidth="1"/>
    <col min="36" max="39" width="2.5" style="33"/>
    <col min="40" max="45" width="2.6640625" style="33" bestFit="1" customWidth="1"/>
    <col min="46" max="53" width="2.5" style="33"/>
    <col min="54" max="56" width="2.6640625" style="33" bestFit="1" customWidth="1"/>
    <col min="57" max="57" width="2.5" style="33"/>
    <col min="58" max="61" width="2.6640625" style="33" bestFit="1" customWidth="1"/>
    <col min="62" max="67" width="2.5" style="33"/>
    <col min="68" max="72" width="2.6640625" style="33" bestFit="1" customWidth="1"/>
    <col min="73" max="16384" width="2.5" style="33"/>
  </cols>
  <sheetData>
    <row r="1" spans="2:84" ht="15" customHeight="1" thickBot="1">
      <c r="B1" s="33" t="s">
        <v>28</v>
      </c>
      <c r="AD1" s="33" t="s">
        <v>22</v>
      </c>
      <c r="BF1" s="33" t="s">
        <v>24</v>
      </c>
    </row>
    <row r="2" spans="2:84" ht="15" customHeight="1">
      <c r="B2" s="34">
        <v>0</v>
      </c>
      <c r="C2" s="146">
        <v>2</v>
      </c>
      <c r="D2" s="35">
        <v>0</v>
      </c>
      <c r="E2" s="36">
        <v>0</v>
      </c>
      <c r="F2" s="37" t="s">
        <v>32</v>
      </c>
      <c r="G2" s="35" t="s">
        <v>32</v>
      </c>
      <c r="H2" s="36" t="s">
        <v>32</v>
      </c>
      <c r="I2" s="37" t="s">
        <v>32</v>
      </c>
      <c r="J2" s="38" t="s">
        <v>32</v>
      </c>
      <c r="K2" s="34" t="s">
        <v>32</v>
      </c>
      <c r="L2" s="37" t="s">
        <v>32</v>
      </c>
      <c r="M2" s="35" t="s">
        <v>32</v>
      </c>
      <c r="N2" s="36" t="s">
        <v>32</v>
      </c>
      <c r="O2" s="146">
        <v>8</v>
      </c>
      <c r="P2" s="35">
        <v>0</v>
      </c>
      <c r="Q2" s="36">
        <v>0</v>
      </c>
      <c r="R2" s="37" t="s">
        <v>32</v>
      </c>
      <c r="S2" s="38" t="s">
        <v>32</v>
      </c>
      <c r="T2" s="34" t="s">
        <v>32</v>
      </c>
      <c r="U2" s="37" t="s">
        <v>32</v>
      </c>
      <c r="V2" s="35" t="s">
        <v>32</v>
      </c>
      <c r="W2" s="36" t="s">
        <v>32</v>
      </c>
      <c r="X2" s="37" t="s">
        <v>32</v>
      </c>
      <c r="Y2" s="35" t="s">
        <v>32</v>
      </c>
      <c r="Z2" s="36" t="s">
        <v>32</v>
      </c>
      <c r="AA2" s="146">
        <v>9</v>
      </c>
      <c r="AB2" s="38">
        <v>0</v>
      </c>
      <c r="AD2" s="34">
        <v>0</v>
      </c>
      <c r="AE2" s="37">
        <v>0</v>
      </c>
      <c r="AF2" s="35">
        <v>0</v>
      </c>
      <c r="AG2" s="36" t="s">
        <v>32</v>
      </c>
      <c r="AH2" s="37" t="s">
        <v>32</v>
      </c>
      <c r="AI2" s="35" t="s">
        <v>32</v>
      </c>
      <c r="AJ2" s="36" t="s">
        <v>32</v>
      </c>
      <c r="AK2" s="37" t="s">
        <v>32</v>
      </c>
      <c r="AL2" s="38" t="s">
        <v>32</v>
      </c>
      <c r="AM2" s="34" t="s">
        <v>32</v>
      </c>
      <c r="AN2" s="37" t="s">
        <v>32</v>
      </c>
      <c r="AO2" s="35" t="s">
        <v>32</v>
      </c>
      <c r="AP2" s="36" t="s">
        <v>32</v>
      </c>
      <c r="AQ2" s="37" t="s">
        <v>32</v>
      </c>
      <c r="AR2" s="35" t="s">
        <v>32</v>
      </c>
      <c r="AS2" s="36" t="s">
        <v>32</v>
      </c>
      <c r="AT2" s="37" t="s">
        <v>32</v>
      </c>
      <c r="AU2" s="38" t="s">
        <v>32</v>
      </c>
      <c r="AV2" s="34" t="s">
        <v>32</v>
      </c>
      <c r="AW2" s="37" t="s">
        <v>32</v>
      </c>
      <c r="AX2" s="35" t="s">
        <v>32</v>
      </c>
      <c r="AY2" s="147">
        <v>2</v>
      </c>
      <c r="AZ2" s="37">
        <v>0</v>
      </c>
      <c r="BA2" s="35">
        <v>0</v>
      </c>
      <c r="BB2" s="147">
        <v>3</v>
      </c>
      <c r="BC2" s="37">
        <v>0</v>
      </c>
      <c r="BD2" s="38">
        <v>0</v>
      </c>
      <c r="BF2" s="148">
        <v>2</v>
      </c>
      <c r="BG2" s="146">
        <v>3</v>
      </c>
      <c r="BH2" s="35">
        <v>0</v>
      </c>
      <c r="BI2" s="36">
        <v>0</v>
      </c>
      <c r="BJ2" s="37" t="s">
        <v>32</v>
      </c>
      <c r="BK2" s="35" t="s">
        <v>32</v>
      </c>
      <c r="BL2" s="36" t="s">
        <v>32</v>
      </c>
      <c r="BM2" s="37" t="s">
        <v>32</v>
      </c>
      <c r="BN2" s="38" t="s">
        <v>32</v>
      </c>
      <c r="BO2" s="34" t="s">
        <v>32</v>
      </c>
      <c r="BP2" s="37" t="s">
        <v>32</v>
      </c>
      <c r="BQ2" s="35" t="s">
        <v>32</v>
      </c>
      <c r="BR2" s="36" t="s">
        <v>32</v>
      </c>
      <c r="BS2" s="37" t="s">
        <v>32</v>
      </c>
      <c r="BT2" s="35" t="s">
        <v>32</v>
      </c>
      <c r="BU2" s="36" t="s">
        <v>32</v>
      </c>
      <c r="BV2" s="37" t="s">
        <v>32</v>
      </c>
      <c r="BW2" s="38" t="s">
        <v>32</v>
      </c>
      <c r="BX2" s="34" t="s">
        <v>32</v>
      </c>
      <c r="BY2" s="37" t="s">
        <v>32</v>
      </c>
      <c r="BZ2" s="35" t="s">
        <v>32</v>
      </c>
      <c r="CA2" s="36" t="s">
        <v>32</v>
      </c>
      <c r="CB2" s="146">
        <v>4</v>
      </c>
      <c r="CC2" s="149">
        <v>7</v>
      </c>
      <c r="CD2" s="36">
        <v>0</v>
      </c>
      <c r="CE2" s="37">
        <v>0</v>
      </c>
      <c r="CF2" s="38">
        <v>0</v>
      </c>
    </row>
    <row r="3" spans="2:84" ht="15" customHeight="1">
      <c r="B3" s="150">
        <v>3</v>
      </c>
      <c r="C3" s="39">
        <v>0</v>
      </c>
      <c r="D3" s="151">
        <v>7</v>
      </c>
      <c r="E3" s="40" t="s">
        <v>32</v>
      </c>
      <c r="F3" s="39" t="s">
        <v>32</v>
      </c>
      <c r="G3" s="41" t="s">
        <v>32</v>
      </c>
      <c r="H3" s="40" t="s">
        <v>32</v>
      </c>
      <c r="I3" s="39" t="s">
        <v>32</v>
      </c>
      <c r="J3" s="42" t="s">
        <v>32</v>
      </c>
      <c r="K3" s="43" t="s">
        <v>32</v>
      </c>
      <c r="L3" s="39" t="s">
        <v>32</v>
      </c>
      <c r="M3" s="41" t="s">
        <v>32</v>
      </c>
      <c r="N3" s="40">
        <v>0</v>
      </c>
      <c r="O3" s="39">
        <v>0</v>
      </c>
      <c r="P3" s="41">
        <v>0</v>
      </c>
      <c r="Q3" s="40">
        <v>0</v>
      </c>
      <c r="R3" s="39" t="s">
        <v>32</v>
      </c>
      <c r="S3" s="42" t="s">
        <v>32</v>
      </c>
      <c r="T3" s="43" t="s">
        <v>32</v>
      </c>
      <c r="U3" s="39" t="s">
        <v>32</v>
      </c>
      <c r="V3" s="41" t="s">
        <v>32</v>
      </c>
      <c r="W3" s="40" t="s">
        <v>32</v>
      </c>
      <c r="X3" s="39" t="s">
        <v>32</v>
      </c>
      <c r="Y3" s="41" t="s">
        <v>32</v>
      </c>
      <c r="Z3" s="40" t="s">
        <v>32</v>
      </c>
      <c r="AA3" s="39">
        <v>0</v>
      </c>
      <c r="AB3" s="152">
        <v>1</v>
      </c>
      <c r="AD3" s="43">
        <v>0</v>
      </c>
      <c r="AE3" s="39">
        <v>0</v>
      </c>
      <c r="AF3" s="41" t="s">
        <v>32</v>
      </c>
      <c r="AG3" s="40" t="s">
        <v>32</v>
      </c>
      <c r="AH3" s="39" t="s">
        <v>32</v>
      </c>
      <c r="AI3" s="41" t="s">
        <v>32</v>
      </c>
      <c r="AJ3" s="40" t="s">
        <v>32</v>
      </c>
      <c r="AK3" s="39" t="s">
        <v>32</v>
      </c>
      <c r="AL3" s="42" t="s">
        <v>32</v>
      </c>
      <c r="AM3" s="43" t="s">
        <v>32</v>
      </c>
      <c r="AN3" s="39" t="s">
        <v>32</v>
      </c>
      <c r="AO3" s="41">
        <v>0</v>
      </c>
      <c r="AP3" s="40" t="s">
        <v>32</v>
      </c>
      <c r="AQ3" s="39" t="s">
        <v>32</v>
      </c>
      <c r="AR3" s="41">
        <v>0</v>
      </c>
      <c r="AS3" s="153">
        <v>5</v>
      </c>
      <c r="AT3" s="39">
        <v>0</v>
      </c>
      <c r="AU3" s="42" t="s">
        <v>32</v>
      </c>
      <c r="AV3" s="43" t="s">
        <v>32</v>
      </c>
      <c r="AW3" s="39" t="s">
        <v>32</v>
      </c>
      <c r="AX3" s="41" t="s">
        <v>32</v>
      </c>
      <c r="AY3" s="153">
        <v>4</v>
      </c>
      <c r="AZ3" s="39">
        <v>0</v>
      </c>
      <c r="BA3" s="41" t="s">
        <v>32</v>
      </c>
      <c r="BB3" s="40" t="s">
        <v>32</v>
      </c>
      <c r="BC3" s="39" t="s">
        <v>32</v>
      </c>
      <c r="BD3" s="42">
        <v>0</v>
      </c>
      <c r="BF3" s="43">
        <v>0</v>
      </c>
      <c r="BG3" s="39">
        <v>0</v>
      </c>
      <c r="BH3" s="41">
        <v>0</v>
      </c>
      <c r="BI3" s="40" t="s">
        <v>32</v>
      </c>
      <c r="BJ3" s="39" t="s">
        <v>32</v>
      </c>
      <c r="BK3" s="41" t="s">
        <v>32</v>
      </c>
      <c r="BL3" s="40" t="s">
        <v>32</v>
      </c>
      <c r="BM3" s="39" t="s">
        <v>32</v>
      </c>
      <c r="BN3" s="42" t="s">
        <v>32</v>
      </c>
      <c r="BO3" s="43" t="s">
        <v>32</v>
      </c>
      <c r="BP3" s="39" t="s">
        <v>32</v>
      </c>
      <c r="BQ3" s="41" t="s">
        <v>32</v>
      </c>
      <c r="BR3" s="40">
        <v>0</v>
      </c>
      <c r="BS3" s="39">
        <v>0</v>
      </c>
      <c r="BT3" s="41" t="s">
        <v>32</v>
      </c>
      <c r="BU3" s="40" t="s">
        <v>32</v>
      </c>
      <c r="BV3" s="39" t="s">
        <v>32</v>
      </c>
      <c r="BW3" s="42" t="s">
        <v>32</v>
      </c>
      <c r="BX3" s="43" t="s">
        <v>32</v>
      </c>
      <c r="BY3" s="39" t="s">
        <v>32</v>
      </c>
      <c r="BZ3" s="41" t="s">
        <v>32</v>
      </c>
      <c r="CA3" s="40" t="s">
        <v>32</v>
      </c>
      <c r="CB3" s="39" t="s">
        <v>32</v>
      </c>
      <c r="CC3" s="151">
        <v>2</v>
      </c>
      <c r="CD3" s="40">
        <v>0</v>
      </c>
      <c r="CE3" s="154">
        <v>8</v>
      </c>
      <c r="CF3" s="42">
        <v>0</v>
      </c>
    </row>
    <row r="4" spans="2:84" ht="15" customHeight="1">
      <c r="B4" s="44" t="s">
        <v>32</v>
      </c>
      <c r="C4" s="45" t="s">
        <v>32</v>
      </c>
      <c r="D4" s="155">
        <v>8</v>
      </c>
      <c r="E4" s="46">
        <v>0</v>
      </c>
      <c r="F4" s="45" t="s">
        <v>32</v>
      </c>
      <c r="G4" s="47" t="s">
        <v>32</v>
      </c>
      <c r="H4" s="46" t="s">
        <v>32</v>
      </c>
      <c r="I4" s="45" t="s">
        <v>32</v>
      </c>
      <c r="J4" s="48" t="s">
        <v>32</v>
      </c>
      <c r="K4" s="44" t="s">
        <v>32</v>
      </c>
      <c r="L4" s="45" t="s">
        <v>32</v>
      </c>
      <c r="M4" s="47" t="s">
        <v>32</v>
      </c>
      <c r="N4" s="46" t="s">
        <v>32</v>
      </c>
      <c r="O4" s="156">
        <v>1</v>
      </c>
      <c r="P4" s="47" t="s">
        <v>32</v>
      </c>
      <c r="Q4" s="46" t="s">
        <v>32</v>
      </c>
      <c r="R4" s="45" t="s">
        <v>32</v>
      </c>
      <c r="S4" s="48" t="s">
        <v>32</v>
      </c>
      <c r="T4" s="44" t="s">
        <v>32</v>
      </c>
      <c r="U4" s="45" t="s">
        <v>32</v>
      </c>
      <c r="V4" s="47" t="s">
        <v>32</v>
      </c>
      <c r="W4" s="46" t="s">
        <v>32</v>
      </c>
      <c r="X4" s="45" t="s">
        <v>32</v>
      </c>
      <c r="Y4" s="47">
        <v>0</v>
      </c>
      <c r="Z4" s="157">
        <v>6</v>
      </c>
      <c r="AA4" s="156">
        <v>4</v>
      </c>
      <c r="AB4" s="48">
        <v>0</v>
      </c>
      <c r="AD4" s="158">
        <v>2</v>
      </c>
      <c r="AE4" s="156">
        <v>8</v>
      </c>
      <c r="AF4" s="47" t="s">
        <v>32</v>
      </c>
      <c r="AG4" s="46" t="s">
        <v>32</v>
      </c>
      <c r="AH4" s="45" t="s">
        <v>32</v>
      </c>
      <c r="AI4" s="47" t="s">
        <v>32</v>
      </c>
      <c r="AJ4" s="46" t="s">
        <v>32</v>
      </c>
      <c r="AK4" s="45" t="s">
        <v>32</v>
      </c>
      <c r="AL4" s="48" t="s">
        <v>32</v>
      </c>
      <c r="AM4" s="44" t="s">
        <v>32</v>
      </c>
      <c r="AN4" s="45" t="s">
        <v>32</v>
      </c>
      <c r="AO4" s="155">
        <v>4</v>
      </c>
      <c r="AP4" s="157">
        <v>3</v>
      </c>
      <c r="AQ4" s="45">
        <v>0</v>
      </c>
      <c r="AR4" s="47">
        <v>0</v>
      </c>
      <c r="AS4" s="157">
        <v>6</v>
      </c>
      <c r="AT4" s="45" t="s">
        <v>32</v>
      </c>
      <c r="AU4" s="48" t="s">
        <v>32</v>
      </c>
      <c r="AV4" s="44" t="s">
        <v>32</v>
      </c>
      <c r="AW4" s="45" t="s">
        <v>32</v>
      </c>
      <c r="AX4" s="47" t="s">
        <v>32</v>
      </c>
      <c r="AY4" s="46" t="s">
        <v>32</v>
      </c>
      <c r="AZ4" s="45" t="s">
        <v>32</v>
      </c>
      <c r="BA4" s="47" t="s">
        <v>32</v>
      </c>
      <c r="BB4" s="46" t="s">
        <v>32</v>
      </c>
      <c r="BC4" s="45" t="s">
        <v>32</v>
      </c>
      <c r="BD4" s="48" t="s">
        <v>32</v>
      </c>
      <c r="BF4" s="44">
        <v>0</v>
      </c>
      <c r="BG4" s="45" t="s">
        <v>32</v>
      </c>
      <c r="BH4" s="47" t="s">
        <v>32</v>
      </c>
      <c r="BI4" s="46" t="s">
        <v>32</v>
      </c>
      <c r="BJ4" s="45" t="s">
        <v>32</v>
      </c>
      <c r="BK4" s="47" t="s">
        <v>32</v>
      </c>
      <c r="BL4" s="46" t="s">
        <v>32</v>
      </c>
      <c r="BM4" s="45" t="s">
        <v>32</v>
      </c>
      <c r="BN4" s="48" t="s">
        <v>32</v>
      </c>
      <c r="BO4" s="44" t="s">
        <v>32</v>
      </c>
      <c r="BP4" s="45">
        <v>0</v>
      </c>
      <c r="BQ4" s="155">
        <v>2</v>
      </c>
      <c r="BR4" s="46">
        <v>0</v>
      </c>
      <c r="BS4" s="156">
        <v>7</v>
      </c>
      <c r="BT4" s="155">
        <v>9</v>
      </c>
      <c r="BU4" s="46">
        <v>0</v>
      </c>
      <c r="BV4" s="45" t="s">
        <v>32</v>
      </c>
      <c r="BW4" s="48" t="s">
        <v>32</v>
      </c>
      <c r="BX4" s="44" t="s">
        <v>32</v>
      </c>
      <c r="BY4" s="45" t="s">
        <v>32</v>
      </c>
      <c r="BZ4" s="47" t="s">
        <v>32</v>
      </c>
      <c r="CA4" s="46" t="s">
        <v>32</v>
      </c>
      <c r="CB4" s="45" t="s">
        <v>32</v>
      </c>
      <c r="CC4" s="47" t="s">
        <v>32</v>
      </c>
      <c r="CD4" s="46" t="s">
        <v>32</v>
      </c>
      <c r="CE4" s="45" t="s">
        <v>32</v>
      </c>
      <c r="CF4" s="48" t="s">
        <v>32</v>
      </c>
    </row>
    <row r="5" spans="2:84" ht="15" customHeight="1">
      <c r="B5" s="49" t="s">
        <v>32</v>
      </c>
      <c r="C5" s="50" t="s">
        <v>32</v>
      </c>
      <c r="D5" s="51" t="s">
        <v>32</v>
      </c>
      <c r="E5" s="52" t="s">
        <v>32</v>
      </c>
      <c r="F5" s="50" t="s">
        <v>32</v>
      </c>
      <c r="G5" s="51" t="s">
        <v>32</v>
      </c>
      <c r="H5" s="52" t="s">
        <v>32</v>
      </c>
      <c r="I5" s="50" t="s">
        <v>32</v>
      </c>
      <c r="J5" s="53" t="s">
        <v>32</v>
      </c>
      <c r="K5" s="49" t="s">
        <v>32</v>
      </c>
      <c r="L5" s="50" t="s">
        <v>32</v>
      </c>
      <c r="M5" s="51" t="s">
        <v>32</v>
      </c>
      <c r="N5" s="52" t="s">
        <v>32</v>
      </c>
      <c r="O5" s="50">
        <v>0</v>
      </c>
      <c r="P5" s="51" t="s">
        <v>32</v>
      </c>
      <c r="Q5" s="52" t="s">
        <v>32</v>
      </c>
      <c r="R5" s="50" t="s">
        <v>32</v>
      </c>
      <c r="S5" s="53" t="s">
        <v>32</v>
      </c>
      <c r="T5" s="49" t="s">
        <v>32</v>
      </c>
      <c r="U5" s="50" t="s">
        <v>32</v>
      </c>
      <c r="V5" s="51" t="s">
        <v>32</v>
      </c>
      <c r="W5" s="52" t="s">
        <v>32</v>
      </c>
      <c r="X5" s="50" t="s">
        <v>32</v>
      </c>
      <c r="Y5" s="51">
        <v>0</v>
      </c>
      <c r="Z5" s="52" t="s">
        <v>32</v>
      </c>
      <c r="AA5" s="50" t="s">
        <v>32</v>
      </c>
      <c r="AB5" s="53" t="s">
        <v>32</v>
      </c>
      <c r="AD5" s="49">
        <v>0</v>
      </c>
      <c r="AE5" s="50" t="s">
        <v>32</v>
      </c>
      <c r="AF5" s="51" t="s">
        <v>32</v>
      </c>
      <c r="AG5" s="52" t="s">
        <v>32</v>
      </c>
      <c r="AH5" s="50" t="s">
        <v>32</v>
      </c>
      <c r="AI5" s="51" t="s">
        <v>32</v>
      </c>
      <c r="AJ5" s="52" t="s">
        <v>32</v>
      </c>
      <c r="AK5" s="50" t="s">
        <v>32</v>
      </c>
      <c r="AL5" s="53" t="s">
        <v>32</v>
      </c>
      <c r="AM5" s="49" t="s">
        <v>32</v>
      </c>
      <c r="AN5" s="50" t="s">
        <v>32</v>
      </c>
      <c r="AO5" s="51" t="s">
        <v>32</v>
      </c>
      <c r="AP5" s="52" t="s">
        <v>32</v>
      </c>
      <c r="AQ5" s="50" t="s">
        <v>32</v>
      </c>
      <c r="AR5" s="51" t="s">
        <v>32</v>
      </c>
      <c r="AS5" s="52" t="s">
        <v>32</v>
      </c>
      <c r="AT5" s="50" t="s">
        <v>32</v>
      </c>
      <c r="AU5" s="53" t="s">
        <v>32</v>
      </c>
      <c r="AV5" s="49" t="s">
        <v>32</v>
      </c>
      <c r="AW5" s="50" t="s">
        <v>32</v>
      </c>
      <c r="AX5" s="51" t="s">
        <v>32</v>
      </c>
      <c r="AY5" s="52" t="s">
        <v>32</v>
      </c>
      <c r="AZ5" s="50" t="s">
        <v>32</v>
      </c>
      <c r="BA5" s="51" t="s">
        <v>32</v>
      </c>
      <c r="BB5" s="52" t="s">
        <v>32</v>
      </c>
      <c r="BC5" s="50" t="s">
        <v>32</v>
      </c>
      <c r="BD5" s="53" t="s">
        <v>32</v>
      </c>
      <c r="BF5" s="159">
        <v>6</v>
      </c>
      <c r="BG5" s="50" t="s">
        <v>32</v>
      </c>
      <c r="BH5" s="51" t="s">
        <v>32</v>
      </c>
      <c r="BI5" s="52" t="s">
        <v>32</v>
      </c>
      <c r="BJ5" s="50" t="s">
        <v>32</v>
      </c>
      <c r="BK5" s="51" t="s">
        <v>32</v>
      </c>
      <c r="BL5" s="52" t="s">
        <v>32</v>
      </c>
      <c r="BM5" s="50" t="s">
        <v>32</v>
      </c>
      <c r="BN5" s="53" t="s">
        <v>32</v>
      </c>
      <c r="BO5" s="49" t="s">
        <v>32</v>
      </c>
      <c r="BP5" s="160">
        <v>1</v>
      </c>
      <c r="BQ5" s="51" t="s">
        <v>32</v>
      </c>
      <c r="BR5" s="52" t="s">
        <v>32</v>
      </c>
      <c r="BS5" s="50" t="s">
        <v>32</v>
      </c>
      <c r="BT5" s="51" t="s">
        <v>32</v>
      </c>
      <c r="BU5" s="52" t="s">
        <v>32</v>
      </c>
      <c r="BV5" s="50" t="s">
        <v>32</v>
      </c>
      <c r="BW5" s="53" t="s">
        <v>32</v>
      </c>
      <c r="BX5" s="49" t="s">
        <v>32</v>
      </c>
      <c r="BY5" s="50" t="s">
        <v>32</v>
      </c>
      <c r="BZ5" s="51" t="s">
        <v>32</v>
      </c>
      <c r="CA5" s="52" t="s">
        <v>32</v>
      </c>
      <c r="CB5" s="50" t="s">
        <v>32</v>
      </c>
      <c r="CC5" s="51" t="s">
        <v>32</v>
      </c>
      <c r="CD5" s="52" t="s">
        <v>32</v>
      </c>
      <c r="CE5" s="50" t="s">
        <v>32</v>
      </c>
      <c r="CF5" s="53" t="s">
        <v>32</v>
      </c>
    </row>
    <row r="6" spans="2:84" ht="15" customHeight="1">
      <c r="B6" s="43" t="s">
        <v>32</v>
      </c>
      <c r="C6" s="39" t="s">
        <v>32</v>
      </c>
      <c r="D6" s="41" t="s">
        <v>32</v>
      </c>
      <c r="E6" s="40" t="s">
        <v>32</v>
      </c>
      <c r="F6" s="39" t="s">
        <v>32</v>
      </c>
      <c r="G6" s="41" t="s">
        <v>32</v>
      </c>
      <c r="H6" s="40" t="s">
        <v>32</v>
      </c>
      <c r="I6" s="39" t="s">
        <v>32</v>
      </c>
      <c r="J6" s="42" t="s">
        <v>32</v>
      </c>
      <c r="K6" s="43" t="s">
        <v>32</v>
      </c>
      <c r="L6" s="39" t="s">
        <v>32</v>
      </c>
      <c r="M6" s="41" t="s">
        <v>32</v>
      </c>
      <c r="N6" s="40" t="s">
        <v>32</v>
      </c>
      <c r="O6" s="39" t="s">
        <v>32</v>
      </c>
      <c r="P6" s="41" t="s">
        <v>32</v>
      </c>
      <c r="Q6" s="40" t="s">
        <v>32</v>
      </c>
      <c r="R6" s="39" t="s">
        <v>32</v>
      </c>
      <c r="S6" s="42" t="s">
        <v>32</v>
      </c>
      <c r="T6" s="43" t="s">
        <v>32</v>
      </c>
      <c r="U6" s="39" t="s">
        <v>32</v>
      </c>
      <c r="V6" s="41" t="s">
        <v>32</v>
      </c>
      <c r="W6" s="40" t="s">
        <v>32</v>
      </c>
      <c r="X6" s="39" t="s">
        <v>32</v>
      </c>
      <c r="Y6" s="41" t="s">
        <v>32</v>
      </c>
      <c r="Z6" s="40" t="s">
        <v>32</v>
      </c>
      <c r="AA6" s="39" t="s">
        <v>32</v>
      </c>
      <c r="AB6" s="42" t="s">
        <v>32</v>
      </c>
      <c r="AD6" s="43">
        <v>0</v>
      </c>
      <c r="AE6" s="39" t="s">
        <v>32</v>
      </c>
      <c r="AF6" s="41" t="s">
        <v>32</v>
      </c>
      <c r="AG6" s="40" t="s">
        <v>32</v>
      </c>
      <c r="AH6" s="39" t="s">
        <v>32</v>
      </c>
      <c r="AI6" s="41" t="s">
        <v>32</v>
      </c>
      <c r="AJ6" s="40" t="s">
        <v>32</v>
      </c>
      <c r="AK6" s="39" t="s">
        <v>32</v>
      </c>
      <c r="AL6" s="42" t="s">
        <v>32</v>
      </c>
      <c r="AM6" s="43" t="s">
        <v>32</v>
      </c>
      <c r="AN6" s="39" t="s">
        <v>32</v>
      </c>
      <c r="AO6" s="41" t="s">
        <v>32</v>
      </c>
      <c r="AP6" s="40" t="s">
        <v>32</v>
      </c>
      <c r="AQ6" s="39" t="s">
        <v>32</v>
      </c>
      <c r="AR6" s="41" t="s">
        <v>32</v>
      </c>
      <c r="AS6" s="40" t="s">
        <v>32</v>
      </c>
      <c r="AT6" s="39" t="s">
        <v>32</v>
      </c>
      <c r="AU6" s="42" t="s">
        <v>32</v>
      </c>
      <c r="AV6" s="43" t="s">
        <v>32</v>
      </c>
      <c r="AW6" s="39" t="s">
        <v>32</v>
      </c>
      <c r="AX6" s="41" t="s">
        <v>32</v>
      </c>
      <c r="AY6" s="40" t="s">
        <v>32</v>
      </c>
      <c r="AZ6" s="39" t="s">
        <v>32</v>
      </c>
      <c r="BA6" s="41" t="s">
        <v>32</v>
      </c>
      <c r="BB6" s="40" t="s">
        <v>32</v>
      </c>
      <c r="BC6" s="39" t="s">
        <v>32</v>
      </c>
      <c r="BD6" s="42" t="s">
        <v>32</v>
      </c>
      <c r="BF6" s="43" t="s">
        <v>32</v>
      </c>
      <c r="BG6" s="39" t="s">
        <v>32</v>
      </c>
      <c r="BH6" s="41" t="s">
        <v>32</v>
      </c>
      <c r="BI6" s="40" t="s">
        <v>32</v>
      </c>
      <c r="BJ6" s="39" t="s">
        <v>32</v>
      </c>
      <c r="BK6" s="41" t="s">
        <v>32</v>
      </c>
      <c r="BL6" s="40" t="s">
        <v>32</v>
      </c>
      <c r="BM6" s="39" t="s">
        <v>32</v>
      </c>
      <c r="BN6" s="42" t="s">
        <v>32</v>
      </c>
      <c r="BO6" s="43" t="s">
        <v>32</v>
      </c>
      <c r="BP6" s="39" t="s">
        <v>32</v>
      </c>
      <c r="BQ6" s="41" t="s">
        <v>32</v>
      </c>
      <c r="BR6" s="40" t="s">
        <v>32</v>
      </c>
      <c r="BS6" s="39" t="s">
        <v>32</v>
      </c>
      <c r="BT6" s="41" t="s">
        <v>32</v>
      </c>
      <c r="BU6" s="40" t="s">
        <v>32</v>
      </c>
      <c r="BV6" s="39" t="s">
        <v>32</v>
      </c>
      <c r="BW6" s="42" t="s">
        <v>32</v>
      </c>
      <c r="BX6" s="43" t="s">
        <v>32</v>
      </c>
      <c r="BY6" s="39" t="s">
        <v>32</v>
      </c>
      <c r="BZ6" s="41" t="s">
        <v>32</v>
      </c>
      <c r="CA6" s="40" t="s">
        <v>32</v>
      </c>
      <c r="CB6" s="39" t="s">
        <v>32</v>
      </c>
      <c r="CC6" s="41" t="s">
        <v>32</v>
      </c>
      <c r="CD6" s="40" t="s">
        <v>32</v>
      </c>
      <c r="CE6" s="39" t="s">
        <v>32</v>
      </c>
      <c r="CF6" s="42" t="s">
        <v>32</v>
      </c>
    </row>
    <row r="7" spans="2:84" ht="15" customHeight="1">
      <c r="B7" s="44" t="s">
        <v>32</v>
      </c>
      <c r="C7" s="45" t="s">
        <v>32</v>
      </c>
      <c r="D7" s="47" t="s">
        <v>32</v>
      </c>
      <c r="E7" s="46" t="s">
        <v>32</v>
      </c>
      <c r="F7" s="45" t="s">
        <v>32</v>
      </c>
      <c r="G7" s="47" t="s">
        <v>32</v>
      </c>
      <c r="H7" s="46" t="s">
        <v>32</v>
      </c>
      <c r="I7" s="45" t="s">
        <v>32</v>
      </c>
      <c r="J7" s="48" t="s">
        <v>32</v>
      </c>
      <c r="K7" s="44" t="s">
        <v>32</v>
      </c>
      <c r="L7" s="45" t="s">
        <v>32</v>
      </c>
      <c r="M7" s="47" t="s">
        <v>32</v>
      </c>
      <c r="N7" s="46" t="s">
        <v>32</v>
      </c>
      <c r="O7" s="45" t="s">
        <v>32</v>
      </c>
      <c r="P7" s="47" t="s">
        <v>32</v>
      </c>
      <c r="Q7" s="46" t="s">
        <v>32</v>
      </c>
      <c r="R7" s="45" t="s">
        <v>32</v>
      </c>
      <c r="S7" s="48" t="s">
        <v>32</v>
      </c>
      <c r="T7" s="44" t="s">
        <v>32</v>
      </c>
      <c r="U7" s="45" t="s">
        <v>32</v>
      </c>
      <c r="V7" s="47" t="s">
        <v>32</v>
      </c>
      <c r="W7" s="46" t="s">
        <v>32</v>
      </c>
      <c r="X7" s="45" t="s">
        <v>32</v>
      </c>
      <c r="Y7" s="47" t="s">
        <v>32</v>
      </c>
      <c r="Z7" s="46" t="s">
        <v>32</v>
      </c>
      <c r="AA7" s="45" t="s">
        <v>32</v>
      </c>
      <c r="AB7" s="48" t="s">
        <v>32</v>
      </c>
      <c r="AD7" s="44" t="s">
        <v>32</v>
      </c>
      <c r="AE7" s="45" t="s">
        <v>32</v>
      </c>
      <c r="AF7" s="47" t="s">
        <v>32</v>
      </c>
      <c r="AG7" s="46" t="s">
        <v>32</v>
      </c>
      <c r="AH7" s="45" t="s">
        <v>32</v>
      </c>
      <c r="AI7" s="47" t="s">
        <v>32</v>
      </c>
      <c r="AJ7" s="46" t="s">
        <v>32</v>
      </c>
      <c r="AK7" s="45" t="s">
        <v>32</v>
      </c>
      <c r="AL7" s="48" t="s">
        <v>32</v>
      </c>
      <c r="AM7" s="44" t="s">
        <v>32</v>
      </c>
      <c r="AN7" s="45" t="s">
        <v>32</v>
      </c>
      <c r="AO7" s="47" t="s">
        <v>32</v>
      </c>
      <c r="AP7" s="46" t="s">
        <v>32</v>
      </c>
      <c r="AQ7" s="45" t="s">
        <v>32</v>
      </c>
      <c r="AR7" s="47" t="s">
        <v>32</v>
      </c>
      <c r="AS7" s="46" t="s">
        <v>32</v>
      </c>
      <c r="AT7" s="45" t="s">
        <v>32</v>
      </c>
      <c r="AU7" s="48" t="s">
        <v>32</v>
      </c>
      <c r="AV7" s="44" t="s">
        <v>32</v>
      </c>
      <c r="AW7" s="45" t="s">
        <v>32</v>
      </c>
      <c r="AX7" s="47" t="s">
        <v>32</v>
      </c>
      <c r="AY7" s="46" t="s">
        <v>32</v>
      </c>
      <c r="AZ7" s="45" t="s">
        <v>32</v>
      </c>
      <c r="BA7" s="47" t="s">
        <v>32</v>
      </c>
      <c r="BB7" s="46" t="s">
        <v>32</v>
      </c>
      <c r="BC7" s="45" t="s">
        <v>32</v>
      </c>
      <c r="BD7" s="48" t="s">
        <v>32</v>
      </c>
      <c r="BF7" s="44" t="s">
        <v>32</v>
      </c>
      <c r="BG7" s="45" t="s">
        <v>32</v>
      </c>
      <c r="BH7" s="47" t="s">
        <v>32</v>
      </c>
      <c r="BI7" s="46" t="s">
        <v>32</v>
      </c>
      <c r="BJ7" s="45" t="s">
        <v>32</v>
      </c>
      <c r="BK7" s="47" t="s">
        <v>32</v>
      </c>
      <c r="BL7" s="46" t="s">
        <v>32</v>
      </c>
      <c r="BM7" s="45" t="s">
        <v>32</v>
      </c>
      <c r="BN7" s="48" t="s">
        <v>32</v>
      </c>
      <c r="BO7" s="44" t="s">
        <v>32</v>
      </c>
      <c r="BP7" s="45" t="s">
        <v>32</v>
      </c>
      <c r="BQ7" s="47" t="s">
        <v>32</v>
      </c>
      <c r="BR7" s="46" t="s">
        <v>32</v>
      </c>
      <c r="BS7" s="45" t="s">
        <v>32</v>
      </c>
      <c r="BT7" s="47" t="s">
        <v>32</v>
      </c>
      <c r="BU7" s="46" t="s">
        <v>32</v>
      </c>
      <c r="BV7" s="45" t="s">
        <v>32</v>
      </c>
      <c r="BW7" s="48" t="s">
        <v>32</v>
      </c>
      <c r="BX7" s="44" t="s">
        <v>32</v>
      </c>
      <c r="BY7" s="45" t="s">
        <v>32</v>
      </c>
      <c r="BZ7" s="47" t="s">
        <v>32</v>
      </c>
      <c r="CA7" s="46" t="s">
        <v>32</v>
      </c>
      <c r="CB7" s="45" t="s">
        <v>32</v>
      </c>
      <c r="CC7" s="47" t="s">
        <v>32</v>
      </c>
      <c r="CD7" s="46" t="s">
        <v>32</v>
      </c>
      <c r="CE7" s="45" t="s">
        <v>32</v>
      </c>
      <c r="CF7" s="48" t="s">
        <v>32</v>
      </c>
    </row>
    <row r="8" spans="2:84" ht="15" customHeight="1">
      <c r="B8" s="49" t="s">
        <v>32</v>
      </c>
      <c r="C8" s="50" t="s">
        <v>32</v>
      </c>
      <c r="D8" s="51" t="s">
        <v>32</v>
      </c>
      <c r="E8" s="52" t="s">
        <v>32</v>
      </c>
      <c r="F8" s="50" t="s">
        <v>32</v>
      </c>
      <c r="G8" s="51" t="s">
        <v>32</v>
      </c>
      <c r="H8" s="52" t="s">
        <v>32</v>
      </c>
      <c r="I8" s="50" t="s">
        <v>32</v>
      </c>
      <c r="J8" s="53" t="s">
        <v>32</v>
      </c>
      <c r="K8" s="49" t="s">
        <v>32</v>
      </c>
      <c r="L8" s="50" t="s">
        <v>32</v>
      </c>
      <c r="M8" s="51" t="s">
        <v>32</v>
      </c>
      <c r="N8" s="52" t="s">
        <v>32</v>
      </c>
      <c r="O8" s="50" t="s">
        <v>32</v>
      </c>
      <c r="P8" s="51" t="s">
        <v>32</v>
      </c>
      <c r="Q8" s="52" t="s">
        <v>32</v>
      </c>
      <c r="R8" s="50" t="s">
        <v>32</v>
      </c>
      <c r="S8" s="53" t="s">
        <v>32</v>
      </c>
      <c r="T8" s="49" t="s">
        <v>32</v>
      </c>
      <c r="U8" s="50" t="s">
        <v>32</v>
      </c>
      <c r="V8" s="51" t="s">
        <v>32</v>
      </c>
      <c r="W8" s="52" t="s">
        <v>32</v>
      </c>
      <c r="X8" s="50" t="s">
        <v>32</v>
      </c>
      <c r="Y8" s="51" t="s">
        <v>32</v>
      </c>
      <c r="Z8" s="52" t="s">
        <v>32</v>
      </c>
      <c r="AA8" s="50" t="s">
        <v>32</v>
      </c>
      <c r="AB8" s="53" t="s">
        <v>32</v>
      </c>
      <c r="AD8" s="49" t="s">
        <v>32</v>
      </c>
      <c r="AE8" s="50" t="s">
        <v>32</v>
      </c>
      <c r="AF8" s="51" t="s">
        <v>32</v>
      </c>
      <c r="AG8" s="52" t="s">
        <v>32</v>
      </c>
      <c r="AH8" s="50" t="s">
        <v>32</v>
      </c>
      <c r="AI8" s="51" t="s">
        <v>32</v>
      </c>
      <c r="AJ8" s="52" t="s">
        <v>32</v>
      </c>
      <c r="AK8" s="50" t="s">
        <v>32</v>
      </c>
      <c r="AL8" s="53" t="s">
        <v>32</v>
      </c>
      <c r="AM8" s="49" t="s">
        <v>32</v>
      </c>
      <c r="AN8" s="50" t="s">
        <v>32</v>
      </c>
      <c r="AO8" s="51" t="s">
        <v>32</v>
      </c>
      <c r="AP8" s="52" t="s">
        <v>32</v>
      </c>
      <c r="AQ8" s="50" t="s">
        <v>32</v>
      </c>
      <c r="AR8" s="51" t="s">
        <v>32</v>
      </c>
      <c r="AS8" s="52" t="s">
        <v>32</v>
      </c>
      <c r="AT8" s="50" t="s">
        <v>32</v>
      </c>
      <c r="AU8" s="53" t="s">
        <v>32</v>
      </c>
      <c r="AV8" s="49" t="s">
        <v>32</v>
      </c>
      <c r="AW8" s="50" t="s">
        <v>32</v>
      </c>
      <c r="AX8" s="51" t="s">
        <v>32</v>
      </c>
      <c r="AY8" s="52" t="s">
        <v>32</v>
      </c>
      <c r="AZ8" s="50" t="s">
        <v>32</v>
      </c>
      <c r="BA8" s="51" t="s">
        <v>32</v>
      </c>
      <c r="BB8" s="52" t="s">
        <v>32</v>
      </c>
      <c r="BC8" s="50" t="s">
        <v>32</v>
      </c>
      <c r="BD8" s="53" t="s">
        <v>32</v>
      </c>
      <c r="BF8" s="49" t="s">
        <v>32</v>
      </c>
      <c r="BG8" s="50" t="s">
        <v>32</v>
      </c>
      <c r="BH8" s="51" t="s">
        <v>32</v>
      </c>
      <c r="BI8" s="52" t="s">
        <v>32</v>
      </c>
      <c r="BJ8" s="50" t="s">
        <v>32</v>
      </c>
      <c r="BK8" s="51" t="s">
        <v>32</v>
      </c>
      <c r="BL8" s="52" t="s">
        <v>32</v>
      </c>
      <c r="BM8" s="50" t="s">
        <v>32</v>
      </c>
      <c r="BN8" s="53" t="s">
        <v>32</v>
      </c>
      <c r="BO8" s="49" t="s">
        <v>32</v>
      </c>
      <c r="BP8" s="50" t="s">
        <v>32</v>
      </c>
      <c r="BQ8" s="51" t="s">
        <v>32</v>
      </c>
      <c r="BR8" s="52" t="s">
        <v>32</v>
      </c>
      <c r="BS8" s="50" t="s">
        <v>32</v>
      </c>
      <c r="BT8" s="51" t="s">
        <v>32</v>
      </c>
      <c r="BU8" s="52" t="s">
        <v>32</v>
      </c>
      <c r="BV8" s="50" t="s">
        <v>32</v>
      </c>
      <c r="BW8" s="53" t="s">
        <v>32</v>
      </c>
      <c r="BX8" s="49" t="s">
        <v>32</v>
      </c>
      <c r="BY8" s="50" t="s">
        <v>32</v>
      </c>
      <c r="BZ8" s="51" t="s">
        <v>32</v>
      </c>
      <c r="CA8" s="52" t="s">
        <v>32</v>
      </c>
      <c r="CB8" s="50" t="s">
        <v>32</v>
      </c>
      <c r="CC8" s="51" t="s">
        <v>32</v>
      </c>
      <c r="CD8" s="52" t="s">
        <v>32</v>
      </c>
      <c r="CE8" s="50" t="s">
        <v>32</v>
      </c>
      <c r="CF8" s="53" t="s">
        <v>32</v>
      </c>
    </row>
    <row r="9" spans="2:84" ht="15" customHeight="1">
      <c r="B9" s="43" t="s">
        <v>32</v>
      </c>
      <c r="C9" s="39" t="s">
        <v>32</v>
      </c>
      <c r="D9" s="41" t="s">
        <v>32</v>
      </c>
      <c r="E9" s="40" t="s">
        <v>32</v>
      </c>
      <c r="F9" s="39" t="s">
        <v>32</v>
      </c>
      <c r="G9" s="41" t="s">
        <v>32</v>
      </c>
      <c r="H9" s="40" t="s">
        <v>32</v>
      </c>
      <c r="I9" s="39" t="s">
        <v>32</v>
      </c>
      <c r="J9" s="42" t="s">
        <v>32</v>
      </c>
      <c r="K9" s="43" t="s">
        <v>32</v>
      </c>
      <c r="L9" s="39" t="s">
        <v>32</v>
      </c>
      <c r="M9" s="41" t="s">
        <v>32</v>
      </c>
      <c r="N9" s="40" t="s">
        <v>32</v>
      </c>
      <c r="O9" s="39" t="s">
        <v>32</v>
      </c>
      <c r="P9" s="41" t="s">
        <v>32</v>
      </c>
      <c r="Q9" s="40" t="s">
        <v>32</v>
      </c>
      <c r="R9" s="39" t="s">
        <v>32</v>
      </c>
      <c r="S9" s="42" t="s">
        <v>32</v>
      </c>
      <c r="T9" s="43" t="s">
        <v>32</v>
      </c>
      <c r="U9" s="39" t="s">
        <v>32</v>
      </c>
      <c r="V9" s="41" t="s">
        <v>32</v>
      </c>
      <c r="W9" s="40" t="s">
        <v>32</v>
      </c>
      <c r="X9" s="39" t="s">
        <v>32</v>
      </c>
      <c r="Y9" s="41" t="s">
        <v>32</v>
      </c>
      <c r="Z9" s="40" t="s">
        <v>32</v>
      </c>
      <c r="AA9" s="39" t="s">
        <v>32</v>
      </c>
      <c r="AB9" s="42" t="s">
        <v>32</v>
      </c>
      <c r="AD9" s="43" t="s">
        <v>32</v>
      </c>
      <c r="AE9" s="39" t="s">
        <v>32</v>
      </c>
      <c r="AF9" s="41" t="s">
        <v>32</v>
      </c>
      <c r="AG9" s="40" t="s">
        <v>32</v>
      </c>
      <c r="AH9" s="39" t="s">
        <v>32</v>
      </c>
      <c r="AI9" s="41" t="s">
        <v>32</v>
      </c>
      <c r="AJ9" s="40" t="s">
        <v>32</v>
      </c>
      <c r="AK9" s="39" t="s">
        <v>32</v>
      </c>
      <c r="AL9" s="42" t="s">
        <v>32</v>
      </c>
      <c r="AM9" s="43" t="s">
        <v>32</v>
      </c>
      <c r="AN9" s="39" t="s">
        <v>32</v>
      </c>
      <c r="AO9" s="41" t="s">
        <v>32</v>
      </c>
      <c r="AP9" s="40" t="s">
        <v>32</v>
      </c>
      <c r="AQ9" s="39" t="s">
        <v>32</v>
      </c>
      <c r="AR9" s="41" t="s">
        <v>32</v>
      </c>
      <c r="AS9" s="40" t="s">
        <v>32</v>
      </c>
      <c r="AT9" s="39" t="s">
        <v>32</v>
      </c>
      <c r="AU9" s="42" t="s">
        <v>32</v>
      </c>
      <c r="AV9" s="43" t="s">
        <v>32</v>
      </c>
      <c r="AW9" s="39" t="s">
        <v>32</v>
      </c>
      <c r="AX9" s="41" t="s">
        <v>32</v>
      </c>
      <c r="AY9" s="40" t="s">
        <v>32</v>
      </c>
      <c r="AZ9" s="39" t="s">
        <v>32</v>
      </c>
      <c r="BA9" s="41" t="s">
        <v>32</v>
      </c>
      <c r="BB9" s="40" t="s">
        <v>32</v>
      </c>
      <c r="BC9" s="39" t="s">
        <v>32</v>
      </c>
      <c r="BD9" s="42" t="s">
        <v>32</v>
      </c>
      <c r="BF9" s="43" t="s">
        <v>32</v>
      </c>
      <c r="BG9" s="39" t="s">
        <v>32</v>
      </c>
      <c r="BH9" s="41" t="s">
        <v>32</v>
      </c>
      <c r="BI9" s="40" t="s">
        <v>32</v>
      </c>
      <c r="BJ9" s="39" t="s">
        <v>32</v>
      </c>
      <c r="BK9" s="41" t="s">
        <v>32</v>
      </c>
      <c r="BL9" s="40" t="s">
        <v>32</v>
      </c>
      <c r="BM9" s="39" t="s">
        <v>32</v>
      </c>
      <c r="BN9" s="42" t="s">
        <v>32</v>
      </c>
      <c r="BO9" s="43" t="s">
        <v>32</v>
      </c>
      <c r="BP9" s="39" t="s">
        <v>32</v>
      </c>
      <c r="BQ9" s="41" t="s">
        <v>32</v>
      </c>
      <c r="BR9" s="40" t="s">
        <v>32</v>
      </c>
      <c r="BS9" s="39" t="s">
        <v>32</v>
      </c>
      <c r="BT9" s="41" t="s">
        <v>32</v>
      </c>
      <c r="BU9" s="40" t="s">
        <v>32</v>
      </c>
      <c r="BV9" s="39" t="s">
        <v>32</v>
      </c>
      <c r="BW9" s="42" t="s">
        <v>32</v>
      </c>
      <c r="BX9" s="43" t="s">
        <v>32</v>
      </c>
      <c r="BY9" s="39" t="s">
        <v>32</v>
      </c>
      <c r="BZ9" s="41" t="s">
        <v>32</v>
      </c>
      <c r="CA9" s="40" t="s">
        <v>32</v>
      </c>
      <c r="CB9" s="39" t="s">
        <v>32</v>
      </c>
      <c r="CC9" s="41" t="s">
        <v>32</v>
      </c>
      <c r="CD9" s="40" t="s">
        <v>32</v>
      </c>
      <c r="CE9" s="39" t="s">
        <v>32</v>
      </c>
      <c r="CF9" s="42" t="s">
        <v>32</v>
      </c>
    </row>
    <row r="10" spans="2:84" ht="15" customHeight="1" thickBot="1">
      <c r="B10" s="54" t="s">
        <v>32</v>
      </c>
      <c r="C10" s="55" t="s">
        <v>32</v>
      </c>
      <c r="D10" s="56" t="s">
        <v>32</v>
      </c>
      <c r="E10" s="57" t="s">
        <v>32</v>
      </c>
      <c r="F10" s="55" t="s">
        <v>32</v>
      </c>
      <c r="G10" s="56" t="s">
        <v>32</v>
      </c>
      <c r="H10" s="57" t="s">
        <v>32</v>
      </c>
      <c r="I10" s="55" t="s">
        <v>32</v>
      </c>
      <c r="J10" s="58" t="s">
        <v>32</v>
      </c>
      <c r="K10" s="54" t="s">
        <v>32</v>
      </c>
      <c r="L10" s="55" t="s">
        <v>32</v>
      </c>
      <c r="M10" s="56" t="s">
        <v>32</v>
      </c>
      <c r="N10" s="57" t="s">
        <v>32</v>
      </c>
      <c r="O10" s="55" t="s">
        <v>32</v>
      </c>
      <c r="P10" s="56" t="s">
        <v>32</v>
      </c>
      <c r="Q10" s="57" t="s">
        <v>32</v>
      </c>
      <c r="R10" s="55" t="s">
        <v>32</v>
      </c>
      <c r="S10" s="58" t="s">
        <v>32</v>
      </c>
      <c r="T10" s="54" t="s">
        <v>32</v>
      </c>
      <c r="U10" s="55" t="s">
        <v>32</v>
      </c>
      <c r="V10" s="56" t="s">
        <v>32</v>
      </c>
      <c r="W10" s="57" t="s">
        <v>32</v>
      </c>
      <c r="X10" s="55" t="s">
        <v>32</v>
      </c>
      <c r="Y10" s="56" t="s">
        <v>32</v>
      </c>
      <c r="Z10" s="57" t="s">
        <v>32</v>
      </c>
      <c r="AA10" s="55" t="s">
        <v>32</v>
      </c>
      <c r="AB10" s="58" t="s">
        <v>32</v>
      </c>
      <c r="AD10" s="54" t="s">
        <v>32</v>
      </c>
      <c r="AE10" s="55" t="s">
        <v>32</v>
      </c>
      <c r="AF10" s="56" t="s">
        <v>32</v>
      </c>
      <c r="AG10" s="57" t="s">
        <v>32</v>
      </c>
      <c r="AH10" s="55" t="s">
        <v>32</v>
      </c>
      <c r="AI10" s="56" t="s">
        <v>32</v>
      </c>
      <c r="AJ10" s="57" t="s">
        <v>32</v>
      </c>
      <c r="AK10" s="55" t="s">
        <v>32</v>
      </c>
      <c r="AL10" s="58" t="s">
        <v>32</v>
      </c>
      <c r="AM10" s="54" t="s">
        <v>32</v>
      </c>
      <c r="AN10" s="55" t="s">
        <v>32</v>
      </c>
      <c r="AO10" s="56" t="s">
        <v>32</v>
      </c>
      <c r="AP10" s="57" t="s">
        <v>32</v>
      </c>
      <c r="AQ10" s="55" t="s">
        <v>32</v>
      </c>
      <c r="AR10" s="56" t="s">
        <v>32</v>
      </c>
      <c r="AS10" s="57" t="s">
        <v>32</v>
      </c>
      <c r="AT10" s="55" t="s">
        <v>32</v>
      </c>
      <c r="AU10" s="58" t="s">
        <v>32</v>
      </c>
      <c r="AV10" s="54" t="s">
        <v>32</v>
      </c>
      <c r="AW10" s="55" t="s">
        <v>32</v>
      </c>
      <c r="AX10" s="56" t="s">
        <v>32</v>
      </c>
      <c r="AY10" s="57" t="s">
        <v>32</v>
      </c>
      <c r="AZ10" s="55" t="s">
        <v>32</v>
      </c>
      <c r="BA10" s="56" t="s">
        <v>32</v>
      </c>
      <c r="BB10" s="57" t="s">
        <v>32</v>
      </c>
      <c r="BC10" s="55" t="s">
        <v>32</v>
      </c>
      <c r="BD10" s="58" t="s">
        <v>32</v>
      </c>
      <c r="BF10" s="54" t="s">
        <v>32</v>
      </c>
      <c r="BG10" s="55" t="s">
        <v>32</v>
      </c>
      <c r="BH10" s="56" t="s">
        <v>32</v>
      </c>
      <c r="BI10" s="57" t="s">
        <v>32</v>
      </c>
      <c r="BJ10" s="55" t="s">
        <v>32</v>
      </c>
      <c r="BK10" s="56" t="s">
        <v>32</v>
      </c>
      <c r="BL10" s="57" t="s">
        <v>32</v>
      </c>
      <c r="BM10" s="55" t="s">
        <v>32</v>
      </c>
      <c r="BN10" s="58" t="s">
        <v>32</v>
      </c>
      <c r="BO10" s="54" t="s">
        <v>32</v>
      </c>
      <c r="BP10" s="55" t="s">
        <v>32</v>
      </c>
      <c r="BQ10" s="56" t="s">
        <v>32</v>
      </c>
      <c r="BR10" s="57" t="s">
        <v>32</v>
      </c>
      <c r="BS10" s="55" t="s">
        <v>32</v>
      </c>
      <c r="BT10" s="56" t="s">
        <v>32</v>
      </c>
      <c r="BU10" s="57" t="s">
        <v>32</v>
      </c>
      <c r="BV10" s="55" t="s">
        <v>32</v>
      </c>
      <c r="BW10" s="58" t="s">
        <v>32</v>
      </c>
      <c r="BX10" s="54" t="s">
        <v>32</v>
      </c>
      <c r="BY10" s="55" t="s">
        <v>32</v>
      </c>
      <c r="BZ10" s="56" t="s">
        <v>32</v>
      </c>
      <c r="CA10" s="57" t="s">
        <v>32</v>
      </c>
      <c r="CB10" s="55" t="s">
        <v>32</v>
      </c>
      <c r="CC10" s="56" t="s">
        <v>32</v>
      </c>
      <c r="CD10" s="57" t="s">
        <v>32</v>
      </c>
      <c r="CE10" s="55" t="s">
        <v>32</v>
      </c>
      <c r="CF10" s="58" t="s">
        <v>32</v>
      </c>
    </row>
    <row r="11" spans="2:84" ht="15" customHeight="1">
      <c r="B11" s="34" t="s">
        <v>32</v>
      </c>
      <c r="C11" s="37" t="s">
        <v>32</v>
      </c>
      <c r="D11" s="35" t="s">
        <v>32</v>
      </c>
      <c r="E11" s="36" t="s">
        <v>32</v>
      </c>
      <c r="F11" s="37" t="s">
        <v>32</v>
      </c>
      <c r="G11" s="35" t="s">
        <v>32</v>
      </c>
      <c r="H11" s="36" t="s">
        <v>32</v>
      </c>
      <c r="I11" s="37" t="s">
        <v>32</v>
      </c>
      <c r="J11" s="38" t="s">
        <v>32</v>
      </c>
      <c r="K11" s="34" t="s">
        <v>32</v>
      </c>
      <c r="L11" s="37" t="s">
        <v>32</v>
      </c>
      <c r="M11" s="35" t="s">
        <v>32</v>
      </c>
      <c r="N11" s="36" t="s">
        <v>32</v>
      </c>
      <c r="O11" s="37" t="s">
        <v>32</v>
      </c>
      <c r="P11" s="35" t="s">
        <v>32</v>
      </c>
      <c r="Q11" s="36" t="s">
        <v>32</v>
      </c>
      <c r="R11" s="37" t="s">
        <v>32</v>
      </c>
      <c r="S11" s="38" t="s">
        <v>32</v>
      </c>
      <c r="T11" s="34" t="s">
        <v>32</v>
      </c>
      <c r="U11" s="37" t="s">
        <v>32</v>
      </c>
      <c r="V11" s="35" t="s">
        <v>32</v>
      </c>
      <c r="W11" s="36" t="s">
        <v>32</v>
      </c>
      <c r="X11" s="37" t="s">
        <v>32</v>
      </c>
      <c r="Y11" s="35" t="s">
        <v>32</v>
      </c>
      <c r="Z11" s="36" t="s">
        <v>32</v>
      </c>
      <c r="AA11" s="37" t="s">
        <v>32</v>
      </c>
      <c r="AB11" s="38" t="s">
        <v>32</v>
      </c>
      <c r="AD11" s="34" t="s">
        <v>32</v>
      </c>
      <c r="AE11" s="37" t="s">
        <v>32</v>
      </c>
      <c r="AF11" s="35" t="s">
        <v>32</v>
      </c>
      <c r="AG11" s="36" t="s">
        <v>32</v>
      </c>
      <c r="AH11" s="37" t="s">
        <v>32</v>
      </c>
      <c r="AI11" s="35" t="s">
        <v>32</v>
      </c>
      <c r="AJ11" s="36" t="s">
        <v>32</v>
      </c>
      <c r="AK11" s="37" t="s">
        <v>32</v>
      </c>
      <c r="AL11" s="38" t="s">
        <v>32</v>
      </c>
      <c r="AM11" s="34" t="s">
        <v>32</v>
      </c>
      <c r="AN11" s="37" t="s">
        <v>32</v>
      </c>
      <c r="AO11" s="35" t="s">
        <v>32</v>
      </c>
      <c r="AP11" s="36" t="s">
        <v>32</v>
      </c>
      <c r="AQ11" s="37" t="s">
        <v>32</v>
      </c>
      <c r="AR11" s="35" t="s">
        <v>32</v>
      </c>
      <c r="AS11" s="36" t="s">
        <v>32</v>
      </c>
      <c r="AT11" s="37" t="s">
        <v>32</v>
      </c>
      <c r="AU11" s="38" t="s">
        <v>32</v>
      </c>
      <c r="AV11" s="34" t="s">
        <v>32</v>
      </c>
      <c r="AW11" s="37" t="s">
        <v>32</v>
      </c>
      <c r="AX11" s="35" t="s">
        <v>32</v>
      </c>
      <c r="AY11" s="36" t="s">
        <v>32</v>
      </c>
      <c r="AZ11" s="37" t="s">
        <v>32</v>
      </c>
      <c r="BA11" s="35" t="s">
        <v>32</v>
      </c>
      <c r="BB11" s="36" t="s">
        <v>32</v>
      </c>
      <c r="BC11" s="37" t="s">
        <v>32</v>
      </c>
      <c r="BD11" s="38" t="s">
        <v>32</v>
      </c>
      <c r="BF11" s="34" t="s">
        <v>32</v>
      </c>
      <c r="BG11" s="37" t="s">
        <v>32</v>
      </c>
      <c r="BH11" s="35" t="s">
        <v>32</v>
      </c>
      <c r="BI11" s="36" t="s">
        <v>32</v>
      </c>
      <c r="BJ11" s="37" t="s">
        <v>32</v>
      </c>
      <c r="BK11" s="35" t="s">
        <v>32</v>
      </c>
      <c r="BL11" s="36" t="s">
        <v>32</v>
      </c>
      <c r="BM11" s="37" t="s">
        <v>32</v>
      </c>
      <c r="BN11" s="38" t="s">
        <v>32</v>
      </c>
      <c r="BO11" s="34" t="s">
        <v>32</v>
      </c>
      <c r="BP11" s="37" t="s">
        <v>32</v>
      </c>
      <c r="BQ11" s="35" t="s">
        <v>32</v>
      </c>
      <c r="BR11" s="36" t="s">
        <v>32</v>
      </c>
      <c r="BS11" s="37" t="s">
        <v>32</v>
      </c>
      <c r="BT11" s="35" t="s">
        <v>32</v>
      </c>
      <c r="BU11" s="36" t="s">
        <v>32</v>
      </c>
      <c r="BV11" s="37" t="s">
        <v>32</v>
      </c>
      <c r="BW11" s="38" t="s">
        <v>32</v>
      </c>
      <c r="BX11" s="34" t="s">
        <v>32</v>
      </c>
      <c r="BY11" s="37" t="s">
        <v>32</v>
      </c>
      <c r="BZ11" s="35" t="s">
        <v>32</v>
      </c>
      <c r="CA11" s="36" t="s">
        <v>32</v>
      </c>
      <c r="CB11" s="37" t="s">
        <v>32</v>
      </c>
      <c r="CC11" s="35" t="s">
        <v>32</v>
      </c>
      <c r="CD11" s="36" t="s">
        <v>32</v>
      </c>
      <c r="CE11" s="37" t="s">
        <v>32</v>
      </c>
      <c r="CF11" s="38" t="s">
        <v>32</v>
      </c>
    </row>
    <row r="12" spans="2:84" ht="15" customHeight="1">
      <c r="B12" s="43" t="s">
        <v>32</v>
      </c>
      <c r="C12" s="39" t="s">
        <v>32</v>
      </c>
      <c r="D12" s="41" t="s">
        <v>32</v>
      </c>
      <c r="E12" s="40" t="s">
        <v>32</v>
      </c>
      <c r="F12" s="39" t="s">
        <v>32</v>
      </c>
      <c r="G12" s="41" t="s">
        <v>32</v>
      </c>
      <c r="H12" s="40" t="s">
        <v>32</v>
      </c>
      <c r="I12" s="39" t="s">
        <v>32</v>
      </c>
      <c r="J12" s="42" t="s">
        <v>32</v>
      </c>
      <c r="K12" s="43" t="s">
        <v>32</v>
      </c>
      <c r="L12" s="39" t="s">
        <v>32</v>
      </c>
      <c r="M12" s="41" t="s">
        <v>32</v>
      </c>
      <c r="N12" s="40" t="s">
        <v>32</v>
      </c>
      <c r="O12" s="39" t="s">
        <v>32</v>
      </c>
      <c r="P12" s="41" t="s">
        <v>32</v>
      </c>
      <c r="Q12" s="40" t="s">
        <v>32</v>
      </c>
      <c r="R12" s="39" t="s">
        <v>32</v>
      </c>
      <c r="S12" s="42" t="s">
        <v>32</v>
      </c>
      <c r="T12" s="43" t="s">
        <v>32</v>
      </c>
      <c r="U12" s="39" t="s">
        <v>32</v>
      </c>
      <c r="V12" s="41" t="s">
        <v>32</v>
      </c>
      <c r="W12" s="40" t="s">
        <v>32</v>
      </c>
      <c r="X12" s="39" t="s">
        <v>32</v>
      </c>
      <c r="Y12" s="41" t="s">
        <v>32</v>
      </c>
      <c r="Z12" s="40" t="s">
        <v>32</v>
      </c>
      <c r="AA12" s="39" t="s">
        <v>32</v>
      </c>
      <c r="AB12" s="42" t="s">
        <v>32</v>
      </c>
      <c r="AD12" s="43" t="s">
        <v>32</v>
      </c>
      <c r="AE12" s="39" t="s">
        <v>32</v>
      </c>
      <c r="AF12" s="41" t="s">
        <v>32</v>
      </c>
      <c r="AG12" s="40" t="s">
        <v>32</v>
      </c>
      <c r="AH12" s="39" t="s">
        <v>32</v>
      </c>
      <c r="AI12" s="41" t="s">
        <v>32</v>
      </c>
      <c r="AJ12" s="40" t="s">
        <v>32</v>
      </c>
      <c r="AK12" s="39" t="s">
        <v>32</v>
      </c>
      <c r="AL12" s="42" t="s">
        <v>32</v>
      </c>
      <c r="AM12" s="43" t="s">
        <v>32</v>
      </c>
      <c r="AN12" s="39" t="s">
        <v>32</v>
      </c>
      <c r="AO12" s="41" t="s">
        <v>32</v>
      </c>
      <c r="AP12" s="40" t="s">
        <v>32</v>
      </c>
      <c r="AQ12" s="39" t="s">
        <v>32</v>
      </c>
      <c r="AR12" s="41" t="s">
        <v>32</v>
      </c>
      <c r="AS12" s="40" t="s">
        <v>32</v>
      </c>
      <c r="AT12" s="39" t="s">
        <v>32</v>
      </c>
      <c r="AU12" s="42" t="s">
        <v>32</v>
      </c>
      <c r="AV12" s="43" t="s">
        <v>32</v>
      </c>
      <c r="AW12" s="39" t="s">
        <v>32</v>
      </c>
      <c r="AX12" s="41" t="s">
        <v>32</v>
      </c>
      <c r="AY12" s="40" t="s">
        <v>32</v>
      </c>
      <c r="AZ12" s="39" t="s">
        <v>32</v>
      </c>
      <c r="BA12" s="41" t="s">
        <v>32</v>
      </c>
      <c r="BB12" s="40" t="s">
        <v>32</v>
      </c>
      <c r="BC12" s="39" t="s">
        <v>32</v>
      </c>
      <c r="BD12" s="42" t="s">
        <v>32</v>
      </c>
      <c r="BF12" s="43" t="s">
        <v>32</v>
      </c>
      <c r="BG12" s="39" t="s">
        <v>32</v>
      </c>
      <c r="BH12" s="41" t="s">
        <v>32</v>
      </c>
      <c r="BI12" s="40" t="s">
        <v>32</v>
      </c>
      <c r="BJ12" s="39" t="s">
        <v>32</v>
      </c>
      <c r="BK12" s="41" t="s">
        <v>32</v>
      </c>
      <c r="BL12" s="40" t="s">
        <v>32</v>
      </c>
      <c r="BM12" s="39" t="s">
        <v>32</v>
      </c>
      <c r="BN12" s="42" t="s">
        <v>32</v>
      </c>
      <c r="BO12" s="43" t="s">
        <v>32</v>
      </c>
      <c r="BP12" s="39" t="s">
        <v>32</v>
      </c>
      <c r="BQ12" s="41" t="s">
        <v>32</v>
      </c>
      <c r="BR12" s="40" t="s">
        <v>32</v>
      </c>
      <c r="BS12" s="39" t="s">
        <v>32</v>
      </c>
      <c r="BT12" s="41" t="s">
        <v>32</v>
      </c>
      <c r="BU12" s="40" t="s">
        <v>32</v>
      </c>
      <c r="BV12" s="39" t="s">
        <v>32</v>
      </c>
      <c r="BW12" s="42" t="s">
        <v>32</v>
      </c>
      <c r="BX12" s="43" t="s">
        <v>32</v>
      </c>
      <c r="BY12" s="39" t="s">
        <v>32</v>
      </c>
      <c r="BZ12" s="41" t="s">
        <v>32</v>
      </c>
      <c r="CA12" s="40" t="s">
        <v>32</v>
      </c>
      <c r="CB12" s="39" t="s">
        <v>32</v>
      </c>
      <c r="CC12" s="41" t="s">
        <v>32</v>
      </c>
      <c r="CD12" s="40" t="s">
        <v>32</v>
      </c>
      <c r="CE12" s="154" t="s">
        <v>32</v>
      </c>
      <c r="CF12" s="42" t="s">
        <v>32</v>
      </c>
    </row>
    <row r="13" spans="2:84" ht="15" customHeight="1">
      <c r="B13" s="44">
        <v>0</v>
      </c>
      <c r="C13" s="45">
        <v>0</v>
      </c>
      <c r="D13" s="47" t="s">
        <v>32</v>
      </c>
      <c r="E13" s="46" t="s">
        <v>32</v>
      </c>
      <c r="F13" s="45" t="s">
        <v>32</v>
      </c>
      <c r="G13" s="47" t="s">
        <v>32</v>
      </c>
      <c r="H13" s="46" t="s">
        <v>32</v>
      </c>
      <c r="I13" s="45" t="s">
        <v>32</v>
      </c>
      <c r="J13" s="48" t="s">
        <v>32</v>
      </c>
      <c r="K13" s="44" t="s">
        <v>32</v>
      </c>
      <c r="L13" s="45" t="s">
        <v>32</v>
      </c>
      <c r="M13" s="47" t="s">
        <v>32</v>
      </c>
      <c r="N13" s="46" t="s">
        <v>32</v>
      </c>
      <c r="O13" s="45" t="s">
        <v>32</v>
      </c>
      <c r="P13" s="47" t="s">
        <v>32</v>
      </c>
      <c r="Q13" s="46" t="s">
        <v>32</v>
      </c>
      <c r="R13" s="45" t="s">
        <v>32</v>
      </c>
      <c r="S13" s="48" t="s">
        <v>32</v>
      </c>
      <c r="T13" s="44" t="s">
        <v>32</v>
      </c>
      <c r="U13" s="45" t="s">
        <v>32</v>
      </c>
      <c r="V13" s="47" t="s">
        <v>32</v>
      </c>
      <c r="W13" s="46" t="s">
        <v>32</v>
      </c>
      <c r="X13" s="45" t="s">
        <v>32</v>
      </c>
      <c r="Y13" s="47" t="s">
        <v>32</v>
      </c>
      <c r="Z13" s="46" t="s">
        <v>32</v>
      </c>
      <c r="AA13" s="45" t="s">
        <v>32</v>
      </c>
      <c r="AB13" s="48" t="s">
        <v>32</v>
      </c>
      <c r="AD13" s="44" t="s">
        <v>32</v>
      </c>
      <c r="AE13" s="45" t="s">
        <v>32</v>
      </c>
      <c r="AF13" s="47" t="s">
        <v>32</v>
      </c>
      <c r="AG13" s="46" t="s">
        <v>32</v>
      </c>
      <c r="AH13" s="45" t="s">
        <v>32</v>
      </c>
      <c r="AI13" s="47" t="s">
        <v>32</v>
      </c>
      <c r="AJ13" s="46" t="s">
        <v>32</v>
      </c>
      <c r="AK13" s="45" t="s">
        <v>32</v>
      </c>
      <c r="AL13" s="48" t="s">
        <v>32</v>
      </c>
      <c r="AM13" s="44" t="s">
        <v>32</v>
      </c>
      <c r="AN13" s="45" t="s">
        <v>32</v>
      </c>
      <c r="AO13" s="47" t="s">
        <v>32</v>
      </c>
      <c r="AP13" s="46" t="s">
        <v>32</v>
      </c>
      <c r="AQ13" s="45" t="s">
        <v>32</v>
      </c>
      <c r="AR13" s="47" t="s">
        <v>32</v>
      </c>
      <c r="AS13" s="46" t="s">
        <v>32</v>
      </c>
      <c r="AT13" s="45" t="s">
        <v>32</v>
      </c>
      <c r="AU13" s="48" t="s">
        <v>32</v>
      </c>
      <c r="AV13" s="44" t="s">
        <v>32</v>
      </c>
      <c r="AW13" s="45" t="s">
        <v>32</v>
      </c>
      <c r="AX13" s="47" t="s">
        <v>32</v>
      </c>
      <c r="AY13" s="46" t="s">
        <v>32</v>
      </c>
      <c r="AZ13" s="45" t="s">
        <v>32</v>
      </c>
      <c r="BA13" s="47" t="s">
        <v>32</v>
      </c>
      <c r="BB13" s="46" t="s">
        <v>32</v>
      </c>
      <c r="BC13" s="45">
        <v>0</v>
      </c>
      <c r="BD13" s="48">
        <v>0</v>
      </c>
      <c r="BF13" s="44" t="s">
        <v>32</v>
      </c>
      <c r="BG13" s="45" t="s">
        <v>32</v>
      </c>
      <c r="BH13" s="47" t="s">
        <v>32</v>
      </c>
      <c r="BI13" s="46" t="s">
        <v>32</v>
      </c>
      <c r="BJ13" s="45" t="s">
        <v>32</v>
      </c>
      <c r="BK13" s="47" t="s">
        <v>32</v>
      </c>
      <c r="BL13" s="46" t="s">
        <v>32</v>
      </c>
      <c r="BM13" s="45" t="s">
        <v>32</v>
      </c>
      <c r="BN13" s="48" t="s">
        <v>32</v>
      </c>
      <c r="BO13" s="44" t="s">
        <v>32</v>
      </c>
      <c r="BP13" s="45" t="s">
        <v>32</v>
      </c>
      <c r="BQ13" s="47" t="s">
        <v>32</v>
      </c>
      <c r="BR13" s="46" t="s">
        <v>32</v>
      </c>
      <c r="BS13" s="45" t="s">
        <v>32</v>
      </c>
      <c r="BT13" s="47" t="s">
        <v>32</v>
      </c>
      <c r="BU13" s="46" t="s">
        <v>32</v>
      </c>
      <c r="BV13" s="45" t="s">
        <v>32</v>
      </c>
      <c r="BW13" s="48" t="s">
        <v>32</v>
      </c>
      <c r="BX13" s="44" t="s">
        <v>32</v>
      </c>
      <c r="BY13" s="45" t="s">
        <v>32</v>
      </c>
      <c r="BZ13" s="47" t="s">
        <v>32</v>
      </c>
      <c r="CA13" s="46" t="s">
        <v>32</v>
      </c>
      <c r="CB13" s="45" t="s">
        <v>32</v>
      </c>
      <c r="CC13" s="47" t="s">
        <v>32</v>
      </c>
      <c r="CD13" s="46" t="s">
        <v>32</v>
      </c>
      <c r="CE13" s="156">
        <v>6</v>
      </c>
      <c r="CF13" s="48">
        <v>0</v>
      </c>
    </row>
    <row r="14" spans="2:84" ht="15" customHeight="1">
      <c r="B14" s="49">
        <v>0</v>
      </c>
      <c r="C14" s="50" t="s">
        <v>32</v>
      </c>
      <c r="D14" s="51" t="s">
        <v>32</v>
      </c>
      <c r="E14" s="52" t="s">
        <v>32</v>
      </c>
      <c r="F14" s="50" t="s">
        <v>32</v>
      </c>
      <c r="G14" s="51" t="s">
        <v>32</v>
      </c>
      <c r="H14" s="52" t="s">
        <v>32</v>
      </c>
      <c r="I14" s="50" t="s">
        <v>32</v>
      </c>
      <c r="J14" s="53" t="s">
        <v>32</v>
      </c>
      <c r="K14" s="49" t="s">
        <v>32</v>
      </c>
      <c r="L14" s="50">
        <v>0</v>
      </c>
      <c r="M14" s="51">
        <v>0</v>
      </c>
      <c r="N14" s="52">
        <v>0</v>
      </c>
      <c r="O14" s="50" t="s">
        <v>32</v>
      </c>
      <c r="P14" s="51" t="s">
        <v>32</v>
      </c>
      <c r="Q14" s="52" t="s">
        <v>32</v>
      </c>
      <c r="R14" s="50" t="s">
        <v>32</v>
      </c>
      <c r="S14" s="53" t="s">
        <v>32</v>
      </c>
      <c r="T14" s="49" t="s">
        <v>32</v>
      </c>
      <c r="U14" s="50" t="s">
        <v>32</v>
      </c>
      <c r="V14" s="51" t="s">
        <v>32</v>
      </c>
      <c r="W14" s="52" t="s">
        <v>32</v>
      </c>
      <c r="X14" s="50" t="s">
        <v>32</v>
      </c>
      <c r="Y14" s="51" t="s">
        <v>32</v>
      </c>
      <c r="Z14" s="52">
        <v>0</v>
      </c>
      <c r="AA14" s="50">
        <v>0</v>
      </c>
      <c r="AB14" s="53">
        <v>0</v>
      </c>
      <c r="AD14" s="49" t="s">
        <v>32</v>
      </c>
      <c r="AE14" s="50" t="s">
        <v>32</v>
      </c>
      <c r="AF14" s="51" t="s">
        <v>32</v>
      </c>
      <c r="AG14" s="52" t="s">
        <v>32</v>
      </c>
      <c r="AH14" s="50" t="s">
        <v>32</v>
      </c>
      <c r="AI14" s="51" t="s">
        <v>32</v>
      </c>
      <c r="AJ14" s="52" t="s">
        <v>32</v>
      </c>
      <c r="AK14" s="50" t="s">
        <v>32</v>
      </c>
      <c r="AL14" s="53" t="s">
        <v>32</v>
      </c>
      <c r="AM14" s="49" t="s">
        <v>32</v>
      </c>
      <c r="AN14" s="50">
        <v>0</v>
      </c>
      <c r="AO14" s="51" t="s">
        <v>32</v>
      </c>
      <c r="AP14" s="52" t="s">
        <v>32</v>
      </c>
      <c r="AQ14" s="50" t="s">
        <v>32</v>
      </c>
      <c r="AR14" s="51" t="s">
        <v>32</v>
      </c>
      <c r="AS14" s="52" t="s">
        <v>32</v>
      </c>
      <c r="AT14" s="50" t="s">
        <v>32</v>
      </c>
      <c r="AU14" s="53" t="s">
        <v>32</v>
      </c>
      <c r="AV14" s="49" t="s">
        <v>32</v>
      </c>
      <c r="AW14" s="50" t="s">
        <v>32</v>
      </c>
      <c r="AX14" s="51">
        <v>0</v>
      </c>
      <c r="AY14" s="52">
        <v>0</v>
      </c>
      <c r="AZ14" s="160">
        <v>4</v>
      </c>
      <c r="BA14" s="51">
        <v>0</v>
      </c>
      <c r="BB14" s="161">
        <v>8</v>
      </c>
      <c r="BC14" s="160">
        <v>3</v>
      </c>
      <c r="BD14" s="162">
        <v>7</v>
      </c>
      <c r="BF14" s="49" t="s">
        <v>32</v>
      </c>
      <c r="BG14" s="50" t="s">
        <v>32</v>
      </c>
      <c r="BH14" s="51">
        <v>0</v>
      </c>
      <c r="BI14" s="52">
        <v>0</v>
      </c>
      <c r="BJ14" s="160">
        <v>5</v>
      </c>
      <c r="BK14" s="163">
        <v>8</v>
      </c>
      <c r="BL14" s="52" t="s">
        <v>32</v>
      </c>
      <c r="BM14" s="50" t="s">
        <v>32</v>
      </c>
      <c r="BN14" s="53" t="s">
        <v>32</v>
      </c>
      <c r="BO14" s="49" t="s">
        <v>32</v>
      </c>
      <c r="BP14" s="50" t="s">
        <v>32</v>
      </c>
      <c r="BQ14" s="51" t="s">
        <v>32</v>
      </c>
      <c r="BR14" s="52" t="s">
        <v>32</v>
      </c>
      <c r="BS14" s="50" t="s">
        <v>32</v>
      </c>
      <c r="BT14" s="51" t="s">
        <v>32</v>
      </c>
      <c r="BU14" s="52">
        <v>0</v>
      </c>
      <c r="BV14" s="50">
        <v>0</v>
      </c>
      <c r="BW14" s="53" t="s">
        <v>32</v>
      </c>
      <c r="BX14" s="49" t="s">
        <v>32</v>
      </c>
      <c r="BY14" s="50" t="s">
        <v>32</v>
      </c>
      <c r="BZ14" s="51" t="s">
        <v>32</v>
      </c>
      <c r="CA14" s="52" t="s">
        <v>32</v>
      </c>
      <c r="CB14" s="50" t="s">
        <v>32</v>
      </c>
      <c r="CC14" s="51" t="s">
        <v>32</v>
      </c>
      <c r="CD14" s="52" t="s">
        <v>32</v>
      </c>
      <c r="CE14" s="160" t="s">
        <v>32</v>
      </c>
      <c r="CF14" s="53">
        <v>0</v>
      </c>
    </row>
    <row r="15" spans="2:84" ht="15" customHeight="1">
      <c r="B15" s="150">
        <v>7</v>
      </c>
      <c r="C15" s="39">
        <v>0</v>
      </c>
      <c r="D15" s="151">
        <v>9</v>
      </c>
      <c r="E15" s="40" t="s">
        <v>32</v>
      </c>
      <c r="F15" s="39" t="s">
        <v>32</v>
      </c>
      <c r="G15" s="41" t="s">
        <v>32</v>
      </c>
      <c r="H15" s="40" t="s">
        <v>32</v>
      </c>
      <c r="I15" s="39" t="s">
        <v>32</v>
      </c>
      <c r="J15" s="42" t="s">
        <v>32</v>
      </c>
      <c r="K15" s="43" t="s">
        <v>32</v>
      </c>
      <c r="L15" s="39" t="s">
        <v>32</v>
      </c>
      <c r="M15" s="41" t="s">
        <v>32</v>
      </c>
      <c r="N15" s="40">
        <v>0</v>
      </c>
      <c r="O15" s="39">
        <v>0</v>
      </c>
      <c r="P15" s="41">
        <v>0</v>
      </c>
      <c r="Q15" s="40" t="s">
        <v>32</v>
      </c>
      <c r="R15" s="39" t="s">
        <v>32</v>
      </c>
      <c r="S15" s="42" t="s">
        <v>32</v>
      </c>
      <c r="T15" s="43" t="s">
        <v>32</v>
      </c>
      <c r="U15" s="39" t="s">
        <v>32</v>
      </c>
      <c r="V15" s="41" t="s">
        <v>32</v>
      </c>
      <c r="W15" s="40" t="s">
        <v>32</v>
      </c>
      <c r="X15" s="39" t="s">
        <v>32</v>
      </c>
      <c r="Y15" s="41" t="s">
        <v>32</v>
      </c>
      <c r="Z15" s="153">
        <v>3</v>
      </c>
      <c r="AA15" s="39">
        <v>0</v>
      </c>
      <c r="AB15" s="152">
        <v>5</v>
      </c>
      <c r="AD15" s="43" t="s">
        <v>32</v>
      </c>
      <c r="AE15" s="39" t="s">
        <v>32</v>
      </c>
      <c r="AF15" s="41" t="s">
        <v>32</v>
      </c>
      <c r="AG15" s="40" t="s">
        <v>32</v>
      </c>
      <c r="AH15" s="39" t="s">
        <v>32</v>
      </c>
      <c r="AI15" s="41" t="s">
        <v>32</v>
      </c>
      <c r="AJ15" s="40" t="s">
        <v>32</v>
      </c>
      <c r="AK15" s="39" t="s">
        <v>32</v>
      </c>
      <c r="AL15" s="42" t="s">
        <v>32</v>
      </c>
      <c r="AM15" s="43" t="s">
        <v>32</v>
      </c>
      <c r="AN15" s="39">
        <v>0</v>
      </c>
      <c r="AO15" s="41">
        <v>0</v>
      </c>
      <c r="AP15" s="40">
        <v>0</v>
      </c>
      <c r="AQ15" s="39">
        <v>0</v>
      </c>
      <c r="AR15" s="41">
        <v>0</v>
      </c>
      <c r="AS15" s="40">
        <v>0</v>
      </c>
      <c r="AT15" s="39">
        <v>0</v>
      </c>
      <c r="AU15" s="42" t="s">
        <v>32</v>
      </c>
      <c r="AV15" s="43" t="s">
        <v>32</v>
      </c>
      <c r="AW15" s="39" t="s">
        <v>32</v>
      </c>
      <c r="AX15" s="41" t="s">
        <v>32</v>
      </c>
      <c r="AY15" s="40" t="s">
        <v>32</v>
      </c>
      <c r="AZ15" s="39" t="s">
        <v>32</v>
      </c>
      <c r="BA15" s="41" t="s">
        <v>32</v>
      </c>
      <c r="BB15" s="40" t="s">
        <v>32</v>
      </c>
      <c r="BC15" s="39" t="s">
        <v>32</v>
      </c>
      <c r="BD15" s="42" t="s">
        <v>32</v>
      </c>
      <c r="BF15" s="43" t="s">
        <v>32</v>
      </c>
      <c r="BG15" s="39">
        <v>0</v>
      </c>
      <c r="BH15" s="151">
        <v>1</v>
      </c>
      <c r="BI15" s="40">
        <v>0</v>
      </c>
      <c r="BJ15" s="39">
        <v>0</v>
      </c>
      <c r="BK15" s="41">
        <v>0</v>
      </c>
      <c r="BL15" s="40" t="s">
        <v>32</v>
      </c>
      <c r="BM15" s="39" t="s">
        <v>32</v>
      </c>
      <c r="BN15" s="42" t="s">
        <v>32</v>
      </c>
      <c r="BO15" s="43" t="s">
        <v>32</v>
      </c>
      <c r="BP15" s="39" t="s">
        <v>32</v>
      </c>
      <c r="BQ15" s="41" t="s">
        <v>32</v>
      </c>
      <c r="BR15" s="40" t="s">
        <v>32</v>
      </c>
      <c r="BS15" s="39" t="s">
        <v>32</v>
      </c>
      <c r="BT15" s="41" t="s">
        <v>32</v>
      </c>
      <c r="BU15" s="40">
        <v>0</v>
      </c>
      <c r="BV15" s="39" t="s">
        <v>32</v>
      </c>
      <c r="BW15" s="42" t="s">
        <v>32</v>
      </c>
      <c r="BX15" s="43" t="s">
        <v>32</v>
      </c>
      <c r="BY15" s="39" t="s">
        <v>32</v>
      </c>
      <c r="BZ15" s="41" t="s">
        <v>32</v>
      </c>
      <c r="CA15" s="40" t="s">
        <v>32</v>
      </c>
      <c r="CB15" s="39" t="s">
        <v>32</v>
      </c>
      <c r="CC15" s="41" t="s">
        <v>32</v>
      </c>
      <c r="CD15" s="40" t="s">
        <v>32</v>
      </c>
      <c r="CE15" s="154">
        <v>3</v>
      </c>
      <c r="CF15" s="152">
        <v>5</v>
      </c>
    </row>
    <row r="16" spans="2:84" ht="15" customHeight="1">
      <c r="B16" s="44">
        <v>0</v>
      </c>
      <c r="C16" s="45">
        <v>0</v>
      </c>
      <c r="D16" s="47">
        <v>0</v>
      </c>
      <c r="E16" s="46" t="s">
        <v>32</v>
      </c>
      <c r="F16" s="45" t="s">
        <v>32</v>
      </c>
      <c r="G16" s="47" t="s">
        <v>32</v>
      </c>
      <c r="H16" s="46" t="s">
        <v>32</v>
      </c>
      <c r="I16" s="45" t="s">
        <v>32</v>
      </c>
      <c r="J16" s="48" t="s">
        <v>32</v>
      </c>
      <c r="K16" s="44" t="s">
        <v>32</v>
      </c>
      <c r="L16" s="45" t="s">
        <v>32</v>
      </c>
      <c r="M16" s="47" t="s">
        <v>32</v>
      </c>
      <c r="N16" s="46" t="s">
        <v>32</v>
      </c>
      <c r="O16" s="45" t="s">
        <v>32</v>
      </c>
      <c r="P16" s="47">
        <v>0</v>
      </c>
      <c r="Q16" s="46">
        <v>0</v>
      </c>
      <c r="R16" s="45">
        <v>0</v>
      </c>
      <c r="S16" s="48" t="s">
        <v>32</v>
      </c>
      <c r="T16" s="44" t="s">
        <v>32</v>
      </c>
      <c r="U16" s="45" t="s">
        <v>32</v>
      </c>
      <c r="V16" s="47" t="s">
        <v>32</v>
      </c>
      <c r="W16" s="46" t="s">
        <v>32</v>
      </c>
      <c r="X16" s="45" t="s">
        <v>32</v>
      </c>
      <c r="Y16" s="47" t="s">
        <v>32</v>
      </c>
      <c r="Z16" s="46" t="s">
        <v>32</v>
      </c>
      <c r="AA16" s="45" t="s">
        <v>32</v>
      </c>
      <c r="AB16" s="48">
        <v>0</v>
      </c>
      <c r="AD16" s="158">
        <v>1</v>
      </c>
      <c r="AE16" s="156">
        <v>6</v>
      </c>
      <c r="AF16" s="155">
        <v>5</v>
      </c>
      <c r="AG16" s="46">
        <v>0</v>
      </c>
      <c r="AH16" s="156">
        <v>2</v>
      </c>
      <c r="AI16" s="47">
        <v>0</v>
      </c>
      <c r="AJ16" s="157">
        <v>4</v>
      </c>
      <c r="AK16" s="45" t="s">
        <v>32</v>
      </c>
      <c r="AL16" s="48" t="s">
        <v>32</v>
      </c>
      <c r="AM16" s="44" t="s">
        <v>32</v>
      </c>
      <c r="AN16" s="45" t="s">
        <v>32</v>
      </c>
      <c r="AO16" s="47" t="s">
        <v>32</v>
      </c>
      <c r="AP16" s="46" t="s">
        <v>32</v>
      </c>
      <c r="AQ16" s="45" t="s">
        <v>32</v>
      </c>
      <c r="AR16" s="47" t="s">
        <v>32</v>
      </c>
      <c r="AS16" s="46" t="s">
        <v>32</v>
      </c>
      <c r="AT16" s="45">
        <v>0</v>
      </c>
      <c r="AU16" s="48" t="s">
        <v>32</v>
      </c>
      <c r="AV16" s="44" t="s">
        <v>32</v>
      </c>
      <c r="AW16" s="45" t="s">
        <v>32</v>
      </c>
      <c r="AX16" s="47" t="s">
        <v>32</v>
      </c>
      <c r="AY16" s="46" t="s">
        <v>32</v>
      </c>
      <c r="AZ16" s="45" t="s">
        <v>32</v>
      </c>
      <c r="BA16" s="47" t="s">
        <v>32</v>
      </c>
      <c r="BB16" s="46" t="s">
        <v>32</v>
      </c>
      <c r="BC16" s="45" t="s">
        <v>32</v>
      </c>
      <c r="BD16" s="48" t="s">
        <v>32</v>
      </c>
      <c r="BF16" s="44" t="s">
        <v>32</v>
      </c>
      <c r="BG16" s="45" t="s">
        <v>32</v>
      </c>
      <c r="BH16" s="47" t="s">
        <v>32</v>
      </c>
      <c r="BI16" s="46" t="s">
        <v>32</v>
      </c>
      <c r="BJ16" s="45" t="s">
        <v>32</v>
      </c>
      <c r="BK16" s="47" t="s">
        <v>32</v>
      </c>
      <c r="BL16" s="46" t="s">
        <v>32</v>
      </c>
      <c r="BM16" s="45" t="s">
        <v>32</v>
      </c>
      <c r="BN16" s="48" t="s">
        <v>32</v>
      </c>
      <c r="BO16" s="44" t="s">
        <v>32</v>
      </c>
      <c r="BP16" s="45" t="s">
        <v>32</v>
      </c>
      <c r="BQ16" s="47" t="s">
        <v>32</v>
      </c>
      <c r="BR16" s="46" t="s">
        <v>32</v>
      </c>
      <c r="BS16" s="45" t="s">
        <v>32</v>
      </c>
      <c r="BT16" s="47" t="s">
        <v>32</v>
      </c>
      <c r="BU16" s="157">
        <v>6</v>
      </c>
      <c r="BV16" s="45" t="s">
        <v>32</v>
      </c>
      <c r="BW16" s="48" t="s">
        <v>32</v>
      </c>
      <c r="BX16" s="44" t="s">
        <v>32</v>
      </c>
      <c r="BY16" s="45" t="s">
        <v>32</v>
      </c>
      <c r="BZ16" s="47" t="s">
        <v>32</v>
      </c>
      <c r="CA16" s="46" t="s">
        <v>32</v>
      </c>
      <c r="CB16" s="45" t="s">
        <v>32</v>
      </c>
      <c r="CC16" s="47" t="s">
        <v>32</v>
      </c>
      <c r="CD16" s="46" t="s">
        <v>32</v>
      </c>
      <c r="CE16" s="156">
        <v>7</v>
      </c>
      <c r="CF16" s="48">
        <v>0</v>
      </c>
    </row>
    <row r="17" spans="2:84" ht="15" customHeight="1">
      <c r="B17" s="49" t="s">
        <v>32</v>
      </c>
      <c r="C17" s="50" t="s">
        <v>32</v>
      </c>
      <c r="D17" s="51" t="s">
        <v>32</v>
      </c>
      <c r="E17" s="52" t="s">
        <v>32</v>
      </c>
      <c r="F17" s="50" t="s">
        <v>32</v>
      </c>
      <c r="G17" s="51" t="s">
        <v>32</v>
      </c>
      <c r="H17" s="52" t="s">
        <v>32</v>
      </c>
      <c r="I17" s="50" t="s">
        <v>32</v>
      </c>
      <c r="J17" s="53" t="s">
        <v>32</v>
      </c>
      <c r="K17" s="49" t="s">
        <v>32</v>
      </c>
      <c r="L17" s="50" t="s">
        <v>32</v>
      </c>
      <c r="M17" s="51" t="s">
        <v>32</v>
      </c>
      <c r="N17" s="52" t="s">
        <v>32</v>
      </c>
      <c r="O17" s="50" t="s">
        <v>32</v>
      </c>
      <c r="P17" s="51" t="s">
        <v>32</v>
      </c>
      <c r="Q17" s="52" t="s">
        <v>32</v>
      </c>
      <c r="R17" s="50" t="s">
        <v>32</v>
      </c>
      <c r="S17" s="53" t="s">
        <v>32</v>
      </c>
      <c r="T17" s="49" t="s">
        <v>32</v>
      </c>
      <c r="U17" s="50" t="s">
        <v>32</v>
      </c>
      <c r="V17" s="51" t="s">
        <v>32</v>
      </c>
      <c r="W17" s="52" t="s">
        <v>32</v>
      </c>
      <c r="X17" s="50" t="s">
        <v>32</v>
      </c>
      <c r="Y17" s="51" t="s">
        <v>32</v>
      </c>
      <c r="Z17" s="52" t="s">
        <v>32</v>
      </c>
      <c r="AA17" s="50">
        <v>0</v>
      </c>
      <c r="AB17" s="53">
        <v>0</v>
      </c>
      <c r="AD17" s="49">
        <v>0</v>
      </c>
      <c r="AE17" s="50">
        <v>0</v>
      </c>
      <c r="AF17" s="51" t="s">
        <v>32</v>
      </c>
      <c r="AG17" s="52" t="s">
        <v>32</v>
      </c>
      <c r="AH17" s="50" t="s">
        <v>32</v>
      </c>
      <c r="AI17" s="51" t="s">
        <v>32</v>
      </c>
      <c r="AJ17" s="52" t="s">
        <v>32</v>
      </c>
      <c r="AK17" s="50" t="s">
        <v>32</v>
      </c>
      <c r="AL17" s="53" t="s">
        <v>32</v>
      </c>
      <c r="AM17" s="49" t="s">
        <v>32</v>
      </c>
      <c r="AN17" s="50" t="s">
        <v>32</v>
      </c>
      <c r="AO17" s="51" t="s">
        <v>32</v>
      </c>
      <c r="AP17" s="52" t="s">
        <v>32</v>
      </c>
      <c r="AQ17" s="50" t="s">
        <v>32</v>
      </c>
      <c r="AR17" s="51" t="s">
        <v>32</v>
      </c>
      <c r="AS17" s="52" t="s">
        <v>32</v>
      </c>
      <c r="AT17" s="50" t="s">
        <v>32</v>
      </c>
      <c r="AU17" s="53" t="s">
        <v>32</v>
      </c>
      <c r="AV17" s="49" t="s">
        <v>32</v>
      </c>
      <c r="AW17" s="50" t="s">
        <v>32</v>
      </c>
      <c r="AX17" s="51" t="s">
        <v>32</v>
      </c>
      <c r="AY17" s="52" t="s">
        <v>32</v>
      </c>
      <c r="AZ17" s="50" t="s">
        <v>32</v>
      </c>
      <c r="BA17" s="51" t="s">
        <v>32</v>
      </c>
      <c r="BB17" s="52" t="s">
        <v>32</v>
      </c>
      <c r="BC17" s="50" t="s">
        <v>32</v>
      </c>
      <c r="BD17" s="53" t="s">
        <v>32</v>
      </c>
      <c r="BF17" s="49" t="s">
        <v>32</v>
      </c>
      <c r="BG17" s="50" t="s">
        <v>32</v>
      </c>
      <c r="BH17" s="51" t="s">
        <v>32</v>
      </c>
      <c r="BI17" s="52" t="s">
        <v>32</v>
      </c>
      <c r="BJ17" s="50" t="s">
        <v>32</v>
      </c>
      <c r="BK17" s="51" t="s">
        <v>32</v>
      </c>
      <c r="BL17" s="52" t="s">
        <v>32</v>
      </c>
      <c r="BM17" s="50" t="s">
        <v>32</v>
      </c>
      <c r="BN17" s="53" t="s">
        <v>32</v>
      </c>
      <c r="BO17" s="49" t="s">
        <v>32</v>
      </c>
      <c r="BP17" s="50" t="s">
        <v>32</v>
      </c>
      <c r="BQ17" s="51" t="s">
        <v>32</v>
      </c>
      <c r="BR17" s="52" t="s">
        <v>32</v>
      </c>
      <c r="BS17" s="50">
        <v>0</v>
      </c>
      <c r="BT17" s="51" t="s">
        <v>32</v>
      </c>
      <c r="BU17" s="52">
        <v>0</v>
      </c>
      <c r="BV17" s="50" t="s">
        <v>32</v>
      </c>
      <c r="BW17" s="53" t="s">
        <v>32</v>
      </c>
      <c r="BX17" s="49" t="s">
        <v>32</v>
      </c>
      <c r="BY17" s="50" t="s">
        <v>32</v>
      </c>
      <c r="BZ17" s="51" t="s">
        <v>32</v>
      </c>
      <c r="CA17" s="52" t="s">
        <v>32</v>
      </c>
      <c r="CB17" s="50" t="s">
        <v>32</v>
      </c>
      <c r="CC17" s="51" t="s">
        <v>32</v>
      </c>
      <c r="CD17" s="52" t="s">
        <v>32</v>
      </c>
      <c r="CE17" s="50">
        <v>0</v>
      </c>
      <c r="CF17" s="53">
        <v>0</v>
      </c>
    </row>
    <row r="18" spans="2:84" ht="15" customHeight="1">
      <c r="B18" s="43" t="s">
        <v>32</v>
      </c>
      <c r="C18" s="39" t="s">
        <v>32</v>
      </c>
      <c r="D18" s="41" t="s">
        <v>32</v>
      </c>
      <c r="E18" s="40" t="s">
        <v>32</v>
      </c>
      <c r="F18" s="39" t="s">
        <v>32</v>
      </c>
      <c r="G18" s="41" t="s">
        <v>32</v>
      </c>
      <c r="H18" s="40" t="s">
        <v>32</v>
      </c>
      <c r="I18" s="39" t="s">
        <v>32</v>
      </c>
      <c r="J18" s="42" t="s">
        <v>32</v>
      </c>
      <c r="K18" s="43" t="s">
        <v>32</v>
      </c>
      <c r="L18" s="39" t="s">
        <v>32</v>
      </c>
      <c r="M18" s="41" t="s">
        <v>32</v>
      </c>
      <c r="N18" s="40" t="s">
        <v>32</v>
      </c>
      <c r="O18" s="39" t="s">
        <v>32</v>
      </c>
      <c r="P18" s="41" t="s">
        <v>32</v>
      </c>
      <c r="Q18" s="40" t="s">
        <v>32</v>
      </c>
      <c r="R18" s="39" t="s">
        <v>32</v>
      </c>
      <c r="S18" s="42" t="s">
        <v>32</v>
      </c>
      <c r="T18" s="43" t="s">
        <v>32</v>
      </c>
      <c r="U18" s="39" t="s">
        <v>32</v>
      </c>
      <c r="V18" s="41" t="s">
        <v>32</v>
      </c>
      <c r="W18" s="40" t="s">
        <v>32</v>
      </c>
      <c r="X18" s="39" t="s">
        <v>32</v>
      </c>
      <c r="Y18" s="41" t="s">
        <v>32</v>
      </c>
      <c r="Z18" s="40" t="s">
        <v>32</v>
      </c>
      <c r="AA18" s="39" t="s">
        <v>32</v>
      </c>
      <c r="AB18" s="42" t="s">
        <v>32</v>
      </c>
      <c r="AD18" s="43" t="s">
        <v>32</v>
      </c>
      <c r="AE18" s="39" t="s">
        <v>32</v>
      </c>
      <c r="AF18" s="41" t="s">
        <v>32</v>
      </c>
      <c r="AG18" s="40" t="s">
        <v>32</v>
      </c>
      <c r="AH18" s="39" t="s">
        <v>32</v>
      </c>
      <c r="AI18" s="41" t="s">
        <v>32</v>
      </c>
      <c r="AJ18" s="40" t="s">
        <v>32</v>
      </c>
      <c r="AK18" s="39" t="s">
        <v>32</v>
      </c>
      <c r="AL18" s="42" t="s">
        <v>32</v>
      </c>
      <c r="AM18" s="43" t="s">
        <v>32</v>
      </c>
      <c r="AN18" s="39" t="s">
        <v>32</v>
      </c>
      <c r="AO18" s="41" t="s">
        <v>32</v>
      </c>
      <c r="AP18" s="40" t="s">
        <v>32</v>
      </c>
      <c r="AQ18" s="39" t="s">
        <v>32</v>
      </c>
      <c r="AR18" s="41" t="s">
        <v>32</v>
      </c>
      <c r="AS18" s="40" t="s">
        <v>32</v>
      </c>
      <c r="AT18" s="39" t="s">
        <v>32</v>
      </c>
      <c r="AU18" s="42" t="s">
        <v>32</v>
      </c>
      <c r="AV18" s="43" t="s">
        <v>32</v>
      </c>
      <c r="AW18" s="39" t="s">
        <v>32</v>
      </c>
      <c r="AX18" s="41" t="s">
        <v>32</v>
      </c>
      <c r="AY18" s="40" t="s">
        <v>32</v>
      </c>
      <c r="AZ18" s="39" t="s">
        <v>32</v>
      </c>
      <c r="BA18" s="41" t="s">
        <v>32</v>
      </c>
      <c r="BB18" s="40" t="s">
        <v>32</v>
      </c>
      <c r="BC18" s="39" t="s">
        <v>32</v>
      </c>
      <c r="BD18" s="42" t="s">
        <v>32</v>
      </c>
      <c r="BF18" s="43" t="s">
        <v>32</v>
      </c>
      <c r="BG18" s="39" t="s">
        <v>32</v>
      </c>
      <c r="BH18" s="41" t="s">
        <v>32</v>
      </c>
      <c r="BI18" s="40" t="s">
        <v>32</v>
      </c>
      <c r="BJ18" s="39" t="s">
        <v>32</v>
      </c>
      <c r="BK18" s="41" t="s">
        <v>32</v>
      </c>
      <c r="BL18" s="40" t="s">
        <v>32</v>
      </c>
      <c r="BM18" s="39" t="s">
        <v>32</v>
      </c>
      <c r="BN18" s="42" t="s">
        <v>32</v>
      </c>
      <c r="BO18" s="43" t="s">
        <v>32</v>
      </c>
      <c r="BP18" s="39" t="s">
        <v>32</v>
      </c>
      <c r="BQ18" s="41" t="s">
        <v>32</v>
      </c>
      <c r="BR18" s="40" t="s">
        <v>32</v>
      </c>
      <c r="BS18" s="154">
        <v>3</v>
      </c>
      <c r="BT18" s="41">
        <v>0</v>
      </c>
      <c r="BU18" s="40">
        <v>0</v>
      </c>
      <c r="BV18" s="39" t="s">
        <v>32</v>
      </c>
      <c r="BW18" s="42" t="s">
        <v>32</v>
      </c>
      <c r="BX18" s="43" t="s">
        <v>32</v>
      </c>
      <c r="BY18" s="39" t="s">
        <v>32</v>
      </c>
      <c r="BZ18" s="41" t="s">
        <v>32</v>
      </c>
      <c r="CA18" s="40" t="s">
        <v>32</v>
      </c>
      <c r="CB18" s="39" t="s">
        <v>32</v>
      </c>
      <c r="CC18" s="41" t="s">
        <v>32</v>
      </c>
      <c r="CD18" s="40" t="s">
        <v>32</v>
      </c>
      <c r="CE18" s="39" t="s">
        <v>32</v>
      </c>
      <c r="CF18" s="42" t="s">
        <v>32</v>
      </c>
    </row>
    <row r="19" spans="2:84" ht="15" customHeight="1" thickBot="1">
      <c r="B19" s="54" t="s">
        <v>32</v>
      </c>
      <c r="C19" s="55" t="s">
        <v>32</v>
      </c>
      <c r="D19" s="56" t="s">
        <v>32</v>
      </c>
      <c r="E19" s="57" t="s">
        <v>32</v>
      </c>
      <c r="F19" s="55" t="s">
        <v>32</v>
      </c>
      <c r="G19" s="56" t="s">
        <v>32</v>
      </c>
      <c r="H19" s="57" t="s">
        <v>32</v>
      </c>
      <c r="I19" s="55" t="s">
        <v>32</v>
      </c>
      <c r="J19" s="58" t="s">
        <v>32</v>
      </c>
      <c r="K19" s="54" t="s">
        <v>32</v>
      </c>
      <c r="L19" s="55" t="s">
        <v>32</v>
      </c>
      <c r="M19" s="56" t="s">
        <v>32</v>
      </c>
      <c r="N19" s="57" t="s">
        <v>32</v>
      </c>
      <c r="O19" s="55" t="s">
        <v>32</v>
      </c>
      <c r="P19" s="56" t="s">
        <v>32</v>
      </c>
      <c r="Q19" s="57" t="s">
        <v>32</v>
      </c>
      <c r="R19" s="55" t="s">
        <v>32</v>
      </c>
      <c r="S19" s="58" t="s">
        <v>32</v>
      </c>
      <c r="T19" s="54" t="s">
        <v>32</v>
      </c>
      <c r="U19" s="55" t="s">
        <v>32</v>
      </c>
      <c r="V19" s="56" t="s">
        <v>32</v>
      </c>
      <c r="W19" s="57" t="s">
        <v>32</v>
      </c>
      <c r="X19" s="55" t="s">
        <v>32</v>
      </c>
      <c r="Y19" s="56" t="s">
        <v>32</v>
      </c>
      <c r="Z19" s="57" t="s">
        <v>32</v>
      </c>
      <c r="AA19" s="55" t="s">
        <v>32</v>
      </c>
      <c r="AB19" s="58" t="s">
        <v>32</v>
      </c>
      <c r="AD19" s="54" t="s">
        <v>32</v>
      </c>
      <c r="AE19" s="55" t="s">
        <v>32</v>
      </c>
      <c r="AF19" s="56" t="s">
        <v>32</v>
      </c>
      <c r="AG19" s="57" t="s">
        <v>32</v>
      </c>
      <c r="AH19" s="55" t="s">
        <v>32</v>
      </c>
      <c r="AI19" s="56" t="s">
        <v>32</v>
      </c>
      <c r="AJ19" s="57" t="s">
        <v>32</v>
      </c>
      <c r="AK19" s="55" t="s">
        <v>32</v>
      </c>
      <c r="AL19" s="58" t="s">
        <v>32</v>
      </c>
      <c r="AM19" s="54" t="s">
        <v>32</v>
      </c>
      <c r="AN19" s="55" t="s">
        <v>32</v>
      </c>
      <c r="AO19" s="56" t="s">
        <v>32</v>
      </c>
      <c r="AP19" s="57" t="s">
        <v>32</v>
      </c>
      <c r="AQ19" s="55" t="s">
        <v>32</v>
      </c>
      <c r="AR19" s="56" t="s">
        <v>32</v>
      </c>
      <c r="AS19" s="57" t="s">
        <v>32</v>
      </c>
      <c r="AT19" s="55" t="s">
        <v>32</v>
      </c>
      <c r="AU19" s="58" t="s">
        <v>32</v>
      </c>
      <c r="AV19" s="54" t="s">
        <v>32</v>
      </c>
      <c r="AW19" s="55" t="s">
        <v>32</v>
      </c>
      <c r="AX19" s="56" t="s">
        <v>32</v>
      </c>
      <c r="AY19" s="57" t="s">
        <v>32</v>
      </c>
      <c r="AZ19" s="55" t="s">
        <v>32</v>
      </c>
      <c r="BA19" s="56" t="s">
        <v>32</v>
      </c>
      <c r="BB19" s="57" t="s">
        <v>32</v>
      </c>
      <c r="BC19" s="55" t="s">
        <v>32</v>
      </c>
      <c r="BD19" s="58" t="s">
        <v>32</v>
      </c>
      <c r="BF19" s="54" t="s">
        <v>32</v>
      </c>
      <c r="BG19" s="55" t="s">
        <v>32</v>
      </c>
      <c r="BH19" s="56" t="s">
        <v>32</v>
      </c>
      <c r="BI19" s="57" t="s">
        <v>32</v>
      </c>
      <c r="BJ19" s="55" t="s">
        <v>32</v>
      </c>
      <c r="BK19" s="56" t="s">
        <v>32</v>
      </c>
      <c r="BL19" s="57" t="s">
        <v>32</v>
      </c>
      <c r="BM19" s="55" t="s">
        <v>32</v>
      </c>
      <c r="BN19" s="58" t="s">
        <v>32</v>
      </c>
      <c r="BO19" s="54" t="s">
        <v>32</v>
      </c>
      <c r="BP19" s="55" t="s">
        <v>32</v>
      </c>
      <c r="BQ19" s="56" t="s">
        <v>32</v>
      </c>
      <c r="BR19" s="57" t="s">
        <v>32</v>
      </c>
      <c r="BS19" s="55" t="s">
        <v>32</v>
      </c>
      <c r="BT19" s="56" t="s">
        <v>32</v>
      </c>
      <c r="BU19" s="57" t="s">
        <v>32</v>
      </c>
      <c r="BV19" s="55" t="s">
        <v>32</v>
      </c>
      <c r="BW19" s="58" t="s">
        <v>32</v>
      </c>
      <c r="BX19" s="54" t="s">
        <v>32</v>
      </c>
      <c r="BY19" s="55" t="s">
        <v>32</v>
      </c>
      <c r="BZ19" s="56" t="s">
        <v>32</v>
      </c>
      <c r="CA19" s="57" t="s">
        <v>32</v>
      </c>
      <c r="CB19" s="55" t="s">
        <v>32</v>
      </c>
      <c r="CC19" s="56" t="s">
        <v>32</v>
      </c>
      <c r="CD19" s="57" t="s">
        <v>32</v>
      </c>
      <c r="CE19" s="55" t="s">
        <v>32</v>
      </c>
      <c r="CF19" s="58" t="s">
        <v>32</v>
      </c>
    </row>
    <row r="20" spans="2:84" ht="15" customHeight="1">
      <c r="B20" s="34" t="s">
        <v>32</v>
      </c>
      <c r="C20" s="37" t="s">
        <v>32</v>
      </c>
      <c r="D20" s="35" t="s">
        <v>32</v>
      </c>
      <c r="E20" s="36" t="s">
        <v>32</v>
      </c>
      <c r="F20" s="37" t="s">
        <v>32</v>
      </c>
      <c r="G20" s="35" t="s">
        <v>32</v>
      </c>
      <c r="H20" s="36" t="s">
        <v>32</v>
      </c>
      <c r="I20" s="37" t="s">
        <v>32</v>
      </c>
      <c r="J20" s="38" t="s">
        <v>32</v>
      </c>
      <c r="K20" s="34" t="s">
        <v>32</v>
      </c>
      <c r="L20" s="37" t="s">
        <v>32</v>
      </c>
      <c r="M20" s="35" t="s">
        <v>32</v>
      </c>
      <c r="N20" s="36" t="s">
        <v>32</v>
      </c>
      <c r="O20" s="37" t="s">
        <v>32</v>
      </c>
      <c r="P20" s="35" t="s">
        <v>32</v>
      </c>
      <c r="Q20" s="36" t="s">
        <v>32</v>
      </c>
      <c r="R20" s="37" t="s">
        <v>32</v>
      </c>
      <c r="S20" s="38" t="s">
        <v>32</v>
      </c>
      <c r="T20" s="34" t="s">
        <v>32</v>
      </c>
      <c r="U20" s="37" t="s">
        <v>32</v>
      </c>
      <c r="V20" s="35" t="s">
        <v>32</v>
      </c>
      <c r="W20" s="36" t="s">
        <v>32</v>
      </c>
      <c r="X20" s="37" t="s">
        <v>32</v>
      </c>
      <c r="Y20" s="35" t="s">
        <v>32</v>
      </c>
      <c r="Z20" s="36" t="s">
        <v>32</v>
      </c>
      <c r="AA20" s="37" t="s">
        <v>32</v>
      </c>
      <c r="AB20" s="38" t="s">
        <v>32</v>
      </c>
      <c r="AD20" s="34" t="s">
        <v>32</v>
      </c>
      <c r="AE20" s="37" t="s">
        <v>32</v>
      </c>
      <c r="AF20" s="35" t="s">
        <v>32</v>
      </c>
      <c r="AG20" s="36" t="s">
        <v>32</v>
      </c>
      <c r="AH20" s="37" t="s">
        <v>32</v>
      </c>
      <c r="AI20" s="35" t="s">
        <v>32</v>
      </c>
      <c r="AJ20" s="36" t="s">
        <v>32</v>
      </c>
      <c r="AK20" s="37" t="s">
        <v>32</v>
      </c>
      <c r="AL20" s="38" t="s">
        <v>32</v>
      </c>
      <c r="AM20" s="34" t="s">
        <v>32</v>
      </c>
      <c r="AN20" s="37" t="s">
        <v>32</v>
      </c>
      <c r="AO20" s="35" t="s">
        <v>32</v>
      </c>
      <c r="AP20" s="36" t="s">
        <v>32</v>
      </c>
      <c r="AQ20" s="37" t="s">
        <v>32</v>
      </c>
      <c r="AR20" s="35" t="s">
        <v>32</v>
      </c>
      <c r="AS20" s="36" t="s">
        <v>32</v>
      </c>
      <c r="AT20" s="37" t="s">
        <v>32</v>
      </c>
      <c r="AU20" s="38" t="s">
        <v>32</v>
      </c>
      <c r="AV20" s="34" t="s">
        <v>32</v>
      </c>
      <c r="AW20" s="37" t="s">
        <v>32</v>
      </c>
      <c r="AX20" s="35" t="s">
        <v>32</v>
      </c>
      <c r="AY20" s="36" t="s">
        <v>32</v>
      </c>
      <c r="AZ20" s="37" t="s">
        <v>32</v>
      </c>
      <c r="BA20" s="35" t="s">
        <v>32</v>
      </c>
      <c r="BB20" s="36" t="s">
        <v>32</v>
      </c>
      <c r="BC20" s="37" t="s">
        <v>32</v>
      </c>
      <c r="BD20" s="38" t="s">
        <v>32</v>
      </c>
      <c r="BF20" s="34" t="s">
        <v>32</v>
      </c>
      <c r="BG20" s="37" t="s">
        <v>32</v>
      </c>
      <c r="BH20" s="35" t="s">
        <v>32</v>
      </c>
      <c r="BI20" s="36" t="s">
        <v>32</v>
      </c>
      <c r="BJ20" s="37" t="s">
        <v>32</v>
      </c>
      <c r="BK20" s="35" t="s">
        <v>32</v>
      </c>
      <c r="BL20" s="36" t="s">
        <v>32</v>
      </c>
      <c r="BM20" s="37" t="s">
        <v>32</v>
      </c>
      <c r="BN20" s="38" t="s">
        <v>32</v>
      </c>
      <c r="BO20" s="34" t="s">
        <v>32</v>
      </c>
      <c r="BP20" s="37" t="s">
        <v>32</v>
      </c>
      <c r="BQ20" s="35" t="s">
        <v>32</v>
      </c>
      <c r="BR20" s="36" t="s">
        <v>32</v>
      </c>
      <c r="BS20" s="37" t="s">
        <v>32</v>
      </c>
      <c r="BT20" s="35" t="s">
        <v>32</v>
      </c>
      <c r="BU20" s="36" t="s">
        <v>32</v>
      </c>
      <c r="BV20" s="37" t="s">
        <v>32</v>
      </c>
      <c r="BW20" s="38" t="s">
        <v>32</v>
      </c>
      <c r="BX20" s="34" t="s">
        <v>32</v>
      </c>
      <c r="BY20" s="37" t="s">
        <v>32</v>
      </c>
      <c r="BZ20" s="35" t="s">
        <v>32</v>
      </c>
      <c r="CA20" s="36" t="s">
        <v>32</v>
      </c>
      <c r="CB20" s="37" t="s">
        <v>32</v>
      </c>
      <c r="CC20" s="35" t="s">
        <v>32</v>
      </c>
      <c r="CD20" s="36" t="s">
        <v>32</v>
      </c>
      <c r="CE20" s="37" t="s">
        <v>32</v>
      </c>
      <c r="CF20" s="38" t="s">
        <v>32</v>
      </c>
    </row>
    <row r="21" spans="2:84" ht="15" customHeight="1">
      <c r="B21" s="43" t="s">
        <v>32</v>
      </c>
      <c r="C21" s="39" t="s">
        <v>32</v>
      </c>
      <c r="D21" s="41" t="s">
        <v>32</v>
      </c>
      <c r="E21" s="40" t="s">
        <v>32</v>
      </c>
      <c r="F21" s="39" t="s">
        <v>32</v>
      </c>
      <c r="G21" s="41" t="s">
        <v>32</v>
      </c>
      <c r="H21" s="40" t="s">
        <v>32</v>
      </c>
      <c r="I21" s="39" t="s">
        <v>32</v>
      </c>
      <c r="J21" s="42" t="s">
        <v>32</v>
      </c>
      <c r="K21" s="43" t="s">
        <v>32</v>
      </c>
      <c r="L21" s="39" t="s">
        <v>32</v>
      </c>
      <c r="M21" s="41" t="s">
        <v>32</v>
      </c>
      <c r="N21" s="40" t="s">
        <v>32</v>
      </c>
      <c r="O21" s="39" t="s">
        <v>32</v>
      </c>
      <c r="P21" s="41" t="s">
        <v>32</v>
      </c>
      <c r="Q21" s="40" t="s">
        <v>32</v>
      </c>
      <c r="R21" s="39" t="s">
        <v>32</v>
      </c>
      <c r="S21" s="42" t="s">
        <v>32</v>
      </c>
      <c r="T21" s="43" t="s">
        <v>32</v>
      </c>
      <c r="U21" s="39" t="s">
        <v>32</v>
      </c>
      <c r="V21" s="41" t="s">
        <v>32</v>
      </c>
      <c r="W21" s="40" t="s">
        <v>32</v>
      </c>
      <c r="X21" s="39" t="s">
        <v>32</v>
      </c>
      <c r="Y21" s="41" t="s">
        <v>32</v>
      </c>
      <c r="Z21" s="40" t="s">
        <v>32</v>
      </c>
      <c r="AA21" s="39" t="s">
        <v>32</v>
      </c>
      <c r="AB21" s="42" t="s">
        <v>32</v>
      </c>
      <c r="AD21" s="43" t="s">
        <v>32</v>
      </c>
      <c r="AE21" s="39" t="s">
        <v>32</v>
      </c>
      <c r="AF21" s="41" t="s">
        <v>32</v>
      </c>
      <c r="AG21" s="40" t="s">
        <v>32</v>
      </c>
      <c r="AH21" s="39" t="s">
        <v>32</v>
      </c>
      <c r="AI21" s="41" t="s">
        <v>32</v>
      </c>
      <c r="AJ21" s="40" t="s">
        <v>32</v>
      </c>
      <c r="AK21" s="39" t="s">
        <v>32</v>
      </c>
      <c r="AL21" s="42" t="s">
        <v>32</v>
      </c>
      <c r="AM21" s="43" t="s">
        <v>32</v>
      </c>
      <c r="AN21" s="39" t="s">
        <v>32</v>
      </c>
      <c r="AO21" s="41" t="s">
        <v>32</v>
      </c>
      <c r="AP21" s="40" t="s">
        <v>32</v>
      </c>
      <c r="AQ21" s="39" t="s">
        <v>32</v>
      </c>
      <c r="AR21" s="41" t="s">
        <v>32</v>
      </c>
      <c r="AS21" s="40" t="s">
        <v>32</v>
      </c>
      <c r="AT21" s="39" t="s">
        <v>32</v>
      </c>
      <c r="AU21" s="42" t="s">
        <v>32</v>
      </c>
      <c r="AV21" s="43" t="s">
        <v>32</v>
      </c>
      <c r="AW21" s="39" t="s">
        <v>32</v>
      </c>
      <c r="AX21" s="41" t="s">
        <v>32</v>
      </c>
      <c r="AY21" s="40" t="s">
        <v>32</v>
      </c>
      <c r="AZ21" s="39" t="s">
        <v>32</v>
      </c>
      <c r="BA21" s="41" t="s">
        <v>32</v>
      </c>
      <c r="BB21" s="40" t="s">
        <v>32</v>
      </c>
      <c r="BC21" s="39" t="s">
        <v>32</v>
      </c>
      <c r="BD21" s="42" t="s">
        <v>32</v>
      </c>
      <c r="BF21" s="43" t="s">
        <v>32</v>
      </c>
      <c r="BG21" s="39" t="s">
        <v>32</v>
      </c>
      <c r="BH21" s="41" t="s">
        <v>32</v>
      </c>
      <c r="BI21" s="40" t="s">
        <v>32</v>
      </c>
      <c r="BJ21" s="39" t="s">
        <v>32</v>
      </c>
      <c r="BK21" s="41" t="s">
        <v>32</v>
      </c>
      <c r="BL21" s="40" t="s">
        <v>32</v>
      </c>
      <c r="BM21" s="39" t="s">
        <v>32</v>
      </c>
      <c r="BN21" s="42" t="s">
        <v>32</v>
      </c>
      <c r="BO21" s="43" t="s">
        <v>32</v>
      </c>
      <c r="BP21" s="39" t="s">
        <v>32</v>
      </c>
      <c r="BQ21" s="41" t="s">
        <v>32</v>
      </c>
      <c r="BR21" s="40" t="s">
        <v>32</v>
      </c>
      <c r="BS21" s="39" t="s">
        <v>32</v>
      </c>
      <c r="BT21" s="41" t="s">
        <v>32</v>
      </c>
      <c r="BU21" s="40" t="s">
        <v>32</v>
      </c>
      <c r="BV21" s="39" t="s">
        <v>32</v>
      </c>
      <c r="BW21" s="42" t="s">
        <v>32</v>
      </c>
      <c r="BX21" s="43" t="s">
        <v>32</v>
      </c>
      <c r="BY21" s="39" t="s">
        <v>32</v>
      </c>
      <c r="BZ21" s="41" t="s">
        <v>32</v>
      </c>
      <c r="CA21" s="40" t="s">
        <v>32</v>
      </c>
      <c r="CB21" s="39" t="s">
        <v>32</v>
      </c>
      <c r="CC21" s="41" t="s">
        <v>32</v>
      </c>
      <c r="CD21" s="40" t="s">
        <v>32</v>
      </c>
      <c r="CE21" s="39" t="s">
        <v>32</v>
      </c>
      <c r="CF21" s="42" t="s">
        <v>32</v>
      </c>
    </row>
    <row r="22" spans="2:84" ht="15" customHeight="1">
      <c r="B22" s="44" t="s">
        <v>32</v>
      </c>
      <c r="C22" s="45" t="s">
        <v>32</v>
      </c>
      <c r="D22" s="47" t="s">
        <v>32</v>
      </c>
      <c r="E22" s="46" t="s">
        <v>32</v>
      </c>
      <c r="F22" s="45" t="s">
        <v>32</v>
      </c>
      <c r="G22" s="47" t="s">
        <v>32</v>
      </c>
      <c r="H22" s="46" t="s">
        <v>32</v>
      </c>
      <c r="I22" s="45" t="s">
        <v>32</v>
      </c>
      <c r="J22" s="48" t="s">
        <v>32</v>
      </c>
      <c r="K22" s="44" t="s">
        <v>32</v>
      </c>
      <c r="L22" s="45" t="s">
        <v>32</v>
      </c>
      <c r="M22" s="47" t="s">
        <v>32</v>
      </c>
      <c r="N22" s="46" t="s">
        <v>32</v>
      </c>
      <c r="O22" s="45" t="s">
        <v>32</v>
      </c>
      <c r="P22" s="47" t="s">
        <v>32</v>
      </c>
      <c r="Q22" s="46" t="s">
        <v>32</v>
      </c>
      <c r="R22" s="45" t="s">
        <v>32</v>
      </c>
      <c r="S22" s="48" t="s">
        <v>32</v>
      </c>
      <c r="T22" s="44" t="s">
        <v>32</v>
      </c>
      <c r="U22" s="45" t="s">
        <v>32</v>
      </c>
      <c r="V22" s="47" t="s">
        <v>32</v>
      </c>
      <c r="W22" s="46" t="s">
        <v>32</v>
      </c>
      <c r="X22" s="45" t="s">
        <v>32</v>
      </c>
      <c r="Y22" s="47" t="s">
        <v>32</v>
      </c>
      <c r="Z22" s="46" t="s">
        <v>32</v>
      </c>
      <c r="AA22" s="45" t="s">
        <v>32</v>
      </c>
      <c r="AB22" s="48" t="s">
        <v>32</v>
      </c>
      <c r="AD22" s="44" t="s">
        <v>32</v>
      </c>
      <c r="AE22" s="45" t="s">
        <v>32</v>
      </c>
      <c r="AF22" s="47" t="s">
        <v>32</v>
      </c>
      <c r="AG22" s="46" t="s">
        <v>32</v>
      </c>
      <c r="AH22" s="45" t="s">
        <v>32</v>
      </c>
      <c r="AI22" s="47" t="s">
        <v>32</v>
      </c>
      <c r="AJ22" s="46" t="s">
        <v>32</v>
      </c>
      <c r="AK22" s="45" t="s">
        <v>32</v>
      </c>
      <c r="AL22" s="48" t="s">
        <v>32</v>
      </c>
      <c r="AM22" s="44" t="s">
        <v>32</v>
      </c>
      <c r="AN22" s="45" t="s">
        <v>32</v>
      </c>
      <c r="AO22" s="47" t="s">
        <v>32</v>
      </c>
      <c r="AP22" s="46" t="s">
        <v>32</v>
      </c>
      <c r="AQ22" s="45" t="s">
        <v>32</v>
      </c>
      <c r="AR22" s="47" t="s">
        <v>32</v>
      </c>
      <c r="AS22" s="46" t="s">
        <v>32</v>
      </c>
      <c r="AT22" s="45" t="s">
        <v>32</v>
      </c>
      <c r="AU22" s="48" t="s">
        <v>32</v>
      </c>
      <c r="AV22" s="44" t="s">
        <v>32</v>
      </c>
      <c r="AW22" s="45" t="s">
        <v>32</v>
      </c>
      <c r="AX22" s="47" t="s">
        <v>32</v>
      </c>
      <c r="AY22" s="46" t="s">
        <v>32</v>
      </c>
      <c r="AZ22" s="45" t="s">
        <v>32</v>
      </c>
      <c r="BA22" s="47" t="s">
        <v>32</v>
      </c>
      <c r="BB22" s="46" t="s">
        <v>32</v>
      </c>
      <c r="BC22" s="45" t="s">
        <v>32</v>
      </c>
      <c r="BD22" s="48" t="s">
        <v>32</v>
      </c>
      <c r="BF22" s="44" t="s">
        <v>32</v>
      </c>
      <c r="BG22" s="45" t="s">
        <v>32</v>
      </c>
      <c r="BH22" s="47" t="s">
        <v>32</v>
      </c>
      <c r="BI22" s="46" t="s">
        <v>32</v>
      </c>
      <c r="BJ22" s="45" t="s">
        <v>32</v>
      </c>
      <c r="BK22" s="47" t="s">
        <v>32</v>
      </c>
      <c r="BL22" s="46" t="s">
        <v>32</v>
      </c>
      <c r="BM22" s="45" t="s">
        <v>32</v>
      </c>
      <c r="BN22" s="48" t="s">
        <v>32</v>
      </c>
      <c r="BO22" s="44" t="s">
        <v>32</v>
      </c>
      <c r="BP22" s="45" t="s">
        <v>32</v>
      </c>
      <c r="BQ22" s="47" t="s">
        <v>32</v>
      </c>
      <c r="BR22" s="46" t="s">
        <v>32</v>
      </c>
      <c r="BS22" s="45" t="s">
        <v>32</v>
      </c>
      <c r="BT22" s="47" t="s">
        <v>32</v>
      </c>
      <c r="BU22" s="46" t="s">
        <v>32</v>
      </c>
      <c r="BV22" s="45" t="s">
        <v>32</v>
      </c>
      <c r="BW22" s="48" t="s">
        <v>32</v>
      </c>
      <c r="BX22" s="44" t="s">
        <v>32</v>
      </c>
      <c r="BY22" s="45" t="s">
        <v>32</v>
      </c>
      <c r="BZ22" s="47" t="s">
        <v>32</v>
      </c>
      <c r="CA22" s="46" t="s">
        <v>32</v>
      </c>
      <c r="CB22" s="45" t="s">
        <v>32</v>
      </c>
      <c r="CC22" s="47" t="s">
        <v>32</v>
      </c>
      <c r="CD22" s="46" t="s">
        <v>32</v>
      </c>
      <c r="CE22" s="45" t="s">
        <v>32</v>
      </c>
      <c r="CF22" s="48" t="s">
        <v>32</v>
      </c>
    </row>
    <row r="23" spans="2:84" ht="15" customHeight="1">
      <c r="B23" s="49" t="s">
        <v>32</v>
      </c>
      <c r="C23" s="50" t="s">
        <v>32</v>
      </c>
      <c r="D23" s="51" t="s">
        <v>32</v>
      </c>
      <c r="E23" s="52" t="s">
        <v>32</v>
      </c>
      <c r="F23" s="50" t="s">
        <v>32</v>
      </c>
      <c r="G23" s="51" t="s">
        <v>32</v>
      </c>
      <c r="H23" s="52" t="s">
        <v>32</v>
      </c>
      <c r="I23" s="50" t="s">
        <v>32</v>
      </c>
      <c r="J23" s="53" t="s">
        <v>32</v>
      </c>
      <c r="K23" s="49" t="s">
        <v>32</v>
      </c>
      <c r="L23" s="50" t="s">
        <v>32</v>
      </c>
      <c r="M23" s="51" t="s">
        <v>32</v>
      </c>
      <c r="N23" s="52" t="s">
        <v>32</v>
      </c>
      <c r="O23" s="50" t="s">
        <v>32</v>
      </c>
      <c r="P23" s="51" t="s">
        <v>32</v>
      </c>
      <c r="Q23" s="52" t="s">
        <v>32</v>
      </c>
      <c r="R23" s="50" t="s">
        <v>32</v>
      </c>
      <c r="S23" s="53" t="s">
        <v>32</v>
      </c>
      <c r="T23" s="49" t="s">
        <v>32</v>
      </c>
      <c r="U23" s="50" t="s">
        <v>32</v>
      </c>
      <c r="V23" s="51" t="s">
        <v>32</v>
      </c>
      <c r="W23" s="52" t="s">
        <v>32</v>
      </c>
      <c r="X23" s="50" t="s">
        <v>32</v>
      </c>
      <c r="Y23" s="51" t="s">
        <v>32</v>
      </c>
      <c r="Z23" s="52" t="s">
        <v>32</v>
      </c>
      <c r="AA23" s="50" t="s">
        <v>32</v>
      </c>
      <c r="AB23" s="53" t="s">
        <v>32</v>
      </c>
      <c r="AD23" s="49" t="s">
        <v>32</v>
      </c>
      <c r="AE23" s="50" t="s">
        <v>32</v>
      </c>
      <c r="AF23" s="51" t="s">
        <v>32</v>
      </c>
      <c r="AG23" s="52" t="s">
        <v>32</v>
      </c>
      <c r="AH23" s="50" t="s">
        <v>32</v>
      </c>
      <c r="AI23" s="51" t="s">
        <v>32</v>
      </c>
      <c r="AJ23" s="52" t="s">
        <v>32</v>
      </c>
      <c r="AK23" s="50" t="s">
        <v>32</v>
      </c>
      <c r="AL23" s="53" t="s">
        <v>32</v>
      </c>
      <c r="AM23" s="49" t="s">
        <v>32</v>
      </c>
      <c r="AN23" s="50" t="s">
        <v>32</v>
      </c>
      <c r="AO23" s="51" t="s">
        <v>32</v>
      </c>
      <c r="AP23" s="52" t="s">
        <v>32</v>
      </c>
      <c r="AQ23" s="50" t="s">
        <v>32</v>
      </c>
      <c r="AR23" s="51" t="s">
        <v>32</v>
      </c>
      <c r="AS23" s="52" t="s">
        <v>32</v>
      </c>
      <c r="AT23" s="50" t="s">
        <v>32</v>
      </c>
      <c r="AU23" s="53" t="s">
        <v>32</v>
      </c>
      <c r="AV23" s="49" t="s">
        <v>32</v>
      </c>
      <c r="AW23" s="50" t="s">
        <v>32</v>
      </c>
      <c r="AX23" s="51" t="s">
        <v>32</v>
      </c>
      <c r="AY23" s="52" t="s">
        <v>32</v>
      </c>
      <c r="AZ23" s="50" t="s">
        <v>32</v>
      </c>
      <c r="BA23" s="51" t="s">
        <v>32</v>
      </c>
      <c r="BB23" s="52" t="s">
        <v>32</v>
      </c>
      <c r="BC23" s="50" t="s">
        <v>32</v>
      </c>
      <c r="BD23" s="53" t="s">
        <v>32</v>
      </c>
      <c r="BF23" s="49" t="s">
        <v>32</v>
      </c>
      <c r="BG23" s="50" t="s">
        <v>32</v>
      </c>
      <c r="BH23" s="51" t="s">
        <v>32</v>
      </c>
      <c r="BI23" s="52" t="s">
        <v>32</v>
      </c>
      <c r="BJ23" s="50" t="s">
        <v>32</v>
      </c>
      <c r="BK23" s="51" t="s">
        <v>32</v>
      </c>
      <c r="BL23" s="52" t="s">
        <v>32</v>
      </c>
      <c r="BM23" s="50" t="s">
        <v>32</v>
      </c>
      <c r="BN23" s="53" t="s">
        <v>32</v>
      </c>
      <c r="BO23" s="49" t="s">
        <v>32</v>
      </c>
      <c r="BP23" s="50" t="s">
        <v>32</v>
      </c>
      <c r="BQ23" s="51" t="s">
        <v>32</v>
      </c>
      <c r="BR23" s="52" t="s">
        <v>32</v>
      </c>
      <c r="BS23" s="50" t="s">
        <v>32</v>
      </c>
      <c r="BT23" s="51" t="s">
        <v>32</v>
      </c>
      <c r="BU23" s="52" t="s">
        <v>32</v>
      </c>
      <c r="BV23" s="50" t="s">
        <v>32</v>
      </c>
      <c r="BW23" s="53" t="s">
        <v>32</v>
      </c>
      <c r="BX23" s="49" t="s">
        <v>32</v>
      </c>
      <c r="BY23" s="50" t="s">
        <v>32</v>
      </c>
      <c r="BZ23" s="51" t="s">
        <v>32</v>
      </c>
      <c r="CA23" s="52" t="s">
        <v>32</v>
      </c>
      <c r="CB23" s="50" t="s">
        <v>32</v>
      </c>
      <c r="CC23" s="51" t="s">
        <v>32</v>
      </c>
      <c r="CD23" s="52" t="s">
        <v>32</v>
      </c>
      <c r="CE23" s="50" t="s">
        <v>32</v>
      </c>
      <c r="CF23" s="53" t="s">
        <v>32</v>
      </c>
    </row>
    <row r="24" spans="2:84" ht="15" customHeight="1">
      <c r="B24" s="43" t="s">
        <v>32</v>
      </c>
      <c r="C24" s="39" t="s">
        <v>32</v>
      </c>
      <c r="D24" s="41" t="s">
        <v>32</v>
      </c>
      <c r="E24" s="40" t="s">
        <v>32</v>
      </c>
      <c r="F24" s="39" t="s">
        <v>32</v>
      </c>
      <c r="G24" s="41" t="s">
        <v>32</v>
      </c>
      <c r="H24" s="40" t="s">
        <v>32</v>
      </c>
      <c r="I24" s="39" t="s">
        <v>32</v>
      </c>
      <c r="J24" s="42" t="s">
        <v>32</v>
      </c>
      <c r="K24" s="43" t="s">
        <v>32</v>
      </c>
      <c r="L24" s="39" t="s">
        <v>32</v>
      </c>
      <c r="M24" s="41" t="s">
        <v>32</v>
      </c>
      <c r="N24" s="40" t="s">
        <v>32</v>
      </c>
      <c r="O24" s="39" t="s">
        <v>32</v>
      </c>
      <c r="P24" s="41" t="s">
        <v>32</v>
      </c>
      <c r="Q24" s="40" t="s">
        <v>32</v>
      </c>
      <c r="R24" s="39" t="s">
        <v>32</v>
      </c>
      <c r="S24" s="42" t="s">
        <v>32</v>
      </c>
      <c r="T24" s="43" t="s">
        <v>32</v>
      </c>
      <c r="U24" s="39" t="s">
        <v>32</v>
      </c>
      <c r="V24" s="41" t="s">
        <v>32</v>
      </c>
      <c r="W24" s="40" t="s">
        <v>32</v>
      </c>
      <c r="X24" s="39" t="s">
        <v>32</v>
      </c>
      <c r="Y24" s="41" t="s">
        <v>32</v>
      </c>
      <c r="Z24" s="40" t="s">
        <v>32</v>
      </c>
      <c r="AA24" s="39" t="s">
        <v>32</v>
      </c>
      <c r="AB24" s="42" t="s">
        <v>32</v>
      </c>
      <c r="AD24" s="43" t="s">
        <v>32</v>
      </c>
      <c r="AE24" s="39" t="s">
        <v>32</v>
      </c>
      <c r="AF24" s="41" t="s">
        <v>32</v>
      </c>
      <c r="AG24" s="40" t="s">
        <v>32</v>
      </c>
      <c r="AH24" s="39" t="s">
        <v>32</v>
      </c>
      <c r="AI24" s="41" t="s">
        <v>32</v>
      </c>
      <c r="AJ24" s="40" t="s">
        <v>32</v>
      </c>
      <c r="AK24" s="39" t="s">
        <v>32</v>
      </c>
      <c r="AL24" s="42" t="s">
        <v>32</v>
      </c>
      <c r="AM24" s="43" t="s">
        <v>32</v>
      </c>
      <c r="AN24" s="39" t="s">
        <v>32</v>
      </c>
      <c r="AO24" s="41" t="s">
        <v>32</v>
      </c>
      <c r="AP24" s="40" t="s">
        <v>32</v>
      </c>
      <c r="AQ24" s="39" t="s">
        <v>32</v>
      </c>
      <c r="AR24" s="41" t="s">
        <v>32</v>
      </c>
      <c r="AS24" s="40" t="s">
        <v>32</v>
      </c>
      <c r="AT24" s="39" t="s">
        <v>32</v>
      </c>
      <c r="AU24" s="42" t="s">
        <v>32</v>
      </c>
      <c r="AV24" s="43" t="s">
        <v>32</v>
      </c>
      <c r="AW24" s="39" t="s">
        <v>32</v>
      </c>
      <c r="AX24" s="41" t="s">
        <v>32</v>
      </c>
      <c r="AY24" s="40" t="s">
        <v>32</v>
      </c>
      <c r="AZ24" s="39" t="s">
        <v>32</v>
      </c>
      <c r="BA24" s="41" t="s">
        <v>32</v>
      </c>
      <c r="BB24" s="40" t="s">
        <v>32</v>
      </c>
      <c r="BC24" s="39" t="s">
        <v>32</v>
      </c>
      <c r="BD24" s="42">
        <v>0</v>
      </c>
      <c r="BF24" s="43">
        <v>0</v>
      </c>
      <c r="BG24" s="39" t="s">
        <v>32</v>
      </c>
      <c r="BH24" s="41" t="s">
        <v>32</v>
      </c>
      <c r="BI24" s="40" t="s">
        <v>32</v>
      </c>
      <c r="BJ24" s="39" t="s">
        <v>32</v>
      </c>
      <c r="BK24" s="41" t="s">
        <v>32</v>
      </c>
      <c r="BL24" s="40" t="s">
        <v>32</v>
      </c>
      <c r="BM24" s="39" t="s">
        <v>32</v>
      </c>
      <c r="BN24" s="42" t="s">
        <v>32</v>
      </c>
      <c r="BO24" s="43" t="s">
        <v>32</v>
      </c>
      <c r="BP24" s="39" t="s">
        <v>32</v>
      </c>
      <c r="BQ24" s="41" t="s">
        <v>32</v>
      </c>
      <c r="BR24" s="40" t="s">
        <v>32</v>
      </c>
      <c r="BS24" s="39" t="s">
        <v>32</v>
      </c>
      <c r="BT24" s="41" t="s">
        <v>32</v>
      </c>
      <c r="BU24" s="40" t="s">
        <v>32</v>
      </c>
      <c r="BV24" s="39" t="s">
        <v>32</v>
      </c>
      <c r="BW24" s="42" t="s">
        <v>32</v>
      </c>
      <c r="BX24" s="43" t="s">
        <v>32</v>
      </c>
      <c r="BY24" s="39" t="s">
        <v>32</v>
      </c>
      <c r="BZ24" s="41" t="s">
        <v>32</v>
      </c>
      <c r="CA24" s="40" t="s">
        <v>32</v>
      </c>
      <c r="CB24" s="39" t="s">
        <v>32</v>
      </c>
      <c r="CC24" s="41" t="s">
        <v>32</v>
      </c>
      <c r="CD24" s="40" t="s">
        <v>32</v>
      </c>
      <c r="CE24" s="39" t="s">
        <v>32</v>
      </c>
      <c r="CF24" s="42" t="s">
        <v>32</v>
      </c>
    </row>
    <row r="25" spans="2:84" ht="15" customHeight="1">
      <c r="B25" s="44" t="s">
        <v>32</v>
      </c>
      <c r="C25" s="45" t="s">
        <v>32</v>
      </c>
      <c r="D25" s="47" t="s">
        <v>32</v>
      </c>
      <c r="E25" s="46">
        <v>0</v>
      </c>
      <c r="F25" s="45" t="s">
        <v>32</v>
      </c>
      <c r="G25" s="47" t="s">
        <v>32</v>
      </c>
      <c r="H25" s="46" t="s">
        <v>32</v>
      </c>
      <c r="I25" s="45" t="s">
        <v>32</v>
      </c>
      <c r="J25" s="48" t="s">
        <v>32</v>
      </c>
      <c r="K25" s="44" t="s">
        <v>32</v>
      </c>
      <c r="L25" s="45" t="s">
        <v>32</v>
      </c>
      <c r="M25" s="47" t="s">
        <v>32</v>
      </c>
      <c r="N25" s="46" t="s">
        <v>32</v>
      </c>
      <c r="O25" s="45">
        <v>0</v>
      </c>
      <c r="P25" s="47" t="s">
        <v>32</v>
      </c>
      <c r="Q25" s="46" t="s">
        <v>32</v>
      </c>
      <c r="R25" s="45" t="s">
        <v>32</v>
      </c>
      <c r="S25" s="48" t="s">
        <v>32</v>
      </c>
      <c r="T25" s="44" t="s">
        <v>32</v>
      </c>
      <c r="U25" s="45" t="s">
        <v>32</v>
      </c>
      <c r="V25" s="47" t="s">
        <v>32</v>
      </c>
      <c r="W25" s="46" t="s">
        <v>32</v>
      </c>
      <c r="X25" s="45" t="s">
        <v>32</v>
      </c>
      <c r="Y25" s="47" t="s">
        <v>32</v>
      </c>
      <c r="Z25" s="46" t="s">
        <v>32</v>
      </c>
      <c r="AA25" s="45" t="s">
        <v>32</v>
      </c>
      <c r="AB25" s="48" t="s">
        <v>32</v>
      </c>
      <c r="AD25" s="44" t="s">
        <v>32</v>
      </c>
      <c r="AE25" s="45" t="s">
        <v>32</v>
      </c>
      <c r="AF25" s="47" t="s">
        <v>32</v>
      </c>
      <c r="AG25" s="46" t="s">
        <v>32</v>
      </c>
      <c r="AH25" s="45" t="s">
        <v>32</v>
      </c>
      <c r="AI25" s="47" t="s">
        <v>32</v>
      </c>
      <c r="AJ25" s="46" t="s">
        <v>32</v>
      </c>
      <c r="AK25" s="45" t="s">
        <v>32</v>
      </c>
      <c r="AL25" s="48" t="s">
        <v>32</v>
      </c>
      <c r="AM25" s="44" t="s">
        <v>32</v>
      </c>
      <c r="AN25" s="45" t="s">
        <v>32</v>
      </c>
      <c r="AO25" s="47" t="s">
        <v>32</v>
      </c>
      <c r="AP25" s="46" t="s">
        <v>32</v>
      </c>
      <c r="AQ25" s="45" t="s">
        <v>32</v>
      </c>
      <c r="AR25" s="47" t="s">
        <v>32</v>
      </c>
      <c r="AS25" s="46" t="s">
        <v>32</v>
      </c>
      <c r="AT25" s="45" t="s">
        <v>32</v>
      </c>
      <c r="AU25" s="48" t="s">
        <v>32</v>
      </c>
      <c r="AV25" s="44" t="s">
        <v>32</v>
      </c>
      <c r="AW25" s="45" t="s">
        <v>32</v>
      </c>
      <c r="AX25" s="47" t="s">
        <v>32</v>
      </c>
      <c r="AY25" s="46" t="s">
        <v>32</v>
      </c>
      <c r="AZ25" s="45" t="s">
        <v>32</v>
      </c>
      <c r="BA25" s="47" t="s">
        <v>32</v>
      </c>
      <c r="BB25" s="46" t="s">
        <v>32</v>
      </c>
      <c r="BC25" s="45" t="s">
        <v>32</v>
      </c>
      <c r="BD25" s="48">
        <v>0</v>
      </c>
      <c r="BF25" s="44">
        <v>0</v>
      </c>
      <c r="BG25" s="45" t="s">
        <v>32</v>
      </c>
      <c r="BH25" s="47" t="s">
        <v>32</v>
      </c>
      <c r="BI25" s="46" t="s">
        <v>32</v>
      </c>
      <c r="BJ25" s="45" t="s">
        <v>32</v>
      </c>
      <c r="BK25" s="47" t="s">
        <v>32</v>
      </c>
      <c r="BL25" s="46" t="s">
        <v>32</v>
      </c>
      <c r="BM25" s="45" t="s">
        <v>32</v>
      </c>
      <c r="BN25" s="48" t="s">
        <v>32</v>
      </c>
      <c r="BO25" s="44" t="s">
        <v>32</v>
      </c>
      <c r="BP25" s="156">
        <v>9</v>
      </c>
      <c r="BQ25" s="155">
        <v>3</v>
      </c>
      <c r="BR25" s="46">
        <v>0</v>
      </c>
      <c r="BS25" s="45">
        <v>0</v>
      </c>
      <c r="BT25" s="47">
        <v>0</v>
      </c>
      <c r="BU25" s="46" t="s">
        <v>32</v>
      </c>
      <c r="BV25" s="45" t="s">
        <v>32</v>
      </c>
      <c r="BW25" s="48" t="s">
        <v>32</v>
      </c>
      <c r="BX25" s="44" t="s">
        <v>32</v>
      </c>
      <c r="BY25" s="45" t="s">
        <v>32</v>
      </c>
      <c r="BZ25" s="47" t="s">
        <v>32</v>
      </c>
      <c r="CA25" s="46" t="s">
        <v>32</v>
      </c>
      <c r="CB25" s="45" t="s">
        <v>32</v>
      </c>
      <c r="CC25" s="47" t="s">
        <v>32</v>
      </c>
      <c r="CD25" s="46" t="s">
        <v>32</v>
      </c>
      <c r="CE25" s="45" t="s">
        <v>32</v>
      </c>
      <c r="CF25" s="48" t="s">
        <v>32</v>
      </c>
    </row>
    <row r="26" spans="2:84" ht="15" customHeight="1">
      <c r="B26" s="49">
        <v>0</v>
      </c>
      <c r="C26" s="160">
        <v>5</v>
      </c>
      <c r="D26" s="163">
        <v>3</v>
      </c>
      <c r="E26" s="52">
        <v>0</v>
      </c>
      <c r="F26" s="50" t="s">
        <v>32</v>
      </c>
      <c r="G26" s="51" t="s">
        <v>32</v>
      </c>
      <c r="H26" s="52" t="s">
        <v>32</v>
      </c>
      <c r="I26" s="50" t="s">
        <v>32</v>
      </c>
      <c r="J26" s="53" t="s">
        <v>32</v>
      </c>
      <c r="K26" s="49" t="s">
        <v>32</v>
      </c>
      <c r="L26" s="50" t="s">
        <v>32</v>
      </c>
      <c r="M26" s="51" t="s">
        <v>32</v>
      </c>
      <c r="N26" s="52" t="s">
        <v>32</v>
      </c>
      <c r="O26" s="160">
        <v>4</v>
      </c>
      <c r="P26" s="51" t="s">
        <v>32</v>
      </c>
      <c r="Q26" s="52" t="s">
        <v>32</v>
      </c>
      <c r="R26" s="50" t="s">
        <v>32</v>
      </c>
      <c r="S26" s="53" t="s">
        <v>32</v>
      </c>
      <c r="T26" s="49" t="s">
        <v>32</v>
      </c>
      <c r="U26" s="50" t="s">
        <v>32</v>
      </c>
      <c r="V26" s="51" t="s">
        <v>32</v>
      </c>
      <c r="W26" s="52" t="s">
        <v>32</v>
      </c>
      <c r="X26" s="50" t="s">
        <v>32</v>
      </c>
      <c r="Y26" s="163">
        <v>2</v>
      </c>
      <c r="Z26" s="161">
        <v>9</v>
      </c>
      <c r="AA26" s="50" t="s">
        <v>32</v>
      </c>
      <c r="AB26" s="53" t="s">
        <v>32</v>
      </c>
      <c r="AD26" s="49" t="s">
        <v>32</v>
      </c>
      <c r="AE26" s="50" t="s">
        <v>32</v>
      </c>
      <c r="AF26" s="51" t="s">
        <v>32</v>
      </c>
      <c r="AG26" s="52" t="s">
        <v>32</v>
      </c>
      <c r="AH26" s="50" t="s">
        <v>32</v>
      </c>
      <c r="AI26" s="51" t="s">
        <v>32</v>
      </c>
      <c r="AJ26" s="52" t="s">
        <v>32</v>
      </c>
      <c r="AK26" s="50" t="s">
        <v>32</v>
      </c>
      <c r="AL26" s="53" t="s">
        <v>32</v>
      </c>
      <c r="AM26" s="49" t="s">
        <v>32</v>
      </c>
      <c r="AN26" s="50" t="s">
        <v>32</v>
      </c>
      <c r="AO26" s="163">
        <v>6</v>
      </c>
      <c r="AP26" s="52">
        <v>0</v>
      </c>
      <c r="AQ26" s="50">
        <v>0</v>
      </c>
      <c r="AR26" s="163">
        <v>4</v>
      </c>
      <c r="AS26" s="161">
        <v>2</v>
      </c>
      <c r="AT26" s="50" t="s">
        <v>32</v>
      </c>
      <c r="AU26" s="53" t="s">
        <v>32</v>
      </c>
      <c r="AV26" s="49" t="s">
        <v>32</v>
      </c>
      <c r="AW26" s="50" t="s">
        <v>32</v>
      </c>
      <c r="AX26" s="51" t="s">
        <v>32</v>
      </c>
      <c r="AY26" s="52" t="s">
        <v>32</v>
      </c>
      <c r="AZ26" s="50" t="s">
        <v>32</v>
      </c>
      <c r="BA26" s="51" t="s">
        <v>32</v>
      </c>
      <c r="BB26" s="52" t="s">
        <v>32</v>
      </c>
      <c r="BC26" s="160">
        <v>7</v>
      </c>
      <c r="BD26" s="162">
        <v>1</v>
      </c>
      <c r="BF26" s="159">
        <v>3</v>
      </c>
      <c r="BG26" s="50" t="s">
        <v>32</v>
      </c>
      <c r="BH26" s="51" t="s">
        <v>32</v>
      </c>
      <c r="BI26" s="52" t="s">
        <v>32</v>
      </c>
      <c r="BJ26" s="50" t="s">
        <v>32</v>
      </c>
      <c r="BK26" s="51" t="s">
        <v>32</v>
      </c>
      <c r="BL26" s="52" t="s">
        <v>32</v>
      </c>
      <c r="BM26" s="50" t="s">
        <v>32</v>
      </c>
      <c r="BN26" s="53" t="s">
        <v>32</v>
      </c>
      <c r="BO26" s="49" t="s">
        <v>32</v>
      </c>
      <c r="BP26" s="160">
        <v>6</v>
      </c>
      <c r="BQ26" s="51">
        <v>0</v>
      </c>
      <c r="BR26" s="52">
        <v>0</v>
      </c>
      <c r="BS26" s="50" t="s">
        <v>32</v>
      </c>
      <c r="BT26" s="51">
        <v>0</v>
      </c>
      <c r="BU26" s="52" t="s">
        <v>32</v>
      </c>
      <c r="BV26" s="50" t="s">
        <v>32</v>
      </c>
      <c r="BW26" s="53" t="s">
        <v>32</v>
      </c>
      <c r="BX26" s="49" t="s">
        <v>32</v>
      </c>
      <c r="BY26" s="50" t="s">
        <v>32</v>
      </c>
      <c r="BZ26" s="51" t="s">
        <v>32</v>
      </c>
      <c r="CA26" s="52" t="s">
        <v>32</v>
      </c>
      <c r="CB26" s="50" t="s">
        <v>32</v>
      </c>
      <c r="CC26" s="51" t="s">
        <v>32</v>
      </c>
      <c r="CD26" s="52" t="s">
        <v>32</v>
      </c>
      <c r="CE26" s="50" t="s">
        <v>32</v>
      </c>
      <c r="CF26" s="53" t="s">
        <v>32</v>
      </c>
    </row>
    <row r="27" spans="2:84" ht="15" customHeight="1">
      <c r="B27" s="150">
        <v>2</v>
      </c>
      <c r="C27" s="39">
        <v>0</v>
      </c>
      <c r="D27" s="41" t="s">
        <v>32</v>
      </c>
      <c r="E27" s="40" t="s">
        <v>32</v>
      </c>
      <c r="F27" s="39" t="s">
        <v>32</v>
      </c>
      <c r="G27" s="41" t="s">
        <v>32</v>
      </c>
      <c r="H27" s="40" t="s">
        <v>32</v>
      </c>
      <c r="I27" s="39" t="s">
        <v>32</v>
      </c>
      <c r="J27" s="42" t="s">
        <v>32</v>
      </c>
      <c r="K27" s="43" t="s">
        <v>32</v>
      </c>
      <c r="L27" s="39" t="s">
        <v>32</v>
      </c>
      <c r="M27" s="41">
        <v>0</v>
      </c>
      <c r="N27" s="40">
        <v>0</v>
      </c>
      <c r="O27" s="39">
        <v>0</v>
      </c>
      <c r="P27" s="41">
        <v>0</v>
      </c>
      <c r="Q27" s="40" t="s">
        <v>32</v>
      </c>
      <c r="R27" s="39" t="s">
        <v>32</v>
      </c>
      <c r="S27" s="42" t="s">
        <v>32</v>
      </c>
      <c r="T27" s="43" t="s">
        <v>32</v>
      </c>
      <c r="U27" s="39" t="s">
        <v>32</v>
      </c>
      <c r="V27" s="41" t="s">
        <v>32</v>
      </c>
      <c r="W27" s="40" t="s">
        <v>32</v>
      </c>
      <c r="X27" s="39" t="s">
        <v>32</v>
      </c>
      <c r="Y27" s="41" t="s">
        <v>32</v>
      </c>
      <c r="Z27" s="153">
        <v>4</v>
      </c>
      <c r="AA27" s="39">
        <v>0</v>
      </c>
      <c r="AB27" s="152">
        <v>8</v>
      </c>
      <c r="AD27" s="43">
        <v>0</v>
      </c>
      <c r="AE27" s="39" t="s">
        <v>32</v>
      </c>
      <c r="AF27" s="41" t="s">
        <v>32</v>
      </c>
      <c r="AG27" s="40" t="s">
        <v>32</v>
      </c>
      <c r="AH27" s="39">
        <v>0</v>
      </c>
      <c r="AI27" s="151">
        <v>6</v>
      </c>
      <c r="AJ27" s="40" t="s">
        <v>32</v>
      </c>
      <c r="AK27" s="39" t="s">
        <v>32</v>
      </c>
      <c r="AL27" s="42" t="s">
        <v>32</v>
      </c>
      <c r="AM27" s="43" t="s">
        <v>32</v>
      </c>
      <c r="AN27" s="39">
        <v>0</v>
      </c>
      <c r="AO27" s="151">
        <v>3</v>
      </c>
      <c r="AP27" s="40">
        <v>0</v>
      </c>
      <c r="AQ27" s="39" t="s">
        <v>32</v>
      </c>
      <c r="AR27" s="41" t="s">
        <v>32</v>
      </c>
      <c r="AS27" s="40">
        <v>0</v>
      </c>
      <c r="AT27" s="39" t="s">
        <v>32</v>
      </c>
      <c r="AU27" s="42" t="s">
        <v>32</v>
      </c>
      <c r="AV27" s="43" t="s">
        <v>32</v>
      </c>
      <c r="AW27" s="39" t="s">
        <v>32</v>
      </c>
      <c r="AX27" s="41" t="s">
        <v>32</v>
      </c>
      <c r="AY27" s="40" t="s">
        <v>32</v>
      </c>
      <c r="AZ27" s="39" t="s">
        <v>32</v>
      </c>
      <c r="BA27" s="41" t="s">
        <v>32</v>
      </c>
      <c r="BB27" s="40" t="s">
        <v>32</v>
      </c>
      <c r="BC27" s="39">
        <v>0</v>
      </c>
      <c r="BD27" s="42">
        <v>0</v>
      </c>
      <c r="BF27" s="150">
        <v>9</v>
      </c>
      <c r="BG27" s="39">
        <v>0</v>
      </c>
      <c r="BH27" s="151">
        <v>4</v>
      </c>
      <c r="BI27" s="40">
        <v>0</v>
      </c>
      <c r="BJ27" s="39" t="s">
        <v>32</v>
      </c>
      <c r="BK27" s="41" t="s">
        <v>32</v>
      </c>
      <c r="BL27" s="40" t="s">
        <v>32</v>
      </c>
      <c r="BM27" s="39" t="s">
        <v>32</v>
      </c>
      <c r="BN27" s="42" t="s">
        <v>32</v>
      </c>
      <c r="BO27" s="43" t="s">
        <v>32</v>
      </c>
      <c r="BP27" s="39" t="s">
        <v>32</v>
      </c>
      <c r="BQ27" s="41" t="s">
        <v>32</v>
      </c>
      <c r="BR27" s="40" t="s">
        <v>32</v>
      </c>
      <c r="BS27" s="39" t="s">
        <v>32</v>
      </c>
      <c r="BT27" s="41" t="s">
        <v>32</v>
      </c>
      <c r="BU27" s="40" t="s">
        <v>32</v>
      </c>
      <c r="BV27" s="39" t="s">
        <v>32</v>
      </c>
      <c r="BW27" s="42" t="s">
        <v>32</v>
      </c>
      <c r="BX27" s="43" t="s">
        <v>32</v>
      </c>
      <c r="BY27" s="39" t="s">
        <v>32</v>
      </c>
      <c r="BZ27" s="41" t="s">
        <v>32</v>
      </c>
      <c r="CA27" s="40" t="s">
        <v>32</v>
      </c>
      <c r="CB27" s="39" t="s">
        <v>32</v>
      </c>
      <c r="CC27" s="41" t="s">
        <v>32</v>
      </c>
      <c r="CD27" s="40" t="s">
        <v>32</v>
      </c>
      <c r="CE27" s="39">
        <v>0</v>
      </c>
      <c r="CF27" s="152">
        <v>7</v>
      </c>
    </row>
    <row r="28" spans="2:84" ht="15" customHeight="1" thickBot="1">
      <c r="B28" s="54">
        <v>0</v>
      </c>
      <c r="C28" s="164">
        <v>4</v>
      </c>
      <c r="D28" s="56" t="s">
        <v>32</v>
      </c>
      <c r="E28" s="57" t="s">
        <v>32</v>
      </c>
      <c r="F28" s="55" t="s">
        <v>32</v>
      </c>
      <c r="G28" s="56" t="s">
        <v>32</v>
      </c>
      <c r="H28" s="57" t="s">
        <v>32</v>
      </c>
      <c r="I28" s="55" t="s">
        <v>32</v>
      </c>
      <c r="J28" s="58" t="s">
        <v>32</v>
      </c>
      <c r="K28" s="54" t="s">
        <v>32</v>
      </c>
      <c r="L28" s="55" t="s">
        <v>32</v>
      </c>
      <c r="M28" s="56">
        <v>0</v>
      </c>
      <c r="N28" s="57">
        <v>0</v>
      </c>
      <c r="O28" s="164">
        <v>2</v>
      </c>
      <c r="P28" s="56" t="s">
        <v>32</v>
      </c>
      <c r="Q28" s="57" t="s">
        <v>32</v>
      </c>
      <c r="R28" s="55" t="s">
        <v>32</v>
      </c>
      <c r="S28" s="58" t="s">
        <v>32</v>
      </c>
      <c r="T28" s="54" t="s">
        <v>32</v>
      </c>
      <c r="U28" s="55" t="s">
        <v>32</v>
      </c>
      <c r="V28" s="56" t="s">
        <v>32</v>
      </c>
      <c r="W28" s="57" t="s">
        <v>32</v>
      </c>
      <c r="X28" s="55" t="s">
        <v>32</v>
      </c>
      <c r="Y28" s="56">
        <v>0</v>
      </c>
      <c r="Z28" s="57">
        <v>0</v>
      </c>
      <c r="AA28" s="164">
        <v>5</v>
      </c>
      <c r="AB28" s="58">
        <v>0</v>
      </c>
      <c r="AD28" s="54">
        <v>0</v>
      </c>
      <c r="AE28" s="55">
        <v>0</v>
      </c>
      <c r="AF28" s="165">
        <v>8</v>
      </c>
      <c r="AG28" s="57">
        <v>0</v>
      </c>
      <c r="AH28" s="55">
        <v>0</v>
      </c>
      <c r="AI28" s="165">
        <v>2</v>
      </c>
      <c r="AJ28" s="57" t="s">
        <v>32</v>
      </c>
      <c r="AK28" s="55" t="s">
        <v>32</v>
      </c>
      <c r="AL28" s="58" t="s">
        <v>32</v>
      </c>
      <c r="AM28" s="54" t="s">
        <v>32</v>
      </c>
      <c r="AN28" s="55" t="s">
        <v>32</v>
      </c>
      <c r="AO28" s="56" t="s">
        <v>32</v>
      </c>
      <c r="AP28" s="57" t="s">
        <v>32</v>
      </c>
      <c r="AQ28" s="55" t="s">
        <v>32</v>
      </c>
      <c r="AR28" s="56" t="s">
        <v>32</v>
      </c>
      <c r="AS28" s="57" t="s">
        <v>32</v>
      </c>
      <c r="AT28" s="55" t="s">
        <v>32</v>
      </c>
      <c r="AU28" s="58" t="s">
        <v>32</v>
      </c>
      <c r="AV28" s="54" t="s">
        <v>32</v>
      </c>
      <c r="AW28" s="55" t="s">
        <v>32</v>
      </c>
      <c r="AX28" s="56" t="s">
        <v>32</v>
      </c>
      <c r="AY28" s="57" t="s">
        <v>32</v>
      </c>
      <c r="AZ28" s="55" t="s">
        <v>32</v>
      </c>
      <c r="BA28" s="56" t="s">
        <v>32</v>
      </c>
      <c r="BB28" s="57">
        <v>0</v>
      </c>
      <c r="BC28" s="55">
        <v>0</v>
      </c>
      <c r="BD28" s="58">
        <v>0</v>
      </c>
      <c r="BF28" s="54">
        <v>0</v>
      </c>
      <c r="BG28" s="55">
        <v>0</v>
      </c>
      <c r="BH28" s="56" t="s">
        <v>32</v>
      </c>
      <c r="BI28" s="57" t="s">
        <v>32</v>
      </c>
      <c r="BJ28" s="55" t="s">
        <v>32</v>
      </c>
      <c r="BK28" s="56" t="s">
        <v>32</v>
      </c>
      <c r="BL28" s="57" t="s">
        <v>32</v>
      </c>
      <c r="BM28" s="55" t="s">
        <v>32</v>
      </c>
      <c r="BN28" s="58" t="s">
        <v>32</v>
      </c>
      <c r="BO28" s="54" t="s">
        <v>32</v>
      </c>
      <c r="BP28" s="55" t="s">
        <v>32</v>
      </c>
      <c r="BQ28" s="56" t="s">
        <v>32</v>
      </c>
      <c r="BR28" s="57" t="s">
        <v>32</v>
      </c>
      <c r="BS28" s="55" t="s">
        <v>32</v>
      </c>
      <c r="BT28" s="56" t="s">
        <v>32</v>
      </c>
      <c r="BU28" s="57" t="s">
        <v>32</v>
      </c>
      <c r="BV28" s="55" t="s">
        <v>32</v>
      </c>
      <c r="BW28" s="58" t="s">
        <v>32</v>
      </c>
      <c r="BX28" s="54" t="s">
        <v>32</v>
      </c>
      <c r="BY28" s="55" t="s">
        <v>32</v>
      </c>
      <c r="BZ28" s="56">
        <v>0</v>
      </c>
      <c r="CA28" s="166">
        <v>9</v>
      </c>
      <c r="CB28" s="55">
        <v>0</v>
      </c>
      <c r="CC28" s="56">
        <v>0</v>
      </c>
      <c r="CD28" s="57">
        <v>0</v>
      </c>
      <c r="CE28" s="55">
        <v>0</v>
      </c>
      <c r="CF28" s="58">
        <v>0</v>
      </c>
    </row>
    <row r="29" spans="2:84" ht="15" customHeight="1" thickBot="1">
      <c r="B29" s="33" t="s">
        <v>21</v>
      </c>
      <c r="AD29" s="167" t="s">
        <v>25</v>
      </c>
      <c r="BF29" s="33" t="s">
        <v>23</v>
      </c>
    </row>
    <row r="30" spans="2:84" ht="15" customHeight="1">
      <c r="B30" s="34">
        <v>1</v>
      </c>
      <c r="C30" s="146">
        <v>2</v>
      </c>
      <c r="D30" s="35">
        <v>4</v>
      </c>
      <c r="E30" s="36">
        <v>5</v>
      </c>
      <c r="F30" s="37" t="s">
        <v>32</v>
      </c>
      <c r="G30" s="35" t="s">
        <v>32</v>
      </c>
      <c r="H30" s="36" t="s">
        <v>32</v>
      </c>
      <c r="I30" s="37" t="s">
        <v>32</v>
      </c>
      <c r="J30" s="38" t="s">
        <v>32</v>
      </c>
      <c r="K30" s="34" t="s">
        <v>32</v>
      </c>
      <c r="L30" s="37" t="s">
        <v>32</v>
      </c>
      <c r="M30" s="35" t="s">
        <v>32</v>
      </c>
      <c r="N30" s="36" t="s">
        <v>32</v>
      </c>
      <c r="O30" s="146">
        <v>8</v>
      </c>
      <c r="P30" s="35">
        <v>6</v>
      </c>
      <c r="Q30" s="36">
        <v>7</v>
      </c>
      <c r="R30" s="37" t="s">
        <v>32</v>
      </c>
      <c r="S30" s="38" t="s">
        <v>32</v>
      </c>
      <c r="T30" s="34" t="s">
        <v>32</v>
      </c>
      <c r="U30" s="37" t="s">
        <v>32</v>
      </c>
      <c r="V30" s="35" t="s">
        <v>32</v>
      </c>
      <c r="W30" s="36" t="s">
        <v>32</v>
      </c>
      <c r="X30" s="37" t="s">
        <v>32</v>
      </c>
      <c r="Y30" s="35" t="s">
        <v>32</v>
      </c>
      <c r="Z30" s="36" t="s">
        <v>32</v>
      </c>
      <c r="AA30" s="146">
        <v>9</v>
      </c>
      <c r="AB30" s="38">
        <v>3</v>
      </c>
      <c r="AD30" s="34">
        <v>6</v>
      </c>
      <c r="AE30" s="37">
        <v>4</v>
      </c>
      <c r="AF30" s="35">
        <v>7</v>
      </c>
      <c r="AG30" s="36" t="s">
        <v>32</v>
      </c>
      <c r="AH30" s="37" t="s">
        <v>32</v>
      </c>
      <c r="AI30" s="35" t="s">
        <v>32</v>
      </c>
      <c r="AJ30" s="36" t="s">
        <v>32</v>
      </c>
      <c r="AK30" s="37" t="s">
        <v>32</v>
      </c>
      <c r="AL30" s="38" t="s">
        <v>32</v>
      </c>
      <c r="AM30" s="34" t="s">
        <v>32</v>
      </c>
      <c r="AN30" s="37" t="s">
        <v>32</v>
      </c>
      <c r="AO30" s="35" t="s">
        <v>32</v>
      </c>
      <c r="AP30" s="36" t="s">
        <v>32</v>
      </c>
      <c r="AQ30" s="37" t="s">
        <v>32</v>
      </c>
      <c r="AR30" s="35" t="s">
        <v>32</v>
      </c>
      <c r="AS30" s="36" t="s">
        <v>32</v>
      </c>
      <c r="AT30" s="37" t="s">
        <v>32</v>
      </c>
      <c r="AU30" s="38" t="s">
        <v>32</v>
      </c>
      <c r="AV30" s="34" t="s">
        <v>32</v>
      </c>
      <c r="AW30" s="37" t="s">
        <v>32</v>
      </c>
      <c r="AX30" s="35" t="s">
        <v>32</v>
      </c>
      <c r="AY30" s="147">
        <v>2</v>
      </c>
      <c r="AZ30" s="37">
        <v>8</v>
      </c>
      <c r="BA30" s="35">
        <v>5</v>
      </c>
      <c r="BB30" s="147">
        <v>3</v>
      </c>
      <c r="BC30" s="37">
        <v>1</v>
      </c>
      <c r="BD30" s="38">
        <v>9</v>
      </c>
      <c r="BF30" s="148">
        <v>2</v>
      </c>
      <c r="BG30" s="146">
        <v>3</v>
      </c>
      <c r="BH30" s="35">
        <v>8</v>
      </c>
      <c r="BI30" s="36">
        <v>1</v>
      </c>
      <c r="BJ30" s="37" t="s">
        <v>32</v>
      </c>
      <c r="BK30" s="35" t="s">
        <v>32</v>
      </c>
      <c r="BL30" s="36" t="s">
        <v>32</v>
      </c>
      <c r="BM30" s="37" t="s">
        <v>32</v>
      </c>
      <c r="BN30" s="38" t="s">
        <v>32</v>
      </c>
      <c r="BO30" s="34" t="s">
        <v>32</v>
      </c>
      <c r="BP30" s="37" t="s">
        <v>32</v>
      </c>
      <c r="BQ30" s="35" t="s">
        <v>32</v>
      </c>
      <c r="BR30" s="36" t="s">
        <v>32</v>
      </c>
      <c r="BS30" s="37" t="s">
        <v>32</v>
      </c>
      <c r="BT30" s="35" t="s">
        <v>32</v>
      </c>
      <c r="BU30" s="36" t="s">
        <v>32</v>
      </c>
      <c r="BV30" s="37" t="s">
        <v>32</v>
      </c>
      <c r="BW30" s="38" t="s">
        <v>32</v>
      </c>
      <c r="BX30" s="34" t="s">
        <v>32</v>
      </c>
      <c r="BY30" s="37" t="s">
        <v>32</v>
      </c>
      <c r="BZ30" s="35" t="s">
        <v>32</v>
      </c>
      <c r="CA30" s="36" t="s">
        <v>32</v>
      </c>
      <c r="CB30" s="146">
        <v>4</v>
      </c>
      <c r="CC30" s="149">
        <v>7</v>
      </c>
      <c r="CD30" s="36">
        <v>5</v>
      </c>
      <c r="CE30" s="37">
        <v>9</v>
      </c>
      <c r="CF30" s="38">
        <v>6</v>
      </c>
    </row>
    <row r="31" spans="2:84" ht="15" customHeight="1">
      <c r="B31" s="150">
        <v>3</v>
      </c>
      <c r="C31" s="39">
        <v>6</v>
      </c>
      <c r="D31" s="151">
        <v>7</v>
      </c>
      <c r="E31" s="40" t="s">
        <v>32</v>
      </c>
      <c r="F31" s="39" t="s">
        <v>32</v>
      </c>
      <c r="G31" s="41" t="s">
        <v>32</v>
      </c>
      <c r="H31" s="40" t="s">
        <v>32</v>
      </c>
      <c r="I31" s="39" t="s">
        <v>32</v>
      </c>
      <c r="J31" s="42" t="s">
        <v>32</v>
      </c>
      <c r="K31" s="43" t="s">
        <v>32</v>
      </c>
      <c r="L31" s="39" t="s">
        <v>32</v>
      </c>
      <c r="M31" s="41" t="s">
        <v>32</v>
      </c>
      <c r="N31" s="168">
        <v>4</v>
      </c>
      <c r="O31" s="39">
        <v>5</v>
      </c>
      <c r="P31" s="41">
        <v>9</v>
      </c>
      <c r="Q31" s="40">
        <v>2</v>
      </c>
      <c r="R31" s="39" t="s">
        <v>32</v>
      </c>
      <c r="S31" s="42" t="s">
        <v>32</v>
      </c>
      <c r="T31" s="43" t="s">
        <v>32</v>
      </c>
      <c r="U31" s="39" t="s">
        <v>32</v>
      </c>
      <c r="V31" s="41" t="s">
        <v>32</v>
      </c>
      <c r="W31" s="40" t="s">
        <v>32</v>
      </c>
      <c r="X31" s="39" t="s">
        <v>32</v>
      </c>
      <c r="Y31" s="41" t="s">
        <v>32</v>
      </c>
      <c r="Z31" s="40" t="s">
        <v>32</v>
      </c>
      <c r="AA31" s="39">
        <v>8</v>
      </c>
      <c r="AB31" s="152">
        <v>1</v>
      </c>
      <c r="AD31" s="43">
        <v>3</v>
      </c>
      <c r="AE31" s="39">
        <v>1</v>
      </c>
      <c r="AF31" s="41" t="s">
        <v>32</v>
      </c>
      <c r="AG31" s="40" t="s">
        <v>32</v>
      </c>
      <c r="AH31" s="39" t="s">
        <v>32</v>
      </c>
      <c r="AI31" s="41" t="s">
        <v>32</v>
      </c>
      <c r="AJ31" s="40" t="s">
        <v>32</v>
      </c>
      <c r="AK31" s="39" t="s">
        <v>32</v>
      </c>
      <c r="AL31" s="42" t="s">
        <v>32</v>
      </c>
      <c r="AM31" s="43" t="s">
        <v>32</v>
      </c>
      <c r="AN31" s="39" t="s">
        <v>32</v>
      </c>
      <c r="AO31" s="41">
        <v>9</v>
      </c>
      <c r="AP31" s="168" t="s">
        <v>32</v>
      </c>
      <c r="AQ31" s="39" t="s">
        <v>32</v>
      </c>
      <c r="AR31" s="41">
        <v>8</v>
      </c>
      <c r="AS31" s="153">
        <v>5</v>
      </c>
      <c r="AT31" s="39">
        <v>2</v>
      </c>
      <c r="AU31" s="42" t="s">
        <v>32</v>
      </c>
      <c r="AV31" s="43" t="s">
        <v>32</v>
      </c>
      <c r="AW31" s="39" t="s">
        <v>32</v>
      </c>
      <c r="AX31" s="41" t="s">
        <v>32</v>
      </c>
      <c r="AY31" s="153">
        <v>4</v>
      </c>
      <c r="AZ31" s="39">
        <v>7</v>
      </c>
      <c r="BA31" s="41" t="s">
        <v>32</v>
      </c>
      <c r="BB31" s="40" t="s">
        <v>32</v>
      </c>
      <c r="BC31" s="39" t="s">
        <v>32</v>
      </c>
      <c r="BD31" s="42">
        <v>6</v>
      </c>
      <c r="BF31" s="43">
        <v>7</v>
      </c>
      <c r="BG31" s="39">
        <v>5</v>
      </c>
      <c r="BH31" s="41">
        <v>9</v>
      </c>
      <c r="BI31" s="40" t="s">
        <v>32</v>
      </c>
      <c r="BJ31" s="39" t="s">
        <v>32</v>
      </c>
      <c r="BK31" s="41" t="s">
        <v>32</v>
      </c>
      <c r="BL31" s="40" t="s">
        <v>32</v>
      </c>
      <c r="BM31" s="39" t="s">
        <v>32</v>
      </c>
      <c r="BN31" s="42" t="s">
        <v>32</v>
      </c>
      <c r="BO31" s="43" t="s">
        <v>32</v>
      </c>
      <c r="BP31" s="39" t="s">
        <v>32</v>
      </c>
      <c r="BQ31" s="41" t="s">
        <v>32</v>
      </c>
      <c r="BR31" s="169">
        <v>4</v>
      </c>
      <c r="BS31" s="39">
        <v>6</v>
      </c>
      <c r="BT31" s="41" t="s">
        <v>32</v>
      </c>
      <c r="BU31" s="40" t="s">
        <v>32</v>
      </c>
      <c r="BV31" s="39" t="s">
        <v>32</v>
      </c>
      <c r="BW31" s="42" t="s">
        <v>32</v>
      </c>
      <c r="BX31" s="43" t="s">
        <v>32</v>
      </c>
      <c r="BY31" s="39" t="s">
        <v>32</v>
      </c>
      <c r="BZ31" s="41" t="s">
        <v>32</v>
      </c>
      <c r="CA31" s="40" t="s">
        <v>32</v>
      </c>
      <c r="CB31" s="39" t="s">
        <v>32</v>
      </c>
      <c r="CC31" s="151">
        <v>2</v>
      </c>
      <c r="CD31" s="40">
        <v>1</v>
      </c>
      <c r="CE31" s="154">
        <v>8</v>
      </c>
      <c r="CF31" s="42">
        <v>3</v>
      </c>
    </row>
    <row r="32" spans="2:84" ht="15" customHeight="1">
      <c r="B32" s="44" t="s">
        <v>32</v>
      </c>
      <c r="C32" s="45" t="s">
        <v>32</v>
      </c>
      <c r="D32" s="155">
        <v>8</v>
      </c>
      <c r="E32" s="46">
        <v>9</v>
      </c>
      <c r="F32" s="45" t="s">
        <v>32</v>
      </c>
      <c r="G32" s="47" t="s">
        <v>32</v>
      </c>
      <c r="H32" s="46" t="s">
        <v>32</v>
      </c>
      <c r="I32" s="45" t="s">
        <v>32</v>
      </c>
      <c r="J32" s="48" t="s">
        <v>32</v>
      </c>
      <c r="K32" s="44" t="s">
        <v>32</v>
      </c>
      <c r="L32" s="45" t="s">
        <v>32</v>
      </c>
      <c r="M32" s="47" t="s">
        <v>32</v>
      </c>
      <c r="N32" s="46" t="s">
        <v>32</v>
      </c>
      <c r="O32" s="156">
        <v>1</v>
      </c>
      <c r="P32" s="47" t="s">
        <v>32</v>
      </c>
      <c r="Q32" s="46" t="s">
        <v>32</v>
      </c>
      <c r="R32" s="45" t="s">
        <v>32</v>
      </c>
      <c r="S32" s="48" t="s">
        <v>32</v>
      </c>
      <c r="T32" s="44" t="s">
        <v>32</v>
      </c>
      <c r="U32" s="45" t="s">
        <v>32</v>
      </c>
      <c r="V32" s="47" t="s">
        <v>32</v>
      </c>
      <c r="W32" s="46" t="s">
        <v>32</v>
      </c>
      <c r="X32" s="45" t="s">
        <v>32</v>
      </c>
      <c r="Y32" s="47">
        <v>7</v>
      </c>
      <c r="Z32" s="157">
        <v>6</v>
      </c>
      <c r="AA32" s="156">
        <v>4</v>
      </c>
      <c r="AB32" s="48">
        <v>2</v>
      </c>
      <c r="AD32" s="158">
        <v>2</v>
      </c>
      <c r="AE32" s="156">
        <v>8</v>
      </c>
      <c r="AF32" s="47" t="s">
        <v>32</v>
      </c>
      <c r="AG32" s="46" t="s">
        <v>32</v>
      </c>
      <c r="AH32" s="45" t="s">
        <v>32</v>
      </c>
      <c r="AI32" s="47" t="s">
        <v>32</v>
      </c>
      <c r="AJ32" s="46" t="s">
        <v>32</v>
      </c>
      <c r="AK32" s="45" t="s">
        <v>32</v>
      </c>
      <c r="AL32" s="48" t="s">
        <v>32</v>
      </c>
      <c r="AM32" s="44" t="s">
        <v>32</v>
      </c>
      <c r="AN32" s="45" t="s">
        <v>32</v>
      </c>
      <c r="AO32" s="155">
        <v>4</v>
      </c>
      <c r="AP32" s="157">
        <v>3</v>
      </c>
      <c r="AQ32" s="45">
        <v>1</v>
      </c>
      <c r="AR32" s="47">
        <v>7</v>
      </c>
      <c r="AS32" s="157">
        <v>6</v>
      </c>
      <c r="AT32" s="45" t="s">
        <v>32</v>
      </c>
      <c r="AU32" s="48" t="s">
        <v>32</v>
      </c>
      <c r="AV32" s="44" t="s">
        <v>32</v>
      </c>
      <c r="AW32" s="45" t="s">
        <v>32</v>
      </c>
      <c r="AX32" s="47" t="s">
        <v>32</v>
      </c>
      <c r="AY32" s="46" t="s">
        <v>32</v>
      </c>
      <c r="AZ32" s="45" t="s">
        <v>32</v>
      </c>
      <c r="BA32" s="47" t="s">
        <v>32</v>
      </c>
      <c r="BB32" s="46" t="s">
        <v>32</v>
      </c>
      <c r="BC32" s="45" t="s">
        <v>32</v>
      </c>
      <c r="BD32" s="48" t="s">
        <v>32</v>
      </c>
      <c r="BF32" s="44">
        <v>4</v>
      </c>
      <c r="BG32" s="45" t="s">
        <v>32</v>
      </c>
      <c r="BH32" s="47" t="s">
        <v>32</v>
      </c>
      <c r="BI32" s="46" t="s">
        <v>32</v>
      </c>
      <c r="BJ32" s="45" t="s">
        <v>32</v>
      </c>
      <c r="BK32" s="47" t="s">
        <v>32</v>
      </c>
      <c r="BL32" s="46" t="s">
        <v>32</v>
      </c>
      <c r="BM32" s="45" t="s">
        <v>32</v>
      </c>
      <c r="BN32" s="48" t="s">
        <v>32</v>
      </c>
      <c r="BO32" s="44" t="s">
        <v>32</v>
      </c>
      <c r="BP32" s="45">
        <v>8</v>
      </c>
      <c r="BQ32" s="155">
        <v>2</v>
      </c>
      <c r="BR32" s="46">
        <v>5</v>
      </c>
      <c r="BS32" s="156">
        <v>7</v>
      </c>
      <c r="BT32" s="155">
        <v>9</v>
      </c>
      <c r="BU32" s="46">
        <v>3</v>
      </c>
      <c r="BV32" s="45" t="s">
        <v>32</v>
      </c>
      <c r="BW32" s="48" t="s">
        <v>32</v>
      </c>
      <c r="BX32" s="44" t="s">
        <v>32</v>
      </c>
      <c r="BY32" s="45" t="s">
        <v>32</v>
      </c>
      <c r="BZ32" s="47" t="s">
        <v>32</v>
      </c>
      <c r="CA32" s="46" t="s">
        <v>32</v>
      </c>
      <c r="CB32" s="45" t="s">
        <v>32</v>
      </c>
      <c r="CC32" s="47" t="s">
        <v>32</v>
      </c>
      <c r="CD32" s="46" t="s">
        <v>32</v>
      </c>
      <c r="CE32" s="45" t="s">
        <v>32</v>
      </c>
      <c r="CF32" s="48" t="s">
        <v>32</v>
      </c>
    </row>
    <row r="33" spans="2:84" ht="15" customHeight="1">
      <c r="B33" s="49" t="s">
        <v>32</v>
      </c>
      <c r="C33" s="50" t="s">
        <v>32</v>
      </c>
      <c r="D33" s="51" t="s">
        <v>32</v>
      </c>
      <c r="E33" s="52" t="s">
        <v>32</v>
      </c>
      <c r="F33" s="50" t="s">
        <v>32</v>
      </c>
      <c r="G33" s="51" t="s">
        <v>32</v>
      </c>
      <c r="H33" s="52" t="s">
        <v>32</v>
      </c>
      <c r="I33" s="50" t="s">
        <v>32</v>
      </c>
      <c r="J33" s="53" t="s">
        <v>32</v>
      </c>
      <c r="K33" s="49" t="s">
        <v>32</v>
      </c>
      <c r="L33" s="50" t="s">
        <v>32</v>
      </c>
      <c r="M33" s="51" t="s">
        <v>32</v>
      </c>
      <c r="N33" s="52" t="s">
        <v>32</v>
      </c>
      <c r="O33" s="50">
        <v>3</v>
      </c>
      <c r="P33" s="51" t="s">
        <v>32</v>
      </c>
      <c r="Q33" s="52" t="s">
        <v>32</v>
      </c>
      <c r="R33" s="50" t="s">
        <v>32</v>
      </c>
      <c r="S33" s="53" t="s">
        <v>32</v>
      </c>
      <c r="T33" s="49" t="s">
        <v>32</v>
      </c>
      <c r="U33" s="50" t="s">
        <v>32</v>
      </c>
      <c r="V33" s="51" t="s">
        <v>32</v>
      </c>
      <c r="W33" s="52" t="s">
        <v>32</v>
      </c>
      <c r="X33" s="50" t="s">
        <v>32</v>
      </c>
      <c r="Y33" s="51">
        <v>5</v>
      </c>
      <c r="Z33" s="52" t="s">
        <v>32</v>
      </c>
      <c r="AA33" s="50" t="s">
        <v>32</v>
      </c>
      <c r="AB33" s="53" t="s">
        <v>32</v>
      </c>
      <c r="AD33" s="49">
        <v>5</v>
      </c>
      <c r="AE33" s="50" t="s">
        <v>32</v>
      </c>
      <c r="AF33" s="51" t="s">
        <v>32</v>
      </c>
      <c r="AG33" s="52" t="s">
        <v>32</v>
      </c>
      <c r="AH33" s="50" t="s">
        <v>32</v>
      </c>
      <c r="AI33" s="51" t="s">
        <v>32</v>
      </c>
      <c r="AJ33" s="52" t="s">
        <v>32</v>
      </c>
      <c r="AK33" s="50" t="s">
        <v>32</v>
      </c>
      <c r="AL33" s="53" t="s">
        <v>32</v>
      </c>
      <c r="AM33" s="49" t="s">
        <v>32</v>
      </c>
      <c r="AN33" s="50" t="s">
        <v>32</v>
      </c>
      <c r="AO33" s="51" t="s">
        <v>32</v>
      </c>
      <c r="AP33" s="52" t="s">
        <v>32</v>
      </c>
      <c r="AQ33" s="50" t="s">
        <v>32</v>
      </c>
      <c r="AR33" s="51" t="s">
        <v>32</v>
      </c>
      <c r="AS33" s="52" t="s">
        <v>32</v>
      </c>
      <c r="AT33" s="50" t="s">
        <v>32</v>
      </c>
      <c r="AU33" s="53" t="s">
        <v>32</v>
      </c>
      <c r="AV33" s="49" t="s">
        <v>32</v>
      </c>
      <c r="AW33" s="50" t="s">
        <v>32</v>
      </c>
      <c r="AX33" s="51" t="s">
        <v>32</v>
      </c>
      <c r="AY33" s="52" t="s">
        <v>32</v>
      </c>
      <c r="AZ33" s="50" t="s">
        <v>32</v>
      </c>
      <c r="BA33" s="51" t="s">
        <v>32</v>
      </c>
      <c r="BB33" s="52" t="s">
        <v>32</v>
      </c>
      <c r="BC33" s="50" t="s">
        <v>32</v>
      </c>
      <c r="BD33" s="53" t="s">
        <v>32</v>
      </c>
      <c r="BF33" s="159">
        <v>6</v>
      </c>
      <c r="BG33" s="50" t="s">
        <v>32</v>
      </c>
      <c r="BH33" s="51" t="s">
        <v>32</v>
      </c>
      <c r="BI33" s="52" t="s">
        <v>32</v>
      </c>
      <c r="BJ33" s="50" t="s">
        <v>32</v>
      </c>
      <c r="BK33" s="51" t="s">
        <v>32</v>
      </c>
      <c r="BL33" s="52" t="s">
        <v>32</v>
      </c>
      <c r="BM33" s="50" t="s">
        <v>32</v>
      </c>
      <c r="BN33" s="53" t="s">
        <v>32</v>
      </c>
      <c r="BO33" s="49" t="s">
        <v>32</v>
      </c>
      <c r="BP33" s="160">
        <v>1</v>
      </c>
      <c r="BQ33" s="51" t="s">
        <v>32</v>
      </c>
      <c r="BR33" s="52" t="s">
        <v>32</v>
      </c>
      <c r="BS33" s="50" t="s">
        <v>32</v>
      </c>
      <c r="BT33" s="51" t="s">
        <v>32</v>
      </c>
      <c r="BU33" s="52" t="s">
        <v>32</v>
      </c>
      <c r="BV33" s="50" t="s">
        <v>32</v>
      </c>
      <c r="BW33" s="53" t="s">
        <v>32</v>
      </c>
      <c r="BX33" s="49" t="s">
        <v>32</v>
      </c>
      <c r="BY33" s="50" t="s">
        <v>32</v>
      </c>
      <c r="BZ33" s="51" t="s">
        <v>32</v>
      </c>
      <c r="CA33" s="52" t="s">
        <v>32</v>
      </c>
      <c r="CB33" s="50" t="s">
        <v>32</v>
      </c>
      <c r="CC33" s="51" t="s">
        <v>32</v>
      </c>
      <c r="CD33" s="52" t="s">
        <v>32</v>
      </c>
      <c r="CE33" s="50" t="s">
        <v>32</v>
      </c>
      <c r="CF33" s="53" t="s">
        <v>32</v>
      </c>
    </row>
    <row r="34" spans="2:84" ht="15" customHeight="1">
      <c r="B34" s="43" t="s">
        <v>32</v>
      </c>
      <c r="C34" s="39" t="s">
        <v>32</v>
      </c>
      <c r="D34" s="41" t="s">
        <v>32</v>
      </c>
      <c r="E34" s="40" t="s">
        <v>32</v>
      </c>
      <c r="F34" s="39" t="s">
        <v>32</v>
      </c>
      <c r="G34" s="41" t="s">
        <v>32</v>
      </c>
      <c r="H34" s="40" t="s">
        <v>32</v>
      </c>
      <c r="I34" s="39" t="s">
        <v>32</v>
      </c>
      <c r="J34" s="42" t="s">
        <v>32</v>
      </c>
      <c r="K34" s="43" t="s">
        <v>32</v>
      </c>
      <c r="L34" s="39" t="s">
        <v>32</v>
      </c>
      <c r="M34" s="41" t="s">
        <v>32</v>
      </c>
      <c r="N34" s="40" t="s">
        <v>32</v>
      </c>
      <c r="O34" s="39" t="s">
        <v>32</v>
      </c>
      <c r="P34" s="41" t="s">
        <v>32</v>
      </c>
      <c r="Q34" s="40" t="s">
        <v>32</v>
      </c>
      <c r="R34" s="39" t="s">
        <v>32</v>
      </c>
      <c r="S34" s="42" t="s">
        <v>32</v>
      </c>
      <c r="T34" s="43" t="s">
        <v>32</v>
      </c>
      <c r="U34" s="39" t="s">
        <v>32</v>
      </c>
      <c r="V34" s="41" t="s">
        <v>32</v>
      </c>
      <c r="W34" s="40" t="s">
        <v>32</v>
      </c>
      <c r="X34" s="39" t="s">
        <v>32</v>
      </c>
      <c r="Y34" s="41" t="s">
        <v>32</v>
      </c>
      <c r="Z34" s="40" t="s">
        <v>32</v>
      </c>
      <c r="AA34" s="39" t="s">
        <v>32</v>
      </c>
      <c r="AB34" s="42" t="s">
        <v>32</v>
      </c>
      <c r="AD34" s="43">
        <v>9</v>
      </c>
      <c r="AE34" s="39" t="s">
        <v>32</v>
      </c>
      <c r="AF34" s="41" t="s">
        <v>32</v>
      </c>
      <c r="AG34" s="40" t="s">
        <v>32</v>
      </c>
      <c r="AH34" s="39" t="s">
        <v>32</v>
      </c>
      <c r="AI34" s="41" t="s">
        <v>32</v>
      </c>
      <c r="AJ34" s="40" t="s">
        <v>32</v>
      </c>
      <c r="AK34" s="39" t="s">
        <v>32</v>
      </c>
      <c r="AL34" s="42" t="s">
        <v>32</v>
      </c>
      <c r="AM34" s="43" t="s">
        <v>32</v>
      </c>
      <c r="AN34" s="39" t="s">
        <v>32</v>
      </c>
      <c r="AO34" s="41" t="s">
        <v>32</v>
      </c>
      <c r="AP34" s="40" t="s">
        <v>32</v>
      </c>
      <c r="AQ34" s="39" t="s">
        <v>32</v>
      </c>
      <c r="AR34" s="41" t="s">
        <v>32</v>
      </c>
      <c r="AS34" s="40" t="s">
        <v>32</v>
      </c>
      <c r="AT34" s="39" t="s">
        <v>32</v>
      </c>
      <c r="AU34" s="42" t="s">
        <v>32</v>
      </c>
      <c r="AV34" s="43" t="s">
        <v>32</v>
      </c>
      <c r="AW34" s="39" t="s">
        <v>32</v>
      </c>
      <c r="AX34" s="41" t="s">
        <v>32</v>
      </c>
      <c r="AY34" s="40" t="s">
        <v>32</v>
      </c>
      <c r="AZ34" s="39" t="s">
        <v>32</v>
      </c>
      <c r="BA34" s="41" t="s">
        <v>32</v>
      </c>
      <c r="BB34" s="40" t="s">
        <v>32</v>
      </c>
      <c r="BC34" s="39" t="s">
        <v>32</v>
      </c>
      <c r="BD34" s="42" t="s">
        <v>32</v>
      </c>
      <c r="BF34" s="43" t="s">
        <v>32</v>
      </c>
      <c r="BG34" s="39" t="s">
        <v>32</v>
      </c>
      <c r="BH34" s="41" t="s">
        <v>32</v>
      </c>
      <c r="BI34" s="40" t="s">
        <v>32</v>
      </c>
      <c r="BJ34" s="39" t="s">
        <v>32</v>
      </c>
      <c r="BK34" s="41" t="s">
        <v>32</v>
      </c>
      <c r="BL34" s="40" t="s">
        <v>32</v>
      </c>
      <c r="BM34" s="39" t="s">
        <v>32</v>
      </c>
      <c r="BN34" s="42" t="s">
        <v>32</v>
      </c>
      <c r="BO34" s="43" t="s">
        <v>32</v>
      </c>
      <c r="BP34" s="39" t="s">
        <v>32</v>
      </c>
      <c r="BQ34" s="41" t="s">
        <v>32</v>
      </c>
      <c r="BR34" s="40" t="s">
        <v>32</v>
      </c>
      <c r="BS34" s="39" t="s">
        <v>32</v>
      </c>
      <c r="BT34" s="41" t="s">
        <v>32</v>
      </c>
      <c r="BU34" s="40" t="s">
        <v>32</v>
      </c>
      <c r="BV34" s="39" t="s">
        <v>32</v>
      </c>
      <c r="BW34" s="42" t="s">
        <v>32</v>
      </c>
      <c r="BX34" s="43" t="s">
        <v>32</v>
      </c>
      <c r="BY34" s="39" t="s">
        <v>32</v>
      </c>
      <c r="BZ34" s="41" t="s">
        <v>32</v>
      </c>
      <c r="CA34" s="40" t="s">
        <v>32</v>
      </c>
      <c r="CB34" s="39" t="s">
        <v>32</v>
      </c>
      <c r="CC34" s="41" t="s">
        <v>32</v>
      </c>
      <c r="CD34" s="40" t="s">
        <v>32</v>
      </c>
      <c r="CE34" s="39" t="s">
        <v>32</v>
      </c>
      <c r="CF34" s="42" t="s">
        <v>32</v>
      </c>
    </row>
    <row r="35" spans="2:84" ht="15" customHeight="1">
      <c r="B35" s="44" t="s">
        <v>32</v>
      </c>
      <c r="C35" s="45" t="s">
        <v>32</v>
      </c>
      <c r="D35" s="47" t="s">
        <v>32</v>
      </c>
      <c r="E35" s="46" t="s">
        <v>32</v>
      </c>
      <c r="F35" s="45" t="s">
        <v>32</v>
      </c>
      <c r="G35" s="47" t="s">
        <v>32</v>
      </c>
      <c r="H35" s="46" t="s">
        <v>32</v>
      </c>
      <c r="I35" s="45" t="s">
        <v>32</v>
      </c>
      <c r="J35" s="48" t="s">
        <v>32</v>
      </c>
      <c r="K35" s="44" t="s">
        <v>32</v>
      </c>
      <c r="L35" s="45" t="s">
        <v>32</v>
      </c>
      <c r="M35" s="47" t="s">
        <v>32</v>
      </c>
      <c r="N35" s="46" t="s">
        <v>32</v>
      </c>
      <c r="O35" s="45" t="s">
        <v>32</v>
      </c>
      <c r="P35" s="47" t="s">
        <v>32</v>
      </c>
      <c r="Q35" s="46" t="s">
        <v>32</v>
      </c>
      <c r="R35" s="45" t="s">
        <v>32</v>
      </c>
      <c r="S35" s="48" t="s">
        <v>32</v>
      </c>
      <c r="T35" s="44" t="s">
        <v>32</v>
      </c>
      <c r="U35" s="45" t="s">
        <v>32</v>
      </c>
      <c r="V35" s="47" t="s">
        <v>32</v>
      </c>
      <c r="W35" s="46" t="s">
        <v>32</v>
      </c>
      <c r="X35" s="45" t="s">
        <v>32</v>
      </c>
      <c r="Y35" s="47" t="s">
        <v>32</v>
      </c>
      <c r="Z35" s="46" t="s">
        <v>32</v>
      </c>
      <c r="AA35" s="45" t="s">
        <v>32</v>
      </c>
      <c r="AB35" s="48" t="s">
        <v>32</v>
      </c>
      <c r="AD35" s="44" t="s">
        <v>32</v>
      </c>
      <c r="AE35" s="45" t="s">
        <v>32</v>
      </c>
      <c r="AF35" s="47" t="s">
        <v>32</v>
      </c>
      <c r="AG35" s="46" t="s">
        <v>32</v>
      </c>
      <c r="AH35" s="45" t="s">
        <v>32</v>
      </c>
      <c r="AI35" s="47" t="s">
        <v>32</v>
      </c>
      <c r="AJ35" s="46" t="s">
        <v>32</v>
      </c>
      <c r="AK35" s="45" t="s">
        <v>32</v>
      </c>
      <c r="AL35" s="48" t="s">
        <v>32</v>
      </c>
      <c r="AM35" s="44" t="s">
        <v>32</v>
      </c>
      <c r="AN35" s="45" t="s">
        <v>32</v>
      </c>
      <c r="AO35" s="47" t="s">
        <v>32</v>
      </c>
      <c r="AP35" s="46" t="s">
        <v>32</v>
      </c>
      <c r="AQ35" s="45" t="s">
        <v>32</v>
      </c>
      <c r="AR35" s="47" t="s">
        <v>32</v>
      </c>
      <c r="AS35" s="46" t="s">
        <v>32</v>
      </c>
      <c r="AT35" s="45" t="s">
        <v>32</v>
      </c>
      <c r="AU35" s="48" t="s">
        <v>32</v>
      </c>
      <c r="AV35" s="44" t="s">
        <v>32</v>
      </c>
      <c r="AW35" s="45" t="s">
        <v>32</v>
      </c>
      <c r="AX35" s="47" t="s">
        <v>32</v>
      </c>
      <c r="AY35" s="46" t="s">
        <v>32</v>
      </c>
      <c r="AZ35" s="45" t="s">
        <v>32</v>
      </c>
      <c r="BA35" s="47" t="s">
        <v>32</v>
      </c>
      <c r="BB35" s="46" t="s">
        <v>32</v>
      </c>
      <c r="BC35" s="45" t="s">
        <v>32</v>
      </c>
      <c r="BD35" s="48" t="s">
        <v>32</v>
      </c>
      <c r="BF35" s="44" t="s">
        <v>32</v>
      </c>
      <c r="BG35" s="45" t="s">
        <v>32</v>
      </c>
      <c r="BH35" s="47" t="s">
        <v>32</v>
      </c>
      <c r="BI35" s="46" t="s">
        <v>32</v>
      </c>
      <c r="BJ35" s="45" t="s">
        <v>32</v>
      </c>
      <c r="BK35" s="47" t="s">
        <v>32</v>
      </c>
      <c r="BL35" s="46" t="s">
        <v>32</v>
      </c>
      <c r="BM35" s="45" t="s">
        <v>32</v>
      </c>
      <c r="BN35" s="48" t="s">
        <v>32</v>
      </c>
      <c r="BO35" s="44" t="s">
        <v>32</v>
      </c>
      <c r="BP35" s="45" t="s">
        <v>32</v>
      </c>
      <c r="BQ35" s="47" t="s">
        <v>32</v>
      </c>
      <c r="BR35" s="46" t="s">
        <v>32</v>
      </c>
      <c r="BS35" s="45" t="s">
        <v>32</v>
      </c>
      <c r="BT35" s="47" t="s">
        <v>32</v>
      </c>
      <c r="BU35" s="46" t="s">
        <v>32</v>
      </c>
      <c r="BV35" s="45" t="s">
        <v>32</v>
      </c>
      <c r="BW35" s="48" t="s">
        <v>32</v>
      </c>
      <c r="BX35" s="44" t="s">
        <v>32</v>
      </c>
      <c r="BY35" s="45" t="s">
        <v>32</v>
      </c>
      <c r="BZ35" s="47" t="s">
        <v>32</v>
      </c>
      <c r="CA35" s="46" t="s">
        <v>32</v>
      </c>
      <c r="CB35" s="45" t="s">
        <v>32</v>
      </c>
      <c r="CC35" s="47" t="s">
        <v>32</v>
      </c>
      <c r="CD35" s="46" t="s">
        <v>32</v>
      </c>
      <c r="CE35" s="45" t="s">
        <v>32</v>
      </c>
      <c r="CF35" s="48" t="s">
        <v>32</v>
      </c>
    </row>
    <row r="36" spans="2:84" ht="15" customHeight="1">
      <c r="B36" s="49" t="s">
        <v>32</v>
      </c>
      <c r="C36" s="50" t="s">
        <v>32</v>
      </c>
      <c r="D36" s="51" t="s">
        <v>32</v>
      </c>
      <c r="E36" s="52" t="s">
        <v>32</v>
      </c>
      <c r="F36" s="50" t="s">
        <v>32</v>
      </c>
      <c r="G36" s="51" t="s">
        <v>32</v>
      </c>
      <c r="H36" s="52" t="s">
        <v>32</v>
      </c>
      <c r="I36" s="50" t="s">
        <v>32</v>
      </c>
      <c r="J36" s="53" t="s">
        <v>32</v>
      </c>
      <c r="K36" s="49" t="s">
        <v>32</v>
      </c>
      <c r="L36" s="50" t="s">
        <v>32</v>
      </c>
      <c r="M36" s="51" t="s">
        <v>32</v>
      </c>
      <c r="N36" s="52" t="s">
        <v>32</v>
      </c>
      <c r="O36" s="50" t="s">
        <v>32</v>
      </c>
      <c r="P36" s="51" t="s">
        <v>32</v>
      </c>
      <c r="Q36" s="52" t="s">
        <v>32</v>
      </c>
      <c r="R36" s="50" t="s">
        <v>32</v>
      </c>
      <c r="S36" s="53" t="s">
        <v>32</v>
      </c>
      <c r="T36" s="49" t="s">
        <v>32</v>
      </c>
      <c r="U36" s="50" t="s">
        <v>32</v>
      </c>
      <c r="V36" s="51" t="s">
        <v>32</v>
      </c>
      <c r="W36" s="52" t="s">
        <v>32</v>
      </c>
      <c r="X36" s="50" t="s">
        <v>32</v>
      </c>
      <c r="Y36" s="51" t="s">
        <v>32</v>
      </c>
      <c r="Z36" s="52" t="s">
        <v>32</v>
      </c>
      <c r="AA36" s="50" t="s">
        <v>32</v>
      </c>
      <c r="AB36" s="53" t="s">
        <v>32</v>
      </c>
      <c r="AD36" s="49" t="s">
        <v>32</v>
      </c>
      <c r="AE36" s="50" t="s">
        <v>32</v>
      </c>
      <c r="AF36" s="51" t="s">
        <v>32</v>
      </c>
      <c r="AG36" s="52" t="s">
        <v>32</v>
      </c>
      <c r="AH36" s="50" t="s">
        <v>32</v>
      </c>
      <c r="AI36" s="51" t="s">
        <v>32</v>
      </c>
      <c r="AJ36" s="52" t="s">
        <v>32</v>
      </c>
      <c r="AK36" s="50" t="s">
        <v>32</v>
      </c>
      <c r="AL36" s="53" t="s">
        <v>32</v>
      </c>
      <c r="AM36" s="49" t="s">
        <v>32</v>
      </c>
      <c r="AN36" s="50" t="s">
        <v>32</v>
      </c>
      <c r="AO36" s="51" t="s">
        <v>32</v>
      </c>
      <c r="AP36" s="52" t="s">
        <v>32</v>
      </c>
      <c r="AQ36" s="50" t="s">
        <v>32</v>
      </c>
      <c r="AR36" s="51" t="s">
        <v>32</v>
      </c>
      <c r="AS36" s="52" t="s">
        <v>32</v>
      </c>
      <c r="AT36" s="50" t="s">
        <v>32</v>
      </c>
      <c r="AU36" s="53" t="s">
        <v>32</v>
      </c>
      <c r="AV36" s="49" t="s">
        <v>32</v>
      </c>
      <c r="AW36" s="50" t="s">
        <v>32</v>
      </c>
      <c r="AX36" s="51" t="s">
        <v>32</v>
      </c>
      <c r="AY36" s="52" t="s">
        <v>32</v>
      </c>
      <c r="AZ36" s="50" t="s">
        <v>32</v>
      </c>
      <c r="BA36" s="51" t="s">
        <v>32</v>
      </c>
      <c r="BB36" s="52" t="s">
        <v>32</v>
      </c>
      <c r="BC36" s="50" t="s">
        <v>32</v>
      </c>
      <c r="BD36" s="53" t="s">
        <v>32</v>
      </c>
      <c r="BF36" s="49" t="s">
        <v>32</v>
      </c>
      <c r="BG36" s="50" t="s">
        <v>32</v>
      </c>
      <c r="BH36" s="51" t="s">
        <v>32</v>
      </c>
      <c r="BI36" s="52" t="s">
        <v>32</v>
      </c>
      <c r="BJ36" s="50" t="s">
        <v>32</v>
      </c>
      <c r="BK36" s="51" t="s">
        <v>32</v>
      </c>
      <c r="BL36" s="52" t="s">
        <v>32</v>
      </c>
      <c r="BM36" s="50" t="s">
        <v>32</v>
      </c>
      <c r="BN36" s="53" t="s">
        <v>32</v>
      </c>
      <c r="BO36" s="49" t="s">
        <v>32</v>
      </c>
      <c r="BP36" s="50" t="s">
        <v>32</v>
      </c>
      <c r="BQ36" s="51" t="s">
        <v>32</v>
      </c>
      <c r="BR36" s="52" t="s">
        <v>32</v>
      </c>
      <c r="BS36" s="50" t="s">
        <v>32</v>
      </c>
      <c r="BT36" s="51" t="s">
        <v>32</v>
      </c>
      <c r="BU36" s="52" t="s">
        <v>32</v>
      </c>
      <c r="BV36" s="50" t="s">
        <v>32</v>
      </c>
      <c r="BW36" s="53" t="s">
        <v>32</v>
      </c>
      <c r="BX36" s="49" t="s">
        <v>32</v>
      </c>
      <c r="BY36" s="50" t="s">
        <v>32</v>
      </c>
      <c r="BZ36" s="51" t="s">
        <v>32</v>
      </c>
      <c r="CA36" s="52" t="s">
        <v>32</v>
      </c>
      <c r="CB36" s="50" t="s">
        <v>32</v>
      </c>
      <c r="CC36" s="51" t="s">
        <v>32</v>
      </c>
      <c r="CD36" s="52" t="s">
        <v>32</v>
      </c>
      <c r="CE36" s="50" t="s">
        <v>32</v>
      </c>
      <c r="CF36" s="53" t="s">
        <v>32</v>
      </c>
    </row>
    <row r="37" spans="2:84" ht="15" customHeight="1">
      <c r="B37" s="43" t="s">
        <v>32</v>
      </c>
      <c r="C37" s="39" t="s">
        <v>32</v>
      </c>
      <c r="D37" s="41" t="s">
        <v>32</v>
      </c>
      <c r="E37" s="40" t="s">
        <v>32</v>
      </c>
      <c r="F37" s="39" t="s">
        <v>32</v>
      </c>
      <c r="G37" s="41" t="s">
        <v>32</v>
      </c>
      <c r="H37" s="40" t="s">
        <v>32</v>
      </c>
      <c r="I37" s="39" t="s">
        <v>32</v>
      </c>
      <c r="J37" s="42" t="s">
        <v>32</v>
      </c>
      <c r="K37" s="43" t="s">
        <v>32</v>
      </c>
      <c r="L37" s="39" t="s">
        <v>32</v>
      </c>
      <c r="M37" s="41" t="s">
        <v>32</v>
      </c>
      <c r="N37" s="40" t="s">
        <v>32</v>
      </c>
      <c r="O37" s="39" t="s">
        <v>32</v>
      </c>
      <c r="P37" s="41" t="s">
        <v>32</v>
      </c>
      <c r="Q37" s="40" t="s">
        <v>32</v>
      </c>
      <c r="R37" s="39" t="s">
        <v>32</v>
      </c>
      <c r="S37" s="42" t="s">
        <v>32</v>
      </c>
      <c r="T37" s="43" t="s">
        <v>32</v>
      </c>
      <c r="U37" s="39" t="s">
        <v>32</v>
      </c>
      <c r="V37" s="41" t="s">
        <v>32</v>
      </c>
      <c r="W37" s="40" t="s">
        <v>32</v>
      </c>
      <c r="X37" s="39" t="s">
        <v>32</v>
      </c>
      <c r="Y37" s="41" t="s">
        <v>32</v>
      </c>
      <c r="Z37" s="40" t="s">
        <v>32</v>
      </c>
      <c r="AA37" s="39" t="s">
        <v>32</v>
      </c>
      <c r="AB37" s="42" t="s">
        <v>32</v>
      </c>
      <c r="AD37" s="43" t="s">
        <v>32</v>
      </c>
      <c r="AE37" s="39" t="s">
        <v>32</v>
      </c>
      <c r="AF37" s="41" t="s">
        <v>32</v>
      </c>
      <c r="AG37" s="40" t="s">
        <v>32</v>
      </c>
      <c r="AH37" s="39" t="s">
        <v>32</v>
      </c>
      <c r="AI37" s="41" t="s">
        <v>32</v>
      </c>
      <c r="AJ37" s="40" t="s">
        <v>32</v>
      </c>
      <c r="AK37" s="39" t="s">
        <v>32</v>
      </c>
      <c r="AL37" s="42" t="s">
        <v>32</v>
      </c>
      <c r="AM37" s="43" t="s">
        <v>32</v>
      </c>
      <c r="AN37" s="39" t="s">
        <v>32</v>
      </c>
      <c r="AO37" s="41" t="s">
        <v>32</v>
      </c>
      <c r="AP37" s="40" t="s">
        <v>32</v>
      </c>
      <c r="AQ37" s="39" t="s">
        <v>32</v>
      </c>
      <c r="AR37" s="41" t="s">
        <v>32</v>
      </c>
      <c r="AS37" s="40" t="s">
        <v>32</v>
      </c>
      <c r="AT37" s="39" t="s">
        <v>32</v>
      </c>
      <c r="AU37" s="42" t="s">
        <v>32</v>
      </c>
      <c r="AV37" s="43" t="s">
        <v>32</v>
      </c>
      <c r="AW37" s="39" t="s">
        <v>32</v>
      </c>
      <c r="AX37" s="41" t="s">
        <v>32</v>
      </c>
      <c r="AY37" s="40" t="s">
        <v>32</v>
      </c>
      <c r="AZ37" s="39" t="s">
        <v>32</v>
      </c>
      <c r="BA37" s="41" t="s">
        <v>32</v>
      </c>
      <c r="BB37" s="40" t="s">
        <v>32</v>
      </c>
      <c r="BC37" s="39" t="s">
        <v>32</v>
      </c>
      <c r="BD37" s="42" t="s">
        <v>32</v>
      </c>
      <c r="BF37" s="43" t="s">
        <v>32</v>
      </c>
      <c r="BG37" s="39" t="s">
        <v>32</v>
      </c>
      <c r="BH37" s="41" t="s">
        <v>32</v>
      </c>
      <c r="BI37" s="40" t="s">
        <v>32</v>
      </c>
      <c r="BJ37" s="39" t="s">
        <v>32</v>
      </c>
      <c r="BK37" s="41" t="s">
        <v>32</v>
      </c>
      <c r="BL37" s="40" t="s">
        <v>32</v>
      </c>
      <c r="BM37" s="39" t="s">
        <v>32</v>
      </c>
      <c r="BN37" s="42" t="s">
        <v>32</v>
      </c>
      <c r="BO37" s="43" t="s">
        <v>32</v>
      </c>
      <c r="BP37" s="39" t="s">
        <v>32</v>
      </c>
      <c r="BQ37" s="41" t="s">
        <v>32</v>
      </c>
      <c r="BR37" s="40" t="s">
        <v>32</v>
      </c>
      <c r="BS37" s="39" t="s">
        <v>32</v>
      </c>
      <c r="BT37" s="41" t="s">
        <v>32</v>
      </c>
      <c r="BU37" s="40" t="s">
        <v>32</v>
      </c>
      <c r="BV37" s="39" t="s">
        <v>32</v>
      </c>
      <c r="BW37" s="42" t="s">
        <v>32</v>
      </c>
      <c r="BX37" s="43" t="s">
        <v>32</v>
      </c>
      <c r="BY37" s="39" t="s">
        <v>32</v>
      </c>
      <c r="BZ37" s="41" t="s">
        <v>32</v>
      </c>
      <c r="CA37" s="40" t="s">
        <v>32</v>
      </c>
      <c r="CB37" s="39" t="s">
        <v>32</v>
      </c>
      <c r="CC37" s="41" t="s">
        <v>32</v>
      </c>
      <c r="CD37" s="40" t="s">
        <v>32</v>
      </c>
      <c r="CE37" s="39" t="s">
        <v>32</v>
      </c>
      <c r="CF37" s="42" t="s">
        <v>32</v>
      </c>
    </row>
    <row r="38" spans="2:84" ht="15" customHeight="1" thickBot="1">
      <c r="B38" s="54" t="s">
        <v>32</v>
      </c>
      <c r="C38" s="55" t="s">
        <v>32</v>
      </c>
      <c r="D38" s="56" t="s">
        <v>32</v>
      </c>
      <c r="E38" s="57" t="s">
        <v>32</v>
      </c>
      <c r="F38" s="55" t="s">
        <v>32</v>
      </c>
      <c r="G38" s="56" t="s">
        <v>32</v>
      </c>
      <c r="H38" s="57" t="s">
        <v>32</v>
      </c>
      <c r="I38" s="55" t="s">
        <v>32</v>
      </c>
      <c r="J38" s="58" t="s">
        <v>32</v>
      </c>
      <c r="K38" s="54" t="s">
        <v>32</v>
      </c>
      <c r="L38" s="55" t="s">
        <v>32</v>
      </c>
      <c r="M38" s="56" t="s">
        <v>32</v>
      </c>
      <c r="N38" s="57" t="s">
        <v>32</v>
      </c>
      <c r="O38" s="55" t="s">
        <v>32</v>
      </c>
      <c r="P38" s="56" t="s">
        <v>32</v>
      </c>
      <c r="Q38" s="57" t="s">
        <v>32</v>
      </c>
      <c r="R38" s="55" t="s">
        <v>32</v>
      </c>
      <c r="S38" s="58" t="s">
        <v>32</v>
      </c>
      <c r="T38" s="54" t="s">
        <v>32</v>
      </c>
      <c r="U38" s="55" t="s">
        <v>32</v>
      </c>
      <c r="V38" s="56" t="s">
        <v>32</v>
      </c>
      <c r="W38" s="57" t="s">
        <v>32</v>
      </c>
      <c r="X38" s="55" t="s">
        <v>32</v>
      </c>
      <c r="Y38" s="56" t="s">
        <v>32</v>
      </c>
      <c r="Z38" s="57" t="s">
        <v>32</v>
      </c>
      <c r="AA38" s="55" t="s">
        <v>32</v>
      </c>
      <c r="AB38" s="58" t="s">
        <v>32</v>
      </c>
      <c r="AD38" s="54" t="s">
        <v>32</v>
      </c>
      <c r="AE38" s="55" t="s">
        <v>32</v>
      </c>
      <c r="AF38" s="56" t="s">
        <v>32</v>
      </c>
      <c r="AG38" s="57" t="s">
        <v>32</v>
      </c>
      <c r="AH38" s="55" t="s">
        <v>32</v>
      </c>
      <c r="AI38" s="56" t="s">
        <v>32</v>
      </c>
      <c r="AJ38" s="57" t="s">
        <v>32</v>
      </c>
      <c r="AK38" s="55" t="s">
        <v>32</v>
      </c>
      <c r="AL38" s="58" t="s">
        <v>32</v>
      </c>
      <c r="AM38" s="54" t="s">
        <v>32</v>
      </c>
      <c r="AN38" s="55" t="s">
        <v>32</v>
      </c>
      <c r="AO38" s="56" t="s">
        <v>32</v>
      </c>
      <c r="AP38" s="57" t="s">
        <v>32</v>
      </c>
      <c r="AQ38" s="55" t="s">
        <v>32</v>
      </c>
      <c r="AR38" s="56" t="s">
        <v>32</v>
      </c>
      <c r="AS38" s="57" t="s">
        <v>32</v>
      </c>
      <c r="AT38" s="55" t="s">
        <v>32</v>
      </c>
      <c r="AU38" s="58" t="s">
        <v>32</v>
      </c>
      <c r="AV38" s="54" t="s">
        <v>32</v>
      </c>
      <c r="AW38" s="55" t="s">
        <v>32</v>
      </c>
      <c r="AX38" s="56" t="s">
        <v>32</v>
      </c>
      <c r="AY38" s="57" t="s">
        <v>32</v>
      </c>
      <c r="AZ38" s="55" t="s">
        <v>32</v>
      </c>
      <c r="BA38" s="56" t="s">
        <v>32</v>
      </c>
      <c r="BB38" s="57" t="s">
        <v>32</v>
      </c>
      <c r="BC38" s="55" t="s">
        <v>32</v>
      </c>
      <c r="BD38" s="58" t="s">
        <v>32</v>
      </c>
      <c r="BF38" s="54" t="s">
        <v>32</v>
      </c>
      <c r="BG38" s="55" t="s">
        <v>32</v>
      </c>
      <c r="BH38" s="56" t="s">
        <v>32</v>
      </c>
      <c r="BI38" s="57" t="s">
        <v>32</v>
      </c>
      <c r="BJ38" s="55" t="s">
        <v>32</v>
      </c>
      <c r="BK38" s="56" t="s">
        <v>32</v>
      </c>
      <c r="BL38" s="57" t="s">
        <v>32</v>
      </c>
      <c r="BM38" s="55" t="s">
        <v>32</v>
      </c>
      <c r="BN38" s="58" t="s">
        <v>32</v>
      </c>
      <c r="BO38" s="54" t="s">
        <v>32</v>
      </c>
      <c r="BP38" s="55" t="s">
        <v>32</v>
      </c>
      <c r="BQ38" s="56" t="s">
        <v>32</v>
      </c>
      <c r="BR38" s="57" t="s">
        <v>32</v>
      </c>
      <c r="BS38" s="55" t="s">
        <v>32</v>
      </c>
      <c r="BT38" s="56" t="s">
        <v>32</v>
      </c>
      <c r="BU38" s="57" t="s">
        <v>32</v>
      </c>
      <c r="BV38" s="55" t="s">
        <v>32</v>
      </c>
      <c r="BW38" s="58" t="s">
        <v>32</v>
      </c>
      <c r="BX38" s="54" t="s">
        <v>32</v>
      </c>
      <c r="BY38" s="55" t="s">
        <v>32</v>
      </c>
      <c r="BZ38" s="56" t="s">
        <v>32</v>
      </c>
      <c r="CA38" s="57" t="s">
        <v>32</v>
      </c>
      <c r="CB38" s="55" t="s">
        <v>32</v>
      </c>
      <c r="CC38" s="56" t="s">
        <v>32</v>
      </c>
      <c r="CD38" s="57" t="s">
        <v>32</v>
      </c>
      <c r="CE38" s="55" t="s">
        <v>32</v>
      </c>
      <c r="CF38" s="58" t="s">
        <v>32</v>
      </c>
    </row>
    <row r="39" spans="2:84" ht="15" customHeight="1">
      <c r="B39" s="34" t="s">
        <v>32</v>
      </c>
      <c r="C39" s="37" t="s">
        <v>32</v>
      </c>
      <c r="D39" s="35" t="s">
        <v>32</v>
      </c>
      <c r="E39" s="36" t="s">
        <v>32</v>
      </c>
      <c r="F39" s="37" t="s">
        <v>32</v>
      </c>
      <c r="G39" s="35" t="s">
        <v>32</v>
      </c>
      <c r="H39" s="36" t="s">
        <v>32</v>
      </c>
      <c r="I39" s="37" t="s">
        <v>32</v>
      </c>
      <c r="J39" s="38" t="s">
        <v>32</v>
      </c>
      <c r="K39" s="34" t="s">
        <v>32</v>
      </c>
      <c r="L39" s="37" t="s">
        <v>32</v>
      </c>
      <c r="M39" s="35" t="s">
        <v>32</v>
      </c>
      <c r="N39" s="36" t="s">
        <v>32</v>
      </c>
      <c r="O39" s="37" t="s">
        <v>32</v>
      </c>
      <c r="P39" s="35" t="s">
        <v>32</v>
      </c>
      <c r="Q39" s="36" t="s">
        <v>32</v>
      </c>
      <c r="R39" s="37" t="s">
        <v>32</v>
      </c>
      <c r="S39" s="38" t="s">
        <v>32</v>
      </c>
      <c r="T39" s="34" t="s">
        <v>32</v>
      </c>
      <c r="U39" s="37" t="s">
        <v>32</v>
      </c>
      <c r="V39" s="35" t="s">
        <v>32</v>
      </c>
      <c r="W39" s="36" t="s">
        <v>32</v>
      </c>
      <c r="X39" s="37" t="s">
        <v>32</v>
      </c>
      <c r="Y39" s="35" t="s">
        <v>32</v>
      </c>
      <c r="Z39" s="36" t="s">
        <v>32</v>
      </c>
      <c r="AA39" s="37" t="s">
        <v>32</v>
      </c>
      <c r="AB39" s="38" t="s">
        <v>32</v>
      </c>
      <c r="AD39" s="34" t="s">
        <v>32</v>
      </c>
      <c r="AE39" s="37" t="s">
        <v>32</v>
      </c>
      <c r="AF39" s="35" t="s">
        <v>32</v>
      </c>
      <c r="AG39" s="36" t="s">
        <v>32</v>
      </c>
      <c r="AH39" s="37" t="s">
        <v>32</v>
      </c>
      <c r="AI39" s="35" t="s">
        <v>32</v>
      </c>
      <c r="AJ39" s="36" t="s">
        <v>32</v>
      </c>
      <c r="AK39" s="37" t="s">
        <v>32</v>
      </c>
      <c r="AL39" s="38" t="s">
        <v>32</v>
      </c>
      <c r="AM39" s="34" t="s">
        <v>32</v>
      </c>
      <c r="AN39" s="37" t="s">
        <v>32</v>
      </c>
      <c r="AO39" s="35" t="s">
        <v>32</v>
      </c>
      <c r="AP39" s="36" t="s">
        <v>32</v>
      </c>
      <c r="AQ39" s="37" t="s">
        <v>32</v>
      </c>
      <c r="AR39" s="35" t="s">
        <v>32</v>
      </c>
      <c r="AS39" s="36" t="s">
        <v>32</v>
      </c>
      <c r="AT39" s="37" t="s">
        <v>32</v>
      </c>
      <c r="AU39" s="38" t="s">
        <v>32</v>
      </c>
      <c r="AV39" s="34" t="s">
        <v>32</v>
      </c>
      <c r="AW39" s="37" t="s">
        <v>32</v>
      </c>
      <c r="AX39" s="35" t="s">
        <v>32</v>
      </c>
      <c r="AY39" s="36" t="s">
        <v>32</v>
      </c>
      <c r="AZ39" s="37" t="s">
        <v>32</v>
      </c>
      <c r="BA39" s="35" t="s">
        <v>32</v>
      </c>
      <c r="BB39" s="36" t="s">
        <v>32</v>
      </c>
      <c r="BC39" s="37" t="s">
        <v>32</v>
      </c>
      <c r="BD39" s="38" t="s">
        <v>32</v>
      </c>
      <c r="BF39" s="34" t="s">
        <v>32</v>
      </c>
      <c r="BG39" s="37" t="s">
        <v>32</v>
      </c>
      <c r="BH39" s="35" t="s">
        <v>32</v>
      </c>
      <c r="BI39" s="36" t="s">
        <v>32</v>
      </c>
      <c r="BJ39" s="37" t="s">
        <v>32</v>
      </c>
      <c r="BK39" s="35" t="s">
        <v>32</v>
      </c>
      <c r="BL39" s="36" t="s">
        <v>32</v>
      </c>
      <c r="BM39" s="37" t="s">
        <v>32</v>
      </c>
      <c r="BN39" s="38" t="s">
        <v>32</v>
      </c>
      <c r="BO39" s="34" t="s">
        <v>32</v>
      </c>
      <c r="BP39" s="37" t="s">
        <v>32</v>
      </c>
      <c r="BQ39" s="35" t="s">
        <v>32</v>
      </c>
      <c r="BR39" s="36" t="s">
        <v>32</v>
      </c>
      <c r="BS39" s="37" t="s">
        <v>32</v>
      </c>
      <c r="BT39" s="35" t="s">
        <v>32</v>
      </c>
      <c r="BU39" s="36" t="s">
        <v>32</v>
      </c>
      <c r="BV39" s="37" t="s">
        <v>32</v>
      </c>
      <c r="BW39" s="38" t="s">
        <v>32</v>
      </c>
      <c r="BX39" s="34" t="s">
        <v>32</v>
      </c>
      <c r="BY39" s="37" t="s">
        <v>32</v>
      </c>
      <c r="BZ39" s="35" t="s">
        <v>32</v>
      </c>
      <c r="CA39" s="36" t="s">
        <v>32</v>
      </c>
      <c r="CB39" s="37" t="s">
        <v>32</v>
      </c>
      <c r="CC39" s="35" t="s">
        <v>32</v>
      </c>
      <c r="CD39" s="36" t="s">
        <v>32</v>
      </c>
      <c r="CE39" s="37" t="s">
        <v>32</v>
      </c>
      <c r="CF39" s="38" t="s">
        <v>32</v>
      </c>
    </row>
    <row r="40" spans="2:84" ht="15" customHeight="1">
      <c r="B40" s="43" t="s">
        <v>32</v>
      </c>
      <c r="C40" s="39" t="s">
        <v>32</v>
      </c>
      <c r="D40" s="41" t="s">
        <v>32</v>
      </c>
      <c r="E40" s="40" t="s">
        <v>32</v>
      </c>
      <c r="F40" s="39" t="s">
        <v>32</v>
      </c>
      <c r="G40" s="41" t="s">
        <v>32</v>
      </c>
      <c r="H40" s="40" t="s">
        <v>32</v>
      </c>
      <c r="I40" s="39" t="s">
        <v>32</v>
      </c>
      <c r="J40" s="42" t="s">
        <v>32</v>
      </c>
      <c r="K40" s="43" t="s">
        <v>32</v>
      </c>
      <c r="L40" s="39" t="s">
        <v>32</v>
      </c>
      <c r="M40" s="41" t="s">
        <v>32</v>
      </c>
      <c r="N40" s="40" t="s">
        <v>32</v>
      </c>
      <c r="O40" s="39" t="s">
        <v>32</v>
      </c>
      <c r="P40" s="41" t="s">
        <v>32</v>
      </c>
      <c r="Q40" s="40" t="s">
        <v>32</v>
      </c>
      <c r="R40" s="39" t="s">
        <v>32</v>
      </c>
      <c r="S40" s="42" t="s">
        <v>32</v>
      </c>
      <c r="T40" s="43" t="s">
        <v>32</v>
      </c>
      <c r="U40" s="39" t="s">
        <v>32</v>
      </c>
      <c r="V40" s="41" t="s">
        <v>32</v>
      </c>
      <c r="W40" s="40" t="s">
        <v>32</v>
      </c>
      <c r="X40" s="39" t="s">
        <v>32</v>
      </c>
      <c r="Y40" s="41" t="s">
        <v>32</v>
      </c>
      <c r="Z40" s="40" t="s">
        <v>32</v>
      </c>
      <c r="AA40" s="39" t="s">
        <v>32</v>
      </c>
      <c r="AB40" s="42" t="s">
        <v>32</v>
      </c>
      <c r="AD40" s="43" t="s">
        <v>32</v>
      </c>
      <c r="AE40" s="39" t="s">
        <v>32</v>
      </c>
      <c r="AF40" s="41" t="s">
        <v>32</v>
      </c>
      <c r="AG40" s="40" t="s">
        <v>32</v>
      </c>
      <c r="AH40" s="39" t="s">
        <v>32</v>
      </c>
      <c r="AI40" s="41" t="s">
        <v>32</v>
      </c>
      <c r="AJ40" s="40" t="s">
        <v>32</v>
      </c>
      <c r="AK40" s="39" t="s">
        <v>32</v>
      </c>
      <c r="AL40" s="42" t="s">
        <v>32</v>
      </c>
      <c r="AM40" s="43" t="s">
        <v>32</v>
      </c>
      <c r="AN40" s="39" t="s">
        <v>32</v>
      </c>
      <c r="AO40" s="41" t="s">
        <v>32</v>
      </c>
      <c r="AP40" s="40" t="s">
        <v>32</v>
      </c>
      <c r="AQ40" s="39" t="s">
        <v>32</v>
      </c>
      <c r="AR40" s="41" t="s">
        <v>32</v>
      </c>
      <c r="AS40" s="40" t="s">
        <v>32</v>
      </c>
      <c r="AT40" s="39" t="s">
        <v>32</v>
      </c>
      <c r="AU40" s="42" t="s">
        <v>32</v>
      </c>
      <c r="AV40" s="43" t="s">
        <v>32</v>
      </c>
      <c r="AW40" s="39" t="s">
        <v>32</v>
      </c>
      <c r="AX40" s="41" t="s">
        <v>32</v>
      </c>
      <c r="AY40" s="40" t="s">
        <v>32</v>
      </c>
      <c r="AZ40" s="39" t="s">
        <v>32</v>
      </c>
      <c r="BA40" s="41" t="s">
        <v>32</v>
      </c>
      <c r="BB40" s="40" t="s">
        <v>32</v>
      </c>
      <c r="BC40" s="39" t="s">
        <v>32</v>
      </c>
      <c r="BD40" s="42" t="s">
        <v>32</v>
      </c>
      <c r="BF40" s="43" t="s">
        <v>32</v>
      </c>
      <c r="BG40" s="39" t="s">
        <v>32</v>
      </c>
      <c r="BH40" s="41" t="s">
        <v>32</v>
      </c>
      <c r="BI40" s="40" t="s">
        <v>32</v>
      </c>
      <c r="BJ40" s="39" t="s">
        <v>32</v>
      </c>
      <c r="BK40" s="41" t="s">
        <v>32</v>
      </c>
      <c r="BL40" s="40" t="s">
        <v>32</v>
      </c>
      <c r="BM40" s="39" t="s">
        <v>32</v>
      </c>
      <c r="BN40" s="42" t="s">
        <v>32</v>
      </c>
      <c r="BO40" s="43" t="s">
        <v>32</v>
      </c>
      <c r="BP40" s="39" t="s">
        <v>32</v>
      </c>
      <c r="BQ40" s="41" t="s">
        <v>32</v>
      </c>
      <c r="BR40" s="40" t="s">
        <v>32</v>
      </c>
      <c r="BS40" s="39" t="s">
        <v>32</v>
      </c>
      <c r="BT40" s="41" t="s">
        <v>32</v>
      </c>
      <c r="BU40" s="40" t="s">
        <v>32</v>
      </c>
      <c r="BV40" s="39" t="s">
        <v>32</v>
      </c>
      <c r="BW40" s="42" t="s">
        <v>32</v>
      </c>
      <c r="BX40" s="43" t="s">
        <v>32</v>
      </c>
      <c r="BY40" s="39" t="s">
        <v>32</v>
      </c>
      <c r="BZ40" s="41" t="s">
        <v>32</v>
      </c>
      <c r="CA40" s="40" t="s">
        <v>32</v>
      </c>
      <c r="CB40" s="39" t="s">
        <v>32</v>
      </c>
      <c r="CC40" s="41" t="s">
        <v>32</v>
      </c>
      <c r="CD40" s="40" t="s">
        <v>32</v>
      </c>
      <c r="CE40" s="39" t="s">
        <v>32</v>
      </c>
      <c r="CF40" s="42" t="s">
        <v>32</v>
      </c>
    </row>
    <row r="41" spans="2:84" ht="15" customHeight="1">
      <c r="B41" s="44">
        <v>5</v>
      </c>
      <c r="C41" s="45">
        <v>3</v>
      </c>
      <c r="D41" s="47" t="s">
        <v>32</v>
      </c>
      <c r="E41" s="46" t="s">
        <v>32</v>
      </c>
      <c r="F41" s="45" t="s">
        <v>32</v>
      </c>
      <c r="G41" s="47" t="s">
        <v>32</v>
      </c>
      <c r="H41" s="46" t="s">
        <v>32</v>
      </c>
      <c r="I41" s="45" t="s">
        <v>32</v>
      </c>
      <c r="J41" s="48" t="s">
        <v>32</v>
      </c>
      <c r="K41" s="44" t="s">
        <v>32</v>
      </c>
      <c r="L41" s="45" t="s">
        <v>32</v>
      </c>
      <c r="M41" s="47" t="s">
        <v>32</v>
      </c>
      <c r="N41" s="46" t="s">
        <v>32</v>
      </c>
      <c r="O41" s="45" t="s">
        <v>32</v>
      </c>
      <c r="P41" s="47" t="s">
        <v>32</v>
      </c>
      <c r="Q41" s="46" t="s">
        <v>32</v>
      </c>
      <c r="R41" s="45" t="s">
        <v>32</v>
      </c>
      <c r="S41" s="48" t="s">
        <v>32</v>
      </c>
      <c r="T41" s="44" t="s">
        <v>32</v>
      </c>
      <c r="U41" s="45" t="s">
        <v>32</v>
      </c>
      <c r="V41" s="47" t="s">
        <v>32</v>
      </c>
      <c r="W41" s="46" t="s">
        <v>32</v>
      </c>
      <c r="X41" s="45" t="s">
        <v>32</v>
      </c>
      <c r="Y41" s="47" t="s">
        <v>32</v>
      </c>
      <c r="Z41" s="46" t="s">
        <v>32</v>
      </c>
      <c r="AA41" s="45" t="s">
        <v>32</v>
      </c>
      <c r="AB41" s="48" t="s">
        <v>32</v>
      </c>
      <c r="AD41" s="44" t="s">
        <v>32</v>
      </c>
      <c r="AE41" s="45" t="s">
        <v>32</v>
      </c>
      <c r="AF41" s="47" t="s">
        <v>32</v>
      </c>
      <c r="AG41" s="46" t="s">
        <v>32</v>
      </c>
      <c r="AH41" s="45" t="s">
        <v>32</v>
      </c>
      <c r="AI41" s="47" t="s">
        <v>32</v>
      </c>
      <c r="AJ41" s="46" t="s">
        <v>32</v>
      </c>
      <c r="AK41" s="45" t="s">
        <v>32</v>
      </c>
      <c r="AL41" s="48" t="s">
        <v>32</v>
      </c>
      <c r="AM41" s="44" t="s">
        <v>32</v>
      </c>
      <c r="AN41" s="45" t="s">
        <v>32</v>
      </c>
      <c r="AO41" s="47" t="s">
        <v>32</v>
      </c>
      <c r="AP41" s="46" t="s">
        <v>32</v>
      </c>
      <c r="AQ41" s="45" t="s">
        <v>32</v>
      </c>
      <c r="AR41" s="47" t="s">
        <v>32</v>
      </c>
      <c r="AS41" s="46" t="s">
        <v>32</v>
      </c>
      <c r="AT41" s="45" t="s">
        <v>32</v>
      </c>
      <c r="AU41" s="48" t="s">
        <v>32</v>
      </c>
      <c r="AV41" s="44" t="s">
        <v>32</v>
      </c>
      <c r="AW41" s="45" t="s">
        <v>32</v>
      </c>
      <c r="AX41" s="47" t="s">
        <v>32</v>
      </c>
      <c r="AY41" s="46" t="s">
        <v>32</v>
      </c>
      <c r="AZ41" s="45" t="s">
        <v>32</v>
      </c>
      <c r="BA41" s="47" t="s">
        <v>32</v>
      </c>
      <c r="BB41" s="46" t="s">
        <v>32</v>
      </c>
      <c r="BC41" s="45">
        <v>9</v>
      </c>
      <c r="BD41" s="48">
        <v>5</v>
      </c>
      <c r="BF41" s="44" t="s">
        <v>32</v>
      </c>
      <c r="BG41" s="45" t="s">
        <v>32</v>
      </c>
      <c r="BH41" s="47" t="s">
        <v>32</v>
      </c>
      <c r="BI41" s="46" t="s">
        <v>32</v>
      </c>
      <c r="BJ41" s="45" t="s">
        <v>32</v>
      </c>
      <c r="BK41" s="47" t="s">
        <v>32</v>
      </c>
      <c r="BL41" s="46" t="s">
        <v>32</v>
      </c>
      <c r="BM41" s="45" t="s">
        <v>32</v>
      </c>
      <c r="BN41" s="48" t="s">
        <v>32</v>
      </c>
      <c r="BO41" s="44" t="s">
        <v>32</v>
      </c>
      <c r="BP41" s="45" t="s">
        <v>32</v>
      </c>
      <c r="BQ41" s="47" t="s">
        <v>32</v>
      </c>
      <c r="BR41" s="46" t="s">
        <v>32</v>
      </c>
      <c r="BS41" s="45" t="s">
        <v>32</v>
      </c>
      <c r="BT41" s="47" t="s">
        <v>32</v>
      </c>
      <c r="BU41" s="46" t="s">
        <v>32</v>
      </c>
      <c r="BV41" s="45" t="s">
        <v>32</v>
      </c>
      <c r="BW41" s="48" t="s">
        <v>32</v>
      </c>
      <c r="BX41" s="44" t="s">
        <v>32</v>
      </c>
      <c r="BY41" s="45" t="s">
        <v>32</v>
      </c>
      <c r="BZ41" s="47" t="s">
        <v>32</v>
      </c>
      <c r="CA41" s="46" t="s">
        <v>32</v>
      </c>
      <c r="CB41" s="45" t="s">
        <v>32</v>
      </c>
      <c r="CC41" s="47" t="s">
        <v>32</v>
      </c>
      <c r="CD41" s="46" t="s">
        <v>32</v>
      </c>
      <c r="CE41" s="156">
        <v>6</v>
      </c>
      <c r="CF41" s="48">
        <v>1</v>
      </c>
    </row>
    <row r="42" spans="2:84" ht="15" customHeight="1">
      <c r="B42" s="49">
        <v>6</v>
      </c>
      <c r="C42" s="50" t="s">
        <v>32</v>
      </c>
      <c r="D42" s="51" t="s">
        <v>32</v>
      </c>
      <c r="E42" s="52" t="s">
        <v>32</v>
      </c>
      <c r="F42" s="50" t="s">
        <v>32</v>
      </c>
      <c r="G42" s="51" t="s">
        <v>32</v>
      </c>
      <c r="H42" s="52" t="s">
        <v>32</v>
      </c>
      <c r="I42" s="50" t="s">
        <v>32</v>
      </c>
      <c r="J42" s="53" t="s">
        <v>32</v>
      </c>
      <c r="K42" s="49" t="s">
        <v>32</v>
      </c>
      <c r="L42" s="50">
        <v>9</v>
      </c>
      <c r="M42" s="51">
        <v>1</v>
      </c>
      <c r="N42" s="52">
        <v>7</v>
      </c>
      <c r="O42" s="50" t="s">
        <v>32</v>
      </c>
      <c r="P42" s="51" t="s">
        <v>32</v>
      </c>
      <c r="Q42" s="52" t="s">
        <v>32</v>
      </c>
      <c r="R42" s="50" t="s">
        <v>32</v>
      </c>
      <c r="S42" s="53" t="s">
        <v>32</v>
      </c>
      <c r="T42" s="49" t="s">
        <v>32</v>
      </c>
      <c r="U42" s="50" t="s">
        <v>32</v>
      </c>
      <c r="V42" s="51" t="s">
        <v>32</v>
      </c>
      <c r="W42" s="52" t="s">
        <v>32</v>
      </c>
      <c r="X42" s="50" t="s">
        <v>32</v>
      </c>
      <c r="Y42" s="51" t="s">
        <v>32</v>
      </c>
      <c r="Z42" s="52">
        <v>8</v>
      </c>
      <c r="AA42" s="50">
        <v>2</v>
      </c>
      <c r="AB42" s="53">
        <v>4</v>
      </c>
      <c r="AD42" s="49" t="s">
        <v>32</v>
      </c>
      <c r="AE42" s="50" t="s">
        <v>32</v>
      </c>
      <c r="AF42" s="51" t="s">
        <v>32</v>
      </c>
      <c r="AG42" s="52" t="s">
        <v>32</v>
      </c>
      <c r="AH42" s="50" t="s">
        <v>32</v>
      </c>
      <c r="AI42" s="51" t="s">
        <v>32</v>
      </c>
      <c r="AJ42" s="52" t="s">
        <v>32</v>
      </c>
      <c r="AK42" s="50" t="s">
        <v>32</v>
      </c>
      <c r="AL42" s="53" t="s">
        <v>32</v>
      </c>
      <c r="AM42" s="49" t="s">
        <v>32</v>
      </c>
      <c r="AN42" s="50">
        <v>9</v>
      </c>
      <c r="AO42" s="51" t="s">
        <v>32</v>
      </c>
      <c r="AP42" s="52" t="s">
        <v>32</v>
      </c>
      <c r="AQ42" s="50" t="s">
        <v>32</v>
      </c>
      <c r="AR42" s="51" t="s">
        <v>32</v>
      </c>
      <c r="AS42" s="52" t="s">
        <v>32</v>
      </c>
      <c r="AT42" s="50" t="s">
        <v>32</v>
      </c>
      <c r="AU42" s="53" t="s">
        <v>32</v>
      </c>
      <c r="AV42" s="49" t="s">
        <v>32</v>
      </c>
      <c r="AW42" s="50" t="s">
        <v>32</v>
      </c>
      <c r="AX42" s="51">
        <v>2</v>
      </c>
      <c r="AY42" s="52">
        <v>6</v>
      </c>
      <c r="AZ42" s="160">
        <v>4</v>
      </c>
      <c r="BA42" s="51">
        <v>1</v>
      </c>
      <c r="BB42" s="161">
        <v>8</v>
      </c>
      <c r="BC42" s="160">
        <v>3</v>
      </c>
      <c r="BD42" s="162">
        <v>7</v>
      </c>
      <c r="BF42" s="49" t="s">
        <v>32</v>
      </c>
      <c r="BG42" s="50" t="s">
        <v>32</v>
      </c>
      <c r="BH42" s="51">
        <v>7</v>
      </c>
      <c r="BI42" s="52">
        <v>3</v>
      </c>
      <c r="BJ42" s="160">
        <v>5</v>
      </c>
      <c r="BK42" s="163">
        <v>8</v>
      </c>
      <c r="BL42" s="52" t="s">
        <v>32</v>
      </c>
      <c r="BM42" s="50" t="s">
        <v>32</v>
      </c>
      <c r="BN42" s="53" t="s">
        <v>32</v>
      </c>
      <c r="BO42" s="49" t="s">
        <v>32</v>
      </c>
      <c r="BP42" s="50" t="s">
        <v>32</v>
      </c>
      <c r="BQ42" s="51" t="s">
        <v>32</v>
      </c>
      <c r="BR42" s="52" t="s">
        <v>32</v>
      </c>
      <c r="BS42" s="50" t="s">
        <v>32</v>
      </c>
      <c r="BT42" s="51" t="s">
        <v>32</v>
      </c>
      <c r="BU42" s="52">
        <v>2</v>
      </c>
      <c r="BV42" s="50">
        <v>4</v>
      </c>
      <c r="BW42" s="53" t="s">
        <v>32</v>
      </c>
      <c r="BX42" s="49" t="s">
        <v>32</v>
      </c>
      <c r="BY42" s="50" t="s">
        <v>32</v>
      </c>
      <c r="BZ42" s="51" t="s">
        <v>32</v>
      </c>
      <c r="CA42" s="52" t="s">
        <v>32</v>
      </c>
      <c r="CB42" s="50" t="s">
        <v>32</v>
      </c>
      <c r="CC42" s="51" t="s">
        <v>32</v>
      </c>
      <c r="CD42" s="52" t="s">
        <v>32</v>
      </c>
      <c r="CE42" s="50" t="s">
        <v>32</v>
      </c>
      <c r="CF42" s="53">
        <v>9</v>
      </c>
    </row>
    <row r="43" spans="2:84" ht="15" customHeight="1">
      <c r="B43" s="150">
        <v>7</v>
      </c>
      <c r="C43" s="39">
        <v>8</v>
      </c>
      <c r="D43" s="151">
        <v>9</v>
      </c>
      <c r="E43" s="40" t="s">
        <v>32</v>
      </c>
      <c r="F43" s="39" t="s">
        <v>32</v>
      </c>
      <c r="G43" s="41" t="s">
        <v>32</v>
      </c>
      <c r="H43" s="40" t="s">
        <v>32</v>
      </c>
      <c r="I43" s="39" t="s">
        <v>32</v>
      </c>
      <c r="J43" s="42" t="s">
        <v>32</v>
      </c>
      <c r="K43" s="43" t="s">
        <v>32</v>
      </c>
      <c r="L43" s="39" t="s">
        <v>32</v>
      </c>
      <c r="M43" s="41" t="s">
        <v>32</v>
      </c>
      <c r="N43" s="40">
        <v>2</v>
      </c>
      <c r="O43" s="39">
        <v>6</v>
      </c>
      <c r="P43" s="41">
        <v>4</v>
      </c>
      <c r="Q43" s="40" t="s">
        <v>32</v>
      </c>
      <c r="R43" s="39" t="s">
        <v>32</v>
      </c>
      <c r="S43" s="42" t="s">
        <v>32</v>
      </c>
      <c r="T43" s="43" t="s">
        <v>32</v>
      </c>
      <c r="U43" s="39" t="s">
        <v>32</v>
      </c>
      <c r="V43" s="41" t="s">
        <v>32</v>
      </c>
      <c r="W43" s="40" t="s">
        <v>32</v>
      </c>
      <c r="X43" s="39" t="s">
        <v>32</v>
      </c>
      <c r="Y43" s="41" t="s">
        <v>32</v>
      </c>
      <c r="Z43" s="153">
        <v>3</v>
      </c>
      <c r="AA43" s="39">
        <v>1</v>
      </c>
      <c r="AB43" s="152">
        <v>5</v>
      </c>
      <c r="AD43" s="43" t="s">
        <v>32</v>
      </c>
      <c r="AE43" s="39" t="s">
        <v>32</v>
      </c>
      <c r="AF43" s="41" t="s">
        <v>32</v>
      </c>
      <c r="AG43" s="40" t="s">
        <v>32</v>
      </c>
      <c r="AH43" s="39" t="s">
        <v>32</v>
      </c>
      <c r="AI43" s="41" t="s">
        <v>32</v>
      </c>
      <c r="AJ43" s="40" t="s">
        <v>32</v>
      </c>
      <c r="AK43" s="39" t="s">
        <v>32</v>
      </c>
      <c r="AL43" s="42" t="s">
        <v>32</v>
      </c>
      <c r="AM43" s="43" t="s">
        <v>32</v>
      </c>
      <c r="AN43" s="39">
        <v>2</v>
      </c>
      <c r="AO43" s="41">
        <v>1</v>
      </c>
      <c r="AP43" s="40">
        <v>5</v>
      </c>
      <c r="AQ43" s="39">
        <v>6</v>
      </c>
      <c r="AR43" s="41">
        <v>3</v>
      </c>
      <c r="AS43" s="40">
        <v>7</v>
      </c>
      <c r="AT43" s="39">
        <v>4</v>
      </c>
      <c r="AU43" s="42" t="s">
        <v>32</v>
      </c>
      <c r="AV43" s="43" t="s">
        <v>32</v>
      </c>
      <c r="AW43" s="39" t="s">
        <v>32</v>
      </c>
      <c r="AX43" s="41" t="s">
        <v>32</v>
      </c>
      <c r="AY43" s="40" t="s">
        <v>32</v>
      </c>
      <c r="AZ43" s="39" t="s">
        <v>32</v>
      </c>
      <c r="BA43" s="41" t="s">
        <v>32</v>
      </c>
      <c r="BB43" s="40" t="s">
        <v>32</v>
      </c>
      <c r="BC43" s="39" t="s">
        <v>32</v>
      </c>
      <c r="BD43" s="42" t="s">
        <v>32</v>
      </c>
      <c r="BF43" s="43" t="s">
        <v>32</v>
      </c>
      <c r="BG43" s="39">
        <v>4</v>
      </c>
      <c r="BH43" s="151">
        <v>1</v>
      </c>
      <c r="BI43" s="40">
        <v>2</v>
      </c>
      <c r="BJ43" s="39">
        <v>9</v>
      </c>
      <c r="BK43" s="41">
        <v>6</v>
      </c>
      <c r="BL43" s="40" t="s">
        <v>32</v>
      </c>
      <c r="BM43" s="39" t="s">
        <v>32</v>
      </c>
      <c r="BN43" s="42" t="s">
        <v>32</v>
      </c>
      <c r="BO43" s="43" t="s">
        <v>32</v>
      </c>
      <c r="BP43" s="39" t="s">
        <v>32</v>
      </c>
      <c r="BQ43" s="41" t="s">
        <v>32</v>
      </c>
      <c r="BR43" s="40" t="s">
        <v>32</v>
      </c>
      <c r="BS43" s="39" t="s">
        <v>32</v>
      </c>
      <c r="BT43" s="41" t="s">
        <v>32</v>
      </c>
      <c r="BU43" s="40">
        <v>7</v>
      </c>
      <c r="BV43" s="39" t="s">
        <v>32</v>
      </c>
      <c r="BW43" s="42" t="s">
        <v>32</v>
      </c>
      <c r="BX43" s="43" t="s">
        <v>32</v>
      </c>
      <c r="BY43" s="39" t="s">
        <v>32</v>
      </c>
      <c r="BZ43" s="41" t="s">
        <v>32</v>
      </c>
      <c r="CA43" s="40" t="s">
        <v>32</v>
      </c>
      <c r="CB43" s="39" t="s">
        <v>32</v>
      </c>
      <c r="CC43" s="41" t="s">
        <v>32</v>
      </c>
      <c r="CD43" s="40" t="s">
        <v>32</v>
      </c>
      <c r="CE43" s="154">
        <v>3</v>
      </c>
      <c r="CF43" s="152">
        <v>5</v>
      </c>
    </row>
    <row r="44" spans="2:84" ht="15" customHeight="1">
      <c r="B44" s="44">
        <v>4</v>
      </c>
      <c r="C44" s="45">
        <v>1</v>
      </c>
      <c r="D44" s="47">
        <v>2</v>
      </c>
      <c r="E44" s="46" t="s">
        <v>32</v>
      </c>
      <c r="F44" s="45" t="s">
        <v>32</v>
      </c>
      <c r="G44" s="47" t="s">
        <v>32</v>
      </c>
      <c r="H44" s="46" t="s">
        <v>32</v>
      </c>
      <c r="I44" s="45" t="s">
        <v>32</v>
      </c>
      <c r="J44" s="48" t="s">
        <v>32</v>
      </c>
      <c r="K44" s="44" t="s">
        <v>32</v>
      </c>
      <c r="L44" s="45" t="s">
        <v>32</v>
      </c>
      <c r="M44" s="47" t="s">
        <v>32</v>
      </c>
      <c r="N44" s="46" t="s">
        <v>32</v>
      </c>
      <c r="O44" s="45" t="s">
        <v>32</v>
      </c>
      <c r="P44" s="47">
        <v>8</v>
      </c>
      <c r="Q44" s="46">
        <v>5</v>
      </c>
      <c r="R44" s="45">
        <v>3</v>
      </c>
      <c r="S44" s="48" t="s">
        <v>32</v>
      </c>
      <c r="T44" s="44" t="s">
        <v>32</v>
      </c>
      <c r="U44" s="45" t="s">
        <v>32</v>
      </c>
      <c r="V44" s="47" t="s">
        <v>32</v>
      </c>
      <c r="W44" s="46" t="s">
        <v>32</v>
      </c>
      <c r="X44" s="45" t="s">
        <v>32</v>
      </c>
      <c r="Y44" s="47" t="s">
        <v>32</v>
      </c>
      <c r="Z44" s="46" t="s">
        <v>32</v>
      </c>
      <c r="AA44" s="45" t="s">
        <v>32</v>
      </c>
      <c r="AB44" s="48">
        <v>9</v>
      </c>
      <c r="AD44" s="158">
        <v>1</v>
      </c>
      <c r="AE44" s="156">
        <v>6</v>
      </c>
      <c r="AF44" s="155">
        <v>5</v>
      </c>
      <c r="AG44" s="46">
        <v>7</v>
      </c>
      <c r="AH44" s="156">
        <v>2</v>
      </c>
      <c r="AI44" s="47">
        <v>9</v>
      </c>
      <c r="AJ44" s="157">
        <v>4</v>
      </c>
      <c r="AK44" s="45" t="s">
        <v>32</v>
      </c>
      <c r="AL44" s="48" t="s">
        <v>32</v>
      </c>
      <c r="AM44" s="44" t="s">
        <v>32</v>
      </c>
      <c r="AN44" s="45" t="s">
        <v>32</v>
      </c>
      <c r="AO44" s="47" t="s">
        <v>32</v>
      </c>
      <c r="AP44" s="46" t="s">
        <v>32</v>
      </c>
      <c r="AQ44" s="45" t="s">
        <v>32</v>
      </c>
      <c r="AR44" s="47" t="s">
        <v>32</v>
      </c>
      <c r="AS44" s="46" t="s">
        <v>32</v>
      </c>
      <c r="AT44" s="45">
        <v>8</v>
      </c>
      <c r="AU44" s="48" t="s">
        <v>32</v>
      </c>
      <c r="AV44" s="44" t="s">
        <v>32</v>
      </c>
      <c r="AW44" s="45" t="s">
        <v>32</v>
      </c>
      <c r="AX44" s="47" t="s">
        <v>32</v>
      </c>
      <c r="AY44" s="46" t="s">
        <v>32</v>
      </c>
      <c r="AZ44" s="45" t="s">
        <v>32</v>
      </c>
      <c r="BA44" s="47" t="s">
        <v>32</v>
      </c>
      <c r="BB44" s="46" t="s">
        <v>32</v>
      </c>
      <c r="BC44" s="45" t="s">
        <v>32</v>
      </c>
      <c r="BD44" s="48" t="s">
        <v>32</v>
      </c>
      <c r="BF44" s="44" t="s">
        <v>32</v>
      </c>
      <c r="BG44" s="45" t="s">
        <v>32</v>
      </c>
      <c r="BH44" s="47" t="s">
        <v>32</v>
      </c>
      <c r="BI44" s="46" t="s">
        <v>32</v>
      </c>
      <c r="BJ44" s="45" t="s">
        <v>32</v>
      </c>
      <c r="BK44" s="47" t="s">
        <v>32</v>
      </c>
      <c r="BL44" s="46" t="s">
        <v>32</v>
      </c>
      <c r="BM44" s="45" t="s">
        <v>32</v>
      </c>
      <c r="BN44" s="48" t="s">
        <v>32</v>
      </c>
      <c r="BO44" s="44" t="s">
        <v>32</v>
      </c>
      <c r="BP44" s="45" t="s">
        <v>32</v>
      </c>
      <c r="BQ44" s="47" t="s">
        <v>32</v>
      </c>
      <c r="BR44" s="46" t="s">
        <v>32</v>
      </c>
      <c r="BS44" s="45" t="s">
        <v>32</v>
      </c>
      <c r="BT44" s="47" t="s">
        <v>32</v>
      </c>
      <c r="BU44" s="157">
        <v>6</v>
      </c>
      <c r="BV44" s="45" t="s">
        <v>32</v>
      </c>
      <c r="BW44" s="48" t="s">
        <v>32</v>
      </c>
      <c r="BX44" s="44" t="s">
        <v>32</v>
      </c>
      <c r="BY44" s="45" t="s">
        <v>32</v>
      </c>
      <c r="BZ44" s="47" t="s">
        <v>32</v>
      </c>
      <c r="CA44" s="46" t="s">
        <v>32</v>
      </c>
      <c r="CB44" s="45" t="s">
        <v>32</v>
      </c>
      <c r="CC44" s="47" t="s">
        <v>32</v>
      </c>
      <c r="CD44" s="46" t="s">
        <v>32</v>
      </c>
      <c r="CE44" s="156">
        <v>7</v>
      </c>
      <c r="CF44" s="48">
        <v>4</v>
      </c>
    </row>
    <row r="45" spans="2:84" ht="15" customHeight="1">
      <c r="B45" s="49" t="s">
        <v>32</v>
      </c>
      <c r="C45" s="50" t="s">
        <v>32</v>
      </c>
      <c r="D45" s="51" t="s">
        <v>32</v>
      </c>
      <c r="E45" s="52" t="s">
        <v>32</v>
      </c>
      <c r="F45" s="50" t="s">
        <v>32</v>
      </c>
      <c r="G45" s="51" t="s">
        <v>32</v>
      </c>
      <c r="H45" s="52" t="s">
        <v>32</v>
      </c>
      <c r="I45" s="50" t="s">
        <v>32</v>
      </c>
      <c r="J45" s="53" t="s">
        <v>32</v>
      </c>
      <c r="K45" s="49" t="s">
        <v>32</v>
      </c>
      <c r="L45" s="50" t="s">
        <v>32</v>
      </c>
      <c r="M45" s="51" t="s">
        <v>32</v>
      </c>
      <c r="N45" s="52" t="s">
        <v>32</v>
      </c>
      <c r="O45" s="50" t="s">
        <v>32</v>
      </c>
      <c r="P45" s="51" t="s">
        <v>32</v>
      </c>
      <c r="Q45" s="52" t="s">
        <v>32</v>
      </c>
      <c r="R45" s="50" t="s">
        <v>32</v>
      </c>
      <c r="S45" s="53" t="s">
        <v>32</v>
      </c>
      <c r="T45" s="49" t="s">
        <v>32</v>
      </c>
      <c r="U45" s="50" t="s">
        <v>32</v>
      </c>
      <c r="V45" s="51" t="s">
        <v>32</v>
      </c>
      <c r="W45" s="52" t="s">
        <v>32</v>
      </c>
      <c r="X45" s="50" t="s">
        <v>32</v>
      </c>
      <c r="Y45" s="51" t="s">
        <v>32</v>
      </c>
      <c r="Z45" s="52" t="s">
        <v>32</v>
      </c>
      <c r="AA45" s="50">
        <v>7</v>
      </c>
      <c r="AB45" s="53">
        <v>6</v>
      </c>
      <c r="AD45" s="49">
        <v>8</v>
      </c>
      <c r="AE45" s="50">
        <v>3</v>
      </c>
      <c r="AF45" s="51" t="s">
        <v>32</v>
      </c>
      <c r="AG45" s="52" t="s">
        <v>32</v>
      </c>
      <c r="AH45" s="50" t="s">
        <v>32</v>
      </c>
      <c r="AI45" s="51" t="s">
        <v>32</v>
      </c>
      <c r="AJ45" s="52" t="s">
        <v>32</v>
      </c>
      <c r="AK45" s="50" t="s">
        <v>32</v>
      </c>
      <c r="AL45" s="53" t="s">
        <v>32</v>
      </c>
      <c r="AM45" s="49" t="s">
        <v>32</v>
      </c>
      <c r="AN45" s="50" t="s">
        <v>32</v>
      </c>
      <c r="AO45" s="51" t="s">
        <v>32</v>
      </c>
      <c r="AP45" s="52" t="s">
        <v>32</v>
      </c>
      <c r="AQ45" s="50" t="s">
        <v>32</v>
      </c>
      <c r="AR45" s="51" t="s">
        <v>32</v>
      </c>
      <c r="AS45" s="52" t="s">
        <v>32</v>
      </c>
      <c r="AT45" s="50" t="s">
        <v>32</v>
      </c>
      <c r="AU45" s="53" t="s">
        <v>32</v>
      </c>
      <c r="AV45" s="49" t="s">
        <v>32</v>
      </c>
      <c r="AW45" s="50" t="s">
        <v>32</v>
      </c>
      <c r="AX45" s="51" t="s">
        <v>32</v>
      </c>
      <c r="AY45" s="52" t="s">
        <v>32</v>
      </c>
      <c r="AZ45" s="50" t="s">
        <v>32</v>
      </c>
      <c r="BA45" s="51" t="s">
        <v>32</v>
      </c>
      <c r="BB45" s="52" t="s">
        <v>32</v>
      </c>
      <c r="BC45" s="50" t="s">
        <v>32</v>
      </c>
      <c r="BD45" s="53" t="s">
        <v>32</v>
      </c>
      <c r="BF45" s="49" t="s">
        <v>32</v>
      </c>
      <c r="BG45" s="50" t="s">
        <v>32</v>
      </c>
      <c r="BH45" s="51" t="s">
        <v>32</v>
      </c>
      <c r="BI45" s="52" t="s">
        <v>32</v>
      </c>
      <c r="BJ45" s="50" t="s">
        <v>32</v>
      </c>
      <c r="BK45" s="51" t="s">
        <v>32</v>
      </c>
      <c r="BL45" s="52" t="s">
        <v>32</v>
      </c>
      <c r="BM45" s="50" t="s">
        <v>32</v>
      </c>
      <c r="BN45" s="53" t="s">
        <v>32</v>
      </c>
      <c r="BO45" s="49" t="s">
        <v>32</v>
      </c>
      <c r="BP45" s="50" t="s">
        <v>32</v>
      </c>
      <c r="BQ45" s="51" t="s">
        <v>32</v>
      </c>
      <c r="BR45" s="52" t="s">
        <v>32</v>
      </c>
      <c r="BS45" s="50">
        <v>1</v>
      </c>
      <c r="BT45" s="51" t="s">
        <v>32</v>
      </c>
      <c r="BU45" s="52">
        <v>9</v>
      </c>
      <c r="BV45" s="50" t="s">
        <v>32</v>
      </c>
      <c r="BW45" s="53" t="s">
        <v>32</v>
      </c>
      <c r="BX45" s="49" t="s">
        <v>32</v>
      </c>
      <c r="BY45" s="50" t="s">
        <v>32</v>
      </c>
      <c r="BZ45" s="51" t="s">
        <v>32</v>
      </c>
      <c r="CA45" s="52" t="s">
        <v>32</v>
      </c>
      <c r="CB45" s="50" t="s">
        <v>32</v>
      </c>
      <c r="CC45" s="51" t="s">
        <v>32</v>
      </c>
      <c r="CD45" s="52" t="s">
        <v>32</v>
      </c>
      <c r="CE45" s="50">
        <v>2</v>
      </c>
      <c r="CF45" s="53">
        <v>8</v>
      </c>
    </row>
    <row r="46" spans="2:84" ht="15" customHeight="1">
      <c r="B46" s="43" t="s">
        <v>32</v>
      </c>
      <c r="C46" s="39" t="s">
        <v>32</v>
      </c>
      <c r="D46" s="41" t="s">
        <v>32</v>
      </c>
      <c r="E46" s="40" t="s">
        <v>32</v>
      </c>
      <c r="F46" s="39" t="s">
        <v>32</v>
      </c>
      <c r="G46" s="41" t="s">
        <v>32</v>
      </c>
      <c r="H46" s="40" t="s">
        <v>32</v>
      </c>
      <c r="I46" s="39" t="s">
        <v>32</v>
      </c>
      <c r="J46" s="42" t="s">
        <v>32</v>
      </c>
      <c r="K46" s="43" t="s">
        <v>32</v>
      </c>
      <c r="L46" s="39" t="s">
        <v>32</v>
      </c>
      <c r="M46" s="41" t="s">
        <v>32</v>
      </c>
      <c r="N46" s="40" t="s">
        <v>32</v>
      </c>
      <c r="O46" s="39" t="s">
        <v>32</v>
      </c>
      <c r="P46" s="41" t="s">
        <v>32</v>
      </c>
      <c r="Q46" s="40" t="s">
        <v>32</v>
      </c>
      <c r="R46" s="39" t="s">
        <v>32</v>
      </c>
      <c r="S46" s="42" t="s">
        <v>32</v>
      </c>
      <c r="T46" s="43" t="s">
        <v>32</v>
      </c>
      <c r="U46" s="39" t="s">
        <v>32</v>
      </c>
      <c r="V46" s="41" t="s">
        <v>32</v>
      </c>
      <c r="W46" s="40" t="s">
        <v>32</v>
      </c>
      <c r="X46" s="39" t="s">
        <v>32</v>
      </c>
      <c r="Y46" s="41" t="s">
        <v>32</v>
      </c>
      <c r="Z46" s="40" t="s">
        <v>32</v>
      </c>
      <c r="AA46" s="39" t="s">
        <v>32</v>
      </c>
      <c r="AB46" s="42" t="s">
        <v>32</v>
      </c>
      <c r="AD46" s="43" t="s">
        <v>32</v>
      </c>
      <c r="AE46" s="39" t="s">
        <v>32</v>
      </c>
      <c r="AF46" s="41" t="s">
        <v>32</v>
      </c>
      <c r="AG46" s="40" t="s">
        <v>32</v>
      </c>
      <c r="AH46" s="39" t="s">
        <v>32</v>
      </c>
      <c r="AI46" s="41" t="s">
        <v>32</v>
      </c>
      <c r="AJ46" s="40" t="s">
        <v>32</v>
      </c>
      <c r="AK46" s="39" t="s">
        <v>32</v>
      </c>
      <c r="AL46" s="42" t="s">
        <v>32</v>
      </c>
      <c r="AM46" s="43" t="s">
        <v>32</v>
      </c>
      <c r="AN46" s="39" t="s">
        <v>32</v>
      </c>
      <c r="AO46" s="41" t="s">
        <v>32</v>
      </c>
      <c r="AP46" s="40" t="s">
        <v>32</v>
      </c>
      <c r="AQ46" s="39" t="s">
        <v>32</v>
      </c>
      <c r="AR46" s="41" t="s">
        <v>32</v>
      </c>
      <c r="AS46" s="40" t="s">
        <v>32</v>
      </c>
      <c r="AT46" s="39" t="s">
        <v>32</v>
      </c>
      <c r="AU46" s="42" t="s">
        <v>32</v>
      </c>
      <c r="AV46" s="43" t="s">
        <v>32</v>
      </c>
      <c r="AW46" s="39" t="s">
        <v>32</v>
      </c>
      <c r="AX46" s="41" t="s">
        <v>32</v>
      </c>
      <c r="AY46" s="40" t="s">
        <v>32</v>
      </c>
      <c r="AZ46" s="39" t="s">
        <v>32</v>
      </c>
      <c r="BA46" s="41" t="s">
        <v>32</v>
      </c>
      <c r="BB46" s="40" t="s">
        <v>32</v>
      </c>
      <c r="BC46" s="39" t="s">
        <v>32</v>
      </c>
      <c r="BD46" s="42" t="s">
        <v>32</v>
      </c>
      <c r="BF46" s="43" t="s">
        <v>32</v>
      </c>
      <c r="BG46" s="39" t="s">
        <v>32</v>
      </c>
      <c r="BH46" s="41" t="s">
        <v>32</v>
      </c>
      <c r="BI46" s="40" t="s">
        <v>32</v>
      </c>
      <c r="BJ46" s="39" t="s">
        <v>32</v>
      </c>
      <c r="BK46" s="41" t="s">
        <v>32</v>
      </c>
      <c r="BL46" s="40" t="s">
        <v>32</v>
      </c>
      <c r="BM46" s="39" t="s">
        <v>32</v>
      </c>
      <c r="BN46" s="42" t="s">
        <v>32</v>
      </c>
      <c r="BO46" s="43" t="s">
        <v>32</v>
      </c>
      <c r="BP46" s="39" t="s">
        <v>32</v>
      </c>
      <c r="BQ46" s="41" t="s">
        <v>32</v>
      </c>
      <c r="BR46" s="40" t="s">
        <v>32</v>
      </c>
      <c r="BS46" s="154">
        <v>3</v>
      </c>
      <c r="BT46" s="41">
        <v>5</v>
      </c>
      <c r="BU46" s="40">
        <v>8</v>
      </c>
      <c r="BV46" s="39" t="s">
        <v>32</v>
      </c>
      <c r="BW46" s="42" t="s">
        <v>32</v>
      </c>
      <c r="BX46" s="43" t="s">
        <v>32</v>
      </c>
      <c r="BY46" s="39" t="s">
        <v>32</v>
      </c>
      <c r="BZ46" s="41" t="s">
        <v>32</v>
      </c>
      <c r="CA46" s="40" t="s">
        <v>32</v>
      </c>
      <c r="CB46" s="39" t="s">
        <v>32</v>
      </c>
      <c r="CC46" s="41" t="s">
        <v>32</v>
      </c>
      <c r="CD46" s="40" t="s">
        <v>32</v>
      </c>
      <c r="CE46" s="39" t="s">
        <v>32</v>
      </c>
      <c r="CF46" s="42" t="s">
        <v>32</v>
      </c>
    </row>
    <row r="47" spans="2:84" ht="15" customHeight="1" thickBot="1">
      <c r="B47" s="54" t="s">
        <v>32</v>
      </c>
      <c r="C47" s="55" t="s">
        <v>32</v>
      </c>
      <c r="D47" s="56" t="s">
        <v>32</v>
      </c>
      <c r="E47" s="57" t="s">
        <v>32</v>
      </c>
      <c r="F47" s="55" t="s">
        <v>32</v>
      </c>
      <c r="G47" s="56" t="s">
        <v>32</v>
      </c>
      <c r="H47" s="57" t="s">
        <v>32</v>
      </c>
      <c r="I47" s="55" t="s">
        <v>32</v>
      </c>
      <c r="J47" s="58" t="s">
        <v>32</v>
      </c>
      <c r="K47" s="54" t="s">
        <v>32</v>
      </c>
      <c r="L47" s="55" t="s">
        <v>32</v>
      </c>
      <c r="M47" s="56" t="s">
        <v>32</v>
      </c>
      <c r="N47" s="57" t="s">
        <v>32</v>
      </c>
      <c r="O47" s="55" t="s">
        <v>32</v>
      </c>
      <c r="P47" s="56" t="s">
        <v>32</v>
      </c>
      <c r="Q47" s="57" t="s">
        <v>32</v>
      </c>
      <c r="R47" s="55" t="s">
        <v>32</v>
      </c>
      <c r="S47" s="58" t="s">
        <v>32</v>
      </c>
      <c r="T47" s="54" t="s">
        <v>32</v>
      </c>
      <c r="U47" s="55" t="s">
        <v>32</v>
      </c>
      <c r="V47" s="56" t="s">
        <v>32</v>
      </c>
      <c r="W47" s="57" t="s">
        <v>32</v>
      </c>
      <c r="X47" s="55" t="s">
        <v>32</v>
      </c>
      <c r="Y47" s="56" t="s">
        <v>32</v>
      </c>
      <c r="Z47" s="57" t="s">
        <v>32</v>
      </c>
      <c r="AA47" s="55" t="s">
        <v>32</v>
      </c>
      <c r="AB47" s="58" t="s">
        <v>32</v>
      </c>
      <c r="AD47" s="54" t="s">
        <v>32</v>
      </c>
      <c r="AE47" s="55" t="s">
        <v>32</v>
      </c>
      <c r="AF47" s="56" t="s">
        <v>32</v>
      </c>
      <c r="AG47" s="57" t="s">
        <v>32</v>
      </c>
      <c r="AH47" s="55" t="s">
        <v>32</v>
      </c>
      <c r="AI47" s="56" t="s">
        <v>32</v>
      </c>
      <c r="AJ47" s="57" t="s">
        <v>32</v>
      </c>
      <c r="AK47" s="55" t="s">
        <v>32</v>
      </c>
      <c r="AL47" s="58" t="s">
        <v>32</v>
      </c>
      <c r="AM47" s="54" t="s">
        <v>32</v>
      </c>
      <c r="AN47" s="55" t="s">
        <v>32</v>
      </c>
      <c r="AO47" s="56" t="s">
        <v>32</v>
      </c>
      <c r="AP47" s="57" t="s">
        <v>32</v>
      </c>
      <c r="AQ47" s="55" t="s">
        <v>32</v>
      </c>
      <c r="AR47" s="56" t="s">
        <v>32</v>
      </c>
      <c r="AS47" s="57" t="s">
        <v>32</v>
      </c>
      <c r="AT47" s="55" t="s">
        <v>32</v>
      </c>
      <c r="AU47" s="58" t="s">
        <v>32</v>
      </c>
      <c r="AV47" s="54" t="s">
        <v>32</v>
      </c>
      <c r="AW47" s="55" t="s">
        <v>32</v>
      </c>
      <c r="AX47" s="56" t="s">
        <v>32</v>
      </c>
      <c r="AY47" s="57" t="s">
        <v>32</v>
      </c>
      <c r="AZ47" s="55" t="s">
        <v>32</v>
      </c>
      <c r="BA47" s="56" t="s">
        <v>32</v>
      </c>
      <c r="BB47" s="57" t="s">
        <v>32</v>
      </c>
      <c r="BC47" s="55" t="s">
        <v>32</v>
      </c>
      <c r="BD47" s="58" t="s">
        <v>32</v>
      </c>
      <c r="BF47" s="54" t="s">
        <v>32</v>
      </c>
      <c r="BG47" s="55" t="s">
        <v>32</v>
      </c>
      <c r="BH47" s="56" t="s">
        <v>32</v>
      </c>
      <c r="BI47" s="57" t="s">
        <v>32</v>
      </c>
      <c r="BJ47" s="55" t="s">
        <v>32</v>
      </c>
      <c r="BK47" s="56" t="s">
        <v>32</v>
      </c>
      <c r="BL47" s="57" t="s">
        <v>32</v>
      </c>
      <c r="BM47" s="55" t="s">
        <v>32</v>
      </c>
      <c r="BN47" s="58" t="s">
        <v>32</v>
      </c>
      <c r="BO47" s="54" t="s">
        <v>32</v>
      </c>
      <c r="BP47" s="55" t="s">
        <v>32</v>
      </c>
      <c r="BQ47" s="56" t="s">
        <v>32</v>
      </c>
      <c r="BR47" s="57" t="s">
        <v>32</v>
      </c>
      <c r="BS47" s="55" t="s">
        <v>32</v>
      </c>
      <c r="BT47" s="56" t="s">
        <v>32</v>
      </c>
      <c r="BU47" s="57" t="s">
        <v>32</v>
      </c>
      <c r="BV47" s="55" t="s">
        <v>32</v>
      </c>
      <c r="BW47" s="58" t="s">
        <v>32</v>
      </c>
      <c r="BX47" s="54" t="s">
        <v>32</v>
      </c>
      <c r="BY47" s="55" t="s">
        <v>32</v>
      </c>
      <c r="BZ47" s="56" t="s">
        <v>32</v>
      </c>
      <c r="CA47" s="57" t="s">
        <v>32</v>
      </c>
      <c r="CB47" s="55" t="s">
        <v>32</v>
      </c>
      <c r="CC47" s="56" t="s">
        <v>32</v>
      </c>
      <c r="CD47" s="57" t="s">
        <v>32</v>
      </c>
      <c r="CE47" s="55" t="s">
        <v>32</v>
      </c>
      <c r="CF47" s="58" t="s">
        <v>32</v>
      </c>
    </row>
    <row r="48" spans="2:84" ht="15" customHeight="1">
      <c r="B48" s="34" t="s">
        <v>32</v>
      </c>
      <c r="C48" s="37" t="s">
        <v>32</v>
      </c>
      <c r="D48" s="35" t="s">
        <v>32</v>
      </c>
      <c r="E48" s="36" t="s">
        <v>32</v>
      </c>
      <c r="F48" s="37" t="s">
        <v>32</v>
      </c>
      <c r="G48" s="35" t="s">
        <v>32</v>
      </c>
      <c r="H48" s="36" t="s">
        <v>32</v>
      </c>
      <c r="I48" s="37" t="s">
        <v>32</v>
      </c>
      <c r="J48" s="38" t="s">
        <v>32</v>
      </c>
      <c r="K48" s="34" t="s">
        <v>32</v>
      </c>
      <c r="L48" s="37" t="s">
        <v>32</v>
      </c>
      <c r="M48" s="35" t="s">
        <v>32</v>
      </c>
      <c r="N48" s="36" t="s">
        <v>32</v>
      </c>
      <c r="O48" s="37" t="s">
        <v>32</v>
      </c>
      <c r="P48" s="35" t="s">
        <v>32</v>
      </c>
      <c r="Q48" s="36" t="s">
        <v>32</v>
      </c>
      <c r="R48" s="37" t="s">
        <v>32</v>
      </c>
      <c r="S48" s="38" t="s">
        <v>32</v>
      </c>
      <c r="T48" s="34" t="s">
        <v>32</v>
      </c>
      <c r="U48" s="37" t="s">
        <v>32</v>
      </c>
      <c r="V48" s="35" t="s">
        <v>32</v>
      </c>
      <c r="W48" s="36" t="s">
        <v>32</v>
      </c>
      <c r="X48" s="37" t="s">
        <v>32</v>
      </c>
      <c r="Y48" s="35" t="s">
        <v>32</v>
      </c>
      <c r="Z48" s="36" t="s">
        <v>32</v>
      </c>
      <c r="AA48" s="37" t="s">
        <v>32</v>
      </c>
      <c r="AB48" s="38" t="s">
        <v>32</v>
      </c>
      <c r="AD48" s="34" t="s">
        <v>32</v>
      </c>
      <c r="AE48" s="37" t="s">
        <v>32</v>
      </c>
      <c r="AF48" s="35" t="s">
        <v>32</v>
      </c>
      <c r="AG48" s="36" t="s">
        <v>32</v>
      </c>
      <c r="AH48" s="37" t="s">
        <v>32</v>
      </c>
      <c r="AI48" s="35" t="s">
        <v>32</v>
      </c>
      <c r="AJ48" s="36" t="s">
        <v>32</v>
      </c>
      <c r="AK48" s="37" t="s">
        <v>32</v>
      </c>
      <c r="AL48" s="38" t="s">
        <v>32</v>
      </c>
      <c r="AM48" s="34" t="s">
        <v>32</v>
      </c>
      <c r="AN48" s="37" t="s">
        <v>32</v>
      </c>
      <c r="AO48" s="35" t="s">
        <v>32</v>
      </c>
      <c r="AP48" s="36" t="s">
        <v>32</v>
      </c>
      <c r="AQ48" s="37" t="s">
        <v>32</v>
      </c>
      <c r="AR48" s="35" t="s">
        <v>32</v>
      </c>
      <c r="AS48" s="36" t="s">
        <v>32</v>
      </c>
      <c r="AT48" s="37" t="s">
        <v>32</v>
      </c>
      <c r="AU48" s="38" t="s">
        <v>32</v>
      </c>
      <c r="AV48" s="34" t="s">
        <v>32</v>
      </c>
      <c r="AW48" s="37" t="s">
        <v>32</v>
      </c>
      <c r="AX48" s="35" t="s">
        <v>32</v>
      </c>
      <c r="AY48" s="36" t="s">
        <v>32</v>
      </c>
      <c r="AZ48" s="37" t="s">
        <v>32</v>
      </c>
      <c r="BA48" s="35" t="s">
        <v>32</v>
      </c>
      <c r="BB48" s="36" t="s">
        <v>32</v>
      </c>
      <c r="BC48" s="37" t="s">
        <v>32</v>
      </c>
      <c r="BD48" s="38" t="s">
        <v>32</v>
      </c>
      <c r="BF48" s="34" t="s">
        <v>32</v>
      </c>
      <c r="BG48" s="37" t="s">
        <v>32</v>
      </c>
      <c r="BH48" s="35" t="s">
        <v>32</v>
      </c>
      <c r="BI48" s="36" t="s">
        <v>32</v>
      </c>
      <c r="BJ48" s="37" t="s">
        <v>32</v>
      </c>
      <c r="BK48" s="35" t="s">
        <v>32</v>
      </c>
      <c r="BL48" s="36" t="s">
        <v>32</v>
      </c>
      <c r="BM48" s="37" t="s">
        <v>32</v>
      </c>
      <c r="BN48" s="38" t="s">
        <v>32</v>
      </c>
      <c r="BO48" s="34" t="s">
        <v>32</v>
      </c>
      <c r="BP48" s="37" t="s">
        <v>32</v>
      </c>
      <c r="BQ48" s="35" t="s">
        <v>32</v>
      </c>
      <c r="BR48" s="36" t="s">
        <v>32</v>
      </c>
      <c r="BS48" s="37" t="s">
        <v>32</v>
      </c>
      <c r="BT48" s="35" t="s">
        <v>32</v>
      </c>
      <c r="BU48" s="36" t="s">
        <v>32</v>
      </c>
      <c r="BV48" s="37" t="s">
        <v>32</v>
      </c>
      <c r="BW48" s="38" t="s">
        <v>32</v>
      </c>
      <c r="BX48" s="34" t="s">
        <v>32</v>
      </c>
      <c r="BY48" s="37" t="s">
        <v>32</v>
      </c>
      <c r="BZ48" s="35" t="s">
        <v>32</v>
      </c>
      <c r="CA48" s="36" t="s">
        <v>32</v>
      </c>
      <c r="CB48" s="37" t="s">
        <v>32</v>
      </c>
      <c r="CC48" s="35" t="s">
        <v>32</v>
      </c>
      <c r="CD48" s="36" t="s">
        <v>32</v>
      </c>
      <c r="CE48" s="37" t="s">
        <v>32</v>
      </c>
      <c r="CF48" s="38" t="s">
        <v>32</v>
      </c>
    </row>
    <row r="49" spans="2:84" ht="15" customHeight="1">
      <c r="B49" s="43" t="s">
        <v>32</v>
      </c>
      <c r="C49" s="39" t="s">
        <v>32</v>
      </c>
      <c r="D49" s="41" t="s">
        <v>32</v>
      </c>
      <c r="E49" s="40" t="s">
        <v>32</v>
      </c>
      <c r="F49" s="39" t="s">
        <v>32</v>
      </c>
      <c r="G49" s="41" t="s">
        <v>32</v>
      </c>
      <c r="H49" s="40" t="s">
        <v>32</v>
      </c>
      <c r="I49" s="39" t="s">
        <v>32</v>
      </c>
      <c r="J49" s="42" t="s">
        <v>32</v>
      </c>
      <c r="K49" s="43" t="s">
        <v>32</v>
      </c>
      <c r="L49" s="39" t="s">
        <v>32</v>
      </c>
      <c r="M49" s="41" t="s">
        <v>32</v>
      </c>
      <c r="N49" s="40" t="s">
        <v>32</v>
      </c>
      <c r="O49" s="39" t="s">
        <v>32</v>
      </c>
      <c r="P49" s="41" t="s">
        <v>32</v>
      </c>
      <c r="Q49" s="40" t="s">
        <v>32</v>
      </c>
      <c r="R49" s="39" t="s">
        <v>32</v>
      </c>
      <c r="S49" s="42" t="s">
        <v>32</v>
      </c>
      <c r="T49" s="43" t="s">
        <v>32</v>
      </c>
      <c r="U49" s="39" t="s">
        <v>32</v>
      </c>
      <c r="V49" s="41" t="s">
        <v>32</v>
      </c>
      <c r="W49" s="40" t="s">
        <v>32</v>
      </c>
      <c r="X49" s="39" t="s">
        <v>32</v>
      </c>
      <c r="Y49" s="41" t="s">
        <v>32</v>
      </c>
      <c r="Z49" s="40" t="s">
        <v>32</v>
      </c>
      <c r="AA49" s="39" t="s">
        <v>32</v>
      </c>
      <c r="AB49" s="42" t="s">
        <v>32</v>
      </c>
      <c r="AD49" s="43" t="s">
        <v>32</v>
      </c>
      <c r="AE49" s="39" t="s">
        <v>32</v>
      </c>
      <c r="AF49" s="41" t="s">
        <v>32</v>
      </c>
      <c r="AG49" s="40" t="s">
        <v>32</v>
      </c>
      <c r="AH49" s="39" t="s">
        <v>32</v>
      </c>
      <c r="AI49" s="41" t="s">
        <v>32</v>
      </c>
      <c r="AJ49" s="40" t="s">
        <v>32</v>
      </c>
      <c r="AK49" s="39" t="s">
        <v>32</v>
      </c>
      <c r="AL49" s="42" t="s">
        <v>32</v>
      </c>
      <c r="AM49" s="43" t="s">
        <v>32</v>
      </c>
      <c r="AN49" s="39" t="s">
        <v>32</v>
      </c>
      <c r="AO49" s="41" t="s">
        <v>32</v>
      </c>
      <c r="AP49" s="40" t="s">
        <v>32</v>
      </c>
      <c r="AQ49" s="39" t="s">
        <v>32</v>
      </c>
      <c r="AR49" s="41" t="s">
        <v>32</v>
      </c>
      <c r="AS49" s="40" t="s">
        <v>32</v>
      </c>
      <c r="AT49" s="39" t="s">
        <v>32</v>
      </c>
      <c r="AU49" s="42" t="s">
        <v>32</v>
      </c>
      <c r="AV49" s="43" t="s">
        <v>32</v>
      </c>
      <c r="AW49" s="39" t="s">
        <v>32</v>
      </c>
      <c r="AX49" s="41" t="s">
        <v>32</v>
      </c>
      <c r="AY49" s="40" t="s">
        <v>32</v>
      </c>
      <c r="AZ49" s="39" t="s">
        <v>32</v>
      </c>
      <c r="BA49" s="41" t="s">
        <v>32</v>
      </c>
      <c r="BB49" s="40" t="s">
        <v>32</v>
      </c>
      <c r="BC49" s="39" t="s">
        <v>32</v>
      </c>
      <c r="BD49" s="42" t="s">
        <v>32</v>
      </c>
      <c r="BF49" s="43" t="s">
        <v>32</v>
      </c>
      <c r="BG49" s="39" t="s">
        <v>32</v>
      </c>
      <c r="BH49" s="41" t="s">
        <v>32</v>
      </c>
      <c r="BI49" s="40" t="s">
        <v>32</v>
      </c>
      <c r="BJ49" s="39" t="s">
        <v>32</v>
      </c>
      <c r="BK49" s="41" t="s">
        <v>32</v>
      </c>
      <c r="BL49" s="40" t="s">
        <v>32</v>
      </c>
      <c r="BM49" s="39" t="s">
        <v>32</v>
      </c>
      <c r="BN49" s="42" t="s">
        <v>32</v>
      </c>
      <c r="BO49" s="43" t="s">
        <v>32</v>
      </c>
      <c r="BP49" s="39" t="s">
        <v>32</v>
      </c>
      <c r="BQ49" s="41" t="s">
        <v>32</v>
      </c>
      <c r="BR49" s="40" t="s">
        <v>32</v>
      </c>
      <c r="BS49" s="39" t="s">
        <v>32</v>
      </c>
      <c r="BT49" s="41" t="s">
        <v>32</v>
      </c>
      <c r="BU49" s="40" t="s">
        <v>32</v>
      </c>
      <c r="BV49" s="39" t="s">
        <v>32</v>
      </c>
      <c r="BW49" s="42" t="s">
        <v>32</v>
      </c>
      <c r="BX49" s="43" t="s">
        <v>32</v>
      </c>
      <c r="BY49" s="39" t="s">
        <v>32</v>
      </c>
      <c r="BZ49" s="41" t="s">
        <v>32</v>
      </c>
      <c r="CA49" s="40" t="s">
        <v>32</v>
      </c>
      <c r="CB49" s="39" t="s">
        <v>32</v>
      </c>
      <c r="CC49" s="41" t="s">
        <v>32</v>
      </c>
      <c r="CD49" s="40" t="s">
        <v>32</v>
      </c>
      <c r="CE49" s="39" t="s">
        <v>32</v>
      </c>
      <c r="CF49" s="42" t="s">
        <v>32</v>
      </c>
    </row>
    <row r="50" spans="2:84" ht="15" customHeight="1">
      <c r="B50" s="44" t="s">
        <v>32</v>
      </c>
      <c r="C50" s="45" t="s">
        <v>32</v>
      </c>
      <c r="D50" s="47" t="s">
        <v>32</v>
      </c>
      <c r="E50" s="46" t="s">
        <v>32</v>
      </c>
      <c r="F50" s="45" t="s">
        <v>32</v>
      </c>
      <c r="G50" s="47" t="s">
        <v>32</v>
      </c>
      <c r="H50" s="46" t="s">
        <v>32</v>
      </c>
      <c r="I50" s="45" t="s">
        <v>32</v>
      </c>
      <c r="J50" s="48" t="s">
        <v>32</v>
      </c>
      <c r="K50" s="44" t="s">
        <v>32</v>
      </c>
      <c r="L50" s="45" t="s">
        <v>32</v>
      </c>
      <c r="M50" s="47" t="s">
        <v>32</v>
      </c>
      <c r="N50" s="46" t="s">
        <v>32</v>
      </c>
      <c r="O50" s="45" t="s">
        <v>32</v>
      </c>
      <c r="P50" s="47" t="s">
        <v>32</v>
      </c>
      <c r="Q50" s="46" t="s">
        <v>32</v>
      </c>
      <c r="R50" s="45" t="s">
        <v>32</v>
      </c>
      <c r="S50" s="48" t="s">
        <v>32</v>
      </c>
      <c r="T50" s="44" t="s">
        <v>32</v>
      </c>
      <c r="U50" s="45" t="s">
        <v>32</v>
      </c>
      <c r="V50" s="47" t="s">
        <v>32</v>
      </c>
      <c r="W50" s="46" t="s">
        <v>32</v>
      </c>
      <c r="X50" s="45" t="s">
        <v>32</v>
      </c>
      <c r="Y50" s="47" t="s">
        <v>32</v>
      </c>
      <c r="Z50" s="46" t="s">
        <v>32</v>
      </c>
      <c r="AA50" s="45" t="s">
        <v>32</v>
      </c>
      <c r="AB50" s="48" t="s">
        <v>32</v>
      </c>
      <c r="AD50" s="44" t="s">
        <v>32</v>
      </c>
      <c r="AE50" s="45" t="s">
        <v>32</v>
      </c>
      <c r="AF50" s="47" t="s">
        <v>32</v>
      </c>
      <c r="AG50" s="46" t="s">
        <v>32</v>
      </c>
      <c r="AH50" s="45" t="s">
        <v>32</v>
      </c>
      <c r="AI50" s="47" t="s">
        <v>32</v>
      </c>
      <c r="AJ50" s="46" t="s">
        <v>32</v>
      </c>
      <c r="AK50" s="45" t="s">
        <v>32</v>
      </c>
      <c r="AL50" s="48" t="s">
        <v>32</v>
      </c>
      <c r="AM50" s="44" t="s">
        <v>32</v>
      </c>
      <c r="AN50" s="45" t="s">
        <v>32</v>
      </c>
      <c r="AO50" s="47" t="s">
        <v>32</v>
      </c>
      <c r="AP50" s="46" t="s">
        <v>32</v>
      </c>
      <c r="AQ50" s="45" t="s">
        <v>32</v>
      </c>
      <c r="AR50" s="47" t="s">
        <v>32</v>
      </c>
      <c r="AS50" s="46" t="s">
        <v>32</v>
      </c>
      <c r="AT50" s="45" t="s">
        <v>32</v>
      </c>
      <c r="AU50" s="48" t="s">
        <v>32</v>
      </c>
      <c r="AV50" s="44" t="s">
        <v>32</v>
      </c>
      <c r="AW50" s="45" t="s">
        <v>32</v>
      </c>
      <c r="AX50" s="47" t="s">
        <v>32</v>
      </c>
      <c r="AY50" s="46" t="s">
        <v>32</v>
      </c>
      <c r="AZ50" s="45" t="s">
        <v>32</v>
      </c>
      <c r="BA50" s="47" t="s">
        <v>32</v>
      </c>
      <c r="BB50" s="46" t="s">
        <v>32</v>
      </c>
      <c r="BC50" s="45" t="s">
        <v>32</v>
      </c>
      <c r="BD50" s="48" t="s">
        <v>32</v>
      </c>
      <c r="BF50" s="44" t="s">
        <v>32</v>
      </c>
      <c r="BG50" s="45" t="s">
        <v>32</v>
      </c>
      <c r="BH50" s="47" t="s">
        <v>32</v>
      </c>
      <c r="BI50" s="46" t="s">
        <v>32</v>
      </c>
      <c r="BJ50" s="45" t="s">
        <v>32</v>
      </c>
      <c r="BK50" s="47" t="s">
        <v>32</v>
      </c>
      <c r="BL50" s="46" t="s">
        <v>32</v>
      </c>
      <c r="BM50" s="45" t="s">
        <v>32</v>
      </c>
      <c r="BN50" s="48" t="s">
        <v>32</v>
      </c>
      <c r="BO50" s="44" t="s">
        <v>32</v>
      </c>
      <c r="BP50" s="45" t="s">
        <v>32</v>
      </c>
      <c r="BQ50" s="47" t="s">
        <v>32</v>
      </c>
      <c r="BR50" s="46" t="s">
        <v>32</v>
      </c>
      <c r="BS50" s="45" t="s">
        <v>32</v>
      </c>
      <c r="BT50" s="47" t="s">
        <v>32</v>
      </c>
      <c r="BU50" s="46" t="s">
        <v>32</v>
      </c>
      <c r="BV50" s="45" t="s">
        <v>32</v>
      </c>
      <c r="BW50" s="48" t="s">
        <v>32</v>
      </c>
      <c r="BX50" s="44" t="s">
        <v>32</v>
      </c>
      <c r="BY50" s="45" t="s">
        <v>32</v>
      </c>
      <c r="BZ50" s="47" t="s">
        <v>32</v>
      </c>
      <c r="CA50" s="46" t="s">
        <v>32</v>
      </c>
      <c r="CB50" s="45" t="s">
        <v>32</v>
      </c>
      <c r="CC50" s="47" t="s">
        <v>32</v>
      </c>
      <c r="CD50" s="46" t="s">
        <v>32</v>
      </c>
      <c r="CE50" s="45" t="s">
        <v>32</v>
      </c>
      <c r="CF50" s="48" t="s">
        <v>32</v>
      </c>
    </row>
    <row r="51" spans="2:84" ht="15" customHeight="1">
      <c r="B51" s="49" t="s">
        <v>32</v>
      </c>
      <c r="C51" s="50" t="s">
        <v>32</v>
      </c>
      <c r="D51" s="51" t="s">
        <v>32</v>
      </c>
      <c r="E51" s="52" t="s">
        <v>32</v>
      </c>
      <c r="F51" s="50" t="s">
        <v>32</v>
      </c>
      <c r="G51" s="51" t="s">
        <v>32</v>
      </c>
      <c r="H51" s="52" t="s">
        <v>32</v>
      </c>
      <c r="I51" s="50" t="s">
        <v>32</v>
      </c>
      <c r="J51" s="53" t="s">
        <v>32</v>
      </c>
      <c r="K51" s="49" t="s">
        <v>32</v>
      </c>
      <c r="L51" s="50" t="s">
        <v>32</v>
      </c>
      <c r="M51" s="51" t="s">
        <v>32</v>
      </c>
      <c r="N51" s="52" t="s">
        <v>32</v>
      </c>
      <c r="O51" s="50" t="s">
        <v>32</v>
      </c>
      <c r="P51" s="51" t="s">
        <v>32</v>
      </c>
      <c r="Q51" s="52" t="s">
        <v>32</v>
      </c>
      <c r="R51" s="50" t="s">
        <v>32</v>
      </c>
      <c r="S51" s="53" t="s">
        <v>32</v>
      </c>
      <c r="T51" s="49" t="s">
        <v>32</v>
      </c>
      <c r="U51" s="50" t="s">
        <v>32</v>
      </c>
      <c r="V51" s="51" t="s">
        <v>32</v>
      </c>
      <c r="W51" s="52" t="s">
        <v>32</v>
      </c>
      <c r="X51" s="50" t="s">
        <v>32</v>
      </c>
      <c r="Y51" s="51" t="s">
        <v>32</v>
      </c>
      <c r="Z51" s="52" t="s">
        <v>32</v>
      </c>
      <c r="AA51" s="50" t="s">
        <v>32</v>
      </c>
      <c r="AB51" s="53" t="s">
        <v>32</v>
      </c>
      <c r="AD51" s="49" t="s">
        <v>32</v>
      </c>
      <c r="AE51" s="50" t="s">
        <v>32</v>
      </c>
      <c r="AF51" s="51" t="s">
        <v>32</v>
      </c>
      <c r="AG51" s="52" t="s">
        <v>32</v>
      </c>
      <c r="AH51" s="50" t="s">
        <v>32</v>
      </c>
      <c r="AI51" s="51" t="s">
        <v>32</v>
      </c>
      <c r="AJ51" s="52" t="s">
        <v>32</v>
      </c>
      <c r="AK51" s="50" t="s">
        <v>32</v>
      </c>
      <c r="AL51" s="53" t="s">
        <v>32</v>
      </c>
      <c r="AM51" s="49" t="s">
        <v>32</v>
      </c>
      <c r="AN51" s="50" t="s">
        <v>32</v>
      </c>
      <c r="AO51" s="51" t="s">
        <v>32</v>
      </c>
      <c r="AP51" s="52" t="s">
        <v>32</v>
      </c>
      <c r="AQ51" s="50" t="s">
        <v>32</v>
      </c>
      <c r="AR51" s="51" t="s">
        <v>32</v>
      </c>
      <c r="AS51" s="52" t="s">
        <v>32</v>
      </c>
      <c r="AT51" s="50" t="s">
        <v>32</v>
      </c>
      <c r="AU51" s="53" t="s">
        <v>32</v>
      </c>
      <c r="AV51" s="49" t="s">
        <v>32</v>
      </c>
      <c r="AW51" s="50" t="s">
        <v>32</v>
      </c>
      <c r="AX51" s="51" t="s">
        <v>32</v>
      </c>
      <c r="AY51" s="52" t="s">
        <v>32</v>
      </c>
      <c r="AZ51" s="50" t="s">
        <v>32</v>
      </c>
      <c r="BA51" s="51" t="s">
        <v>32</v>
      </c>
      <c r="BB51" s="52" t="s">
        <v>32</v>
      </c>
      <c r="BC51" s="50" t="s">
        <v>32</v>
      </c>
      <c r="BD51" s="53" t="s">
        <v>32</v>
      </c>
      <c r="BF51" s="49" t="s">
        <v>32</v>
      </c>
      <c r="BG51" s="50" t="s">
        <v>32</v>
      </c>
      <c r="BH51" s="51" t="s">
        <v>32</v>
      </c>
      <c r="BI51" s="52" t="s">
        <v>32</v>
      </c>
      <c r="BJ51" s="50" t="s">
        <v>32</v>
      </c>
      <c r="BK51" s="51" t="s">
        <v>32</v>
      </c>
      <c r="BL51" s="52" t="s">
        <v>32</v>
      </c>
      <c r="BM51" s="50" t="s">
        <v>32</v>
      </c>
      <c r="BN51" s="53" t="s">
        <v>32</v>
      </c>
      <c r="BO51" s="49" t="s">
        <v>32</v>
      </c>
      <c r="BP51" s="50" t="s">
        <v>32</v>
      </c>
      <c r="BQ51" s="51" t="s">
        <v>32</v>
      </c>
      <c r="BR51" s="52" t="s">
        <v>32</v>
      </c>
      <c r="BS51" s="50" t="s">
        <v>32</v>
      </c>
      <c r="BT51" s="51" t="s">
        <v>32</v>
      </c>
      <c r="BU51" s="52" t="s">
        <v>32</v>
      </c>
      <c r="BV51" s="50" t="s">
        <v>32</v>
      </c>
      <c r="BW51" s="53" t="s">
        <v>32</v>
      </c>
      <c r="BX51" s="49" t="s">
        <v>32</v>
      </c>
      <c r="BY51" s="50" t="s">
        <v>32</v>
      </c>
      <c r="BZ51" s="51" t="s">
        <v>32</v>
      </c>
      <c r="CA51" s="52" t="s">
        <v>32</v>
      </c>
      <c r="CB51" s="50" t="s">
        <v>32</v>
      </c>
      <c r="CC51" s="51" t="s">
        <v>32</v>
      </c>
      <c r="CD51" s="52" t="s">
        <v>32</v>
      </c>
      <c r="CE51" s="50" t="s">
        <v>32</v>
      </c>
      <c r="CF51" s="53" t="s">
        <v>32</v>
      </c>
    </row>
    <row r="52" spans="2:84" ht="15" customHeight="1">
      <c r="B52" s="43" t="s">
        <v>32</v>
      </c>
      <c r="C52" s="39" t="s">
        <v>32</v>
      </c>
      <c r="D52" s="41" t="s">
        <v>32</v>
      </c>
      <c r="E52" s="40" t="s">
        <v>32</v>
      </c>
      <c r="F52" s="39" t="s">
        <v>32</v>
      </c>
      <c r="G52" s="41" t="s">
        <v>32</v>
      </c>
      <c r="H52" s="40" t="s">
        <v>32</v>
      </c>
      <c r="I52" s="39" t="s">
        <v>32</v>
      </c>
      <c r="J52" s="42" t="s">
        <v>32</v>
      </c>
      <c r="K52" s="43" t="s">
        <v>32</v>
      </c>
      <c r="L52" s="39" t="s">
        <v>32</v>
      </c>
      <c r="M52" s="41" t="s">
        <v>32</v>
      </c>
      <c r="N52" s="40" t="s">
        <v>32</v>
      </c>
      <c r="O52" s="39" t="s">
        <v>32</v>
      </c>
      <c r="P52" s="41" t="s">
        <v>32</v>
      </c>
      <c r="Q52" s="40" t="s">
        <v>32</v>
      </c>
      <c r="R52" s="39" t="s">
        <v>32</v>
      </c>
      <c r="S52" s="42" t="s">
        <v>32</v>
      </c>
      <c r="T52" s="43" t="s">
        <v>32</v>
      </c>
      <c r="U52" s="39" t="s">
        <v>32</v>
      </c>
      <c r="V52" s="41" t="s">
        <v>32</v>
      </c>
      <c r="W52" s="40" t="s">
        <v>32</v>
      </c>
      <c r="X52" s="39" t="s">
        <v>32</v>
      </c>
      <c r="Y52" s="41" t="s">
        <v>32</v>
      </c>
      <c r="Z52" s="40" t="s">
        <v>32</v>
      </c>
      <c r="AA52" s="39" t="s">
        <v>32</v>
      </c>
      <c r="AB52" s="42" t="s">
        <v>32</v>
      </c>
      <c r="AD52" s="43" t="s">
        <v>32</v>
      </c>
      <c r="AE52" s="39" t="s">
        <v>32</v>
      </c>
      <c r="AF52" s="41" t="s">
        <v>32</v>
      </c>
      <c r="AG52" s="40" t="s">
        <v>32</v>
      </c>
      <c r="AH52" s="39" t="s">
        <v>32</v>
      </c>
      <c r="AI52" s="41" t="s">
        <v>32</v>
      </c>
      <c r="AJ52" s="40" t="s">
        <v>32</v>
      </c>
      <c r="AK52" s="39" t="s">
        <v>32</v>
      </c>
      <c r="AL52" s="42" t="s">
        <v>32</v>
      </c>
      <c r="AM52" s="43" t="s">
        <v>32</v>
      </c>
      <c r="AN52" s="39" t="s">
        <v>32</v>
      </c>
      <c r="AO52" s="41" t="s">
        <v>32</v>
      </c>
      <c r="AP52" s="40" t="s">
        <v>32</v>
      </c>
      <c r="AQ52" s="39" t="s">
        <v>32</v>
      </c>
      <c r="AR52" s="41" t="s">
        <v>32</v>
      </c>
      <c r="AS52" s="40" t="s">
        <v>32</v>
      </c>
      <c r="AT52" s="39" t="s">
        <v>32</v>
      </c>
      <c r="AU52" s="42" t="s">
        <v>32</v>
      </c>
      <c r="AV52" s="43" t="s">
        <v>32</v>
      </c>
      <c r="AW52" s="39" t="s">
        <v>32</v>
      </c>
      <c r="AX52" s="41" t="s">
        <v>32</v>
      </c>
      <c r="AY52" s="40" t="s">
        <v>32</v>
      </c>
      <c r="AZ52" s="39" t="s">
        <v>32</v>
      </c>
      <c r="BA52" s="41" t="s">
        <v>32</v>
      </c>
      <c r="BB52" s="40" t="s">
        <v>32</v>
      </c>
      <c r="BC52" s="39" t="s">
        <v>32</v>
      </c>
      <c r="BD52" s="42">
        <v>8</v>
      </c>
      <c r="BF52" s="43">
        <v>8</v>
      </c>
      <c r="BG52" s="39" t="s">
        <v>32</v>
      </c>
      <c r="BH52" s="41" t="s">
        <v>32</v>
      </c>
      <c r="BI52" s="40" t="s">
        <v>32</v>
      </c>
      <c r="BJ52" s="39" t="s">
        <v>32</v>
      </c>
      <c r="BK52" s="41" t="s">
        <v>32</v>
      </c>
      <c r="BL52" s="40" t="s">
        <v>32</v>
      </c>
      <c r="BM52" s="39" t="s">
        <v>32</v>
      </c>
      <c r="BN52" s="42" t="s">
        <v>32</v>
      </c>
      <c r="BO52" s="43" t="s">
        <v>32</v>
      </c>
      <c r="BP52" s="39" t="s">
        <v>32</v>
      </c>
      <c r="BQ52" s="41" t="s">
        <v>32</v>
      </c>
      <c r="BR52" s="40" t="s">
        <v>32</v>
      </c>
      <c r="BS52" s="39" t="s">
        <v>32</v>
      </c>
      <c r="BT52" s="41" t="s">
        <v>32</v>
      </c>
      <c r="BU52" s="40" t="s">
        <v>32</v>
      </c>
      <c r="BV52" s="39" t="s">
        <v>32</v>
      </c>
      <c r="BW52" s="42" t="s">
        <v>32</v>
      </c>
      <c r="BX52" s="43" t="s">
        <v>32</v>
      </c>
      <c r="BY52" s="39" t="s">
        <v>32</v>
      </c>
      <c r="BZ52" s="41" t="s">
        <v>32</v>
      </c>
      <c r="CA52" s="40" t="s">
        <v>32</v>
      </c>
      <c r="CB52" s="39" t="s">
        <v>32</v>
      </c>
      <c r="CC52" s="41" t="s">
        <v>32</v>
      </c>
      <c r="CD52" s="40" t="s">
        <v>32</v>
      </c>
      <c r="CE52" s="39" t="s">
        <v>32</v>
      </c>
      <c r="CF52" s="42" t="s">
        <v>32</v>
      </c>
    </row>
    <row r="53" spans="2:84" ht="15" customHeight="1">
      <c r="B53" s="44" t="s">
        <v>32</v>
      </c>
      <c r="C53" s="45" t="s">
        <v>32</v>
      </c>
      <c r="D53" s="47" t="s">
        <v>32</v>
      </c>
      <c r="E53" s="46">
        <v>6</v>
      </c>
      <c r="F53" s="45" t="s">
        <v>32</v>
      </c>
      <c r="G53" s="47" t="s">
        <v>32</v>
      </c>
      <c r="H53" s="46" t="s">
        <v>32</v>
      </c>
      <c r="I53" s="45" t="s">
        <v>32</v>
      </c>
      <c r="J53" s="48" t="s">
        <v>32</v>
      </c>
      <c r="K53" s="44" t="s">
        <v>32</v>
      </c>
      <c r="L53" s="45" t="s">
        <v>32</v>
      </c>
      <c r="M53" s="47" t="s">
        <v>32</v>
      </c>
      <c r="N53" s="46" t="s">
        <v>32</v>
      </c>
      <c r="O53" s="45">
        <v>7</v>
      </c>
      <c r="P53" s="47" t="s">
        <v>32</v>
      </c>
      <c r="Q53" s="46" t="s">
        <v>32</v>
      </c>
      <c r="R53" s="45" t="s">
        <v>32</v>
      </c>
      <c r="S53" s="48" t="s">
        <v>32</v>
      </c>
      <c r="T53" s="44" t="s">
        <v>32</v>
      </c>
      <c r="U53" s="45" t="s">
        <v>32</v>
      </c>
      <c r="V53" s="47" t="s">
        <v>32</v>
      </c>
      <c r="W53" s="46" t="s">
        <v>32</v>
      </c>
      <c r="X53" s="45" t="s">
        <v>32</v>
      </c>
      <c r="Y53" s="47" t="s">
        <v>32</v>
      </c>
      <c r="Z53" s="46" t="s">
        <v>32</v>
      </c>
      <c r="AA53" s="45" t="s">
        <v>32</v>
      </c>
      <c r="AB53" s="48" t="s">
        <v>32</v>
      </c>
      <c r="AD53" s="44" t="s">
        <v>32</v>
      </c>
      <c r="AE53" s="45" t="s">
        <v>32</v>
      </c>
      <c r="AF53" s="47" t="s">
        <v>32</v>
      </c>
      <c r="AG53" s="46" t="s">
        <v>32</v>
      </c>
      <c r="AH53" s="45" t="s">
        <v>32</v>
      </c>
      <c r="AI53" s="47" t="s">
        <v>32</v>
      </c>
      <c r="AJ53" s="46" t="s">
        <v>32</v>
      </c>
      <c r="AK53" s="45" t="s">
        <v>32</v>
      </c>
      <c r="AL53" s="48" t="s">
        <v>32</v>
      </c>
      <c r="AM53" s="44" t="s">
        <v>32</v>
      </c>
      <c r="AN53" s="45" t="s">
        <v>32</v>
      </c>
      <c r="AO53" s="47" t="s">
        <v>32</v>
      </c>
      <c r="AP53" s="46" t="s">
        <v>32</v>
      </c>
      <c r="AQ53" s="45" t="s">
        <v>32</v>
      </c>
      <c r="AR53" s="47" t="s">
        <v>32</v>
      </c>
      <c r="AS53" s="46" t="s">
        <v>32</v>
      </c>
      <c r="AT53" s="45" t="s">
        <v>32</v>
      </c>
      <c r="AU53" s="48" t="s">
        <v>32</v>
      </c>
      <c r="AV53" s="44" t="s">
        <v>32</v>
      </c>
      <c r="AW53" s="45" t="s">
        <v>32</v>
      </c>
      <c r="AX53" s="47" t="s">
        <v>32</v>
      </c>
      <c r="AY53" s="46" t="s">
        <v>32</v>
      </c>
      <c r="AZ53" s="45" t="s">
        <v>32</v>
      </c>
      <c r="BA53" s="47" t="s">
        <v>32</v>
      </c>
      <c r="BB53" s="46" t="s">
        <v>32</v>
      </c>
      <c r="BC53" s="45" t="s">
        <v>32</v>
      </c>
      <c r="BD53" s="48">
        <v>3</v>
      </c>
      <c r="BF53" s="44">
        <v>5</v>
      </c>
      <c r="BG53" s="45" t="s">
        <v>32</v>
      </c>
      <c r="BH53" s="47" t="s">
        <v>32</v>
      </c>
      <c r="BI53" s="46" t="s">
        <v>32</v>
      </c>
      <c r="BJ53" s="45" t="s">
        <v>32</v>
      </c>
      <c r="BK53" s="47" t="s">
        <v>32</v>
      </c>
      <c r="BL53" s="46" t="s">
        <v>32</v>
      </c>
      <c r="BM53" s="45" t="s">
        <v>32</v>
      </c>
      <c r="BN53" s="48" t="s">
        <v>32</v>
      </c>
      <c r="BO53" s="44" t="s">
        <v>32</v>
      </c>
      <c r="BP53" s="156">
        <v>9</v>
      </c>
      <c r="BQ53" s="155">
        <v>3</v>
      </c>
      <c r="BR53" s="46">
        <v>8</v>
      </c>
      <c r="BS53" s="45">
        <v>2</v>
      </c>
      <c r="BT53" s="47">
        <v>1</v>
      </c>
      <c r="BU53" s="46" t="s">
        <v>32</v>
      </c>
      <c r="BV53" s="45" t="s">
        <v>32</v>
      </c>
      <c r="BW53" s="48" t="s">
        <v>32</v>
      </c>
      <c r="BX53" s="44" t="s">
        <v>32</v>
      </c>
      <c r="BY53" s="45" t="s">
        <v>32</v>
      </c>
      <c r="BZ53" s="47" t="s">
        <v>32</v>
      </c>
      <c r="CA53" s="46" t="s">
        <v>32</v>
      </c>
      <c r="CB53" s="45" t="s">
        <v>32</v>
      </c>
      <c r="CC53" s="47" t="s">
        <v>32</v>
      </c>
      <c r="CD53" s="46" t="s">
        <v>32</v>
      </c>
      <c r="CE53" s="45" t="s">
        <v>32</v>
      </c>
      <c r="CF53" s="48" t="s">
        <v>32</v>
      </c>
    </row>
    <row r="54" spans="2:84" ht="15" customHeight="1">
      <c r="B54" s="49">
        <v>8</v>
      </c>
      <c r="C54" s="160">
        <v>5</v>
      </c>
      <c r="D54" s="163">
        <v>3</v>
      </c>
      <c r="E54" s="52">
        <v>1</v>
      </c>
      <c r="F54" s="50" t="s">
        <v>32</v>
      </c>
      <c r="G54" s="51" t="s">
        <v>32</v>
      </c>
      <c r="H54" s="52" t="s">
        <v>32</v>
      </c>
      <c r="I54" s="50" t="s">
        <v>32</v>
      </c>
      <c r="J54" s="53" t="s">
        <v>32</v>
      </c>
      <c r="K54" s="49" t="s">
        <v>32</v>
      </c>
      <c r="L54" s="50" t="s">
        <v>32</v>
      </c>
      <c r="M54" s="51" t="s">
        <v>32</v>
      </c>
      <c r="N54" s="52" t="s">
        <v>32</v>
      </c>
      <c r="O54" s="160">
        <v>4</v>
      </c>
      <c r="P54" s="51" t="s">
        <v>32</v>
      </c>
      <c r="Q54" s="52" t="s">
        <v>32</v>
      </c>
      <c r="R54" s="50" t="s">
        <v>32</v>
      </c>
      <c r="S54" s="53" t="s">
        <v>32</v>
      </c>
      <c r="T54" s="49" t="s">
        <v>32</v>
      </c>
      <c r="U54" s="50" t="s">
        <v>32</v>
      </c>
      <c r="V54" s="51" t="s">
        <v>32</v>
      </c>
      <c r="W54" s="52" t="s">
        <v>32</v>
      </c>
      <c r="X54" s="50" t="s">
        <v>32</v>
      </c>
      <c r="Y54" s="163">
        <v>2</v>
      </c>
      <c r="Z54" s="161">
        <v>9</v>
      </c>
      <c r="AA54" s="50" t="s">
        <v>32</v>
      </c>
      <c r="AB54" s="53" t="s">
        <v>32</v>
      </c>
      <c r="AD54" s="49" t="s">
        <v>32</v>
      </c>
      <c r="AE54" s="50" t="s">
        <v>32</v>
      </c>
      <c r="AF54" s="51" t="s">
        <v>32</v>
      </c>
      <c r="AG54" s="52" t="s">
        <v>32</v>
      </c>
      <c r="AH54" s="50" t="s">
        <v>32</v>
      </c>
      <c r="AI54" s="51" t="s">
        <v>32</v>
      </c>
      <c r="AJ54" s="52" t="s">
        <v>32</v>
      </c>
      <c r="AK54" s="50" t="s">
        <v>32</v>
      </c>
      <c r="AL54" s="53" t="s">
        <v>32</v>
      </c>
      <c r="AM54" s="49" t="s">
        <v>32</v>
      </c>
      <c r="AN54" s="50" t="s">
        <v>32</v>
      </c>
      <c r="AO54" s="163">
        <v>6</v>
      </c>
      <c r="AP54" s="52">
        <v>9</v>
      </c>
      <c r="AQ54" s="50">
        <v>5</v>
      </c>
      <c r="AR54" s="163">
        <v>4</v>
      </c>
      <c r="AS54" s="161">
        <v>2</v>
      </c>
      <c r="AT54" s="50" t="s">
        <v>32</v>
      </c>
      <c r="AU54" s="53" t="s">
        <v>32</v>
      </c>
      <c r="AV54" s="49" t="s">
        <v>32</v>
      </c>
      <c r="AW54" s="50" t="s">
        <v>32</v>
      </c>
      <c r="AX54" s="51" t="s">
        <v>32</v>
      </c>
      <c r="AY54" s="52" t="s">
        <v>32</v>
      </c>
      <c r="AZ54" s="50" t="s">
        <v>32</v>
      </c>
      <c r="BA54" s="51" t="s">
        <v>32</v>
      </c>
      <c r="BB54" s="52" t="s">
        <v>32</v>
      </c>
      <c r="BC54" s="160">
        <v>7</v>
      </c>
      <c r="BD54" s="162">
        <v>1</v>
      </c>
      <c r="BF54" s="159">
        <v>3</v>
      </c>
      <c r="BG54" s="50" t="s">
        <v>32</v>
      </c>
      <c r="BH54" s="51" t="s">
        <v>32</v>
      </c>
      <c r="BI54" s="52" t="s">
        <v>32</v>
      </c>
      <c r="BJ54" s="50" t="s">
        <v>32</v>
      </c>
      <c r="BK54" s="51" t="s">
        <v>32</v>
      </c>
      <c r="BL54" s="52" t="s">
        <v>32</v>
      </c>
      <c r="BM54" s="50" t="s">
        <v>32</v>
      </c>
      <c r="BN54" s="53" t="s">
        <v>32</v>
      </c>
      <c r="BO54" s="49" t="s">
        <v>32</v>
      </c>
      <c r="BP54" s="160">
        <v>6</v>
      </c>
      <c r="BQ54" s="51">
        <v>5</v>
      </c>
      <c r="BR54" s="52">
        <v>7</v>
      </c>
      <c r="BS54" s="50" t="s">
        <v>32</v>
      </c>
      <c r="BT54" s="51">
        <v>4</v>
      </c>
      <c r="BU54" s="52" t="s">
        <v>32</v>
      </c>
      <c r="BV54" s="50" t="s">
        <v>32</v>
      </c>
      <c r="BW54" s="53" t="s">
        <v>32</v>
      </c>
      <c r="BX54" s="49" t="s">
        <v>32</v>
      </c>
      <c r="BY54" s="50" t="s">
        <v>32</v>
      </c>
      <c r="BZ54" s="51" t="s">
        <v>32</v>
      </c>
      <c r="CA54" s="52" t="s">
        <v>32</v>
      </c>
      <c r="CB54" s="50" t="s">
        <v>32</v>
      </c>
      <c r="CC54" s="51" t="s">
        <v>32</v>
      </c>
      <c r="CD54" s="52" t="s">
        <v>32</v>
      </c>
      <c r="CE54" s="50" t="s">
        <v>32</v>
      </c>
      <c r="CF54" s="53" t="s">
        <v>32</v>
      </c>
    </row>
    <row r="55" spans="2:84" ht="15" customHeight="1">
      <c r="B55" s="150">
        <v>2</v>
      </c>
      <c r="C55" s="39">
        <v>7</v>
      </c>
      <c r="D55" s="41" t="s">
        <v>32</v>
      </c>
      <c r="E55" s="40" t="s">
        <v>32</v>
      </c>
      <c r="F55" s="39" t="s">
        <v>32</v>
      </c>
      <c r="G55" s="41" t="s">
        <v>32</v>
      </c>
      <c r="H55" s="40" t="s">
        <v>32</v>
      </c>
      <c r="I55" s="39" t="s">
        <v>32</v>
      </c>
      <c r="J55" s="42" t="s">
        <v>32</v>
      </c>
      <c r="K55" s="43" t="s">
        <v>32</v>
      </c>
      <c r="L55" s="39" t="s">
        <v>32</v>
      </c>
      <c r="M55" s="41">
        <v>5</v>
      </c>
      <c r="N55" s="40">
        <v>3</v>
      </c>
      <c r="O55" s="39">
        <v>9</v>
      </c>
      <c r="P55" s="41">
        <v>1</v>
      </c>
      <c r="Q55" s="40" t="s">
        <v>32</v>
      </c>
      <c r="R55" s="39" t="s">
        <v>32</v>
      </c>
      <c r="S55" s="42" t="s">
        <v>32</v>
      </c>
      <c r="T55" s="43" t="s">
        <v>32</v>
      </c>
      <c r="U55" s="39" t="s">
        <v>32</v>
      </c>
      <c r="V55" s="41" t="s">
        <v>32</v>
      </c>
      <c r="W55" s="40" t="s">
        <v>32</v>
      </c>
      <c r="X55" s="39" t="s">
        <v>32</v>
      </c>
      <c r="Y55" s="41" t="s">
        <v>32</v>
      </c>
      <c r="Z55" s="153">
        <v>4</v>
      </c>
      <c r="AA55" s="39">
        <v>6</v>
      </c>
      <c r="AB55" s="152">
        <v>8</v>
      </c>
      <c r="AD55" s="43">
        <v>4</v>
      </c>
      <c r="AE55" s="39" t="s">
        <v>32</v>
      </c>
      <c r="AF55" s="41" t="s">
        <v>32</v>
      </c>
      <c r="AG55" s="40" t="s">
        <v>32</v>
      </c>
      <c r="AH55" s="39">
        <v>9</v>
      </c>
      <c r="AI55" s="151">
        <v>6</v>
      </c>
      <c r="AJ55" s="40" t="s">
        <v>32</v>
      </c>
      <c r="AK55" s="39" t="s">
        <v>32</v>
      </c>
      <c r="AL55" s="42" t="s">
        <v>32</v>
      </c>
      <c r="AM55" s="43" t="s">
        <v>32</v>
      </c>
      <c r="AN55" s="39">
        <v>7</v>
      </c>
      <c r="AO55" s="151">
        <v>3</v>
      </c>
      <c r="AP55" s="40">
        <v>8</v>
      </c>
      <c r="AQ55" s="39" t="s">
        <v>32</v>
      </c>
      <c r="AR55" s="41" t="s">
        <v>32</v>
      </c>
      <c r="AS55" s="40">
        <v>1</v>
      </c>
      <c r="AT55" s="39" t="s">
        <v>32</v>
      </c>
      <c r="AU55" s="42" t="s">
        <v>32</v>
      </c>
      <c r="AV55" s="43" t="s">
        <v>32</v>
      </c>
      <c r="AW55" s="39" t="s">
        <v>32</v>
      </c>
      <c r="AX55" s="41" t="s">
        <v>32</v>
      </c>
      <c r="AY55" s="40" t="s">
        <v>32</v>
      </c>
      <c r="AZ55" s="39" t="s">
        <v>32</v>
      </c>
      <c r="BA55" s="41" t="s">
        <v>32</v>
      </c>
      <c r="BB55" s="40" t="s">
        <v>32</v>
      </c>
      <c r="BC55" s="39">
        <v>5</v>
      </c>
      <c r="BD55" s="42">
        <v>2</v>
      </c>
      <c r="BF55" s="150">
        <v>9</v>
      </c>
      <c r="BG55" s="39">
        <v>2</v>
      </c>
      <c r="BH55" s="151">
        <v>4</v>
      </c>
      <c r="BI55" s="40">
        <v>6</v>
      </c>
      <c r="BJ55" s="39" t="s">
        <v>32</v>
      </c>
      <c r="BK55" s="41" t="s">
        <v>32</v>
      </c>
      <c r="BL55" s="40" t="s">
        <v>32</v>
      </c>
      <c r="BM55" s="39" t="s">
        <v>32</v>
      </c>
      <c r="BN55" s="42" t="s">
        <v>32</v>
      </c>
      <c r="BO55" s="43" t="s">
        <v>32</v>
      </c>
      <c r="BP55" s="39" t="s">
        <v>32</v>
      </c>
      <c r="BQ55" s="41" t="s">
        <v>32</v>
      </c>
      <c r="BR55" s="40" t="s">
        <v>32</v>
      </c>
      <c r="BS55" s="39" t="s">
        <v>32</v>
      </c>
      <c r="BT55" s="41" t="s">
        <v>32</v>
      </c>
      <c r="BU55" s="40" t="s">
        <v>32</v>
      </c>
      <c r="BV55" s="39" t="s">
        <v>32</v>
      </c>
      <c r="BW55" s="42" t="s">
        <v>32</v>
      </c>
      <c r="BX55" s="43" t="s">
        <v>32</v>
      </c>
      <c r="BY55" s="39" t="s">
        <v>32</v>
      </c>
      <c r="BZ55" s="41" t="s">
        <v>32</v>
      </c>
      <c r="CA55" s="40" t="s">
        <v>32</v>
      </c>
      <c r="CB55" s="39" t="s">
        <v>32</v>
      </c>
      <c r="CC55" s="41" t="s">
        <v>32</v>
      </c>
      <c r="CD55" s="40" t="s">
        <v>32</v>
      </c>
      <c r="CE55" s="39">
        <v>1</v>
      </c>
      <c r="CF55" s="152">
        <v>7</v>
      </c>
    </row>
    <row r="56" spans="2:84" ht="15" customHeight="1" thickBot="1">
      <c r="B56" s="54">
        <v>9</v>
      </c>
      <c r="C56" s="164">
        <v>4</v>
      </c>
      <c r="D56" s="56" t="s">
        <v>32</v>
      </c>
      <c r="E56" s="57" t="s">
        <v>32</v>
      </c>
      <c r="F56" s="55" t="s">
        <v>32</v>
      </c>
      <c r="G56" s="56" t="s">
        <v>32</v>
      </c>
      <c r="H56" s="57" t="s">
        <v>32</v>
      </c>
      <c r="I56" s="55" t="s">
        <v>32</v>
      </c>
      <c r="J56" s="58" t="s">
        <v>32</v>
      </c>
      <c r="K56" s="54" t="s">
        <v>32</v>
      </c>
      <c r="L56" s="55" t="s">
        <v>32</v>
      </c>
      <c r="M56" s="56">
        <v>6</v>
      </c>
      <c r="N56" s="57">
        <v>8</v>
      </c>
      <c r="O56" s="164">
        <v>2</v>
      </c>
      <c r="P56" s="56" t="s">
        <v>32</v>
      </c>
      <c r="Q56" s="57" t="s">
        <v>32</v>
      </c>
      <c r="R56" s="55" t="s">
        <v>32</v>
      </c>
      <c r="S56" s="58" t="s">
        <v>32</v>
      </c>
      <c r="T56" s="54" t="s">
        <v>32</v>
      </c>
      <c r="U56" s="55" t="s">
        <v>32</v>
      </c>
      <c r="V56" s="56" t="s">
        <v>32</v>
      </c>
      <c r="W56" s="57" t="s">
        <v>32</v>
      </c>
      <c r="X56" s="55" t="s">
        <v>32</v>
      </c>
      <c r="Y56" s="56">
        <v>3</v>
      </c>
      <c r="Z56" s="57">
        <v>1</v>
      </c>
      <c r="AA56" s="164">
        <v>5</v>
      </c>
      <c r="AB56" s="58">
        <v>7</v>
      </c>
      <c r="AD56" s="54">
        <v>7</v>
      </c>
      <c r="AE56" s="55">
        <v>5</v>
      </c>
      <c r="AF56" s="165">
        <v>8</v>
      </c>
      <c r="AG56" s="57">
        <v>1</v>
      </c>
      <c r="AH56" s="55">
        <v>3</v>
      </c>
      <c r="AI56" s="165">
        <v>2</v>
      </c>
      <c r="AJ56" s="57" t="s">
        <v>32</v>
      </c>
      <c r="AK56" s="55" t="s">
        <v>32</v>
      </c>
      <c r="AL56" s="58" t="s">
        <v>32</v>
      </c>
      <c r="AM56" s="54" t="s">
        <v>32</v>
      </c>
      <c r="AN56" s="55" t="s">
        <v>32</v>
      </c>
      <c r="AO56" s="56" t="s">
        <v>32</v>
      </c>
      <c r="AP56" s="57" t="s">
        <v>32</v>
      </c>
      <c r="AQ56" s="55" t="s">
        <v>32</v>
      </c>
      <c r="AR56" s="56" t="s">
        <v>32</v>
      </c>
      <c r="AS56" s="57" t="s">
        <v>32</v>
      </c>
      <c r="AT56" s="55" t="s">
        <v>32</v>
      </c>
      <c r="AU56" s="58" t="s">
        <v>32</v>
      </c>
      <c r="AV56" s="54" t="s">
        <v>32</v>
      </c>
      <c r="AW56" s="55" t="s">
        <v>32</v>
      </c>
      <c r="AX56" s="56" t="s">
        <v>32</v>
      </c>
      <c r="AY56" s="57" t="s">
        <v>32</v>
      </c>
      <c r="AZ56" s="55" t="s">
        <v>32</v>
      </c>
      <c r="BA56" s="56" t="s">
        <v>32</v>
      </c>
      <c r="BB56" s="57">
        <v>9</v>
      </c>
      <c r="BC56" s="55">
        <v>6</v>
      </c>
      <c r="BD56" s="58">
        <v>4</v>
      </c>
      <c r="BF56" s="54">
        <v>1</v>
      </c>
      <c r="BG56" s="55">
        <v>7</v>
      </c>
      <c r="BH56" s="56" t="s">
        <v>32</v>
      </c>
      <c r="BI56" s="57" t="s">
        <v>32</v>
      </c>
      <c r="BJ56" s="55" t="s">
        <v>32</v>
      </c>
      <c r="BK56" s="56" t="s">
        <v>32</v>
      </c>
      <c r="BL56" s="57" t="s">
        <v>32</v>
      </c>
      <c r="BM56" s="55" t="s">
        <v>32</v>
      </c>
      <c r="BN56" s="58" t="s">
        <v>32</v>
      </c>
      <c r="BO56" s="54" t="s">
        <v>32</v>
      </c>
      <c r="BP56" s="55" t="s">
        <v>32</v>
      </c>
      <c r="BQ56" s="56" t="s">
        <v>32</v>
      </c>
      <c r="BR56" s="57" t="s">
        <v>32</v>
      </c>
      <c r="BS56" s="55" t="s">
        <v>32</v>
      </c>
      <c r="BT56" s="56" t="s">
        <v>32</v>
      </c>
      <c r="BU56" s="57" t="s">
        <v>32</v>
      </c>
      <c r="BV56" s="55" t="s">
        <v>32</v>
      </c>
      <c r="BW56" s="58" t="s">
        <v>32</v>
      </c>
      <c r="BX56" s="54" t="s">
        <v>32</v>
      </c>
      <c r="BY56" s="55" t="s">
        <v>32</v>
      </c>
      <c r="BZ56" s="56">
        <v>6</v>
      </c>
      <c r="CA56" s="166">
        <v>9</v>
      </c>
      <c r="CB56" s="55">
        <v>8</v>
      </c>
      <c r="CC56" s="56">
        <v>3</v>
      </c>
      <c r="CD56" s="57">
        <v>4</v>
      </c>
      <c r="CE56" s="55">
        <v>5</v>
      </c>
      <c r="CF56" s="58">
        <v>2</v>
      </c>
    </row>
    <row r="58" spans="2:84" ht="15" customHeight="1" thickBot="1">
      <c r="B58" s="33" t="s">
        <v>18</v>
      </c>
      <c r="BF58" s="33" t="s">
        <v>63</v>
      </c>
    </row>
    <row r="59" spans="2:84" ht="15" customHeight="1">
      <c r="B59" s="170">
        <v>0</v>
      </c>
      <c r="C59" s="171">
        <v>0</v>
      </c>
      <c r="D59" s="172" t="s">
        <v>32</v>
      </c>
      <c r="E59" s="173" t="s">
        <v>32</v>
      </c>
      <c r="F59" s="171" t="s">
        <v>32</v>
      </c>
      <c r="G59" s="172" t="s">
        <v>32</v>
      </c>
      <c r="H59" s="173" t="s">
        <v>32</v>
      </c>
      <c r="I59" s="171" t="s">
        <v>32</v>
      </c>
      <c r="J59" s="174" t="s">
        <v>32</v>
      </c>
      <c r="K59" s="170" t="s">
        <v>32</v>
      </c>
      <c r="L59" s="171" t="s">
        <v>32</v>
      </c>
      <c r="M59" s="172">
        <v>0</v>
      </c>
      <c r="N59" s="173">
        <v>0</v>
      </c>
      <c r="O59" s="171">
        <v>0</v>
      </c>
      <c r="P59" s="172">
        <v>0</v>
      </c>
      <c r="Q59" s="173">
        <v>0</v>
      </c>
      <c r="R59" s="171" t="s">
        <v>32</v>
      </c>
      <c r="S59" s="174" t="s">
        <v>32</v>
      </c>
      <c r="T59" s="170" t="s">
        <v>32</v>
      </c>
      <c r="U59" s="171" t="s">
        <v>32</v>
      </c>
      <c r="V59" s="172" t="s">
        <v>32</v>
      </c>
      <c r="W59" s="173" t="s">
        <v>32</v>
      </c>
      <c r="X59" s="171" t="s">
        <v>32</v>
      </c>
      <c r="Y59" s="172" t="s">
        <v>32</v>
      </c>
      <c r="Z59" s="173" t="s">
        <v>32</v>
      </c>
      <c r="AA59" s="171">
        <v>0</v>
      </c>
      <c r="AB59" s="174">
        <v>0</v>
      </c>
      <c r="BF59" s="2">
        <v>0</v>
      </c>
      <c r="BG59" s="5">
        <v>0</v>
      </c>
      <c r="BH59" s="3" t="s">
        <v>32</v>
      </c>
      <c r="BI59" s="4" t="s">
        <v>32</v>
      </c>
      <c r="BJ59" s="5" t="s">
        <v>32</v>
      </c>
      <c r="BK59" s="3" t="s">
        <v>32</v>
      </c>
      <c r="BL59" s="4" t="s">
        <v>32</v>
      </c>
      <c r="BM59" s="5" t="s">
        <v>32</v>
      </c>
      <c r="BN59" s="6" t="s">
        <v>32</v>
      </c>
      <c r="BO59" s="2" t="s">
        <v>32</v>
      </c>
      <c r="BP59" s="5" t="s">
        <v>32</v>
      </c>
      <c r="BQ59" s="3">
        <v>0</v>
      </c>
      <c r="BR59" s="4">
        <v>0</v>
      </c>
      <c r="BS59" s="5">
        <v>0</v>
      </c>
      <c r="BT59" s="3">
        <v>0</v>
      </c>
      <c r="BU59" s="4">
        <v>0</v>
      </c>
      <c r="BV59" s="5" t="s">
        <v>32</v>
      </c>
      <c r="BW59" s="6" t="s">
        <v>32</v>
      </c>
      <c r="BX59" s="2" t="s">
        <v>32</v>
      </c>
      <c r="BY59" s="5" t="s">
        <v>32</v>
      </c>
      <c r="BZ59" s="3" t="s">
        <v>32</v>
      </c>
      <c r="CA59" s="4" t="s">
        <v>32</v>
      </c>
      <c r="CB59" s="5" t="s">
        <v>32</v>
      </c>
      <c r="CC59" s="3" t="s">
        <v>32</v>
      </c>
      <c r="CD59" s="4" t="s">
        <v>32</v>
      </c>
      <c r="CE59" s="5">
        <v>0</v>
      </c>
      <c r="CF59" s="6">
        <v>0</v>
      </c>
    </row>
    <row r="60" spans="2:84" ht="15" customHeight="1">
      <c r="B60" s="175">
        <v>0</v>
      </c>
      <c r="C60" s="176">
        <v>5</v>
      </c>
      <c r="D60" s="177">
        <v>9</v>
      </c>
      <c r="E60" s="178" t="s">
        <v>32</v>
      </c>
      <c r="F60" s="179" t="s">
        <v>32</v>
      </c>
      <c r="G60" s="180" t="s">
        <v>32</v>
      </c>
      <c r="H60" s="178" t="s">
        <v>32</v>
      </c>
      <c r="I60" s="179" t="s">
        <v>32</v>
      </c>
      <c r="J60" s="181" t="s">
        <v>32</v>
      </c>
      <c r="K60" s="175" t="s">
        <v>32</v>
      </c>
      <c r="L60" s="179" t="s">
        <v>32</v>
      </c>
      <c r="M60" s="180" t="s">
        <v>32</v>
      </c>
      <c r="N60" s="182">
        <v>7</v>
      </c>
      <c r="O60" s="179">
        <v>0</v>
      </c>
      <c r="P60" s="177">
        <v>1</v>
      </c>
      <c r="Q60" s="178" t="s">
        <v>32</v>
      </c>
      <c r="R60" s="179" t="s">
        <v>32</v>
      </c>
      <c r="S60" s="181" t="s">
        <v>32</v>
      </c>
      <c r="T60" s="175" t="s">
        <v>32</v>
      </c>
      <c r="U60" s="179" t="s">
        <v>32</v>
      </c>
      <c r="V60" s="180" t="s">
        <v>32</v>
      </c>
      <c r="W60" s="178" t="s">
        <v>32</v>
      </c>
      <c r="X60" s="179" t="s">
        <v>32</v>
      </c>
      <c r="Y60" s="180" t="s">
        <v>32</v>
      </c>
      <c r="Z60" s="182">
        <v>3</v>
      </c>
      <c r="AA60" s="176">
        <v>4</v>
      </c>
      <c r="AB60" s="181">
        <v>0</v>
      </c>
      <c r="BF60" s="11">
        <v>0</v>
      </c>
      <c r="BG60" s="204">
        <v>5</v>
      </c>
      <c r="BH60" s="205">
        <v>9</v>
      </c>
      <c r="BI60" s="8" t="s">
        <v>32</v>
      </c>
      <c r="BJ60" s="7" t="s">
        <v>32</v>
      </c>
      <c r="BK60" s="9" t="s">
        <v>32</v>
      </c>
      <c r="BL60" s="8" t="s">
        <v>32</v>
      </c>
      <c r="BM60" s="7" t="s">
        <v>32</v>
      </c>
      <c r="BN60" s="10" t="s">
        <v>32</v>
      </c>
      <c r="BO60" s="11" t="s">
        <v>32</v>
      </c>
      <c r="BP60" s="7" t="s">
        <v>32</v>
      </c>
      <c r="BQ60" s="9" t="s">
        <v>32</v>
      </c>
      <c r="BR60" s="206">
        <v>7</v>
      </c>
      <c r="BS60" s="7">
        <v>0</v>
      </c>
      <c r="BT60" s="205">
        <v>1</v>
      </c>
      <c r="BU60" s="8" t="s">
        <v>32</v>
      </c>
      <c r="BV60" s="7" t="s">
        <v>32</v>
      </c>
      <c r="BW60" s="10" t="s">
        <v>32</v>
      </c>
      <c r="BX60" s="11" t="s">
        <v>32</v>
      </c>
      <c r="BY60" s="7" t="s">
        <v>32</v>
      </c>
      <c r="BZ60" s="9" t="s">
        <v>32</v>
      </c>
      <c r="CA60" s="8" t="s">
        <v>32</v>
      </c>
      <c r="CB60" s="7" t="s">
        <v>32</v>
      </c>
      <c r="CC60" s="9" t="s">
        <v>32</v>
      </c>
      <c r="CD60" s="206">
        <v>3</v>
      </c>
      <c r="CE60" s="204">
        <v>4</v>
      </c>
      <c r="CF60" s="10">
        <v>0</v>
      </c>
    </row>
    <row r="61" spans="2:84" ht="15" customHeight="1">
      <c r="B61" s="183" t="s">
        <v>32</v>
      </c>
      <c r="C61" s="184">
        <v>0</v>
      </c>
      <c r="D61" s="185">
        <v>0</v>
      </c>
      <c r="E61" s="186">
        <v>2</v>
      </c>
      <c r="F61" s="184" t="s">
        <v>32</v>
      </c>
      <c r="G61" s="185" t="s">
        <v>32</v>
      </c>
      <c r="H61" s="187" t="s">
        <v>32</v>
      </c>
      <c r="I61" s="184" t="s">
        <v>32</v>
      </c>
      <c r="J61" s="188" t="s">
        <v>32</v>
      </c>
      <c r="K61" s="183" t="s">
        <v>32</v>
      </c>
      <c r="L61" s="184" t="s">
        <v>32</v>
      </c>
      <c r="M61" s="185" t="s">
        <v>32</v>
      </c>
      <c r="N61" s="187" t="s">
        <v>32</v>
      </c>
      <c r="O61" s="184">
        <v>0</v>
      </c>
      <c r="P61" s="185" t="s">
        <v>32</v>
      </c>
      <c r="Q61" s="187" t="s">
        <v>32</v>
      </c>
      <c r="R61" s="184" t="s">
        <v>32</v>
      </c>
      <c r="S61" s="188" t="s">
        <v>32</v>
      </c>
      <c r="T61" s="183" t="s">
        <v>32</v>
      </c>
      <c r="U61" s="184" t="s">
        <v>32</v>
      </c>
      <c r="V61" s="185" t="s">
        <v>32</v>
      </c>
      <c r="W61" s="187" t="s">
        <v>32</v>
      </c>
      <c r="X61" s="184" t="s">
        <v>32</v>
      </c>
      <c r="Y61" s="189">
        <v>5</v>
      </c>
      <c r="Z61" s="187">
        <v>0</v>
      </c>
      <c r="AA61" s="184">
        <v>0</v>
      </c>
      <c r="AB61" s="188" t="s">
        <v>32</v>
      </c>
      <c r="BF61" s="12" t="s">
        <v>32</v>
      </c>
      <c r="BG61" s="13">
        <v>0</v>
      </c>
      <c r="BH61" s="15">
        <v>0</v>
      </c>
      <c r="BI61" s="207">
        <v>2</v>
      </c>
      <c r="BJ61" s="13" t="s">
        <v>32</v>
      </c>
      <c r="BK61" s="15" t="s">
        <v>32</v>
      </c>
      <c r="BL61" s="14" t="s">
        <v>32</v>
      </c>
      <c r="BM61" s="13" t="s">
        <v>32</v>
      </c>
      <c r="BN61" s="1" t="s">
        <v>32</v>
      </c>
      <c r="BO61" s="12" t="s">
        <v>32</v>
      </c>
      <c r="BP61" s="13" t="s">
        <v>32</v>
      </c>
      <c r="BQ61" s="15" t="s">
        <v>32</v>
      </c>
      <c r="BR61" s="14" t="s">
        <v>32</v>
      </c>
      <c r="BS61" s="13">
        <v>0</v>
      </c>
      <c r="BT61" s="15" t="s">
        <v>32</v>
      </c>
      <c r="BU61" s="14" t="s">
        <v>32</v>
      </c>
      <c r="BV61" s="13" t="s">
        <v>32</v>
      </c>
      <c r="BW61" s="1" t="s">
        <v>32</v>
      </c>
      <c r="BX61" s="12" t="s">
        <v>32</v>
      </c>
      <c r="BY61" s="13" t="s">
        <v>32</v>
      </c>
      <c r="BZ61" s="15" t="s">
        <v>32</v>
      </c>
      <c r="CA61" s="14" t="s">
        <v>32</v>
      </c>
      <c r="CB61" s="13" t="s">
        <v>32</v>
      </c>
      <c r="CC61" s="208">
        <v>5</v>
      </c>
      <c r="CD61" s="14">
        <v>0</v>
      </c>
      <c r="CE61" s="13">
        <v>0</v>
      </c>
      <c r="CF61" s="1" t="s">
        <v>32</v>
      </c>
    </row>
    <row r="62" spans="2:84" ht="15" customHeight="1">
      <c r="B62" s="190" t="s">
        <v>32</v>
      </c>
      <c r="C62" s="191" t="s">
        <v>32</v>
      </c>
      <c r="D62" s="192">
        <v>7</v>
      </c>
      <c r="E62" s="193" t="s">
        <v>32</v>
      </c>
      <c r="F62" s="191" t="s">
        <v>32</v>
      </c>
      <c r="G62" s="194" t="s">
        <v>32</v>
      </c>
      <c r="H62" s="193" t="s">
        <v>32</v>
      </c>
      <c r="I62" s="191" t="s">
        <v>32</v>
      </c>
      <c r="J62" s="195" t="s">
        <v>32</v>
      </c>
      <c r="K62" s="190" t="s">
        <v>32</v>
      </c>
      <c r="L62" s="191" t="s">
        <v>32</v>
      </c>
      <c r="M62" s="194" t="s">
        <v>32</v>
      </c>
      <c r="N62" s="193" t="s">
        <v>32</v>
      </c>
      <c r="O62" s="191" t="s">
        <v>32</v>
      </c>
      <c r="P62" s="194" t="s">
        <v>32</v>
      </c>
      <c r="Q62" s="193" t="s">
        <v>32</v>
      </c>
      <c r="R62" s="191" t="s">
        <v>32</v>
      </c>
      <c r="S62" s="195" t="s">
        <v>32</v>
      </c>
      <c r="T62" s="190" t="s">
        <v>32</v>
      </c>
      <c r="U62" s="191" t="s">
        <v>32</v>
      </c>
      <c r="V62" s="194" t="s">
        <v>32</v>
      </c>
      <c r="W62" s="193" t="s">
        <v>32</v>
      </c>
      <c r="X62" s="191" t="s">
        <v>32</v>
      </c>
      <c r="Y62" s="194" t="s">
        <v>32</v>
      </c>
      <c r="Z62" s="196">
        <v>1</v>
      </c>
      <c r="AA62" s="191" t="s">
        <v>32</v>
      </c>
      <c r="AB62" s="195" t="s">
        <v>32</v>
      </c>
      <c r="BF62" s="16" t="s">
        <v>32</v>
      </c>
      <c r="BG62" s="17" t="s">
        <v>32</v>
      </c>
      <c r="BH62" s="209">
        <v>7</v>
      </c>
      <c r="BI62" s="19" t="s">
        <v>32</v>
      </c>
      <c r="BJ62" s="17" t="s">
        <v>32</v>
      </c>
      <c r="BK62" s="18" t="s">
        <v>32</v>
      </c>
      <c r="BL62" s="19" t="s">
        <v>32</v>
      </c>
      <c r="BM62" s="17" t="s">
        <v>32</v>
      </c>
      <c r="BN62" s="20" t="s">
        <v>32</v>
      </c>
      <c r="BO62" s="16" t="s">
        <v>32</v>
      </c>
      <c r="BP62" s="17" t="s">
        <v>32</v>
      </c>
      <c r="BQ62" s="18" t="s">
        <v>32</v>
      </c>
      <c r="BR62" s="19" t="s">
        <v>32</v>
      </c>
      <c r="BS62" s="17" t="s">
        <v>32</v>
      </c>
      <c r="BT62" s="18" t="s">
        <v>32</v>
      </c>
      <c r="BU62" s="19" t="s">
        <v>32</v>
      </c>
      <c r="BV62" s="17" t="s">
        <v>32</v>
      </c>
      <c r="BW62" s="20" t="s">
        <v>32</v>
      </c>
      <c r="BX62" s="16" t="s">
        <v>32</v>
      </c>
      <c r="BY62" s="17" t="s">
        <v>32</v>
      </c>
      <c r="BZ62" s="18" t="s">
        <v>32</v>
      </c>
      <c r="CA62" s="19" t="s">
        <v>32</v>
      </c>
      <c r="CB62" s="17" t="s">
        <v>32</v>
      </c>
      <c r="CC62" s="18" t="s">
        <v>32</v>
      </c>
      <c r="CD62" s="210">
        <v>1</v>
      </c>
      <c r="CE62" s="17" t="s">
        <v>32</v>
      </c>
      <c r="CF62" s="20" t="s">
        <v>32</v>
      </c>
    </row>
    <row r="63" spans="2:84" ht="15" customHeight="1">
      <c r="B63" s="175" t="s">
        <v>32</v>
      </c>
      <c r="C63" s="179" t="s">
        <v>32</v>
      </c>
      <c r="D63" s="180" t="s">
        <v>32</v>
      </c>
      <c r="E63" s="178" t="s">
        <v>32</v>
      </c>
      <c r="F63" s="179" t="s">
        <v>32</v>
      </c>
      <c r="G63" s="180" t="s">
        <v>32</v>
      </c>
      <c r="H63" s="178" t="s">
        <v>32</v>
      </c>
      <c r="I63" s="179" t="s">
        <v>32</v>
      </c>
      <c r="J63" s="181" t="s">
        <v>32</v>
      </c>
      <c r="K63" s="175" t="s">
        <v>32</v>
      </c>
      <c r="L63" s="179" t="s">
        <v>32</v>
      </c>
      <c r="M63" s="180" t="s">
        <v>32</v>
      </c>
      <c r="N63" s="178" t="s">
        <v>32</v>
      </c>
      <c r="O63" s="179" t="s">
        <v>32</v>
      </c>
      <c r="P63" s="180" t="s">
        <v>32</v>
      </c>
      <c r="Q63" s="178" t="s">
        <v>32</v>
      </c>
      <c r="R63" s="179" t="s">
        <v>32</v>
      </c>
      <c r="S63" s="181" t="s">
        <v>32</v>
      </c>
      <c r="T63" s="175" t="s">
        <v>32</v>
      </c>
      <c r="U63" s="179" t="s">
        <v>32</v>
      </c>
      <c r="V63" s="180" t="s">
        <v>32</v>
      </c>
      <c r="W63" s="178" t="s">
        <v>32</v>
      </c>
      <c r="X63" s="179" t="s">
        <v>32</v>
      </c>
      <c r="Y63" s="180" t="s">
        <v>32</v>
      </c>
      <c r="Z63" s="178" t="s">
        <v>32</v>
      </c>
      <c r="AA63" s="179" t="s">
        <v>32</v>
      </c>
      <c r="AB63" s="181" t="s">
        <v>32</v>
      </c>
      <c r="BF63" s="11" t="s">
        <v>32</v>
      </c>
      <c r="BG63" s="7" t="s">
        <v>32</v>
      </c>
      <c r="BH63" s="9" t="s">
        <v>32</v>
      </c>
      <c r="BI63" s="8" t="s">
        <v>32</v>
      </c>
      <c r="BJ63" s="7" t="s">
        <v>32</v>
      </c>
      <c r="BK63" s="9" t="s">
        <v>32</v>
      </c>
      <c r="BL63" s="8" t="s">
        <v>32</v>
      </c>
      <c r="BM63" s="7" t="s">
        <v>32</v>
      </c>
      <c r="BN63" s="10" t="s">
        <v>32</v>
      </c>
      <c r="BO63" s="11" t="s">
        <v>32</v>
      </c>
      <c r="BP63" s="7" t="s">
        <v>32</v>
      </c>
      <c r="BQ63" s="9" t="s">
        <v>32</v>
      </c>
      <c r="BR63" s="8" t="s">
        <v>32</v>
      </c>
      <c r="BS63" s="7" t="s">
        <v>32</v>
      </c>
      <c r="BT63" s="9" t="s">
        <v>32</v>
      </c>
      <c r="BU63" s="8" t="s">
        <v>32</v>
      </c>
      <c r="BV63" s="7" t="s">
        <v>32</v>
      </c>
      <c r="BW63" s="10" t="s">
        <v>32</v>
      </c>
      <c r="BX63" s="11" t="s">
        <v>32</v>
      </c>
      <c r="BY63" s="7" t="s">
        <v>32</v>
      </c>
      <c r="BZ63" s="9" t="s">
        <v>32</v>
      </c>
      <c r="CA63" s="8" t="s">
        <v>32</v>
      </c>
      <c r="CB63" s="7" t="s">
        <v>32</v>
      </c>
      <c r="CC63" s="9" t="s">
        <v>32</v>
      </c>
      <c r="CD63" s="8" t="s">
        <v>32</v>
      </c>
      <c r="CE63" s="7" t="s">
        <v>32</v>
      </c>
      <c r="CF63" s="10" t="s">
        <v>32</v>
      </c>
    </row>
    <row r="64" spans="2:84" ht="15" customHeight="1">
      <c r="B64" s="183" t="s">
        <v>32</v>
      </c>
      <c r="C64" s="184" t="s">
        <v>32</v>
      </c>
      <c r="D64" s="185" t="s">
        <v>32</v>
      </c>
      <c r="E64" s="187" t="s">
        <v>32</v>
      </c>
      <c r="F64" s="184" t="s">
        <v>32</v>
      </c>
      <c r="G64" s="185" t="s">
        <v>32</v>
      </c>
      <c r="H64" s="187" t="s">
        <v>32</v>
      </c>
      <c r="I64" s="184" t="s">
        <v>32</v>
      </c>
      <c r="J64" s="188" t="s">
        <v>32</v>
      </c>
      <c r="K64" s="183" t="s">
        <v>32</v>
      </c>
      <c r="L64" s="184" t="s">
        <v>32</v>
      </c>
      <c r="M64" s="185" t="s">
        <v>32</v>
      </c>
      <c r="N64" s="187" t="s">
        <v>32</v>
      </c>
      <c r="O64" s="184" t="s">
        <v>32</v>
      </c>
      <c r="P64" s="185" t="s">
        <v>32</v>
      </c>
      <c r="Q64" s="187" t="s">
        <v>32</v>
      </c>
      <c r="R64" s="184" t="s">
        <v>32</v>
      </c>
      <c r="S64" s="188" t="s">
        <v>32</v>
      </c>
      <c r="T64" s="183" t="s">
        <v>32</v>
      </c>
      <c r="U64" s="184" t="s">
        <v>32</v>
      </c>
      <c r="V64" s="185" t="s">
        <v>32</v>
      </c>
      <c r="W64" s="187" t="s">
        <v>32</v>
      </c>
      <c r="X64" s="184" t="s">
        <v>32</v>
      </c>
      <c r="Y64" s="185" t="s">
        <v>32</v>
      </c>
      <c r="Z64" s="187" t="s">
        <v>32</v>
      </c>
      <c r="AA64" s="184" t="s">
        <v>32</v>
      </c>
      <c r="AB64" s="188" t="s">
        <v>32</v>
      </c>
      <c r="BF64" s="12" t="s">
        <v>32</v>
      </c>
      <c r="BG64" s="13" t="s">
        <v>32</v>
      </c>
      <c r="BH64" s="15" t="s">
        <v>32</v>
      </c>
      <c r="BI64" s="14" t="s">
        <v>32</v>
      </c>
      <c r="BJ64" s="13" t="s">
        <v>32</v>
      </c>
      <c r="BK64" s="15" t="s">
        <v>32</v>
      </c>
      <c r="BL64" s="14" t="s">
        <v>32</v>
      </c>
      <c r="BM64" s="13" t="s">
        <v>32</v>
      </c>
      <c r="BN64" s="1" t="s">
        <v>32</v>
      </c>
      <c r="BO64" s="12" t="s">
        <v>32</v>
      </c>
      <c r="BP64" s="13" t="s">
        <v>32</v>
      </c>
      <c r="BQ64" s="15" t="s">
        <v>32</v>
      </c>
      <c r="BR64" s="14" t="s">
        <v>32</v>
      </c>
      <c r="BS64" s="13" t="s">
        <v>32</v>
      </c>
      <c r="BT64" s="15" t="s">
        <v>32</v>
      </c>
      <c r="BU64" s="14" t="s">
        <v>32</v>
      </c>
      <c r="BV64" s="13" t="s">
        <v>32</v>
      </c>
      <c r="BW64" s="1" t="s">
        <v>32</v>
      </c>
      <c r="BX64" s="12" t="s">
        <v>32</v>
      </c>
      <c r="BY64" s="13" t="s">
        <v>32</v>
      </c>
      <c r="BZ64" s="15" t="s">
        <v>32</v>
      </c>
      <c r="CA64" s="14" t="s">
        <v>32</v>
      </c>
      <c r="CB64" s="13" t="s">
        <v>32</v>
      </c>
      <c r="CC64" s="15" t="s">
        <v>32</v>
      </c>
      <c r="CD64" s="14" t="s">
        <v>32</v>
      </c>
      <c r="CE64" s="13" t="s">
        <v>32</v>
      </c>
      <c r="CF64" s="1" t="s">
        <v>32</v>
      </c>
    </row>
    <row r="65" spans="2:84" ht="15" customHeight="1">
      <c r="B65" s="190" t="s">
        <v>32</v>
      </c>
      <c r="C65" s="191" t="s">
        <v>32</v>
      </c>
      <c r="D65" s="194" t="s">
        <v>32</v>
      </c>
      <c r="E65" s="193" t="s">
        <v>32</v>
      </c>
      <c r="F65" s="191" t="s">
        <v>32</v>
      </c>
      <c r="G65" s="194" t="s">
        <v>32</v>
      </c>
      <c r="H65" s="193" t="s">
        <v>32</v>
      </c>
      <c r="I65" s="191" t="s">
        <v>32</v>
      </c>
      <c r="J65" s="195" t="s">
        <v>32</v>
      </c>
      <c r="K65" s="190" t="s">
        <v>32</v>
      </c>
      <c r="L65" s="191" t="s">
        <v>32</v>
      </c>
      <c r="M65" s="194" t="s">
        <v>32</v>
      </c>
      <c r="N65" s="193" t="s">
        <v>32</v>
      </c>
      <c r="O65" s="191" t="s">
        <v>32</v>
      </c>
      <c r="P65" s="194" t="s">
        <v>32</v>
      </c>
      <c r="Q65" s="193" t="s">
        <v>32</v>
      </c>
      <c r="R65" s="191" t="s">
        <v>32</v>
      </c>
      <c r="S65" s="195" t="s">
        <v>32</v>
      </c>
      <c r="T65" s="190" t="s">
        <v>32</v>
      </c>
      <c r="U65" s="191" t="s">
        <v>32</v>
      </c>
      <c r="V65" s="194" t="s">
        <v>32</v>
      </c>
      <c r="W65" s="193" t="s">
        <v>32</v>
      </c>
      <c r="X65" s="191" t="s">
        <v>32</v>
      </c>
      <c r="Y65" s="194" t="s">
        <v>32</v>
      </c>
      <c r="Z65" s="193" t="s">
        <v>32</v>
      </c>
      <c r="AA65" s="191" t="s">
        <v>32</v>
      </c>
      <c r="AB65" s="195" t="s">
        <v>32</v>
      </c>
      <c r="BF65" s="16" t="s">
        <v>32</v>
      </c>
      <c r="BG65" s="17" t="s">
        <v>32</v>
      </c>
      <c r="BH65" s="18" t="s">
        <v>32</v>
      </c>
      <c r="BI65" s="19" t="s">
        <v>32</v>
      </c>
      <c r="BJ65" s="17" t="s">
        <v>32</v>
      </c>
      <c r="BK65" s="18" t="s">
        <v>32</v>
      </c>
      <c r="BL65" s="19" t="s">
        <v>32</v>
      </c>
      <c r="BM65" s="17" t="s">
        <v>32</v>
      </c>
      <c r="BN65" s="20" t="s">
        <v>32</v>
      </c>
      <c r="BO65" s="16" t="s">
        <v>32</v>
      </c>
      <c r="BP65" s="17" t="s">
        <v>32</v>
      </c>
      <c r="BQ65" s="18" t="s">
        <v>32</v>
      </c>
      <c r="BR65" s="19" t="s">
        <v>32</v>
      </c>
      <c r="BS65" s="17" t="s">
        <v>32</v>
      </c>
      <c r="BT65" s="18" t="s">
        <v>32</v>
      </c>
      <c r="BU65" s="19" t="s">
        <v>32</v>
      </c>
      <c r="BV65" s="17" t="s">
        <v>32</v>
      </c>
      <c r="BW65" s="20" t="s">
        <v>32</v>
      </c>
      <c r="BX65" s="16" t="s">
        <v>32</v>
      </c>
      <c r="BY65" s="17" t="s">
        <v>32</v>
      </c>
      <c r="BZ65" s="18" t="s">
        <v>32</v>
      </c>
      <c r="CA65" s="19" t="s">
        <v>32</v>
      </c>
      <c r="CB65" s="17" t="s">
        <v>32</v>
      </c>
      <c r="CC65" s="18" t="s">
        <v>32</v>
      </c>
      <c r="CD65" s="19" t="s">
        <v>32</v>
      </c>
      <c r="CE65" s="17" t="s">
        <v>32</v>
      </c>
      <c r="CF65" s="20" t="s">
        <v>32</v>
      </c>
    </row>
    <row r="66" spans="2:84" ht="15" customHeight="1">
      <c r="B66" s="175" t="s">
        <v>32</v>
      </c>
      <c r="C66" s="179" t="s">
        <v>32</v>
      </c>
      <c r="D66" s="180" t="s">
        <v>32</v>
      </c>
      <c r="E66" s="178" t="s">
        <v>32</v>
      </c>
      <c r="F66" s="179" t="s">
        <v>32</v>
      </c>
      <c r="G66" s="180" t="s">
        <v>32</v>
      </c>
      <c r="H66" s="178" t="s">
        <v>32</v>
      </c>
      <c r="I66" s="179" t="s">
        <v>32</v>
      </c>
      <c r="J66" s="181" t="s">
        <v>32</v>
      </c>
      <c r="K66" s="175" t="s">
        <v>32</v>
      </c>
      <c r="L66" s="179" t="s">
        <v>32</v>
      </c>
      <c r="M66" s="180" t="s">
        <v>32</v>
      </c>
      <c r="N66" s="178" t="s">
        <v>32</v>
      </c>
      <c r="O66" s="179" t="s">
        <v>32</v>
      </c>
      <c r="P66" s="180" t="s">
        <v>32</v>
      </c>
      <c r="Q66" s="178" t="s">
        <v>32</v>
      </c>
      <c r="R66" s="179" t="s">
        <v>32</v>
      </c>
      <c r="S66" s="181" t="s">
        <v>32</v>
      </c>
      <c r="T66" s="175" t="s">
        <v>32</v>
      </c>
      <c r="U66" s="179" t="s">
        <v>32</v>
      </c>
      <c r="V66" s="180" t="s">
        <v>32</v>
      </c>
      <c r="W66" s="178" t="s">
        <v>32</v>
      </c>
      <c r="X66" s="179" t="s">
        <v>32</v>
      </c>
      <c r="Y66" s="180" t="s">
        <v>32</v>
      </c>
      <c r="Z66" s="178" t="s">
        <v>32</v>
      </c>
      <c r="AA66" s="179" t="s">
        <v>32</v>
      </c>
      <c r="AB66" s="181" t="s">
        <v>32</v>
      </c>
      <c r="BF66" s="11" t="s">
        <v>32</v>
      </c>
      <c r="BG66" s="7" t="s">
        <v>32</v>
      </c>
      <c r="BH66" s="9" t="s">
        <v>32</v>
      </c>
      <c r="BI66" s="8" t="s">
        <v>32</v>
      </c>
      <c r="BJ66" s="7" t="s">
        <v>32</v>
      </c>
      <c r="BK66" s="9" t="s">
        <v>32</v>
      </c>
      <c r="BL66" s="8" t="s">
        <v>32</v>
      </c>
      <c r="BM66" s="7" t="s">
        <v>32</v>
      </c>
      <c r="BN66" s="10" t="s">
        <v>32</v>
      </c>
      <c r="BO66" s="11" t="s">
        <v>32</v>
      </c>
      <c r="BP66" s="7" t="s">
        <v>32</v>
      </c>
      <c r="BQ66" s="9" t="s">
        <v>32</v>
      </c>
      <c r="BR66" s="8" t="s">
        <v>32</v>
      </c>
      <c r="BS66" s="7" t="s">
        <v>32</v>
      </c>
      <c r="BT66" s="9" t="s">
        <v>32</v>
      </c>
      <c r="BU66" s="8" t="s">
        <v>32</v>
      </c>
      <c r="BV66" s="7" t="s">
        <v>32</v>
      </c>
      <c r="BW66" s="10" t="s">
        <v>32</v>
      </c>
      <c r="BX66" s="11" t="s">
        <v>32</v>
      </c>
      <c r="BY66" s="7" t="s">
        <v>32</v>
      </c>
      <c r="BZ66" s="9" t="s">
        <v>32</v>
      </c>
      <c r="CA66" s="8" t="s">
        <v>32</v>
      </c>
      <c r="CB66" s="7" t="s">
        <v>32</v>
      </c>
      <c r="CC66" s="9" t="s">
        <v>32</v>
      </c>
      <c r="CD66" s="8" t="s">
        <v>32</v>
      </c>
      <c r="CE66" s="7" t="s">
        <v>32</v>
      </c>
      <c r="CF66" s="10" t="s">
        <v>32</v>
      </c>
    </row>
    <row r="67" spans="2:84" ht="15" customHeight="1" thickBot="1">
      <c r="B67" s="197" t="s">
        <v>32</v>
      </c>
      <c r="C67" s="198" t="s">
        <v>32</v>
      </c>
      <c r="D67" s="199" t="s">
        <v>32</v>
      </c>
      <c r="E67" s="200" t="s">
        <v>32</v>
      </c>
      <c r="F67" s="198" t="s">
        <v>32</v>
      </c>
      <c r="G67" s="199" t="s">
        <v>32</v>
      </c>
      <c r="H67" s="200" t="s">
        <v>32</v>
      </c>
      <c r="I67" s="198" t="s">
        <v>32</v>
      </c>
      <c r="J67" s="201" t="s">
        <v>32</v>
      </c>
      <c r="K67" s="197" t="s">
        <v>32</v>
      </c>
      <c r="L67" s="198" t="s">
        <v>32</v>
      </c>
      <c r="M67" s="199" t="s">
        <v>32</v>
      </c>
      <c r="N67" s="200" t="s">
        <v>32</v>
      </c>
      <c r="O67" s="198" t="s">
        <v>32</v>
      </c>
      <c r="P67" s="199" t="s">
        <v>32</v>
      </c>
      <c r="Q67" s="200" t="s">
        <v>32</v>
      </c>
      <c r="R67" s="198" t="s">
        <v>32</v>
      </c>
      <c r="S67" s="201" t="s">
        <v>32</v>
      </c>
      <c r="T67" s="197" t="s">
        <v>32</v>
      </c>
      <c r="U67" s="198" t="s">
        <v>32</v>
      </c>
      <c r="V67" s="199" t="s">
        <v>32</v>
      </c>
      <c r="W67" s="200" t="s">
        <v>32</v>
      </c>
      <c r="X67" s="198" t="s">
        <v>32</v>
      </c>
      <c r="Y67" s="199" t="s">
        <v>32</v>
      </c>
      <c r="Z67" s="200" t="s">
        <v>32</v>
      </c>
      <c r="AA67" s="198" t="s">
        <v>32</v>
      </c>
      <c r="AB67" s="201" t="s">
        <v>32</v>
      </c>
      <c r="BF67" s="21" t="s">
        <v>32</v>
      </c>
      <c r="BG67" s="22" t="s">
        <v>32</v>
      </c>
      <c r="BH67" s="23" t="s">
        <v>32</v>
      </c>
      <c r="BI67" s="24" t="s">
        <v>32</v>
      </c>
      <c r="BJ67" s="22" t="s">
        <v>32</v>
      </c>
      <c r="BK67" s="23" t="s">
        <v>32</v>
      </c>
      <c r="BL67" s="24" t="s">
        <v>32</v>
      </c>
      <c r="BM67" s="22" t="s">
        <v>32</v>
      </c>
      <c r="BN67" s="25" t="s">
        <v>32</v>
      </c>
      <c r="BO67" s="21" t="s">
        <v>32</v>
      </c>
      <c r="BP67" s="22" t="s">
        <v>32</v>
      </c>
      <c r="BQ67" s="23" t="s">
        <v>32</v>
      </c>
      <c r="BR67" s="24" t="s">
        <v>32</v>
      </c>
      <c r="BS67" s="22" t="s">
        <v>32</v>
      </c>
      <c r="BT67" s="23" t="s">
        <v>32</v>
      </c>
      <c r="BU67" s="24" t="s">
        <v>32</v>
      </c>
      <c r="BV67" s="22" t="s">
        <v>32</v>
      </c>
      <c r="BW67" s="25" t="s">
        <v>32</v>
      </c>
      <c r="BX67" s="21" t="s">
        <v>32</v>
      </c>
      <c r="BY67" s="22" t="s">
        <v>32</v>
      </c>
      <c r="BZ67" s="23" t="s">
        <v>32</v>
      </c>
      <c r="CA67" s="24" t="s">
        <v>32</v>
      </c>
      <c r="CB67" s="22" t="s">
        <v>32</v>
      </c>
      <c r="CC67" s="23" t="s">
        <v>32</v>
      </c>
      <c r="CD67" s="24" t="s">
        <v>32</v>
      </c>
      <c r="CE67" s="22" t="s">
        <v>32</v>
      </c>
      <c r="CF67" s="25" t="s">
        <v>32</v>
      </c>
    </row>
    <row r="68" spans="2:84" ht="15" customHeight="1">
      <c r="B68" s="170" t="s">
        <v>32</v>
      </c>
      <c r="C68" s="171" t="s">
        <v>32</v>
      </c>
      <c r="D68" s="172" t="s">
        <v>32</v>
      </c>
      <c r="E68" s="173" t="s">
        <v>32</v>
      </c>
      <c r="F68" s="171" t="s">
        <v>32</v>
      </c>
      <c r="G68" s="172" t="s">
        <v>32</v>
      </c>
      <c r="H68" s="173" t="s">
        <v>32</v>
      </c>
      <c r="I68" s="171" t="s">
        <v>32</v>
      </c>
      <c r="J68" s="174" t="s">
        <v>32</v>
      </c>
      <c r="K68" s="170" t="s">
        <v>32</v>
      </c>
      <c r="L68" s="171" t="s">
        <v>32</v>
      </c>
      <c r="M68" s="172" t="s">
        <v>32</v>
      </c>
      <c r="N68" s="173" t="s">
        <v>32</v>
      </c>
      <c r="O68" s="171" t="s">
        <v>32</v>
      </c>
      <c r="P68" s="172" t="s">
        <v>32</v>
      </c>
      <c r="Q68" s="173" t="s">
        <v>32</v>
      </c>
      <c r="R68" s="171" t="s">
        <v>32</v>
      </c>
      <c r="S68" s="174" t="s">
        <v>32</v>
      </c>
      <c r="T68" s="170" t="s">
        <v>32</v>
      </c>
      <c r="U68" s="171" t="s">
        <v>32</v>
      </c>
      <c r="V68" s="172" t="s">
        <v>32</v>
      </c>
      <c r="W68" s="173" t="s">
        <v>32</v>
      </c>
      <c r="X68" s="171" t="s">
        <v>32</v>
      </c>
      <c r="Y68" s="172" t="s">
        <v>32</v>
      </c>
      <c r="Z68" s="173" t="s">
        <v>32</v>
      </c>
      <c r="AA68" s="171" t="s">
        <v>32</v>
      </c>
      <c r="AB68" s="174" t="s">
        <v>32</v>
      </c>
      <c r="BF68" s="2" t="s">
        <v>32</v>
      </c>
      <c r="BG68" s="5" t="s">
        <v>32</v>
      </c>
      <c r="BH68" s="3" t="s">
        <v>32</v>
      </c>
      <c r="BI68" s="4" t="s">
        <v>32</v>
      </c>
      <c r="BJ68" s="5" t="s">
        <v>32</v>
      </c>
      <c r="BK68" s="3" t="s">
        <v>32</v>
      </c>
      <c r="BL68" s="4" t="s">
        <v>32</v>
      </c>
      <c r="BM68" s="5" t="s">
        <v>32</v>
      </c>
      <c r="BN68" s="6" t="s">
        <v>32</v>
      </c>
      <c r="BO68" s="2" t="s">
        <v>32</v>
      </c>
      <c r="BP68" s="5" t="s">
        <v>32</v>
      </c>
      <c r="BQ68" s="3" t="s">
        <v>32</v>
      </c>
      <c r="BR68" s="4" t="s">
        <v>32</v>
      </c>
      <c r="BS68" s="5" t="s">
        <v>32</v>
      </c>
      <c r="BT68" s="3" t="s">
        <v>32</v>
      </c>
      <c r="BU68" s="4" t="s">
        <v>32</v>
      </c>
      <c r="BV68" s="5" t="s">
        <v>32</v>
      </c>
      <c r="BW68" s="6" t="s">
        <v>32</v>
      </c>
      <c r="BX68" s="2" t="s">
        <v>32</v>
      </c>
      <c r="BY68" s="5" t="s">
        <v>32</v>
      </c>
      <c r="BZ68" s="3" t="s">
        <v>32</v>
      </c>
      <c r="CA68" s="4" t="s">
        <v>32</v>
      </c>
      <c r="CB68" s="5" t="s">
        <v>32</v>
      </c>
      <c r="CC68" s="3" t="s">
        <v>32</v>
      </c>
      <c r="CD68" s="4" t="s">
        <v>32</v>
      </c>
      <c r="CE68" s="5" t="s">
        <v>32</v>
      </c>
      <c r="CF68" s="6" t="s">
        <v>32</v>
      </c>
    </row>
    <row r="69" spans="2:84" ht="15" customHeight="1">
      <c r="B69" s="175" t="s">
        <v>32</v>
      </c>
      <c r="C69" s="179" t="s">
        <v>32</v>
      </c>
      <c r="D69" s="180" t="s">
        <v>32</v>
      </c>
      <c r="E69" s="178" t="s">
        <v>32</v>
      </c>
      <c r="F69" s="179" t="s">
        <v>32</v>
      </c>
      <c r="G69" s="180" t="s">
        <v>32</v>
      </c>
      <c r="H69" s="178" t="s">
        <v>32</v>
      </c>
      <c r="I69" s="179" t="s">
        <v>32</v>
      </c>
      <c r="J69" s="181" t="s">
        <v>32</v>
      </c>
      <c r="K69" s="175" t="s">
        <v>32</v>
      </c>
      <c r="L69" s="179" t="s">
        <v>32</v>
      </c>
      <c r="M69" s="180" t="s">
        <v>32</v>
      </c>
      <c r="N69" s="178" t="s">
        <v>32</v>
      </c>
      <c r="O69" s="179" t="s">
        <v>32</v>
      </c>
      <c r="P69" s="180" t="s">
        <v>32</v>
      </c>
      <c r="Q69" s="178" t="s">
        <v>32</v>
      </c>
      <c r="R69" s="179" t="s">
        <v>32</v>
      </c>
      <c r="S69" s="181" t="s">
        <v>32</v>
      </c>
      <c r="T69" s="175" t="s">
        <v>32</v>
      </c>
      <c r="U69" s="179" t="s">
        <v>32</v>
      </c>
      <c r="V69" s="180" t="s">
        <v>32</v>
      </c>
      <c r="W69" s="178" t="s">
        <v>32</v>
      </c>
      <c r="X69" s="179" t="s">
        <v>32</v>
      </c>
      <c r="Y69" s="180" t="s">
        <v>32</v>
      </c>
      <c r="Z69" s="178" t="s">
        <v>32</v>
      </c>
      <c r="AA69" s="179" t="s">
        <v>32</v>
      </c>
      <c r="AB69" s="181" t="s">
        <v>32</v>
      </c>
      <c r="BF69" s="11" t="s">
        <v>32</v>
      </c>
      <c r="BG69" s="7" t="s">
        <v>32</v>
      </c>
      <c r="BH69" s="9" t="s">
        <v>32</v>
      </c>
      <c r="BI69" s="8" t="s">
        <v>32</v>
      </c>
      <c r="BJ69" s="7" t="s">
        <v>32</v>
      </c>
      <c r="BK69" s="9" t="s">
        <v>32</v>
      </c>
      <c r="BL69" s="8" t="s">
        <v>32</v>
      </c>
      <c r="BM69" s="7" t="s">
        <v>32</v>
      </c>
      <c r="BN69" s="10" t="s">
        <v>32</v>
      </c>
      <c r="BO69" s="11" t="s">
        <v>32</v>
      </c>
      <c r="BP69" s="7" t="s">
        <v>32</v>
      </c>
      <c r="BQ69" s="9" t="s">
        <v>32</v>
      </c>
      <c r="BR69" s="8" t="s">
        <v>32</v>
      </c>
      <c r="BS69" s="7" t="s">
        <v>32</v>
      </c>
      <c r="BT69" s="9" t="s">
        <v>32</v>
      </c>
      <c r="BU69" s="8" t="s">
        <v>32</v>
      </c>
      <c r="BV69" s="7" t="s">
        <v>32</v>
      </c>
      <c r="BW69" s="10" t="s">
        <v>32</v>
      </c>
      <c r="BX69" s="11" t="s">
        <v>32</v>
      </c>
      <c r="BY69" s="7" t="s">
        <v>32</v>
      </c>
      <c r="BZ69" s="9" t="s">
        <v>32</v>
      </c>
      <c r="CA69" s="8" t="s">
        <v>32</v>
      </c>
      <c r="CB69" s="7" t="s">
        <v>32</v>
      </c>
      <c r="CC69" s="9" t="s">
        <v>32</v>
      </c>
      <c r="CD69" s="8" t="s">
        <v>32</v>
      </c>
      <c r="CE69" s="7" t="s">
        <v>32</v>
      </c>
      <c r="CF69" s="10" t="s">
        <v>32</v>
      </c>
    </row>
    <row r="70" spans="2:84" ht="15" customHeight="1">
      <c r="B70" s="183">
        <v>0</v>
      </c>
      <c r="C70" s="184" t="s">
        <v>32</v>
      </c>
      <c r="D70" s="185" t="s">
        <v>32</v>
      </c>
      <c r="E70" s="187" t="s">
        <v>32</v>
      </c>
      <c r="F70" s="184" t="s">
        <v>32</v>
      </c>
      <c r="G70" s="185" t="s">
        <v>32</v>
      </c>
      <c r="H70" s="187" t="s">
        <v>32</v>
      </c>
      <c r="I70" s="184" t="s">
        <v>32</v>
      </c>
      <c r="J70" s="188" t="s">
        <v>32</v>
      </c>
      <c r="K70" s="183" t="s">
        <v>32</v>
      </c>
      <c r="L70" s="184" t="s">
        <v>32</v>
      </c>
      <c r="M70" s="185" t="s">
        <v>32</v>
      </c>
      <c r="N70" s="187" t="s">
        <v>32</v>
      </c>
      <c r="O70" s="184" t="s">
        <v>32</v>
      </c>
      <c r="P70" s="185" t="s">
        <v>32</v>
      </c>
      <c r="Q70" s="187" t="s">
        <v>32</v>
      </c>
      <c r="R70" s="184" t="s">
        <v>32</v>
      </c>
      <c r="S70" s="188" t="s">
        <v>32</v>
      </c>
      <c r="T70" s="183" t="s">
        <v>32</v>
      </c>
      <c r="U70" s="184" t="s">
        <v>32</v>
      </c>
      <c r="V70" s="185" t="s">
        <v>32</v>
      </c>
      <c r="W70" s="187" t="s">
        <v>32</v>
      </c>
      <c r="X70" s="184" t="s">
        <v>32</v>
      </c>
      <c r="Y70" s="185" t="s">
        <v>32</v>
      </c>
      <c r="Z70" s="187" t="s">
        <v>32</v>
      </c>
      <c r="AA70" s="184" t="s">
        <v>32</v>
      </c>
      <c r="AB70" s="188">
        <v>0</v>
      </c>
      <c r="BF70" s="12">
        <v>0</v>
      </c>
      <c r="BG70" s="13" t="s">
        <v>32</v>
      </c>
      <c r="BH70" s="15" t="s">
        <v>32</v>
      </c>
      <c r="BI70" s="14" t="s">
        <v>32</v>
      </c>
      <c r="BJ70" s="13" t="s">
        <v>32</v>
      </c>
      <c r="BK70" s="15" t="s">
        <v>32</v>
      </c>
      <c r="BL70" s="14" t="s">
        <v>32</v>
      </c>
      <c r="BM70" s="13" t="s">
        <v>32</v>
      </c>
      <c r="BN70" s="1" t="s">
        <v>32</v>
      </c>
      <c r="BO70" s="12" t="s">
        <v>32</v>
      </c>
      <c r="BP70" s="13" t="s">
        <v>32</v>
      </c>
      <c r="BQ70" s="15" t="s">
        <v>32</v>
      </c>
      <c r="BR70" s="14" t="s">
        <v>32</v>
      </c>
      <c r="BS70" s="13" t="s">
        <v>32</v>
      </c>
      <c r="BT70" s="15" t="s">
        <v>32</v>
      </c>
      <c r="BU70" s="14" t="s">
        <v>32</v>
      </c>
      <c r="BV70" s="13" t="s">
        <v>32</v>
      </c>
      <c r="BW70" s="1" t="s">
        <v>32</v>
      </c>
      <c r="BX70" s="12" t="s">
        <v>32</v>
      </c>
      <c r="BY70" s="13" t="s">
        <v>32</v>
      </c>
      <c r="BZ70" s="15" t="s">
        <v>32</v>
      </c>
      <c r="CA70" s="14" t="s">
        <v>32</v>
      </c>
      <c r="CB70" s="13" t="s">
        <v>32</v>
      </c>
      <c r="CC70" s="15" t="s">
        <v>32</v>
      </c>
      <c r="CD70" s="14" t="s">
        <v>32</v>
      </c>
      <c r="CE70" s="13" t="s">
        <v>32</v>
      </c>
      <c r="CF70" s="1">
        <v>0</v>
      </c>
    </row>
    <row r="71" spans="2:84" ht="15" customHeight="1">
      <c r="B71" s="190">
        <v>0</v>
      </c>
      <c r="C71" s="202">
        <v>8</v>
      </c>
      <c r="D71" s="194" t="s">
        <v>32</v>
      </c>
      <c r="E71" s="193" t="s">
        <v>32</v>
      </c>
      <c r="F71" s="191" t="s">
        <v>32</v>
      </c>
      <c r="G71" s="194" t="s">
        <v>32</v>
      </c>
      <c r="H71" s="193" t="s">
        <v>32</v>
      </c>
      <c r="I71" s="191" t="s">
        <v>32</v>
      </c>
      <c r="J71" s="195" t="s">
        <v>32</v>
      </c>
      <c r="K71" s="190" t="s">
        <v>32</v>
      </c>
      <c r="L71" s="191" t="s">
        <v>32</v>
      </c>
      <c r="M71" s="194" t="s">
        <v>32</v>
      </c>
      <c r="N71" s="193">
        <v>0</v>
      </c>
      <c r="O71" s="191">
        <v>0</v>
      </c>
      <c r="P71" s="194">
        <v>0</v>
      </c>
      <c r="Q71" s="193" t="s">
        <v>32</v>
      </c>
      <c r="R71" s="191" t="s">
        <v>32</v>
      </c>
      <c r="S71" s="195" t="s">
        <v>32</v>
      </c>
      <c r="T71" s="190" t="s">
        <v>32</v>
      </c>
      <c r="U71" s="191" t="s">
        <v>32</v>
      </c>
      <c r="V71" s="194" t="s">
        <v>32</v>
      </c>
      <c r="W71" s="193" t="s">
        <v>32</v>
      </c>
      <c r="X71" s="191" t="s">
        <v>32</v>
      </c>
      <c r="Y71" s="194" t="s">
        <v>32</v>
      </c>
      <c r="Z71" s="193" t="s">
        <v>32</v>
      </c>
      <c r="AA71" s="202">
        <v>6</v>
      </c>
      <c r="AB71" s="195">
        <v>0</v>
      </c>
      <c r="BF71" s="16">
        <v>0</v>
      </c>
      <c r="BG71" s="211">
        <v>8</v>
      </c>
      <c r="BH71" s="18" t="s">
        <v>32</v>
      </c>
      <c r="BI71" s="19" t="s">
        <v>32</v>
      </c>
      <c r="BJ71" s="17" t="s">
        <v>32</v>
      </c>
      <c r="BK71" s="18" t="s">
        <v>32</v>
      </c>
      <c r="BL71" s="19" t="s">
        <v>32</v>
      </c>
      <c r="BM71" s="17" t="s">
        <v>32</v>
      </c>
      <c r="BN71" s="20" t="s">
        <v>32</v>
      </c>
      <c r="BO71" s="16" t="s">
        <v>32</v>
      </c>
      <c r="BP71" s="17" t="s">
        <v>32</v>
      </c>
      <c r="BQ71" s="18" t="s">
        <v>32</v>
      </c>
      <c r="BR71" s="19">
        <v>0</v>
      </c>
      <c r="BS71" s="17">
        <v>0</v>
      </c>
      <c r="BT71" s="18">
        <v>0</v>
      </c>
      <c r="BU71" s="19" t="s">
        <v>32</v>
      </c>
      <c r="BV71" s="17" t="s">
        <v>32</v>
      </c>
      <c r="BW71" s="20" t="s">
        <v>32</v>
      </c>
      <c r="BX71" s="16" t="s">
        <v>32</v>
      </c>
      <c r="BY71" s="17" t="s">
        <v>32</v>
      </c>
      <c r="BZ71" s="18" t="s">
        <v>32</v>
      </c>
      <c r="CA71" s="19" t="s">
        <v>32</v>
      </c>
      <c r="CB71" s="17" t="s">
        <v>32</v>
      </c>
      <c r="CC71" s="18" t="s">
        <v>32</v>
      </c>
      <c r="CD71" s="19" t="s">
        <v>32</v>
      </c>
      <c r="CE71" s="211">
        <v>6</v>
      </c>
      <c r="CF71" s="20">
        <v>0</v>
      </c>
    </row>
    <row r="72" spans="2:84" ht="15" customHeight="1">
      <c r="B72" s="175">
        <v>0</v>
      </c>
      <c r="C72" s="179">
        <v>0</v>
      </c>
      <c r="D72" s="180">
        <v>0</v>
      </c>
      <c r="E72" s="178" t="s">
        <v>32</v>
      </c>
      <c r="F72" s="179" t="s">
        <v>32</v>
      </c>
      <c r="G72" s="180" t="s">
        <v>32</v>
      </c>
      <c r="H72" s="178" t="s">
        <v>32</v>
      </c>
      <c r="I72" s="179" t="s">
        <v>32</v>
      </c>
      <c r="J72" s="181" t="s">
        <v>32</v>
      </c>
      <c r="K72" s="175" t="s">
        <v>32</v>
      </c>
      <c r="L72" s="179" t="s">
        <v>32</v>
      </c>
      <c r="M72" s="180" t="s">
        <v>32</v>
      </c>
      <c r="N72" s="178">
        <v>0</v>
      </c>
      <c r="O72" s="179">
        <v>0</v>
      </c>
      <c r="P72" s="180">
        <v>0</v>
      </c>
      <c r="Q72" s="178" t="s">
        <v>32</v>
      </c>
      <c r="R72" s="179" t="s">
        <v>32</v>
      </c>
      <c r="S72" s="181" t="s">
        <v>32</v>
      </c>
      <c r="T72" s="175" t="s">
        <v>32</v>
      </c>
      <c r="U72" s="179" t="s">
        <v>32</v>
      </c>
      <c r="V72" s="180" t="s">
        <v>32</v>
      </c>
      <c r="W72" s="178" t="s">
        <v>32</v>
      </c>
      <c r="X72" s="179" t="s">
        <v>32</v>
      </c>
      <c r="Y72" s="180" t="s">
        <v>32</v>
      </c>
      <c r="Z72" s="178">
        <v>0</v>
      </c>
      <c r="AA72" s="179">
        <v>0</v>
      </c>
      <c r="AB72" s="181">
        <v>0</v>
      </c>
      <c r="BF72" s="11">
        <v>0</v>
      </c>
      <c r="BG72" s="7">
        <v>0</v>
      </c>
      <c r="BH72" s="9">
        <v>0</v>
      </c>
      <c r="BI72" s="8" t="s">
        <v>32</v>
      </c>
      <c r="BJ72" s="7" t="s">
        <v>32</v>
      </c>
      <c r="BK72" s="9" t="s">
        <v>32</v>
      </c>
      <c r="BL72" s="8" t="s">
        <v>32</v>
      </c>
      <c r="BM72" s="7" t="s">
        <v>32</v>
      </c>
      <c r="BN72" s="10" t="s">
        <v>32</v>
      </c>
      <c r="BO72" s="11" t="s">
        <v>32</v>
      </c>
      <c r="BP72" s="7" t="s">
        <v>32</v>
      </c>
      <c r="BQ72" s="9" t="s">
        <v>32</v>
      </c>
      <c r="BR72" s="8">
        <v>0</v>
      </c>
      <c r="BS72" s="7">
        <v>0</v>
      </c>
      <c r="BT72" s="9">
        <v>0</v>
      </c>
      <c r="BU72" s="8" t="s">
        <v>32</v>
      </c>
      <c r="BV72" s="7" t="s">
        <v>32</v>
      </c>
      <c r="BW72" s="10" t="s">
        <v>32</v>
      </c>
      <c r="BX72" s="11" t="s">
        <v>32</v>
      </c>
      <c r="BY72" s="7" t="s">
        <v>32</v>
      </c>
      <c r="BZ72" s="9" t="s">
        <v>32</v>
      </c>
      <c r="CA72" s="8" t="s">
        <v>32</v>
      </c>
      <c r="CB72" s="7" t="s">
        <v>32</v>
      </c>
      <c r="CC72" s="9" t="s">
        <v>32</v>
      </c>
      <c r="CD72" s="8">
        <v>0</v>
      </c>
      <c r="CE72" s="7">
        <v>0</v>
      </c>
      <c r="CF72" s="10">
        <v>0</v>
      </c>
    </row>
    <row r="73" spans="2:84" ht="15" customHeight="1">
      <c r="B73" s="183">
        <v>0</v>
      </c>
      <c r="C73" s="203">
        <v>4</v>
      </c>
      <c r="D73" s="185" t="s">
        <v>32</v>
      </c>
      <c r="E73" s="187" t="s">
        <v>32</v>
      </c>
      <c r="F73" s="184" t="s">
        <v>32</v>
      </c>
      <c r="G73" s="185" t="s">
        <v>32</v>
      </c>
      <c r="H73" s="187" t="s">
        <v>32</v>
      </c>
      <c r="I73" s="184" t="s">
        <v>32</v>
      </c>
      <c r="J73" s="188" t="s">
        <v>32</v>
      </c>
      <c r="K73" s="183" t="s">
        <v>32</v>
      </c>
      <c r="L73" s="184" t="s">
        <v>32</v>
      </c>
      <c r="M73" s="185" t="s">
        <v>32</v>
      </c>
      <c r="N73" s="187">
        <v>0</v>
      </c>
      <c r="O73" s="184">
        <v>0</v>
      </c>
      <c r="P73" s="185">
        <v>0</v>
      </c>
      <c r="Q73" s="187" t="s">
        <v>32</v>
      </c>
      <c r="R73" s="184" t="s">
        <v>32</v>
      </c>
      <c r="S73" s="188" t="s">
        <v>32</v>
      </c>
      <c r="T73" s="183" t="s">
        <v>32</v>
      </c>
      <c r="U73" s="184" t="s">
        <v>32</v>
      </c>
      <c r="V73" s="185" t="s">
        <v>32</v>
      </c>
      <c r="W73" s="187" t="s">
        <v>32</v>
      </c>
      <c r="X73" s="184" t="s">
        <v>32</v>
      </c>
      <c r="Y73" s="185" t="s">
        <v>32</v>
      </c>
      <c r="Z73" s="187" t="s">
        <v>32</v>
      </c>
      <c r="AA73" s="203">
        <v>2</v>
      </c>
      <c r="AB73" s="188">
        <v>0</v>
      </c>
      <c r="BF73" s="12">
        <v>0</v>
      </c>
      <c r="BG73" s="212">
        <v>4</v>
      </c>
      <c r="BH73" s="15" t="s">
        <v>32</v>
      </c>
      <c r="BI73" s="14" t="s">
        <v>32</v>
      </c>
      <c r="BJ73" s="13" t="s">
        <v>32</v>
      </c>
      <c r="BK73" s="15" t="s">
        <v>32</v>
      </c>
      <c r="BL73" s="14" t="s">
        <v>32</v>
      </c>
      <c r="BM73" s="13" t="s">
        <v>32</v>
      </c>
      <c r="BN73" s="1" t="s">
        <v>32</v>
      </c>
      <c r="BO73" s="12" t="s">
        <v>32</v>
      </c>
      <c r="BP73" s="13" t="s">
        <v>32</v>
      </c>
      <c r="BQ73" s="15" t="s">
        <v>32</v>
      </c>
      <c r="BR73" s="14">
        <v>0</v>
      </c>
      <c r="BS73" s="13">
        <v>0</v>
      </c>
      <c r="BT73" s="15">
        <v>0</v>
      </c>
      <c r="BU73" s="14" t="s">
        <v>32</v>
      </c>
      <c r="BV73" s="13" t="s">
        <v>32</v>
      </c>
      <c r="BW73" s="1" t="s">
        <v>32</v>
      </c>
      <c r="BX73" s="12" t="s">
        <v>32</v>
      </c>
      <c r="BY73" s="13" t="s">
        <v>32</v>
      </c>
      <c r="BZ73" s="15" t="s">
        <v>32</v>
      </c>
      <c r="CA73" s="14" t="s">
        <v>32</v>
      </c>
      <c r="CB73" s="13" t="s">
        <v>32</v>
      </c>
      <c r="CC73" s="15" t="s">
        <v>32</v>
      </c>
      <c r="CD73" s="14" t="s">
        <v>32</v>
      </c>
      <c r="CE73" s="212">
        <v>8</v>
      </c>
      <c r="CF73" s="1">
        <v>0</v>
      </c>
    </row>
    <row r="74" spans="2:84" ht="15" customHeight="1">
      <c r="B74" s="190">
        <v>0</v>
      </c>
      <c r="C74" s="191" t="s">
        <v>32</v>
      </c>
      <c r="D74" s="194" t="s">
        <v>32</v>
      </c>
      <c r="E74" s="193" t="s">
        <v>32</v>
      </c>
      <c r="F74" s="191" t="s">
        <v>32</v>
      </c>
      <c r="G74" s="194" t="s">
        <v>32</v>
      </c>
      <c r="H74" s="193" t="s">
        <v>32</v>
      </c>
      <c r="I74" s="191" t="s">
        <v>32</v>
      </c>
      <c r="J74" s="195" t="s">
        <v>32</v>
      </c>
      <c r="K74" s="190" t="s">
        <v>32</v>
      </c>
      <c r="L74" s="191" t="s">
        <v>32</v>
      </c>
      <c r="M74" s="194" t="s">
        <v>32</v>
      </c>
      <c r="N74" s="193" t="s">
        <v>32</v>
      </c>
      <c r="O74" s="191" t="s">
        <v>32</v>
      </c>
      <c r="P74" s="194" t="s">
        <v>32</v>
      </c>
      <c r="Q74" s="193" t="s">
        <v>32</v>
      </c>
      <c r="R74" s="191" t="s">
        <v>32</v>
      </c>
      <c r="S74" s="195" t="s">
        <v>32</v>
      </c>
      <c r="T74" s="190" t="s">
        <v>32</v>
      </c>
      <c r="U74" s="191" t="s">
        <v>32</v>
      </c>
      <c r="V74" s="194" t="s">
        <v>32</v>
      </c>
      <c r="W74" s="193" t="s">
        <v>32</v>
      </c>
      <c r="X74" s="191" t="s">
        <v>32</v>
      </c>
      <c r="Y74" s="194" t="s">
        <v>32</v>
      </c>
      <c r="Z74" s="193" t="s">
        <v>32</v>
      </c>
      <c r="AA74" s="191" t="s">
        <v>32</v>
      </c>
      <c r="AB74" s="195">
        <v>0</v>
      </c>
      <c r="BF74" s="16">
        <v>0</v>
      </c>
      <c r="BG74" s="17" t="s">
        <v>32</v>
      </c>
      <c r="BH74" s="18" t="s">
        <v>32</v>
      </c>
      <c r="BI74" s="19" t="s">
        <v>32</v>
      </c>
      <c r="BJ74" s="17" t="s">
        <v>32</v>
      </c>
      <c r="BK74" s="18" t="s">
        <v>32</v>
      </c>
      <c r="BL74" s="19" t="s">
        <v>32</v>
      </c>
      <c r="BM74" s="17" t="s">
        <v>32</v>
      </c>
      <c r="BN74" s="20" t="s">
        <v>32</v>
      </c>
      <c r="BO74" s="16" t="s">
        <v>32</v>
      </c>
      <c r="BP74" s="17" t="s">
        <v>32</v>
      </c>
      <c r="BQ74" s="18" t="s">
        <v>32</v>
      </c>
      <c r="BR74" s="19" t="s">
        <v>32</v>
      </c>
      <c r="BS74" s="17" t="s">
        <v>32</v>
      </c>
      <c r="BT74" s="18" t="s">
        <v>32</v>
      </c>
      <c r="BU74" s="19" t="s">
        <v>32</v>
      </c>
      <c r="BV74" s="17" t="s">
        <v>32</v>
      </c>
      <c r="BW74" s="20" t="s">
        <v>32</v>
      </c>
      <c r="BX74" s="16" t="s">
        <v>32</v>
      </c>
      <c r="BY74" s="17" t="s">
        <v>32</v>
      </c>
      <c r="BZ74" s="18" t="s">
        <v>32</v>
      </c>
      <c r="CA74" s="19" t="s">
        <v>32</v>
      </c>
      <c r="CB74" s="17" t="s">
        <v>32</v>
      </c>
      <c r="CC74" s="18" t="s">
        <v>32</v>
      </c>
      <c r="CD74" s="19" t="s">
        <v>32</v>
      </c>
      <c r="CE74" s="17" t="s">
        <v>32</v>
      </c>
      <c r="CF74" s="20">
        <v>0</v>
      </c>
    </row>
    <row r="75" spans="2:84" ht="15" customHeight="1">
      <c r="B75" s="175" t="s">
        <v>32</v>
      </c>
      <c r="C75" s="179" t="s">
        <v>32</v>
      </c>
      <c r="D75" s="180" t="s">
        <v>32</v>
      </c>
      <c r="E75" s="178" t="s">
        <v>32</v>
      </c>
      <c r="F75" s="179" t="s">
        <v>32</v>
      </c>
      <c r="G75" s="180" t="s">
        <v>32</v>
      </c>
      <c r="H75" s="178" t="s">
        <v>32</v>
      </c>
      <c r="I75" s="179" t="s">
        <v>32</v>
      </c>
      <c r="J75" s="181" t="s">
        <v>32</v>
      </c>
      <c r="K75" s="175" t="s">
        <v>32</v>
      </c>
      <c r="L75" s="179" t="s">
        <v>32</v>
      </c>
      <c r="M75" s="180" t="s">
        <v>32</v>
      </c>
      <c r="N75" s="178" t="s">
        <v>32</v>
      </c>
      <c r="O75" s="179" t="s">
        <v>32</v>
      </c>
      <c r="P75" s="180" t="s">
        <v>32</v>
      </c>
      <c r="Q75" s="178" t="s">
        <v>32</v>
      </c>
      <c r="R75" s="179" t="s">
        <v>32</v>
      </c>
      <c r="S75" s="181" t="s">
        <v>32</v>
      </c>
      <c r="T75" s="175" t="s">
        <v>32</v>
      </c>
      <c r="U75" s="179" t="s">
        <v>32</v>
      </c>
      <c r="V75" s="180" t="s">
        <v>32</v>
      </c>
      <c r="W75" s="178" t="s">
        <v>32</v>
      </c>
      <c r="X75" s="179" t="s">
        <v>32</v>
      </c>
      <c r="Y75" s="180" t="s">
        <v>32</v>
      </c>
      <c r="Z75" s="178" t="s">
        <v>32</v>
      </c>
      <c r="AA75" s="179" t="s">
        <v>32</v>
      </c>
      <c r="AB75" s="181" t="s">
        <v>32</v>
      </c>
      <c r="BF75" s="11" t="s">
        <v>32</v>
      </c>
      <c r="BG75" s="7" t="s">
        <v>32</v>
      </c>
      <c r="BH75" s="9" t="s">
        <v>32</v>
      </c>
      <c r="BI75" s="8" t="s">
        <v>32</v>
      </c>
      <c r="BJ75" s="7" t="s">
        <v>32</v>
      </c>
      <c r="BK75" s="9" t="s">
        <v>32</v>
      </c>
      <c r="BL75" s="8" t="s">
        <v>32</v>
      </c>
      <c r="BM75" s="7" t="s">
        <v>32</v>
      </c>
      <c r="BN75" s="10" t="s">
        <v>32</v>
      </c>
      <c r="BO75" s="11" t="s">
        <v>32</v>
      </c>
      <c r="BP75" s="7" t="s">
        <v>32</v>
      </c>
      <c r="BQ75" s="9" t="s">
        <v>32</v>
      </c>
      <c r="BR75" s="8" t="s">
        <v>32</v>
      </c>
      <c r="BS75" s="7" t="s">
        <v>32</v>
      </c>
      <c r="BT75" s="9" t="s">
        <v>32</v>
      </c>
      <c r="BU75" s="8" t="s">
        <v>32</v>
      </c>
      <c r="BV75" s="7" t="s">
        <v>32</v>
      </c>
      <c r="BW75" s="10" t="s">
        <v>32</v>
      </c>
      <c r="BX75" s="11" t="s">
        <v>32</v>
      </c>
      <c r="BY75" s="7" t="s">
        <v>32</v>
      </c>
      <c r="BZ75" s="9" t="s">
        <v>32</v>
      </c>
      <c r="CA75" s="8" t="s">
        <v>32</v>
      </c>
      <c r="CB75" s="7" t="s">
        <v>32</v>
      </c>
      <c r="CC75" s="9" t="s">
        <v>32</v>
      </c>
      <c r="CD75" s="8" t="s">
        <v>32</v>
      </c>
      <c r="CE75" s="7" t="s">
        <v>32</v>
      </c>
      <c r="CF75" s="10" t="s">
        <v>32</v>
      </c>
    </row>
    <row r="76" spans="2:84" ht="15" customHeight="1" thickBot="1">
      <c r="B76" s="197" t="s">
        <v>32</v>
      </c>
      <c r="C76" s="198" t="s">
        <v>32</v>
      </c>
      <c r="D76" s="199" t="s">
        <v>32</v>
      </c>
      <c r="E76" s="200" t="s">
        <v>32</v>
      </c>
      <c r="F76" s="198" t="s">
        <v>32</v>
      </c>
      <c r="G76" s="199" t="s">
        <v>32</v>
      </c>
      <c r="H76" s="200" t="s">
        <v>32</v>
      </c>
      <c r="I76" s="198" t="s">
        <v>32</v>
      </c>
      <c r="J76" s="201" t="s">
        <v>32</v>
      </c>
      <c r="K76" s="197" t="s">
        <v>32</v>
      </c>
      <c r="L76" s="198" t="s">
        <v>32</v>
      </c>
      <c r="M76" s="199" t="s">
        <v>32</v>
      </c>
      <c r="N76" s="200" t="s">
        <v>32</v>
      </c>
      <c r="O76" s="198" t="s">
        <v>32</v>
      </c>
      <c r="P76" s="199" t="s">
        <v>32</v>
      </c>
      <c r="Q76" s="200" t="s">
        <v>32</v>
      </c>
      <c r="R76" s="198" t="s">
        <v>32</v>
      </c>
      <c r="S76" s="201" t="s">
        <v>32</v>
      </c>
      <c r="T76" s="197" t="s">
        <v>32</v>
      </c>
      <c r="U76" s="198" t="s">
        <v>32</v>
      </c>
      <c r="V76" s="199" t="s">
        <v>32</v>
      </c>
      <c r="W76" s="200" t="s">
        <v>32</v>
      </c>
      <c r="X76" s="198" t="s">
        <v>32</v>
      </c>
      <c r="Y76" s="199" t="s">
        <v>32</v>
      </c>
      <c r="Z76" s="200" t="s">
        <v>32</v>
      </c>
      <c r="AA76" s="198" t="s">
        <v>32</v>
      </c>
      <c r="AB76" s="201" t="s">
        <v>32</v>
      </c>
      <c r="BF76" s="21" t="s">
        <v>32</v>
      </c>
      <c r="BG76" s="22" t="s">
        <v>32</v>
      </c>
      <c r="BH76" s="23" t="s">
        <v>32</v>
      </c>
      <c r="BI76" s="24" t="s">
        <v>32</v>
      </c>
      <c r="BJ76" s="22" t="s">
        <v>32</v>
      </c>
      <c r="BK76" s="23" t="s">
        <v>32</v>
      </c>
      <c r="BL76" s="24" t="s">
        <v>32</v>
      </c>
      <c r="BM76" s="22" t="s">
        <v>32</v>
      </c>
      <c r="BN76" s="25" t="s">
        <v>32</v>
      </c>
      <c r="BO76" s="21" t="s">
        <v>32</v>
      </c>
      <c r="BP76" s="22" t="s">
        <v>32</v>
      </c>
      <c r="BQ76" s="23" t="s">
        <v>32</v>
      </c>
      <c r="BR76" s="24" t="s">
        <v>32</v>
      </c>
      <c r="BS76" s="22" t="s">
        <v>32</v>
      </c>
      <c r="BT76" s="23" t="s">
        <v>32</v>
      </c>
      <c r="BU76" s="24" t="s">
        <v>32</v>
      </c>
      <c r="BV76" s="22" t="s">
        <v>32</v>
      </c>
      <c r="BW76" s="25" t="s">
        <v>32</v>
      </c>
      <c r="BX76" s="21" t="s">
        <v>32</v>
      </c>
      <c r="BY76" s="22" t="s">
        <v>32</v>
      </c>
      <c r="BZ76" s="23" t="s">
        <v>32</v>
      </c>
      <c r="CA76" s="24" t="s">
        <v>32</v>
      </c>
      <c r="CB76" s="22" t="s">
        <v>32</v>
      </c>
      <c r="CC76" s="23" t="s">
        <v>32</v>
      </c>
      <c r="CD76" s="24" t="s">
        <v>32</v>
      </c>
      <c r="CE76" s="22" t="s">
        <v>32</v>
      </c>
      <c r="CF76" s="25" t="s">
        <v>32</v>
      </c>
    </row>
    <row r="77" spans="2:84" ht="15" customHeight="1">
      <c r="B77" s="170" t="s">
        <v>32</v>
      </c>
      <c r="C77" s="171" t="s">
        <v>32</v>
      </c>
      <c r="D77" s="172" t="s">
        <v>32</v>
      </c>
      <c r="E77" s="173" t="s">
        <v>32</v>
      </c>
      <c r="F77" s="171" t="s">
        <v>32</v>
      </c>
      <c r="G77" s="172" t="s">
        <v>32</v>
      </c>
      <c r="H77" s="173" t="s">
        <v>32</v>
      </c>
      <c r="I77" s="171" t="s">
        <v>32</v>
      </c>
      <c r="J77" s="174" t="s">
        <v>32</v>
      </c>
      <c r="K77" s="170" t="s">
        <v>32</v>
      </c>
      <c r="L77" s="171" t="s">
        <v>32</v>
      </c>
      <c r="M77" s="172" t="s">
        <v>32</v>
      </c>
      <c r="N77" s="173" t="s">
        <v>32</v>
      </c>
      <c r="O77" s="171" t="s">
        <v>32</v>
      </c>
      <c r="P77" s="172" t="s">
        <v>32</v>
      </c>
      <c r="Q77" s="173" t="s">
        <v>32</v>
      </c>
      <c r="R77" s="171" t="s">
        <v>32</v>
      </c>
      <c r="S77" s="174" t="s">
        <v>32</v>
      </c>
      <c r="T77" s="170" t="s">
        <v>32</v>
      </c>
      <c r="U77" s="171" t="s">
        <v>32</v>
      </c>
      <c r="V77" s="172" t="s">
        <v>32</v>
      </c>
      <c r="W77" s="173" t="s">
        <v>32</v>
      </c>
      <c r="X77" s="171" t="s">
        <v>32</v>
      </c>
      <c r="Y77" s="172" t="s">
        <v>32</v>
      </c>
      <c r="Z77" s="173" t="s">
        <v>32</v>
      </c>
      <c r="AA77" s="171" t="s">
        <v>32</v>
      </c>
      <c r="AB77" s="174" t="s">
        <v>32</v>
      </c>
      <c r="BF77" s="2" t="s">
        <v>32</v>
      </c>
      <c r="BG77" s="5" t="s">
        <v>32</v>
      </c>
      <c r="BH77" s="3" t="s">
        <v>32</v>
      </c>
      <c r="BI77" s="4" t="s">
        <v>32</v>
      </c>
      <c r="BJ77" s="5" t="s">
        <v>32</v>
      </c>
      <c r="BK77" s="3" t="s">
        <v>32</v>
      </c>
      <c r="BL77" s="4" t="s">
        <v>32</v>
      </c>
      <c r="BM77" s="5" t="s">
        <v>32</v>
      </c>
      <c r="BN77" s="6" t="s">
        <v>32</v>
      </c>
      <c r="BO77" s="2" t="s">
        <v>32</v>
      </c>
      <c r="BP77" s="5" t="s">
        <v>32</v>
      </c>
      <c r="BQ77" s="3" t="s">
        <v>32</v>
      </c>
      <c r="BR77" s="4" t="s">
        <v>32</v>
      </c>
      <c r="BS77" s="5" t="s">
        <v>32</v>
      </c>
      <c r="BT77" s="3" t="s">
        <v>32</v>
      </c>
      <c r="BU77" s="4" t="s">
        <v>32</v>
      </c>
      <c r="BV77" s="5" t="s">
        <v>32</v>
      </c>
      <c r="BW77" s="6" t="s">
        <v>32</v>
      </c>
      <c r="BX77" s="2" t="s">
        <v>32</v>
      </c>
      <c r="BY77" s="5" t="s">
        <v>32</v>
      </c>
      <c r="BZ77" s="3" t="s">
        <v>32</v>
      </c>
      <c r="CA77" s="4" t="s">
        <v>32</v>
      </c>
      <c r="CB77" s="5" t="s">
        <v>32</v>
      </c>
      <c r="CC77" s="3" t="s">
        <v>32</v>
      </c>
      <c r="CD77" s="4" t="s">
        <v>32</v>
      </c>
      <c r="CE77" s="5" t="s">
        <v>32</v>
      </c>
      <c r="CF77" s="6" t="s">
        <v>32</v>
      </c>
    </row>
    <row r="78" spans="2:84" ht="15" customHeight="1">
      <c r="B78" s="175" t="s">
        <v>32</v>
      </c>
      <c r="C78" s="179" t="s">
        <v>32</v>
      </c>
      <c r="D78" s="180" t="s">
        <v>32</v>
      </c>
      <c r="E78" s="178" t="s">
        <v>32</v>
      </c>
      <c r="F78" s="179" t="s">
        <v>32</v>
      </c>
      <c r="G78" s="180" t="s">
        <v>32</v>
      </c>
      <c r="H78" s="178" t="s">
        <v>32</v>
      </c>
      <c r="I78" s="179" t="s">
        <v>32</v>
      </c>
      <c r="J78" s="181" t="s">
        <v>32</v>
      </c>
      <c r="K78" s="175" t="s">
        <v>32</v>
      </c>
      <c r="L78" s="179" t="s">
        <v>32</v>
      </c>
      <c r="M78" s="180" t="s">
        <v>32</v>
      </c>
      <c r="N78" s="178" t="s">
        <v>32</v>
      </c>
      <c r="O78" s="179" t="s">
        <v>32</v>
      </c>
      <c r="P78" s="180" t="s">
        <v>32</v>
      </c>
      <c r="Q78" s="178" t="s">
        <v>32</v>
      </c>
      <c r="R78" s="179" t="s">
        <v>32</v>
      </c>
      <c r="S78" s="181" t="s">
        <v>32</v>
      </c>
      <c r="T78" s="175" t="s">
        <v>32</v>
      </c>
      <c r="U78" s="179" t="s">
        <v>32</v>
      </c>
      <c r="V78" s="180" t="s">
        <v>32</v>
      </c>
      <c r="W78" s="178" t="s">
        <v>32</v>
      </c>
      <c r="X78" s="179" t="s">
        <v>32</v>
      </c>
      <c r="Y78" s="180" t="s">
        <v>32</v>
      </c>
      <c r="Z78" s="178" t="s">
        <v>32</v>
      </c>
      <c r="AA78" s="179" t="s">
        <v>32</v>
      </c>
      <c r="AB78" s="181" t="s">
        <v>32</v>
      </c>
      <c r="BF78" s="11" t="s">
        <v>32</v>
      </c>
      <c r="BG78" s="7" t="s">
        <v>32</v>
      </c>
      <c r="BH78" s="9" t="s">
        <v>32</v>
      </c>
      <c r="BI78" s="8" t="s">
        <v>32</v>
      </c>
      <c r="BJ78" s="7" t="s">
        <v>32</v>
      </c>
      <c r="BK78" s="9" t="s">
        <v>32</v>
      </c>
      <c r="BL78" s="8" t="s">
        <v>32</v>
      </c>
      <c r="BM78" s="7" t="s">
        <v>32</v>
      </c>
      <c r="BN78" s="10" t="s">
        <v>32</v>
      </c>
      <c r="BO78" s="11" t="s">
        <v>32</v>
      </c>
      <c r="BP78" s="7" t="s">
        <v>32</v>
      </c>
      <c r="BQ78" s="9" t="s">
        <v>32</v>
      </c>
      <c r="BR78" s="8" t="s">
        <v>32</v>
      </c>
      <c r="BS78" s="7" t="s">
        <v>32</v>
      </c>
      <c r="BT78" s="9" t="s">
        <v>32</v>
      </c>
      <c r="BU78" s="8" t="s">
        <v>32</v>
      </c>
      <c r="BV78" s="7" t="s">
        <v>32</v>
      </c>
      <c r="BW78" s="10" t="s">
        <v>32</v>
      </c>
      <c r="BX78" s="11" t="s">
        <v>32</v>
      </c>
      <c r="BY78" s="7" t="s">
        <v>32</v>
      </c>
      <c r="BZ78" s="9" t="s">
        <v>32</v>
      </c>
      <c r="CA78" s="8" t="s">
        <v>32</v>
      </c>
      <c r="CB78" s="7" t="s">
        <v>32</v>
      </c>
      <c r="CC78" s="9" t="s">
        <v>32</v>
      </c>
      <c r="CD78" s="8" t="s">
        <v>32</v>
      </c>
      <c r="CE78" s="7" t="s">
        <v>32</v>
      </c>
      <c r="CF78" s="10" t="s">
        <v>32</v>
      </c>
    </row>
    <row r="79" spans="2:84" ht="15" customHeight="1">
      <c r="B79" s="183" t="s">
        <v>32</v>
      </c>
      <c r="C79" s="184" t="s">
        <v>32</v>
      </c>
      <c r="D79" s="185" t="s">
        <v>32</v>
      </c>
      <c r="E79" s="187" t="s">
        <v>32</v>
      </c>
      <c r="F79" s="184" t="s">
        <v>32</v>
      </c>
      <c r="G79" s="185" t="s">
        <v>32</v>
      </c>
      <c r="H79" s="187" t="s">
        <v>32</v>
      </c>
      <c r="I79" s="184" t="s">
        <v>32</v>
      </c>
      <c r="J79" s="188" t="s">
        <v>32</v>
      </c>
      <c r="K79" s="183" t="s">
        <v>32</v>
      </c>
      <c r="L79" s="184" t="s">
        <v>32</v>
      </c>
      <c r="M79" s="185" t="s">
        <v>32</v>
      </c>
      <c r="N79" s="187" t="s">
        <v>32</v>
      </c>
      <c r="O79" s="184" t="s">
        <v>32</v>
      </c>
      <c r="P79" s="185" t="s">
        <v>32</v>
      </c>
      <c r="Q79" s="187" t="s">
        <v>32</v>
      </c>
      <c r="R79" s="184" t="s">
        <v>32</v>
      </c>
      <c r="S79" s="188" t="s">
        <v>32</v>
      </c>
      <c r="T79" s="183" t="s">
        <v>32</v>
      </c>
      <c r="U79" s="184" t="s">
        <v>32</v>
      </c>
      <c r="V79" s="185" t="s">
        <v>32</v>
      </c>
      <c r="W79" s="187" t="s">
        <v>32</v>
      </c>
      <c r="X79" s="184" t="s">
        <v>32</v>
      </c>
      <c r="Y79" s="185" t="s">
        <v>32</v>
      </c>
      <c r="Z79" s="187" t="s">
        <v>32</v>
      </c>
      <c r="AA79" s="184" t="s">
        <v>32</v>
      </c>
      <c r="AB79" s="188" t="s">
        <v>32</v>
      </c>
      <c r="BF79" s="12" t="s">
        <v>32</v>
      </c>
      <c r="BG79" s="13" t="s">
        <v>32</v>
      </c>
      <c r="BH79" s="15" t="s">
        <v>32</v>
      </c>
      <c r="BI79" s="14" t="s">
        <v>32</v>
      </c>
      <c r="BJ79" s="13" t="s">
        <v>32</v>
      </c>
      <c r="BK79" s="15" t="s">
        <v>32</v>
      </c>
      <c r="BL79" s="14" t="s">
        <v>32</v>
      </c>
      <c r="BM79" s="13" t="s">
        <v>32</v>
      </c>
      <c r="BN79" s="1" t="s">
        <v>32</v>
      </c>
      <c r="BO79" s="12" t="s">
        <v>32</v>
      </c>
      <c r="BP79" s="13" t="s">
        <v>32</v>
      </c>
      <c r="BQ79" s="15" t="s">
        <v>32</v>
      </c>
      <c r="BR79" s="14" t="s">
        <v>32</v>
      </c>
      <c r="BS79" s="13" t="s">
        <v>32</v>
      </c>
      <c r="BT79" s="15" t="s">
        <v>32</v>
      </c>
      <c r="BU79" s="14" t="s">
        <v>32</v>
      </c>
      <c r="BV79" s="13" t="s">
        <v>32</v>
      </c>
      <c r="BW79" s="1" t="s">
        <v>32</v>
      </c>
      <c r="BX79" s="12" t="s">
        <v>32</v>
      </c>
      <c r="BY79" s="13" t="s">
        <v>32</v>
      </c>
      <c r="BZ79" s="15" t="s">
        <v>32</v>
      </c>
      <c r="CA79" s="14" t="s">
        <v>32</v>
      </c>
      <c r="CB79" s="13" t="s">
        <v>32</v>
      </c>
      <c r="CC79" s="15" t="s">
        <v>32</v>
      </c>
      <c r="CD79" s="14" t="s">
        <v>32</v>
      </c>
      <c r="CE79" s="13" t="s">
        <v>32</v>
      </c>
      <c r="CF79" s="1" t="s">
        <v>32</v>
      </c>
    </row>
    <row r="80" spans="2:84" ht="15" customHeight="1">
      <c r="B80" s="190" t="s">
        <v>32</v>
      </c>
      <c r="C80" s="191" t="s">
        <v>32</v>
      </c>
      <c r="D80" s="194" t="s">
        <v>32</v>
      </c>
      <c r="E80" s="193" t="s">
        <v>32</v>
      </c>
      <c r="F80" s="191" t="s">
        <v>32</v>
      </c>
      <c r="G80" s="194" t="s">
        <v>32</v>
      </c>
      <c r="H80" s="193" t="s">
        <v>32</v>
      </c>
      <c r="I80" s="191" t="s">
        <v>32</v>
      </c>
      <c r="J80" s="195" t="s">
        <v>32</v>
      </c>
      <c r="K80" s="190" t="s">
        <v>32</v>
      </c>
      <c r="L80" s="191" t="s">
        <v>32</v>
      </c>
      <c r="M80" s="194" t="s">
        <v>32</v>
      </c>
      <c r="N80" s="193" t="s">
        <v>32</v>
      </c>
      <c r="O80" s="191" t="s">
        <v>32</v>
      </c>
      <c r="P80" s="194" t="s">
        <v>32</v>
      </c>
      <c r="Q80" s="193" t="s">
        <v>32</v>
      </c>
      <c r="R80" s="191" t="s">
        <v>32</v>
      </c>
      <c r="S80" s="195" t="s">
        <v>32</v>
      </c>
      <c r="T80" s="190" t="s">
        <v>32</v>
      </c>
      <c r="U80" s="191" t="s">
        <v>32</v>
      </c>
      <c r="V80" s="194" t="s">
        <v>32</v>
      </c>
      <c r="W80" s="193" t="s">
        <v>32</v>
      </c>
      <c r="X80" s="191" t="s">
        <v>32</v>
      </c>
      <c r="Y80" s="194" t="s">
        <v>32</v>
      </c>
      <c r="Z80" s="193" t="s">
        <v>32</v>
      </c>
      <c r="AA80" s="191" t="s">
        <v>32</v>
      </c>
      <c r="AB80" s="195" t="s">
        <v>32</v>
      </c>
      <c r="BF80" s="16" t="s">
        <v>32</v>
      </c>
      <c r="BG80" s="17" t="s">
        <v>32</v>
      </c>
      <c r="BH80" s="18" t="s">
        <v>32</v>
      </c>
      <c r="BI80" s="19" t="s">
        <v>32</v>
      </c>
      <c r="BJ80" s="17" t="s">
        <v>32</v>
      </c>
      <c r="BK80" s="18" t="s">
        <v>32</v>
      </c>
      <c r="BL80" s="19" t="s">
        <v>32</v>
      </c>
      <c r="BM80" s="17" t="s">
        <v>32</v>
      </c>
      <c r="BN80" s="20" t="s">
        <v>32</v>
      </c>
      <c r="BO80" s="16" t="s">
        <v>32</v>
      </c>
      <c r="BP80" s="17" t="s">
        <v>32</v>
      </c>
      <c r="BQ80" s="18" t="s">
        <v>32</v>
      </c>
      <c r="BR80" s="19" t="s">
        <v>32</v>
      </c>
      <c r="BS80" s="17" t="s">
        <v>32</v>
      </c>
      <c r="BT80" s="18" t="s">
        <v>32</v>
      </c>
      <c r="BU80" s="19" t="s">
        <v>32</v>
      </c>
      <c r="BV80" s="17" t="s">
        <v>32</v>
      </c>
      <c r="BW80" s="20" t="s">
        <v>32</v>
      </c>
      <c r="BX80" s="16" t="s">
        <v>32</v>
      </c>
      <c r="BY80" s="17" t="s">
        <v>32</v>
      </c>
      <c r="BZ80" s="18" t="s">
        <v>32</v>
      </c>
      <c r="CA80" s="19" t="s">
        <v>32</v>
      </c>
      <c r="CB80" s="17" t="s">
        <v>32</v>
      </c>
      <c r="CC80" s="18" t="s">
        <v>32</v>
      </c>
      <c r="CD80" s="19" t="s">
        <v>32</v>
      </c>
      <c r="CE80" s="17" t="s">
        <v>32</v>
      </c>
      <c r="CF80" s="20" t="s">
        <v>32</v>
      </c>
    </row>
    <row r="81" spans="2:84" ht="15" customHeight="1">
      <c r="B81" s="175" t="s">
        <v>32</v>
      </c>
      <c r="C81" s="179" t="s">
        <v>32</v>
      </c>
      <c r="D81" s="180" t="s">
        <v>32</v>
      </c>
      <c r="E81" s="178" t="s">
        <v>32</v>
      </c>
      <c r="F81" s="179" t="s">
        <v>32</v>
      </c>
      <c r="G81" s="180" t="s">
        <v>32</v>
      </c>
      <c r="H81" s="178" t="s">
        <v>32</v>
      </c>
      <c r="I81" s="179" t="s">
        <v>32</v>
      </c>
      <c r="J81" s="181" t="s">
        <v>32</v>
      </c>
      <c r="K81" s="175" t="s">
        <v>32</v>
      </c>
      <c r="L81" s="179" t="s">
        <v>32</v>
      </c>
      <c r="M81" s="180" t="s">
        <v>32</v>
      </c>
      <c r="N81" s="178" t="s">
        <v>32</v>
      </c>
      <c r="O81" s="179" t="s">
        <v>32</v>
      </c>
      <c r="P81" s="180" t="s">
        <v>32</v>
      </c>
      <c r="Q81" s="178" t="s">
        <v>32</v>
      </c>
      <c r="R81" s="179" t="s">
        <v>32</v>
      </c>
      <c r="S81" s="181" t="s">
        <v>32</v>
      </c>
      <c r="T81" s="175" t="s">
        <v>32</v>
      </c>
      <c r="U81" s="179" t="s">
        <v>32</v>
      </c>
      <c r="V81" s="180" t="s">
        <v>32</v>
      </c>
      <c r="W81" s="178" t="s">
        <v>32</v>
      </c>
      <c r="X81" s="179" t="s">
        <v>32</v>
      </c>
      <c r="Y81" s="180" t="s">
        <v>32</v>
      </c>
      <c r="Z81" s="178" t="s">
        <v>32</v>
      </c>
      <c r="AA81" s="179" t="s">
        <v>32</v>
      </c>
      <c r="AB81" s="181" t="s">
        <v>32</v>
      </c>
      <c r="BF81" s="11" t="s">
        <v>32</v>
      </c>
      <c r="BG81" s="7" t="s">
        <v>32</v>
      </c>
      <c r="BH81" s="9" t="s">
        <v>32</v>
      </c>
      <c r="BI81" s="8" t="s">
        <v>32</v>
      </c>
      <c r="BJ81" s="7" t="s">
        <v>32</v>
      </c>
      <c r="BK81" s="9" t="s">
        <v>32</v>
      </c>
      <c r="BL81" s="8" t="s">
        <v>32</v>
      </c>
      <c r="BM81" s="7" t="s">
        <v>32</v>
      </c>
      <c r="BN81" s="10" t="s">
        <v>32</v>
      </c>
      <c r="BO81" s="11" t="s">
        <v>32</v>
      </c>
      <c r="BP81" s="7" t="s">
        <v>32</v>
      </c>
      <c r="BQ81" s="9" t="s">
        <v>32</v>
      </c>
      <c r="BR81" s="8" t="s">
        <v>32</v>
      </c>
      <c r="BS81" s="7" t="s">
        <v>32</v>
      </c>
      <c r="BT81" s="9" t="s">
        <v>32</v>
      </c>
      <c r="BU81" s="8" t="s">
        <v>32</v>
      </c>
      <c r="BV81" s="7" t="s">
        <v>32</v>
      </c>
      <c r="BW81" s="10" t="s">
        <v>32</v>
      </c>
      <c r="BX81" s="11" t="s">
        <v>32</v>
      </c>
      <c r="BY81" s="7" t="s">
        <v>32</v>
      </c>
      <c r="BZ81" s="9" t="s">
        <v>32</v>
      </c>
      <c r="CA81" s="8" t="s">
        <v>32</v>
      </c>
      <c r="CB81" s="7" t="s">
        <v>32</v>
      </c>
      <c r="CC81" s="9" t="s">
        <v>32</v>
      </c>
      <c r="CD81" s="8" t="s">
        <v>32</v>
      </c>
      <c r="CE81" s="7" t="s">
        <v>32</v>
      </c>
      <c r="CF81" s="10" t="s">
        <v>32</v>
      </c>
    </row>
    <row r="82" spans="2:84" ht="15" customHeight="1">
      <c r="B82" s="183" t="s">
        <v>32</v>
      </c>
      <c r="C82" s="184" t="s">
        <v>32</v>
      </c>
      <c r="D82" s="189">
        <v>1</v>
      </c>
      <c r="E82" s="187" t="s">
        <v>32</v>
      </c>
      <c r="F82" s="184" t="s">
        <v>32</v>
      </c>
      <c r="G82" s="185" t="s">
        <v>32</v>
      </c>
      <c r="H82" s="187" t="s">
        <v>32</v>
      </c>
      <c r="I82" s="184" t="s">
        <v>32</v>
      </c>
      <c r="J82" s="188" t="s">
        <v>32</v>
      </c>
      <c r="K82" s="183" t="s">
        <v>32</v>
      </c>
      <c r="L82" s="184" t="s">
        <v>32</v>
      </c>
      <c r="M82" s="185" t="s">
        <v>32</v>
      </c>
      <c r="N82" s="187" t="s">
        <v>32</v>
      </c>
      <c r="O82" s="184" t="s">
        <v>32</v>
      </c>
      <c r="P82" s="185" t="s">
        <v>32</v>
      </c>
      <c r="Q82" s="187" t="s">
        <v>32</v>
      </c>
      <c r="R82" s="184" t="s">
        <v>32</v>
      </c>
      <c r="S82" s="188" t="s">
        <v>32</v>
      </c>
      <c r="T82" s="183" t="s">
        <v>32</v>
      </c>
      <c r="U82" s="184" t="s">
        <v>32</v>
      </c>
      <c r="V82" s="185" t="s">
        <v>32</v>
      </c>
      <c r="W82" s="187" t="s">
        <v>32</v>
      </c>
      <c r="X82" s="184" t="s">
        <v>32</v>
      </c>
      <c r="Y82" s="185" t="s">
        <v>32</v>
      </c>
      <c r="Z82" s="186">
        <v>9</v>
      </c>
      <c r="AA82" s="184" t="s">
        <v>32</v>
      </c>
      <c r="AB82" s="188" t="s">
        <v>32</v>
      </c>
      <c r="BF82" s="12" t="s">
        <v>32</v>
      </c>
      <c r="BG82" s="13" t="s">
        <v>32</v>
      </c>
      <c r="BH82" s="208">
        <v>1</v>
      </c>
      <c r="BI82" s="14" t="s">
        <v>32</v>
      </c>
      <c r="BJ82" s="13" t="s">
        <v>32</v>
      </c>
      <c r="BK82" s="15" t="s">
        <v>32</v>
      </c>
      <c r="BL82" s="14" t="s">
        <v>32</v>
      </c>
      <c r="BM82" s="13" t="s">
        <v>32</v>
      </c>
      <c r="BN82" s="1" t="s">
        <v>32</v>
      </c>
      <c r="BO82" s="12" t="s">
        <v>32</v>
      </c>
      <c r="BP82" s="13" t="s">
        <v>32</v>
      </c>
      <c r="BQ82" s="15" t="s">
        <v>32</v>
      </c>
      <c r="BR82" s="14" t="s">
        <v>32</v>
      </c>
      <c r="BS82" s="13" t="s">
        <v>32</v>
      </c>
      <c r="BT82" s="15" t="s">
        <v>32</v>
      </c>
      <c r="BU82" s="14" t="s">
        <v>32</v>
      </c>
      <c r="BV82" s="13" t="s">
        <v>32</v>
      </c>
      <c r="BW82" s="1" t="s">
        <v>32</v>
      </c>
      <c r="BX82" s="12" t="s">
        <v>32</v>
      </c>
      <c r="BY82" s="13" t="s">
        <v>32</v>
      </c>
      <c r="BZ82" s="15" t="s">
        <v>32</v>
      </c>
      <c r="CA82" s="14" t="s">
        <v>32</v>
      </c>
      <c r="CB82" s="13" t="s">
        <v>32</v>
      </c>
      <c r="CC82" s="15" t="s">
        <v>32</v>
      </c>
      <c r="CD82" s="207">
        <v>9</v>
      </c>
      <c r="CE82" s="13" t="s">
        <v>32</v>
      </c>
      <c r="CF82" s="1" t="s">
        <v>32</v>
      </c>
    </row>
    <row r="83" spans="2:84" ht="15" customHeight="1">
      <c r="B83" s="190" t="s">
        <v>32</v>
      </c>
      <c r="C83" s="191">
        <v>0</v>
      </c>
      <c r="D83" s="194">
        <v>0</v>
      </c>
      <c r="E83" s="196">
        <v>4</v>
      </c>
      <c r="F83" s="191" t="s">
        <v>32</v>
      </c>
      <c r="G83" s="194" t="s">
        <v>32</v>
      </c>
      <c r="H83" s="193" t="s">
        <v>32</v>
      </c>
      <c r="I83" s="191" t="s">
        <v>32</v>
      </c>
      <c r="J83" s="195" t="s">
        <v>32</v>
      </c>
      <c r="K83" s="190" t="s">
        <v>32</v>
      </c>
      <c r="L83" s="191" t="s">
        <v>32</v>
      </c>
      <c r="M83" s="194" t="s">
        <v>32</v>
      </c>
      <c r="N83" s="193" t="s">
        <v>32</v>
      </c>
      <c r="O83" s="191">
        <v>8</v>
      </c>
      <c r="P83" s="194" t="s">
        <v>32</v>
      </c>
      <c r="Q83" s="193" t="s">
        <v>32</v>
      </c>
      <c r="R83" s="191" t="s">
        <v>32</v>
      </c>
      <c r="S83" s="195" t="s">
        <v>32</v>
      </c>
      <c r="T83" s="190" t="s">
        <v>32</v>
      </c>
      <c r="U83" s="191" t="s">
        <v>32</v>
      </c>
      <c r="V83" s="194" t="s">
        <v>32</v>
      </c>
      <c r="W83" s="193" t="s">
        <v>32</v>
      </c>
      <c r="X83" s="191" t="s">
        <v>32</v>
      </c>
      <c r="Y83" s="192">
        <v>7</v>
      </c>
      <c r="Z83" s="193">
        <v>0</v>
      </c>
      <c r="AA83" s="191">
        <v>0</v>
      </c>
      <c r="AB83" s="195" t="s">
        <v>32</v>
      </c>
      <c r="BF83" s="16" t="s">
        <v>32</v>
      </c>
      <c r="BG83" s="17">
        <v>0</v>
      </c>
      <c r="BH83" s="18">
        <v>0</v>
      </c>
      <c r="BI83" s="210">
        <v>4</v>
      </c>
      <c r="BJ83" s="17" t="s">
        <v>32</v>
      </c>
      <c r="BK83" s="18" t="s">
        <v>32</v>
      </c>
      <c r="BL83" s="19" t="s">
        <v>32</v>
      </c>
      <c r="BM83" s="17" t="s">
        <v>32</v>
      </c>
      <c r="BN83" s="20" t="s">
        <v>32</v>
      </c>
      <c r="BO83" s="16" t="s">
        <v>32</v>
      </c>
      <c r="BP83" s="17" t="s">
        <v>32</v>
      </c>
      <c r="BQ83" s="18" t="s">
        <v>32</v>
      </c>
      <c r="BR83" s="19" t="s">
        <v>32</v>
      </c>
      <c r="BS83" s="17">
        <v>0</v>
      </c>
      <c r="BT83" s="18" t="s">
        <v>32</v>
      </c>
      <c r="BU83" s="19" t="s">
        <v>32</v>
      </c>
      <c r="BV83" s="17" t="s">
        <v>32</v>
      </c>
      <c r="BW83" s="20" t="s">
        <v>32</v>
      </c>
      <c r="BX83" s="16" t="s">
        <v>32</v>
      </c>
      <c r="BY83" s="17" t="s">
        <v>32</v>
      </c>
      <c r="BZ83" s="18" t="s">
        <v>32</v>
      </c>
      <c r="CA83" s="19" t="s">
        <v>32</v>
      </c>
      <c r="CB83" s="17" t="s">
        <v>32</v>
      </c>
      <c r="CC83" s="209">
        <v>7</v>
      </c>
      <c r="CD83" s="19">
        <v>0</v>
      </c>
      <c r="CE83" s="17">
        <v>0</v>
      </c>
      <c r="CF83" s="20" t="s">
        <v>32</v>
      </c>
    </row>
    <row r="84" spans="2:84" ht="15" customHeight="1">
      <c r="B84" s="175">
        <v>0</v>
      </c>
      <c r="C84" s="176">
        <v>6</v>
      </c>
      <c r="D84" s="177">
        <v>8</v>
      </c>
      <c r="E84" s="178" t="s">
        <v>32</v>
      </c>
      <c r="F84" s="179" t="s">
        <v>32</v>
      </c>
      <c r="G84" s="180" t="s">
        <v>32</v>
      </c>
      <c r="H84" s="178" t="s">
        <v>32</v>
      </c>
      <c r="I84" s="179" t="s">
        <v>32</v>
      </c>
      <c r="J84" s="181" t="s">
        <v>32</v>
      </c>
      <c r="K84" s="175" t="s">
        <v>32</v>
      </c>
      <c r="L84" s="179" t="s">
        <v>32</v>
      </c>
      <c r="M84" s="180" t="s">
        <v>32</v>
      </c>
      <c r="N84" s="182">
        <v>5</v>
      </c>
      <c r="O84" s="179">
        <v>1</v>
      </c>
      <c r="P84" s="177">
        <v>9</v>
      </c>
      <c r="Q84" s="178" t="s">
        <v>32</v>
      </c>
      <c r="R84" s="179" t="s">
        <v>32</v>
      </c>
      <c r="S84" s="181" t="s">
        <v>32</v>
      </c>
      <c r="T84" s="175" t="s">
        <v>32</v>
      </c>
      <c r="U84" s="179" t="s">
        <v>32</v>
      </c>
      <c r="V84" s="180" t="s">
        <v>32</v>
      </c>
      <c r="W84" s="178" t="s">
        <v>32</v>
      </c>
      <c r="X84" s="179" t="s">
        <v>32</v>
      </c>
      <c r="Y84" s="180" t="s">
        <v>32</v>
      </c>
      <c r="Z84" s="182">
        <v>2</v>
      </c>
      <c r="AA84" s="176">
        <v>3</v>
      </c>
      <c r="AB84" s="181">
        <v>0</v>
      </c>
      <c r="BF84" s="11">
        <v>0</v>
      </c>
      <c r="BG84" s="204">
        <v>6</v>
      </c>
      <c r="BH84" s="205">
        <v>8</v>
      </c>
      <c r="BI84" s="8" t="s">
        <v>32</v>
      </c>
      <c r="BJ84" s="7" t="s">
        <v>32</v>
      </c>
      <c r="BK84" s="9" t="s">
        <v>32</v>
      </c>
      <c r="BL84" s="8" t="s">
        <v>32</v>
      </c>
      <c r="BM84" s="7" t="s">
        <v>32</v>
      </c>
      <c r="BN84" s="10" t="s">
        <v>32</v>
      </c>
      <c r="BO84" s="11" t="s">
        <v>32</v>
      </c>
      <c r="BP84" s="7" t="s">
        <v>32</v>
      </c>
      <c r="BQ84" s="9" t="s">
        <v>32</v>
      </c>
      <c r="BR84" s="206">
        <v>5</v>
      </c>
      <c r="BS84" s="7">
        <v>0</v>
      </c>
      <c r="BT84" s="205">
        <v>9</v>
      </c>
      <c r="BU84" s="8" t="s">
        <v>32</v>
      </c>
      <c r="BV84" s="7" t="s">
        <v>32</v>
      </c>
      <c r="BW84" s="10" t="s">
        <v>32</v>
      </c>
      <c r="BX84" s="11" t="s">
        <v>32</v>
      </c>
      <c r="BY84" s="7" t="s">
        <v>32</v>
      </c>
      <c r="BZ84" s="9" t="s">
        <v>32</v>
      </c>
      <c r="CA84" s="8" t="s">
        <v>32</v>
      </c>
      <c r="CB84" s="7" t="s">
        <v>32</v>
      </c>
      <c r="CC84" s="9" t="s">
        <v>32</v>
      </c>
      <c r="CD84" s="206">
        <v>2</v>
      </c>
      <c r="CE84" s="204">
        <v>3</v>
      </c>
      <c r="CF84" s="10">
        <v>0</v>
      </c>
    </row>
    <row r="85" spans="2:84" ht="15" customHeight="1" thickBot="1">
      <c r="B85" s="197">
        <v>0</v>
      </c>
      <c r="C85" s="198">
        <v>0</v>
      </c>
      <c r="D85" s="199" t="s">
        <v>32</v>
      </c>
      <c r="E85" s="200" t="s">
        <v>32</v>
      </c>
      <c r="F85" s="198" t="s">
        <v>32</v>
      </c>
      <c r="G85" s="199" t="s">
        <v>32</v>
      </c>
      <c r="H85" s="200" t="s">
        <v>32</v>
      </c>
      <c r="I85" s="198" t="s">
        <v>32</v>
      </c>
      <c r="J85" s="201" t="s">
        <v>32</v>
      </c>
      <c r="K85" s="197" t="s">
        <v>32</v>
      </c>
      <c r="L85" s="198" t="s">
        <v>32</v>
      </c>
      <c r="M85" s="199">
        <v>0</v>
      </c>
      <c r="N85" s="200">
        <v>0</v>
      </c>
      <c r="O85" s="198">
        <v>0</v>
      </c>
      <c r="P85" s="199">
        <v>0</v>
      </c>
      <c r="Q85" s="200">
        <v>0</v>
      </c>
      <c r="R85" s="198" t="s">
        <v>32</v>
      </c>
      <c r="S85" s="201" t="s">
        <v>32</v>
      </c>
      <c r="T85" s="197" t="s">
        <v>32</v>
      </c>
      <c r="U85" s="198" t="s">
        <v>32</v>
      </c>
      <c r="V85" s="199" t="s">
        <v>32</v>
      </c>
      <c r="W85" s="200" t="s">
        <v>32</v>
      </c>
      <c r="X85" s="198" t="s">
        <v>32</v>
      </c>
      <c r="Y85" s="199" t="s">
        <v>32</v>
      </c>
      <c r="Z85" s="200" t="s">
        <v>32</v>
      </c>
      <c r="AA85" s="198">
        <v>0</v>
      </c>
      <c r="AB85" s="201">
        <v>0</v>
      </c>
      <c r="BF85" s="21">
        <v>0</v>
      </c>
      <c r="BG85" s="22">
        <v>0</v>
      </c>
      <c r="BH85" s="23" t="s">
        <v>32</v>
      </c>
      <c r="BI85" s="24" t="s">
        <v>32</v>
      </c>
      <c r="BJ85" s="22" t="s">
        <v>32</v>
      </c>
      <c r="BK85" s="23" t="s">
        <v>32</v>
      </c>
      <c r="BL85" s="24" t="s">
        <v>32</v>
      </c>
      <c r="BM85" s="22" t="s">
        <v>32</v>
      </c>
      <c r="BN85" s="25" t="s">
        <v>32</v>
      </c>
      <c r="BO85" s="21" t="s">
        <v>32</v>
      </c>
      <c r="BP85" s="22" t="s">
        <v>32</v>
      </c>
      <c r="BQ85" s="23">
        <v>0</v>
      </c>
      <c r="BR85" s="24">
        <v>0</v>
      </c>
      <c r="BS85" s="22">
        <v>0</v>
      </c>
      <c r="BT85" s="23">
        <v>0</v>
      </c>
      <c r="BU85" s="24">
        <v>0</v>
      </c>
      <c r="BV85" s="22" t="s">
        <v>32</v>
      </c>
      <c r="BW85" s="25" t="s">
        <v>32</v>
      </c>
      <c r="BX85" s="21" t="s">
        <v>32</v>
      </c>
      <c r="BY85" s="22" t="s">
        <v>32</v>
      </c>
      <c r="BZ85" s="23" t="s">
        <v>32</v>
      </c>
      <c r="CA85" s="24" t="s">
        <v>32</v>
      </c>
      <c r="CB85" s="22" t="s">
        <v>32</v>
      </c>
      <c r="CC85" s="23" t="s">
        <v>32</v>
      </c>
      <c r="CD85" s="24" t="s">
        <v>32</v>
      </c>
      <c r="CE85" s="22">
        <v>0</v>
      </c>
      <c r="CF85" s="25">
        <v>0</v>
      </c>
    </row>
    <row r="86" spans="2:84" ht="15" customHeight="1" thickBot="1">
      <c r="B86" s="33" t="s">
        <v>15</v>
      </c>
      <c r="AD86" s="33" t="s">
        <v>16</v>
      </c>
      <c r="BF86" s="33" t="s">
        <v>64</v>
      </c>
    </row>
    <row r="87" spans="2:84" ht="15" customHeight="1">
      <c r="B87" s="170">
        <v>4</v>
      </c>
      <c r="C87" s="171">
        <v>1</v>
      </c>
      <c r="D87" s="172" t="s">
        <v>32</v>
      </c>
      <c r="E87" s="173" t="s">
        <v>32</v>
      </c>
      <c r="F87" s="171" t="s">
        <v>32</v>
      </c>
      <c r="G87" s="172" t="s">
        <v>32</v>
      </c>
      <c r="H87" s="173" t="s">
        <v>32</v>
      </c>
      <c r="I87" s="171" t="s">
        <v>32</v>
      </c>
      <c r="J87" s="174" t="s">
        <v>32</v>
      </c>
      <c r="K87" s="170" t="s">
        <v>32</v>
      </c>
      <c r="L87" s="171" t="s">
        <v>32</v>
      </c>
      <c r="M87" s="172">
        <v>2</v>
      </c>
      <c r="N87" s="173">
        <v>8</v>
      </c>
      <c r="O87" s="171">
        <v>9</v>
      </c>
      <c r="P87" s="172">
        <v>3</v>
      </c>
      <c r="Q87" s="173">
        <v>5</v>
      </c>
      <c r="R87" s="171" t="s">
        <v>32</v>
      </c>
      <c r="S87" s="174" t="s">
        <v>32</v>
      </c>
      <c r="T87" s="170" t="s">
        <v>32</v>
      </c>
      <c r="U87" s="171" t="s">
        <v>32</v>
      </c>
      <c r="V87" s="172" t="s">
        <v>32</v>
      </c>
      <c r="W87" s="173" t="s">
        <v>32</v>
      </c>
      <c r="X87" s="171" t="s">
        <v>32</v>
      </c>
      <c r="Y87" s="172" t="s">
        <v>32</v>
      </c>
      <c r="Z87" s="173" t="s">
        <v>32</v>
      </c>
      <c r="AA87" s="171">
        <v>7</v>
      </c>
      <c r="AB87" s="174">
        <v>6</v>
      </c>
      <c r="AD87" s="170">
        <v>4</v>
      </c>
      <c r="AE87" s="171">
        <v>1</v>
      </c>
      <c r="AF87" s="172" t="s">
        <v>32</v>
      </c>
      <c r="AG87" s="173" t="s">
        <v>32</v>
      </c>
      <c r="AH87" s="171" t="s">
        <v>32</v>
      </c>
      <c r="AI87" s="172" t="s">
        <v>32</v>
      </c>
      <c r="AJ87" s="173" t="s">
        <v>32</v>
      </c>
      <c r="AK87" s="171" t="s">
        <v>32</v>
      </c>
      <c r="AL87" s="174" t="s">
        <v>32</v>
      </c>
      <c r="AM87" s="170" t="s">
        <v>32</v>
      </c>
      <c r="AN87" s="171" t="s">
        <v>32</v>
      </c>
      <c r="AO87" s="172">
        <v>2</v>
      </c>
      <c r="AP87" s="173">
        <v>9</v>
      </c>
      <c r="AQ87" s="171">
        <v>3</v>
      </c>
      <c r="AR87" s="172">
        <v>8</v>
      </c>
      <c r="AS87" s="173">
        <v>5</v>
      </c>
      <c r="AT87" s="171" t="s">
        <v>32</v>
      </c>
      <c r="AU87" s="174" t="s">
        <v>32</v>
      </c>
      <c r="AV87" s="170" t="s">
        <v>32</v>
      </c>
      <c r="AW87" s="171" t="s">
        <v>32</v>
      </c>
      <c r="AX87" s="172" t="s">
        <v>32</v>
      </c>
      <c r="AY87" s="173" t="s">
        <v>32</v>
      </c>
      <c r="AZ87" s="171" t="s">
        <v>32</v>
      </c>
      <c r="BA87" s="172" t="s">
        <v>32</v>
      </c>
      <c r="BB87" s="173" t="s">
        <v>32</v>
      </c>
      <c r="BC87" s="171">
        <v>7</v>
      </c>
      <c r="BD87" s="174">
        <v>6</v>
      </c>
      <c r="BF87" s="2">
        <v>4</v>
      </c>
      <c r="BG87" s="5">
        <v>1</v>
      </c>
      <c r="BH87" s="3" t="s">
        <v>32</v>
      </c>
      <c r="BI87" s="4" t="s">
        <v>32</v>
      </c>
      <c r="BJ87" s="5" t="s">
        <v>32</v>
      </c>
      <c r="BK87" s="3" t="s">
        <v>32</v>
      </c>
      <c r="BL87" s="4" t="s">
        <v>32</v>
      </c>
      <c r="BM87" s="5" t="s">
        <v>32</v>
      </c>
      <c r="BN87" s="6" t="s">
        <v>32</v>
      </c>
      <c r="BO87" s="2" t="s">
        <v>32</v>
      </c>
      <c r="BP87" s="5" t="s">
        <v>32</v>
      </c>
      <c r="BQ87" s="3">
        <v>2</v>
      </c>
      <c r="BR87" s="4">
        <v>8</v>
      </c>
      <c r="BS87" s="5">
        <v>9</v>
      </c>
      <c r="BT87" s="3">
        <v>3</v>
      </c>
      <c r="BU87" s="4">
        <v>5</v>
      </c>
      <c r="BV87" s="5" t="s">
        <v>32</v>
      </c>
      <c r="BW87" s="6" t="s">
        <v>32</v>
      </c>
      <c r="BX87" s="2" t="s">
        <v>32</v>
      </c>
      <c r="BY87" s="5" t="s">
        <v>32</v>
      </c>
      <c r="BZ87" s="3" t="s">
        <v>32</v>
      </c>
      <c r="CA87" s="4" t="s">
        <v>32</v>
      </c>
      <c r="CB87" s="5" t="s">
        <v>32</v>
      </c>
      <c r="CC87" s="3" t="s">
        <v>32</v>
      </c>
      <c r="CD87" s="4" t="s">
        <v>32</v>
      </c>
      <c r="CE87" s="5">
        <v>7</v>
      </c>
      <c r="CF87" s="6">
        <v>6</v>
      </c>
    </row>
    <row r="88" spans="2:84" ht="15" customHeight="1">
      <c r="B88" s="175">
        <v>8</v>
      </c>
      <c r="C88" s="176">
        <v>5</v>
      </c>
      <c r="D88" s="177">
        <v>9</v>
      </c>
      <c r="E88" s="178" t="s">
        <v>32</v>
      </c>
      <c r="F88" s="179" t="s">
        <v>32</v>
      </c>
      <c r="G88" s="180" t="s">
        <v>32</v>
      </c>
      <c r="H88" s="178" t="s">
        <v>32</v>
      </c>
      <c r="I88" s="179" t="s">
        <v>32</v>
      </c>
      <c r="J88" s="181" t="s">
        <v>32</v>
      </c>
      <c r="K88" s="175" t="s">
        <v>32</v>
      </c>
      <c r="L88" s="179" t="s">
        <v>32</v>
      </c>
      <c r="M88" s="180" t="s">
        <v>32</v>
      </c>
      <c r="N88" s="182">
        <v>7</v>
      </c>
      <c r="O88" s="179">
        <v>6</v>
      </c>
      <c r="P88" s="177">
        <v>1</v>
      </c>
      <c r="Q88" s="178" t="s">
        <v>32</v>
      </c>
      <c r="R88" s="179" t="s">
        <v>32</v>
      </c>
      <c r="S88" s="181" t="s">
        <v>32</v>
      </c>
      <c r="T88" s="175" t="s">
        <v>32</v>
      </c>
      <c r="U88" s="179" t="s">
        <v>32</v>
      </c>
      <c r="V88" s="180" t="s">
        <v>32</v>
      </c>
      <c r="W88" s="178" t="s">
        <v>32</v>
      </c>
      <c r="X88" s="179" t="s">
        <v>32</v>
      </c>
      <c r="Y88" s="180" t="s">
        <v>32</v>
      </c>
      <c r="Z88" s="182">
        <v>3</v>
      </c>
      <c r="AA88" s="176">
        <v>4</v>
      </c>
      <c r="AB88" s="181">
        <v>2</v>
      </c>
      <c r="AD88" s="175">
        <v>8</v>
      </c>
      <c r="AE88" s="176">
        <v>5</v>
      </c>
      <c r="AF88" s="177">
        <v>9</v>
      </c>
      <c r="AG88" s="178" t="s">
        <v>32</v>
      </c>
      <c r="AH88" s="179" t="s">
        <v>32</v>
      </c>
      <c r="AI88" s="180" t="s">
        <v>32</v>
      </c>
      <c r="AJ88" s="178" t="s">
        <v>32</v>
      </c>
      <c r="AK88" s="179" t="s">
        <v>32</v>
      </c>
      <c r="AL88" s="181" t="s">
        <v>32</v>
      </c>
      <c r="AM88" s="175" t="s">
        <v>32</v>
      </c>
      <c r="AN88" s="179" t="s">
        <v>32</v>
      </c>
      <c r="AO88" s="180" t="s">
        <v>32</v>
      </c>
      <c r="AP88" s="182">
        <v>7</v>
      </c>
      <c r="AQ88" s="179">
        <v>6</v>
      </c>
      <c r="AR88" s="177">
        <v>1</v>
      </c>
      <c r="AS88" s="178" t="s">
        <v>32</v>
      </c>
      <c r="AT88" s="179" t="s">
        <v>32</v>
      </c>
      <c r="AU88" s="181" t="s">
        <v>32</v>
      </c>
      <c r="AV88" s="175" t="s">
        <v>32</v>
      </c>
      <c r="AW88" s="179" t="s">
        <v>32</v>
      </c>
      <c r="AX88" s="180" t="s">
        <v>32</v>
      </c>
      <c r="AY88" s="178" t="s">
        <v>32</v>
      </c>
      <c r="AZ88" s="179" t="s">
        <v>32</v>
      </c>
      <c r="BA88" s="180" t="s">
        <v>32</v>
      </c>
      <c r="BB88" s="182">
        <v>3</v>
      </c>
      <c r="BC88" s="176">
        <v>4</v>
      </c>
      <c r="BD88" s="181">
        <v>2</v>
      </c>
      <c r="BF88" s="11">
        <v>8</v>
      </c>
      <c r="BG88" s="204">
        <v>5</v>
      </c>
      <c r="BH88" s="205">
        <v>9</v>
      </c>
      <c r="BI88" s="8" t="s">
        <v>32</v>
      </c>
      <c r="BJ88" s="7" t="s">
        <v>32</v>
      </c>
      <c r="BK88" s="9" t="s">
        <v>32</v>
      </c>
      <c r="BL88" s="8" t="s">
        <v>32</v>
      </c>
      <c r="BM88" s="7" t="s">
        <v>32</v>
      </c>
      <c r="BN88" s="10" t="s">
        <v>32</v>
      </c>
      <c r="BO88" s="11" t="s">
        <v>32</v>
      </c>
      <c r="BP88" s="7" t="s">
        <v>32</v>
      </c>
      <c r="BQ88" s="9" t="s">
        <v>32</v>
      </c>
      <c r="BR88" s="206">
        <v>7</v>
      </c>
      <c r="BS88" s="7">
        <v>6</v>
      </c>
      <c r="BT88" s="205">
        <v>1</v>
      </c>
      <c r="BU88" s="8" t="s">
        <v>32</v>
      </c>
      <c r="BV88" s="7" t="s">
        <v>32</v>
      </c>
      <c r="BW88" s="10" t="s">
        <v>32</v>
      </c>
      <c r="BX88" s="11" t="s">
        <v>32</v>
      </c>
      <c r="BY88" s="7" t="s">
        <v>32</v>
      </c>
      <c r="BZ88" s="9" t="s">
        <v>32</v>
      </c>
      <c r="CA88" s="8" t="s">
        <v>32</v>
      </c>
      <c r="CB88" s="7" t="s">
        <v>32</v>
      </c>
      <c r="CC88" s="9" t="s">
        <v>32</v>
      </c>
      <c r="CD88" s="206">
        <v>3</v>
      </c>
      <c r="CE88" s="204">
        <v>4</v>
      </c>
      <c r="CF88" s="10">
        <v>2</v>
      </c>
    </row>
    <row r="89" spans="2:84" ht="15" customHeight="1">
      <c r="B89" s="183" t="s">
        <v>32</v>
      </c>
      <c r="C89" s="184">
        <v>3</v>
      </c>
      <c r="D89" s="185">
        <v>6</v>
      </c>
      <c r="E89" s="186">
        <v>2</v>
      </c>
      <c r="F89" s="184" t="s">
        <v>32</v>
      </c>
      <c r="G89" s="185" t="s">
        <v>32</v>
      </c>
      <c r="H89" s="187" t="s">
        <v>32</v>
      </c>
      <c r="I89" s="184" t="s">
        <v>32</v>
      </c>
      <c r="J89" s="188" t="s">
        <v>32</v>
      </c>
      <c r="K89" s="183" t="s">
        <v>32</v>
      </c>
      <c r="L89" s="184" t="s">
        <v>32</v>
      </c>
      <c r="M89" s="185" t="s">
        <v>32</v>
      </c>
      <c r="N89" s="187" t="s">
        <v>32</v>
      </c>
      <c r="O89" s="184">
        <v>4</v>
      </c>
      <c r="P89" s="185" t="s">
        <v>32</v>
      </c>
      <c r="Q89" s="187" t="s">
        <v>32</v>
      </c>
      <c r="R89" s="184" t="s">
        <v>32</v>
      </c>
      <c r="S89" s="188" t="s">
        <v>32</v>
      </c>
      <c r="T89" s="183" t="s">
        <v>32</v>
      </c>
      <c r="U89" s="184" t="s">
        <v>32</v>
      </c>
      <c r="V89" s="185" t="s">
        <v>32</v>
      </c>
      <c r="W89" s="187" t="s">
        <v>32</v>
      </c>
      <c r="X89" s="184" t="s">
        <v>32</v>
      </c>
      <c r="Y89" s="189">
        <v>5</v>
      </c>
      <c r="Z89" s="187">
        <v>8</v>
      </c>
      <c r="AA89" s="184">
        <v>9</v>
      </c>
      <c r="AB89" s="188" t="s">
        <v>32</v>
      </c>
      <c r="AD89" s="183" t="s">
        <v>32</v>
      </c>
      <c r="AE89" s="184">
        <v>3</v>
      </c>
      <c r="AF89" s="185">
        <v>6</v>
      </c>
      <c r="AG89" s="186">
        <v>2</v>
      </c>
      <c r="AH89" s="184" t="s">
        <v>32</v>
      </c>
      <c r="AI89" s="185" t="s">
        <v>32</v>
      </c>
      <c r="AJ89" s="187" t="s">
        <v>32</v>
      </c>
      <c r="AK89" s="184" t="s">
        <v>32</v>
      </c>
      <c r="AL89" s="188" t="s">
        <v>32</v>
      </c>
      <c r="AM89" s="183" t="s">
        <v>32</v>
      </c>
      <c r="AN89" s="184" t="s">
        <v>32</v>
      </c>
      <c r="AO89" s="185" t="s">
        <v>32</v>
      </c>
      <c r="AP89" s="187" t="s">
        <v>32</v>
      </c>
      <c r="AQ89" s="184">
        <v>4</v>
      </c>
      <c r="AR89" s="185" t="s">
        <v>32</v>
      </c>
      <c r="AS89" s="187" t="s">
        <v>32</v>
      </c>
      <c r="AT89" s="184" t="s">
        <v>32</v>
      </c>
      <c r="AU89" s="188" t="s">
        <v>32</v>
      </c>
      <c r="AV89" s="183" t="s">
        <v>32</v>
      </c>
      <c r="AW89" s="184" t="s">
        <v>32</v>
      </c>
      <c r="AX89" s="185" t="s">
        <v>32</v>
      </c>
      <c r="AY89" s="187" t="s">
        <v>32</v>
      </c>
      <c r="AZ89" s="184" t="s">
        <v>32</v>
      </c>
      <c r="BA89" s="189">
        <v>5</v>
      </c>
      <c r="BB89" s="187">
        <v>8</v>
      </c>
      <c r="BC89" s="184">
        <v>9</v>
      </c>
      <c r="BD89" s="188" t="s">
        <v>32</v>
      </c>
      <c r="BF89" s="12" t="s">
        <v>32</v>
      </c>
      <c r="BG89" s="13">
        <v>3</v>
      </c>
      <c r="BH89" s="15">
        <v>6</v>
      </c>
      <c r="BI89" s="207">
        <v>2</v>
      </c>
      <c r="BJ89" s="13" t="s">
        <v>32</v>
      </c>
      <c r="BK89" s="15" t="s">
        <v>32</v>
      </c>
      <c r="BL89" s="14" t="s">
        <v>32</v>
      </c>
      <c r="BM89" s="13" t="s">
        <v>32</v>
      </c>
      <c r="BN89" s="1" t="s">
        <v>32</v>
      </c>
      <c r="BO89" s="12" t="s">
        <v>32</v>
      </c>
      <c r="BP89" s="13" t="s">
        <v>32</v>
      </c>
      <c r="BQ89" s="15" t="s">
        <v>32</v>
      </c>
      <c r="BR89" s="14" t="s">
        <v>32</v>
      </c>
      <c r="BS89" s="13">
        <v>4</v>
      </c>
      <c r="BT89" s="15" t="s">
        <v>32</v>
      </c>
      <c r="BU89" s="14" t="s">
        <v>32</v>
      </c>
      <c r="BV89" s="13" t="s">
        <v>32</v>
      </c>
      <c r="BW89" s="1" t="s">
        <v>32</v>
      </c>
      <c r="BX89" s="12" t="s">
        <v>32</v>
      </c>
      <c r="BY89" s="13" t="s">
        <v>32</v>
      </c>
      <c r="BZ89" s="15" t="s">
        <v>32</v>
      </c>
      <c r="CA89" s="14" t="s">
        <v>32</v>
      </c>
      <c r="CB89" s="13" t="s">
        <v>32</v>
      </c>
      <c r="CC89" s="208">
        <v>5</v>
      </c>
      <c r="CD89" s="14">
        <v>8</v>
      </c>
      <c r="CE89" s="13">
        <v>9</v>
      </c>
      <c r="CF89" s="1" t="s">
        <v>32</v>
      </c>
    </row>
    <row r="90" spans="2:84" ht="15" customHeight="1">
      <c r="B90" s="190" t="s">
        <v>32</v>
      </c>
      <c r="C90" s="191" t="s">
        <v>32</v>
      </c>
      <c r="D90" s="192">
        <v>7</v>
      </c>
      <c r="E90" s="193" t="s">
        <v>32</v>
      </c>
      <c r="F90" s="191" t="s">
        <v>32</v>
      </c>
      <c r="G90" s="194" t="s">
        <v>32</v>
      </c>
      <c r="H90" s="193" t="s">
        <v>32</v>
      </c>
      <c r="I90" s="191" t="s">
        <v>32</v>
      </c>
      <c r="J90" s="195" t="s">
        <v>32</v>
      </c>
      <c r="K90" s="190" t="s">
        <v>32</v>
      </c>
      <c r="L90" s="191" t="s">
        <v>32</v>
      </c>
      <c r="M90" s="194" t="s">
        <v>32</v>
      </c>
      <c r="N90" s="193" t="s">
        <v>32</v>
      </c>
      <c r="O90" s="191" t="s">
        <v>32</v>
      </c>
      <c r="P90" s="194" t="s">
        <v>32</v>
      </c>
      <c r="Q90" s="193" t="s">
        <v>32</v>
      </c>
      <c r="R90" s="191" t="s">
        <v>32</v>
      </c>
      <c r="S90" s="195" t="s">
        <v>32</v>
      </c>
      <c r="T90" s="190" t="s">
        <v>32</v>
      </c>
      <c r="U90" s="191" t="s">
        <v>32</v>
      </c>
      <c r="V90" s="194" t="s">
        <v>32</v>
      </c>
      <c r="W90" s="193" t="s">
        <v>32</v>
      </c>
      <c r="X90" s="191" t="s">
        <v>32</v>
      </c>
      <c r="Y90" s="194" t="s">
        <v>32</v>
      </c>
      <c r="Z90" s="196">
        <v>1</v>
      </c>
      <c r="AA90" s="191" t="s">
        <v>32</v>
      </c>
      <c r="AB90" s="195" t="s">
        <v>32</v>
      </c>
      <c r="AD90" s="190" t="s">
        <v>32</v>
      </c>
      <c r="AE90" s="191" t="s">
        <v>32</v>
      </c>
      <c r="AF90" s="192">
        <v>7</v>
      </c>
      <c r="AG90" s="193" t="s">
        <v>32</v>
      </c>
      <c r="AH90" s="191" t="s">
        <v>32</v>
      </c>
      <c r="AI90" s="194" t="s">
        <v>32</v>
      </c>
      <c r="AJ90" s="193" t="s">
        <v>32</v>
      </c>
      <c r="AK90" s="191" t="s">
        <v>32</v>
      </c>
      <c r="AL90" s="195" t="s">
        <v>32</v>
      </c>
      <c r="AM90" s="190" t="s">
        <v>32</v>
      </c>
      <c r="AN90" s="191" t="s">
        <v>32</v>
      </c>
      <c r="AO90" s="194" t="s">
        <v>32</v>
      </c>
      <c r="AP90" s="193" t="s">
        <v>32</v>
      </c>
      <c r="AQ90" s="191" t="s">
        <v>32</v>
      </c>
      <c r="AR90" s="194" t="s">
        <v>32</v>
      </c>
      <c r="AS90" s="193" t="s">
        <v>32</v>
      </c>
      <c r="AT90" s="191" t="s">
        <v>32</v>
      </c>
      <c r="AU90" s="195" t="s">
        <v>32</v>
      </c>
      <c r="AV90" s="190" t="s">
        <v>32</v>
      </c>
      <c r="AW90" s="191" t="s">
        <v>32</v>
      </c>
      <c r="AX90" s="194" t="s">
        <v>32</v>
      </c>
      <c r="AY90" s="193" t="s">
        <v>32</v>
      </c>
      <c r="AZ90" s="191" t="s">
        <v>32</v>
      </c>
      <c r="BA90" s="194" t="s">
        <v>32</v>
      </c>
      <c r="BB90" s="196">
        <v>1</v>
      </c>
      <c r="BC90" s="191" t="s">
        <v>32</v>
      </c>
      <c r="BD90" s="195" t="s">
        <v>32</v>
      </c>
      <c r="BF90" s="16" t="s">
        <v>32</v>
      </c>
      <c r="BG90" s="17" t="s">
        <v>32</v>
      </c>
      <c r="BH90" s="209">
        <v>7</v>
      </c>
      <c r="BI90" s="19" t="s">
        <v>32</v>
      </c>
      <c r="BJ90" s="17" t="s">
        <v>32</v>
      </c>
      <c r="BK90" s="18" t="s">
        <v>32</v>
      </c>
      <c r="BL90" s="19" t="s">
        <v>32</v>
      </c>
      <c r="BM90" s="17" t="s">
        <v>32</v>
      </c>
      <c r="BN90" s="20" t="s">
        <v>32</v>
      </c>
      <c r="BO90" s="16" t="s">
        <v>32</v>
      </c>
      <c r="BP90" s="17" t="s">
        <v>32</v>
      </c>
      <c r="BQ90" s="18" t="s">
        <v>32</v>
      </c>
      <c r="BR90" s="19" t="s">
        <v>32</v>
      </c>
      <c r="BS90" s="17" t="s">
        <v>32</v>
      </c>
      <c r="BT90" s="18" t="s">
        <v>32</v>
      </c>
      <c r="BU90" s="19" t="s">
        <v>32</v>
      </c>
      <c r="BV90" s="17" t="s">
        <v>32</v>
      </c>
      <c r="BW90" s="20" t="s">
        <v>32</v>
      </c>
      <c r="BX90" s="16" t="s">
        <v>32</v>
      </c>
      <c r="BY90" s="17" t="s">
        <v>32</v>
      </c>
      <c r="BZ90" s="18" t="s">
        <v>32</v>
      </c>
      <c r="CA90" s="19" t="s">
        <v>32</v>
      </c>
      <c r="CB90" s="17" t="s">
        <v>32</v>
      </c>
      <c r="CC90" s="18" t="s">
        <v>32</v>
      </c>
      <c r="CD90" s="210">
        <v>1</v>
      </c>
      <c r="CE90" s="17" t="s">
        <v>32</v>
      </c>
      <c r="CF90" s="20" t="s">
        <v>32</v>
      </c>
    </row>
    <row r="91" spans="2:84" ht="15" customHeight="1">
      <c r="B91" s="175" t="s">
        <v>32</v>
      </c>
      <c r="C91" s="179" t="s">
        <v>32</v>
      </c>
      <c r="D91" s="180" t="s">
        <v>32</v>
      </c>
      <c r="E91" s="178" t="s">
        <v>32</v>
      </c>
      <c r="F91" s="179" t="s">
        <v>32</v>
      </c>
      <c r="G91" s="180" t="s">
        <v>32</v>
      </c>
      <c r="H91" s="178" t="s">
        <v>32</v>
      </c>
      <c r="I91" s="179" t="s">
        <v>32</v>
      </c>
      <c r="J91" s="181" t="s">
        <v>32</v>
      </c>
      <c r="K91" s="175" t="s">
        <v>32</v>
      </c>
      <c r="L91" s="179" t="s">
        <v>32</v>
      </c>
      <c r="M91" s="180" t="s">
        <v>32</v>
      </c>
      <c r="N91" s="178" t="s">
        <v>32</v>
      </c>
      <c r="O91" s="179" t="s">
        <v>32</v>
      </c>
      <c r="P91" s="180" t="s">
        <v>32</v>
      </c>
      <c r="Q91" s="178" t="s">
        <v>32</v>
      </c>
      <c r="R91" s="179" t="s">
        <v>32</v>
      </c>
      <c r="S91" s="181" t="s">
        <v>32</v>
      </c>
      <c r="T91" s="175" t="s">
        <v>32</v>
      </c>
      <c r="U91" s="179" t="s">
        <v>32</v>
      </c>
      <c r="V91" s="180" t="s">
        <v>32</v>
      </c>
      <c r="W91" s="178" t="s">
        <v>32</v>
      </c>
      <c r="X91" s="179" t="s">
        <v>32</v>
      </c>
      <c r="Y91" s="180" t="s">
        <v>32</v>
      </c>
      <c r="Z91" s="178" t="s">
        <v>32</v>
      </c>
      <c r="AA91" s="179" t="s">
        <v>32</v>
      </c>
      <c r="AB91" s="181" t="s">
        <v>32</v>
      </c>
      <c r="AD91" s="175" t="s">
        <v>32</v>
      </c>
      <c r="AE91" s="179" t="s">
        <v>32</v>
      </c>
      <c r="AF91" s="180" t="s">
        <v>32</v>
      </c>
      <c r="AG91" s="178" t="s">
        <v>32</v>
      </c>
      <c r="AH91" s="179" t="s">
        <v>32</v>
      </c>
      <c r="AI91" s="180" t="s">
        <v>32</v>
      </c>
      <c r="AJ91" s="178" t="s">
        <v>32</v>
      </c>
      <c r="AK91" s="179" t="s">
        <v>32</v>
      </c>
      <c r="AL91" s="181" t="s">
        <v>32</v>
      </c>
      <c r="AM91" s="175" t="s">
        <v>32</v>
      </c>
      <c r="AN91" s="179" t="s">
        <v>32</v>
      </c>
      <c r="AO91" s="180" t="s">
        <v>32</v>
      </c>
      <c r="AP91" s="178" t="s">
        <v>32</v>
      </c>
      <c r="AQ91" s="179" t="s">
        <v>32</v>
      </c>
      <c r="AR91" s="180" t="s">
        <v>32</v>
      </c>
      <c r="AS91" s="178" t="s">
        <v>32</v>
      </c>
      <c r="AT91" s="179" t="s">
        <v>32</v>
      </c>
      <c r="AU91" s="181" t="s">
        <v>32</v>
      </c>
      <c r="AV91" s="175" t="s">
        <v>32</v>
      </c>
      <c r="AW91" s="179" t="s">
        <v>32</v>
      </c>
      <c r="AX91" s="180" t="s">
        <v>32</v>
      </c>
      <c r="AY91" s="178" t="s">
        <v>32</v>
      </c>
      <c r="AZ91" s="179" t="s">
        <v>32</v>
      </c>
      <c r="BA91" s="180" t="s">
        <v>32</v>
      </c>
      <c r="BB91" s="178" t="s">
        <v>32</v>
      </c>
      <c r="BC91" s="179" t="s">
        <v>32</v>
      </c>
      <c r="BD91" s="181" t="s">
        <v>32</v>
      </c>
      <c r="BF91" s="11" t="s">
        <v>32</v>
      </c>
      <c r="BG91" s="7" t="s">
        <v>32</v>
      </c>
      <c r="BH91" s="9" t="s">
        <v>32</v>
      </c>
      <c r="BI91" s="8" t="s">
        <v>32</v>
      </c>
      <c r="BJ91" s="7" t="s">
        <v>32</v>
      </c>
      <c r="BK91" s="9" t="s">
        <v>32</v>
      </c>
      <c r="BL91" s="8" t="s">
        <v>32</v>
      </c>
      <c r="BM91" s="7" t="s">
        <v>32</v>
      </c>
      <c r="BN91" s="10" t="s">
        <v>32</v>
      </c>
      <c r="BO91" s="11" t="s">
        <v>32</v>
      </c>
      <c r="BP91" s="7" t="s">
        <v>32</v>
      </c>
      <c r="BQ91" s="9" t="s">
        <v>32</v>
      </c>
      <c r="BR91" s="8" t="s">
        <v>32</v>
      </c>
      <c r="BS91" s="7" t="s">
        <v>32</v>
      </c>
      <c r="BT91" s="9" t="s">
        <v>32</v>
      </c>
      <c r="BU91" s="8" t="s">
        <v>32</v>
      </c>
      <c r="BV91" s="7" t="s">
        <v>32</v>
      </c>
      <c r="BW91" s="10" t="s">
        <v>32</v>
      </c>
      <c r="BX91" s="11" t="s">
        <v>32</v>
      </c>
      <c r="BY91" s="7" t="s">
        <v>32</v>
      </c>
      <c r="BZ91" s="9" t="s">
        <v>32</v>
      </c>
      <c r="CA91" s="8" t="s">
        <v>32</v>
      </c>
      <c r="CB91" s="7" t="s">
        <v>32</v>
      </c>
      <c r="CC91" s="9" t="s">
        <v>32</v>
      </c>
      <c r="CD91" s="8" t="s">
        <v>32</v>
      </c>
      <c r="CE91" s="7" t="s">
        <v>32</v>
      </c>
      <c r="CF91" s="10" t="s">
        <v>32</v>
      </c>
    </row>
    <row r="92" spans="2:84" ht="15" customHeight="1">
      <c r="B92" s="183" t="s">
        <v>32</v>
      </c>
      <c r="C92" s="184" t="s">
        <v>32</v>
      </c>
      <c r="D92" s="185" t="s">
        <v>32</v>
      </c>
      <c r="E92" s="187" t="s">
        <v>32</v>
      </c>
      <c r="F92" s="184" t="s">
        <v>32</v>
      </c>
      <c r="G92" s="185" t="s">
        <v>32</v>
      </c>
      <c r="H92" s="187" t="s">
        <v>32</v>
      </c>
      <c r="I92" s="184" t="s">
        <v>32</v>
      </c>
      <c r="J92" s="188" t="s">
        <v>32</v>
      </c>
      <c r="K92" s="183" t="s">
        <v>32</v>
      </c>
      <c r="L92" s="184" t="s">
        <v>32</v>
      </c>
      <c r="M92" s="185" t="s">
        <v>32</v>
      </c>
      <c r="N92" s="187" t="s">
        <v>32</v>
      </c>
      <c r="O92" s="184" t="s">
        <v>32</v>
      </c>
      <c r="P92" s="185" t="s">
        <v>32</v>
      </c>
      <c r="Q92" s="187" t="s">
        <v>32</v>
      </c>
      <c r="R92" s="184" t="s">
        <v>32</v>
      </c>
      <c r="S92" s="188" t="s">
        <v>32</v>
      </c>
      <c r="T92" s="183" t="s">
        <v>32</v>
      </c>
      <c r="U92" s="184" t="s">
        <v>32</v>
      </c>
      <c r="V92" s="185" t="s">
        <v>32</v>
      </c>
      <c r="W92" s="187" t="s">
        <v>32</v>
      </c>
      <c r="X92" s="184" t="s">
        <v>32</v>
      </c>
      <c r="Y92" s="185" t="s">
        <v>32</v>
      </c>
      <c r="Z92" s="187" t="s">
        <v>32</v>
      </c>
      <c r="AA92" s="184" t="s">
        <v>32</v>
      </c>
      <c r="AB92" s="188" t="s">
        <v>32</v>
      </c>
      <c r="AD92" s="183" t="s">
        <v>32</v>
      </c>
      <c r="AE92" s="184" t="s">
        <v>32</v>
      </c>
      <c r="AF92" s="185" t="s">
        <v>32</v>
      </c>
      <c r="AG92" s="187" t="s">
        <v>32</v>
      </c>
      <c r="AH92" s="184" t="s">
        <v>32</v>
      </c>
      <c r="AI92" s="185" t="s">
        <v>32</v>
      </c>
      <c r="AJ92" s="187" t="s">
        <v>32</v>
      </c>
      <c r="AK92" s="184" t="s">
        <v>32</v>
      </c>
      <c r="AL92" s="188" t="s">
        <v>32</v>
      </c>
      <c r="AM92" s="183" t="s">
        <v>32</v>
      </c>
      <c r="AN92" s="184" t="s">
        <v>32</v>
      </c>
      <c r="AO92" s="185" t="s">
        <v>32</v>
      </c>
      <c r="AP92" s="187" t="s">
        <v>32</v>
      </c>
      <c r="AQ92" s="184" t="s">
        <v>32</v>
      </c>
      <c r="AR92" s="185" t="s">
        <v>32</v>
      </c>
      <c r="AS92" s="187" t="s">
        <v>32</v>
      </c>
      <c r="AT92" s="184" t="s">
        <v>32</v>
      </c>
      <c r="AU92" s="188" t="s">
        <v>32</v>
      </c>
      <c r="AV92" s="183" t="s">
        <v>32</v>
      </c>
      <c r="AW92" s="184" t="s">
        <v>32</v>
      </c>
      <c r="AX92" s="185" t="s">
        <v>32</v>
      </c>
      <c r="AY92" s="187" t="s">
        <v>32</v>
      </c>
      <c r="AZ92" s="184" t="s">
        <v>32</v>
      </c>
      <c r="BA92" s="185" t="s">
        <v>32</v>
      </c>
      <c r="BB92" s="187" t="s">
        <v>32</v>
      </c>
      <c r="BC92" s="184" t="s">
        <v>32</v>
      </c>
      <c r="BD92" s="188" t="s">
        <v>32</v>
      </c>
      <c r="BF92" s="12" t="s">
        <v>32</v>
      </c>
      <c r="BG92" s="13" t="s">
        <v>32</v>
      </c>
      <c r="BH92" s="15" t="s">
        <v>32</v>
      </c>
      <c r="BI92" s="14" t="s">
        <v>32</v>
      </c>
      <c r="BJ92" s="13" t="s">
        <v>32</v>
      </c>
      <c r="BK92" s="15" t="s">
        <v>32</v>
      </c>
      <c r="BL92" s="14" t="s">
        <v>32</v>
      </c>
      <c r="BM92" s="13" t="s">
        <v>32</v>
      </c>
      <c r="BN92" s="1" t="s">
        <v>32</v>
      </c>
      <c r="BO92" s="12" t="s">
        <v>32</v>
      </c>
      <c r="BP92" s="13" t="s">
        <v>32</v>
      </c>
      <c r="BQ92" s="15" t="s">
        <v>32</v>
      </c>
      <c r="BR92" s="14" t="s">
        <v>32</v>
      </c>
      <c r="BS92" s="13" t="s">
        <v>32</v>
      </c>
      <c r="BT92" s="15" t="s">
        <v>32</v>
      </c>
      <c r="BU92" s="14" t="s">
        <v>32</v>
      </c>
      <c r="BV92" s="13" t="s">
        <v>32</v>
      </c>
      <c r="BW92" s="1" t="s">
        <v>32</v>
      </c>
      <c r="BX92" s="12" t="s">
        <v>32</v>
      </c>
      <c r="BY92" s="13" t="s">
        <v>32</v>
      </c>
      <c r="BZ92" s="15" t="s">
        <v>32</v>
      </c>
      <c r="CA92" s="14" t="s">
        <v>32</v>
      </c>
      <c r="CB92" s="13" t="s">
        <v>32</v>
      </c>
      <c r="CC92" s="15" t="s">
        <v>32</v>
      </c>
      <c r="CD92" s="14" t="s">
        <v>32</v>
      </c>
      <c r="CE92" s="13" t="s">
        <v>32</v>
      </c>
      <c r="CF92" s="1" t="s">
        <v>32</v>
      </c>
    </row>
    <row r="93" spans="2:84" ht="15" customHeight="1">
      <c r="B93" s="190" t="s">
        <v>32</v>
      </c>
      <c r="C93" s="191" t="s">
        <v>32</v>
      </c>
      <c r="D93" s="194" t="s">
        <v>32</v>
      </c>
      <c r="E93" s="193" t="s">
        <v>32</v>
      </c>
      <c r="F93" s="191" t="s">
        <v>32</v>
      </c>
      <c r="G93" s="194" t="s">
        <v>32</v>
      </c>
      <c r="H93" s="193" t="s">
        <v>32</v>
      </c>
      <c r="I93" s="191" t="s">
        <v>32</v>
      </c>
      <c r="J93" s="195" t="s">
        <v>32</v>
      </c>
      <c r="K93" s="190" t="s">
        <v>32</v>
      </c>
      <c r="L93" s="191" t="s">
        <v>32</v>
      </c>
      <c r="M93" s="194" t="s">
        <v>32</v>
      </c>
      <c r="N93" s="193" t="s">
        <v>32</v>
      </c>
      <c r="O93" s="191" t="s">
        <v>32</v>
      </c>
      <c r="P93" s="194" t="s">
        <v>32</v>
      </c>
      <c r="Q93" s="193" t="s">
        <v>32</v>
      </c>
      <c r="R93" s="191" t="s">
        <v>32</v>
      </c>
      <c r="S93" s="195" t="s">
        <v>32</v>
      </c>
      <c r="T93" s="190" t="s">
        <v>32</v>
      </c>
      <c r="U93" s="191" t="s">
        <v>32</v>
      </c>
      <c r="V93" s="194" t="s">
        <v>32</v>
      </c>
      <c r="W93" s="193" t="s">
        <v>32</v>
      </c>
      <c r="X93" s="191" t="s">
        <v>32</v>
      </c>
      <c r="Y93" s="194" t="s">
        <v>32</v>
      </c>
      <c r="Z93" s="193" t="s">
        <v>32</v>
      </c>
      <c r="AA93" s="191" t="s">
        <v>32</v>
      </c>
      <c r="AB93" s="195" t="s">
        <v>32</v>
      </c>
      <c r="AD93" s="190" t="s">
        <v>32</v>
      </c>
      <c r="AE93" s="191" t="s">
        <v>32</v>
      </c>
      <c r="AF93" s="194" t="s">
        <v>32</v>
      </c>
      <c r="AG93" s="193" t="s">
        <v>32</v>
      </c>
      <c r="AH93" s="191" t="s">
        <v>32</v>
      </c>
      <c r="AI93" s="194" t="s">
        <v>32</v>
      </c>
      <c r="AJ93" s="193" t="s">
        <v>32</v>
      </c>
      <c r="AK93" s="191" t="s">
        <v>32</v>
      </c>
      <c r="AL93" s="195" t="s">
        <v>32</v>
      </c>
      <c r="AM93" s="190" t="s">
        <v>32</v>
      </c>
      <c r="AN93" s="191" t="s">
        <v>32</v>
      </c>
      <c r="AO93" s="194" t="s">
        <v>32</v>
      </c>
      <c r="AP93" s="193" t="s">
        <v>32</v>
      </c>
      <c r="AQ93" s="191" t="s">
        <v>32</v>
      </c>
      <c r="AR93" s="194" t="s">
        <v>32</v>
      </c>
      <c r="AS93" s="193" t="s">
        <v>32</v>
      </c>
      <c r="AT93" s="191" t="s">
        <v>32</v>
      </c>
      <c r="AU93" s="195" t="s">
        <v>32</v>
      </c>
      <c r="AV93" s="190" t="s">
        <v>32</v>
      </c>
      <c r="AW93" s="191" t="s">
        <v>32</v>
      </c>
      <c r="AX93" s="194" t="s">
        <v>32</v>
      </c>
      <c r="AY93" s="193" t="s">
        <v>32</v>
      </c>
      <c r="AZ93" s="191" t="s">
        <v>32</v>
      </c>
      <c r="BA93" s="194" t="s">
        <v>32</v>
      </c>
      <c r="BB93" s="193" t="s">
        <v>32</v>
      </c>
      <c r="BC93" s="191" t="s">
        <v>32</v>
      </c>
      <c r="BD93" s="195" t="s">
        <v>32</v>
      </c>
      <c r="BF93" s="16" t="s">
        <v>32</v>
      </c>
      <c r="BG93" s="17" t="s">
        <v>32</v>
      </c>
      <c r="BH93" s="18" t="s">
        <v>32</v>
      </c>
      <c r="BI93" s="19" t="s">
        <v>32</v>
      </c>
      <c r="BJ93" s="17" t="s">
        <v>32</v>
      </c>
      <c r="BK93" s="18" t="s">
        <v>32</v>
      </c>
      <c r="BL93" s="19" t="s">
        <v>32</v>
      </c>
      <c r="BM93" s="17" t="s">
        <v>32</v>
      </c>
      <c r="BN93" s="20" t="s">
        <v>32</v>
      </c>
      <c r="BO93" s="16" t="s">
        <v>32</v>
      </c>
      <c r="BP93" s="17" t="s">
        <v>32</v>
      </c>
      <c r="BQ93" s="18" t="s">
        <v>32</v>
      </c>
      <c r="BR93" s="19" t="s">
        <v>32</v>
      </c>
      <c r="BS93" s="17" t="s">
        <v>32</v>
      </c>
      <c r="BT93" s="18" t="s">
        <v>32</v>
      </c>
      <c r="BU93" s="19" t="s">
        <v>32</v>
      </c>
      <c r="BV93" s="17" t="s">
        <v>32</v>
      </c>
      <c r="BW93" s="20" t="s">
        <v>32</v>
      </c>
      <c r="BX93" s="16" t="s">
        <v>32</v>
      </c>
      <c r="BY93" s="17" t="s">
        <v>32</v>
      </c>
      <c r="BZ93" s="18" t="s">
        <v>32</v>
      </c>
      <c r="CA93" s="19" t="s">
        <v>32</v>
      </c>
      <c r="CB93" s="17" t="s">
        <v>32</v>
      </c>
      <c r="CC93" s="18" t="s">
        <v>32</v>
      </c>
      <c r="CD93" s="19" t="s">
        <v>32</v>
      </c>
      <c r="CE93" s="17" t="s">
        <v>32</v>
      </c>
      <c r="CF93" s="20" t="s">
        <v>32</v>
      </c>
    </row>
    <row r="94" spans="2:84" ht="15" customHeight="1">
      <c r="B94" s="175" t="s">
        <v>32</v>
      </c>
      <c r="C94" s="179" t="s">
        <v>32</v>
      </c>
      <c r="D94" s="180" t="s">
        <v>32</v>
      </c>
      <c r="E94" s="178" t="s">
        <v>32</v>
      </c>
      <c r="F94" s="179" t="s">
        <v>32</v>
      </c>
      <c r="G94" s="180" t="s">
        <v>32</v>
      </c>
      <c r="H94" s="178" t="s">
        <v>32</v>
      </c>
      <c r="I94" s="179" t="s">
        <v>32</v>
      </c>
      <c r="J94" s="181" t="s">
        <v>32</v>
      </c>
      <c r="K94" s="175" t="s">
        <v>32</v>
      </c>
      <c r="L94" s="179" t="s">
        <v>32</v>
      </c>
      <c r="M94" s="180" t="s">
        <v>32</v>
      </c>
      <c r="N94" s="178" t="s">
        <v>32</v>
      </c>
      <c r="O94" s="179" t="s">
        <v>32</v>
      </c>
      <c r="P94" s="180" t="s">
        <v>32</v>
      </c>
      <c r="Q94" s="178" t="s">
        <v>32</v>
      </c>
      <c r="R94" s="179" t="s">
        <v>32</v>
      </c>
      <c r="S94" s="181" t="s">
        <v>32</v>
      </c>
      <c r="T94" s="175" t="s">
        <v>32</v>
      </c>
      <c r="U94" s="179" t="s">
        <v>32</v>
      </c>
      <c r="V94" s="180" t="s">
        <v>32</v>
      </c>
      <c r="W94" s="178" t="s">
        <v>32</v>
      </c>
      <c r="X94" s="179" t="s">
        <v>32</v>
      </c>
      <c r="Y94" s="180" t="s">
        <v>32</v>
      </c>
      <c r="Z94" s="178" t="s">
        <v>32</v>
      </c>
      <c r="AA94" s="179" t="s">
        <v>32</v>
      </c>
      <c r="AB94" s="181" t="s">
        <v>32</v>
      </c>
      <c r="AD94" s="175" t="s">
        <v>32</v>
      </c>
      <c r="AE94" s="179" t="s">
        <v>32</v>
      </c>
      <c r="AF94" s="180" t="s">
        <v>32</v>
      </c>
      <c r="AG94" s="178" t="s">
        <v>32</v>
      </c>
      <c r="AH94" s="179" t="s">
        <v>32</v>
      </c>
      <c r="AI94" s="180" t="s">
        <v>32</v>
      </c>
      <c r="AJ94" s="178" t="s">
        <v>32</v>
      </c>
      <c r="AK94" s="179" t="s">
        <v>32</v>
      </c>
      <c r="AL94" s="181" t="s">
        <v>32</v>
      </c>
      <c r="AM94" s="175" t="s">
        <v>32</v>
      </c>
      <c r="AN94" s="179" t="s">
        <v>32</v>
      </c>
      <c r="AO94" s="180" t="s">
        <v>32</v>
      </c>
      <c r="AP94" s="178" t="s">
        <v>32</v>
      </c>
      <c r="AQ94" s="179" t="s">
        <v>32</v>
      </c>
      <c r="AR94" s="180" t="s">
        <v>32</v>
      </c>
      <c r="AS94" s="178" t="s">
        <v>32</v>
      </c>
      <c r="AT94" s="179" t="s">
        <v>32</v>
      </c>
      <c r="AU94" s="181" t="s">
        <v>32</v>
      </c>
      <c r="AV94" s="175" t="s">
        <v>32</v>
      </c>
      <c r="AW94" s="179" t="s">
        <v>32</v>
      </c>
      <c r="AX94" s="180" t="s">
        <v>32</v>
      </c>
      <c r="AY94" s="178" t="s">
        <v>32</v>
      </c>
      <c r="AZ94" s="179" t="s">
        <v>32</v>
      </c>
      <c r="BA94" s="180" t="s">
        <v>32</v>
      </c>
      <c r="BB94" s="178" t="s">
        <v>32</v>
      </c>
      <c r="BC94" s="179" t="s">
        <v>32</v>
      </c>
      <c r="BD94" s="181" t="s">
        <v>32</v>
      </c>
      <c r="BF94" s="11" t="s">
        <v>32</v>
      </c>
      <c r="BG94" s="7" t="s">
        <v>32</v>
      </c>
      <c r="BH94" s="9" t="s">
        <v>32</v>
      </c>
      <c r="BI94" s="8" t="s">
        <v>32</v>
      </c>
      <c r="BJ94" s="7" t="s">
        <v>32</v>
      </c>
      <c r="BK94" s="9" t="s">
        <v>32</v>
      </c>
      <c r="BL94" s="8" t="s">
        <v>32</v>
      </c>
      <c r="BM94" s="7" t="s">
        <v>32</v>
      </c>
      <c r="BN94" s="10" t="s">
        <v>32</v>
      </c>
      <c r="BO94" s="11" t="s">
        <v>32</v>
      </c>
      <c r="BP94" s="7" t="s">
        <v>32</v>
      </c>
      <c r="BQ94" s="9" t="s">
        <v>32</v>
      </c>
      <c r="BR94" s="8" t="s">
        <v>32</v>
      </c>
      <c r="BS94" s="7" t="s">
        <v>32</v>
      </c>
      <c r="BT94" s="9" t="s">
        <v>32</v>
      </c>
      <c r="BU94" s="8" t="s">
        <v>32</v>
      </c>
      <c r="BV94" s="7" t="s">
        <v>32</v>
      </c>
      <c r="BW94" s="10" t="s">
        <v>32</v>
      </c>
      <c r="BX94" s="11" t="s">
        <v>32</v>
      </c>
      <c r="BY94" s="7" t="s">
        <v>32</v>
      </c>
      <c r="BZ94" s="9" t="s">
        <v>32</v>
      </c>
      <c r="CA94" s="8" t="s">
        <v>32</v>
      </c>
      <c r="CB94" s="7" t="s">
        <v>32</v>
      </c>
      <c r="CC94" s="9" t="s">
        <v>32</v>
      </c>
      <c r="CD94" s="8" t="s">
        <v>32</v>
      </c>
      <c r="CE94" s="7" t="s">
        <v>32</v>
      </c>
      <c r="CF94" s="10" t="s">
        <v>32</v>
      </c>
    </row>
    <row r="95" spans="2:84" ht="15" customHeight="1" thickBot="1">
      <c r="B95" s="197" t="s">
        <v>32</v>
      </c>
      <c r="C95" s="198" t="s">
        <v>32</v>
      </c>
      <c r="D95" s="199" t="s">
        <v>32</v>
      </c>
      <c r="E95" s="200" t="s">
        <v>32</v>
      </c>
      <c r="F95" s="198" t="s">
        <v>32</v>
      </c>
      <c r="G95" s="199" t="s">
        <v>32</v>
      </c>
      <c r="H95" s="200" t="s">
        <v>32</v>
      </c>
      <c r="I95" s="198" t="s">
        <v>32</v>
      </c>
      <c r="J95" s="201" t="s">
        <v>32</v>
      </c>
      <c r="K95" s="197" t="s">
        <v>32</v>
      </c>
      <c r="L95" s="198" t="s">
        <v>32</v>
      </c>
      <c r="M95" s="199" t="s">
        <v>32</v>
      </c>
      <c r="N95" s="200" t="s">
        <v>32</v>
      </c>
      <c r="O95" s="198" t="s">
        <v>32</v>
      </c>
      <c r="P95" s="199" t="s">
        <v>32</v>
      </c>
      <c r="Q95" s="200" t="s">
        <v>32</v>
      </c>
      <c r="R95" s="198" t="s">
        <v>32</v>
      </c>
      <c r="S95" s="201" t="s">
        <v>32</v>
      </c>
      <c r="T95" s="197" t="s">
        <v>32</v>
      </c>
      <c r="U95" s="198" t="s">
        <v>32</v>
      </c>
      <c r="V95" s="199" t="s">
        <v>32</v>
      </c>
      <c r="W95" s="200" t="s">
        <v>32</v>
      </c>
      <c r="X95" s="198" t="s">
        <v>32</v>
      </c>
      <c r="Y95" s="199" t="s">
        <v>32</v>
      </c>
      <c r="Z95" s="200" t="s">
        <v>32</v>
      </c>
      <c r="AA95" s="198" t="s">
        <v>32</v>
      </c>
      <c r="AB95" s="201" t="s">
        <v>32</v>
      </c>
      <c r="AD95" s="197" t="s">
        <v>32</v>
      </c>
      <c r="AE95" s="198" t="s">
        <v>32</v>
      </c>
      <c r="AF95" s="199" t="s">
        <v>32</v>
      </c>
      <c r="AG95" s="200" t="s">
        <v>32</v>
      </c>
      <c r="AH95" s="198" t="s">
        <v>32</v>
      </c>
      <c r="AI95" s="199" t="s">
        <v>32</v>
      </c>
      <c r="AJ95" s="200" t="s">
        <v>32</v>
      </c>
      <c r="AK95" s="198" t="s">
        <v>32</v>
      </c>
      <c r="AL95" s="201" t="s">
        <v>32</v>
      </c>
      <c r="AM95" s="197" t="s">
        <v>32</v>
      </c>
      <c r="AN95" s="198" t="s">
        <v>32</v>
      </c>
      <c r="AO95" s="199" t="s">
        <v>32</v>
      </c>
      <c r="AP95" s="200" t="s">
        <v>32</v>
      </c>
      <c r="AQ95" s="198" t="s">
        <v>32</v>
      </c>
      <c r="AR95" s="199" t="s">
        <v>32</v>
      </c>
      <c r="AS95" s="200" t="s">
        <v>32</v>
      </c>
      <c r="AT95" s="198" t="s">
        <v>32</v>
      </c>
      <c r="AU95" s="201" t="s">
        <v>32</v>
      </c>
      <c r="AV95" s="197" t="s">
        <v>32</v>
      </c>
      <c r="AW95" s="198" t="s">
        <v>32</v>
      </c>
      <c r="AX95" s="199" t="s">
        <v>32</v>
      </c>
      <c r="AY95" s="200" t="s">
        <v>32</v>
      </c>
      <c r="AZ95" s="198" t="s">
        <v>32</v>
      </c>
      <c r="BA95" s="199" t="s">
        <v>32</v>
      </c>
      <c r="BB95" s="200" t="s">
        <v>32</v>
      </c>
      <c r="BC95" s="198" t="s">
        <v>32</v>
      </c>
      <c r="BD95" s="201" t="s">
        <v>32</v>
      </c>
      <c r="BF95" s="21" t="s">
        <v>32</v>
      </c>
      <c r="BG95" s="22" t="s">
        <v>32</v>
      </c>
      <c r="BH95" s="23" t="s">
        <v>32</v>
      </c>
      <c r="BI95" s="24" t="s">
        <v>32</v>
      </c>
      <c r="BJ95" s="22" t="s">
        <v>32</v>
      </c>
      <c r="BK95" s="23" t="s">
        <v>32</v>
      </c>
      <c r="BL95" s="24" t="s">
        <v>32</v>
      </c>
      <c r="BM95" s="22" t="s">
        <v>32</v>
      </c>
      <c r="BN95" s="25" t="s">
        <v>32</v>
      </c>
      <c r="BO95" s="21" t="s">
        <v>32</v>
      </c>
      <c r="BP95" s="22" t="s">
        <v>32</v>
      </c>
      <c r="BQ95" s="23" t="s">
        <v>32</v>
      </c>
      <c r="BR95" s="24" t="s">
        <v>32</v>
      </c>
      <c r="BS95" s="22" t="s">
        <v>32</v>
      </c>
      <c r="BT95" s="23" t="s">
        <v>32</v>
      </c>
      <c r="BU95" s="24" t="s">
        <v>32</v>
      </c>
      <c r="BV95" s="22" t="s">
        <v>32</v>
      </c>
      <c r="BW95" s="25" t="s">
        <v>32</v>
      </c>
      <c r="BX95" s="21" t="s">
        <v>32</v>
      </c>
      <c r="BY95" s="22" t="s">
        <v>32</v>
      </c>
      <c r="BZ95" s="23" t="s">
        <v>32</v>
      </c>
      <c r="CA95" s="24" t="s">
        <v>32</v>
      </c>
      <c r="CB95" s="22" t="s">
        <v>32</v>
      </c>
      <c r="CC95" s="23" t="s">
        <v>32</v>
      </c>
      <c r="CD95" s="24" t="s">
        <v>32</v>
      </c>
      <c r="CE95" s="22" t="s">
        <v>32</v>
      </c>
      <c r="CF95" s="25" t="s">
        <v>32</v>
      </c>
    </row>
    <row r="96" spans="2:84" ht="15" customHeight="1">
      <c r="B96" s="170" t="s">
        <v>32</v>
      </c>
      <c r="C96" s="171" t="s">
        <v>32</v>
      </c>
      <c r="D96" s="172" t="s">
        <v>32</v>
      </c>
      <c r="E96" s="173" t="s">
        <v>32</v>
      </c>
      <c r="F96" s="171" t="s">
        <v>32</v>
      </c>
      <c r="G96" s="172" t="s">
        <v>32</v>
      </c>
      <c r="H96" s="173" t="s">
        <v>32</v>
      </c>
      <c r="I96" s="171" t="s">
        <v>32</v>
      </c>
      <c r="J96" s="174" t="s">
        <v>32</v>
      </c>
      <c r="K96" s="170" t="s">
        <v>32</v>
      </c>
      <c r="L96" s="171" t="s">
        <v>32</v>
      </c>
      <c r="M96" s="172" t="s">
        <v>32</v>
      </c>
      <c r="N96" s="173" t="s">
        <v>32</v>
      </c>
      <c r="O96" s="171" t="s">
        <v>32</v>
      </c>
      <c r="P96" s="172" t="s">
        <v>32</v>
      </c>
      <c r="Q96" s="173" t="s">
        <v>32</v>
      </c>
      <c r="R96" s="171" t="s">
        <v>32</v>
      </c>
      <c r="S96" s="174" t="s">
        <v>32</v>
      </c>
      <c r="T96" s="170" t="s">
        <v>32</v>
      </c>
      <c r="U96" s="171" t="s">
        <v>32</v>
      </c>
      <c r="V96" s="172" t="s">
        <v>32</v>
      </c>
      <c r="W96" s="173" t="s">
        <v>32</v>
      </c>
      <c r="X96" s="171" t="s">
        <v>32</v>
      </c>
      <c r="Y96" s="172" t="s">
        <v>32</v>
      </c>
      <c r="Z96" s="173" t="s">
        <v>32</v>
      </c>
      <c r="AA96" s="171" t="s">
        <v>32</v>
      </c>
      <c r="AB96" s="174" t="s">
        <v>32</v>
      </c>
      <c r="AD96" s="170" t="s">
        <v>32</v>
      </c>
      <c r="AE96" s="171" t="s">
        <v>32</v>
      </c>
      <c r="AF96" s="172" t="s">
        <v>32</v>
      </c>
      <c r="AG96" s="173" t="s">
        <v>32</v>
      </c>
      <c r="AH96" s="171" t="s">
        <v>32</v>
      </c>
      <c r="AI96" s="172" t="s">
        <v>32</v>
      </c>
      <c r="AJ96" s="173" t="s">
        <v>32</v>
      </c>
      <c r="AK96" s="171" t="s">
        <v>32</v>
      </c>
      <c r="AL96" s="174" t="s">
        <v>32</v>
      </c>
      <c r="AM96" s="170" t="s">
        <v>32</v>
      </c>
      <c r="AN96" s="171" t="s">
        <v>32</v>
      </c>
      <c r="AO96" s="172" t="s">
        <v>32</v>
      </c>
      <c r="AP96" s="173" t="s">
        <v>32</v>
      </c>
      <c r="AQ96" s="171" t="s">
        <v>32</v>
      </c>
      <c r="AR96" s="172" t="s">
        <v>32</v>
      </c>
      <c r="AS96" s="173" t="s">
        <v>32</v>
      </c>
      <c r="AT96" s="171" t="s">
        <v>32</v>
      </c>
      <c r="AU96" s="174" t="s">
        <v>32</v>
      </c>
      <c r="AV96" s="170" t="s">
        <v>32</v>
      </c>
      <c r="AW96" s="171" t="s">
        <v>32</v>
      </c>
      <c r="AX96" s="172" t="s">
        <v>32</v>
      </c>
      <c r="AY96" s="173" t="s">
        <v>32</v>
      </c>
      <c r="AZ96" s="171" t="s">
        <v>32</v>
      </c>
      <c r="BA96" s="172" t="s">
        <v>32</v>
      </c>
      <c r="BB96" s="173" t="s">
        <v>32</v>
      </c>
      <c r="BC96" s="171" t="s">
        <v>32</v>
      </c>
      <c r="BD96" s="174" t="s">
        <v>32</v>
      </c>
      <c r="BF96" s="2" t="s">
        <v>32</v>
      </c>
      <c r="BG96" s="5" t="s">
        <v>32</v>
      </c>
      <c r="BH96" s="3" t="s">
        <v>32</v>
      </c>
      <c r="BI96" s="4" t="s">
        <v>32</v>
      </c>
      <c r="BJ96" s="5" t="s">
        <v>32</v>
      </c>
      <c r="BK96" s="3" t="s">
        <v>32</v>
      </c>
      <c r="BL96" s="4" t="s">
        <v>32</v>
      </c>
      <c r="BM96" s="5" t="s">
        <v>32</v>
      </c>
      <c r="BN96" s="6" t="s">
        <v>32</v>
      </c>
      <c r="BO96" s="2" t="s">
        <v>32</v>
      </c>
      <c r="BP96" s="5" t="s">
        <v>32</v>
      </c>
      <c r="BQ96" s="3" t="s">
        <v>32</v>
      </c>
      <c r="BR96" s="4" t="s">
        <v>32</v>
      </c>
      <c r="BS96" s="5" t="s">
        <v>32</v>
      </c>
      <c r="BT96" s="3" t="s">
        <v>32</v>
      </c>
      <c r="BU96" s="4" t="s">
        <v>32</v>
      </c>
      <c r="BV96" s="5" t="s">
        <v>32</v>
      </c>
      <c r="BW96" s="6" t="s">
        <v>32</v>
      </c>
      <c r="BX96" s="2" t="s">
        <v>32</v>
      </c>
      <c r="BY96" s="5" t="s">
        <v>32</v>
      </c>
      <c r="BZ96" s="3" t="s">
        <v>32</v>
      </c>
      <c r="CA96" s="4" t="s">
        <v>32</v>
      </c>
      <c r="CB96" s="5" t="s">
        <v>32</v>
      </c>
      <c r="CC96" s="3" t="s">
        <v>32</v>
      </c>
      <c r="CD96" s="4" t="s">
        <v>32</v>
      </c>
      <c r="CE96" s="5" t="s">
        <v>32</v>
      </c>
      <c r="CF96" s="6" t="s">
        <v>32</v>
      </c>
    </row>
    <row r="97" spans="2:84" ht="15" customHeight="1">
      <c r="B97" s="175" t="s">
        <v>32</v>
      </c>
      <c r="C97" s="179" t="s">
        <v>32</v>
      </c>
      <c r="D97" s="180" t="s">
        <v>32</v>
      </c>
      <c r="E97" s="178" t="s">
        <v>32</v>
      </c>
      <c r="F97" s="179" t="s">
        <v>32</v>
      </c>
      <c r="G97" s="180" t="s">
        <v>32</v>
      </c>
      <c r="H97" s="178" t="s">
        <v>32</v>
      </c>
      <c r="I97" s="179" t="s">
        <v>32</v>
      </c>
      <c r="J97" s="181" t="s">
        <v>32</v>
      </c>
      <c r="K97" s="175" t="s">
        <v>32</v>
      </c>
      <c r="L97" s="179" t="s">
        <v>32</v>
      </c>
      <c r="M97" s="180" t="s">
        <v>32</v>
      </c>
      <c r="N97" s="178" t="s">
        <v>32</v>
      </c>
      <c r="O97" s="179" t="s">
        <v>32</v>
      </c>
      <c r="P97" s="180" t="s">
        <v>32</v>
      </c>
      <c r="Q97" s="178" t="s">
        <v>32</v>
      </c>
      <c r="R97" s="179" t="s">
        <v>32</v>
      </c>
      <c r="S97" s="181" t="s">
        <v>32</v>
      </c>
      <c r="T97" s="175" t="s">
        <v>32</v>
      </c>
      <c r="U97" s="179" t="s">
        <v>32</v>
      </c>
      <c r="V97" s="180" t="s">
        <v>32</v>
      </c>
      <c r="W97" s="178" t="s">
        <v>32</v>
      </c>
      <c r="X97" s="179" t="s">
        <v>32</v>
      </c>
      <c r="Y97" s="180" t="s">
        <v>32</v>
      </c>
      <c r="Z97" s="178" t="s">
        <v>32</v>
      </c>
      <c r="AA97" s="179" t="s">
        <v>32</v>
      </c>
      <c r="AB97" s="181" t="s">
        <v>32</v>
      </c>
      <c r="AD97" s="175" t="s">
        <v>32</v>
      </c>
      <c r="AE97" s="179" t="s">
        <v>32</v>
      </c>
      <c r="AF97" s="180" t="s">
        <v>32</v>
      </c>
      <c r="AG97" s="178" t="s">
        <v>32</v>
      </c>
      <c r="AH97" s="179" t="s">
        <v>32</v>
      </c>
      <c r="AI97" s="180" t="s">
        <v>32</v>
      </c>
      <c r="AJ97" s="178" t="s">
        <v>32</v>
      </c>
      <c r="AK97" s="179" t="s">
        <v>32</v>
      </c>
      <c r="AL97" s="181" t="s">
        <v>32</v>
      </c>
      <c r="AM97" s="175" t="s">
        <v>32</v>
      </c>
      <c r="AN97" s="179" t="s">
        <v>32</v>
      </c>
      <c r="AO97" s="180" t="s">
        <v>32</v>
      </c>
      <c r="AP97" s="178" t="s">
        <v>32</v>
      </c>
      <c r="AQ97" s="179" t="s">
        <v>32</v>
      </c>
      <c r="AR97" s="180" t="s">
        <v>32</v>
      </c>
      <c r="AS97" s="178" t="s">
        <v>32</v>
      </c>
      <c r="AT97" s="179" t="s">
        <v>32</v>
      </c>
      <c r="AU97" s="181" t="s">
        <v>32</v>
      </c>
      <c r="AV97" s="175" t="s">
        <v>32</v>
      </c>
      <c r="AW97" s="179" t="s">
        <v>32</v>
      </c>
      <c r="AX97" s="180" t="s">
        <v>32</v>
      </c>
      <c r="AY97" s="178" t="s">
        <v>32</v>
      </c>
      <c r="AZ97" s="179" t="s">
        <v>32</v>
      </c>
      <c r="BA97" s="180" t="s">
        <v>32</v>
      </c>
      <c r="BB97" s="178" t="s">
        <v>32</v>
      </c>
      <c r="BC97" s="179" t="s">
        <v>32</v>
      </c>
      <c r="BD97" s="181" t="s">
        <v>32</v>
      </c>
      <c r="BF97" s="11" t="s">
        <v>32</v>
      </c>
      <c r="BG97" s="7" t="s">
        <v>32</v>
      </c>
      <c r="BH97" s="9" t="s">
        <v>32</v>
      </c>
      <c r="BI97" s="8" t="s">
        <v>32</v>
      </c>
      <c r="BJ97" s="7" t="s">
        <v>32</v>
      </c>
      <c r="BK97" s="9" t="s">
        <v>32</v>
      </c>
      <c r="BL97" s="8" t="s">
        <v>32</v>
      </c>
      <c r="BM97" s="7" t="s">
        <v>32</v>
      </c>
      <c r="BN97" s="10" t="s">
        <v>32</v>
      </c>
      <c r="BO97" s="11" t="s">
        <v>32</v>
      </c>
      <c r="BP97" s="7" t="s">
        <v>32</v>
      </c>
      <c r="BQ97" s="9" t="s">
        <v>32</v>
      </c>
      <c r="BR97" s="8" t="s">
        <v>32</v>
      </c>
      <c r="BS97" s="7" t="s">
        <v>32</v>
      </c>
      <c r="BT97" s="9" t="s">
        <v>32</v>
      </c>
      <c r="BU97" s="8" t="s">
        <v>32</v>
      </c>
      <c r="BV97" s="7" t="s">
        <v>32</v>
      </c>
      <c r="BW97" s="10" t="s">
        <v>32</v>
      </c>
      <c r="BX97" s="11" t="s">
        <v>32</v>
      </c>
      <c r="BY97" s="7" t="s">
        <v>32</v>
      </c>
      <c r="BZ97" s="9" t="s">
        <v>32</v>
      </c>
      <c r="CA97" s="8" t="s">
        <v>32</v>
      </c>
      <c r="CB97" s="7" t="s">
        <v>32</v>
      </c>
      <c r="CC97" s="9" t="s">
        <v>32</v>
      </c>
      <c r="CD97" s="8" t="s">
        <v>32</v>
      </c>
      <c r="CE97" s="7" t="s">
        <v>32</v>
      </c>
      <c r="CF97" s="10" t="s">
        <v>32</v>
      </c>
    </row>
    <row r="98" spans="2:84" ht="15" customHeight="1">
      <c r="B98" s="183">
        <v>1</v>
      </c>
      <c r="C98" s="184" t="s">
        <v>32</v>
      </c>
      <c r="D98" s="185" t="s">
        <v>32</v>
      </c>
      <c r="E98" s="187" t="s">
        <v>32</v>
      </c>
      <c r="F98" s="184" t="s">
        <v>32</v>
      </c>
      <c r="G98" s="185" t="s">
        <v>32</v>
      </c>
      <c r="H98" s="187" t="s">
        <v>32</v>
      </c>
      <c r="I98" s="184" t="s">
        <v>32</v>
      </c>
      <c r="J98" s="188" t="s">
        <v>32</v>
      </c>
      <c r="K98" s="183" t="s">
        <v>32</v>
      </c>
      <c r="L98" s="184" t="s">
        <v>32</v>
      </c>
      <c r="M98" s="185" t="s">
        <v>32</v>
      </c>
      <c r="N98" s="187" t="s">
        <v>32</v>
      </c>
      <c r="O98" s="184" t="s">
        <v>32</v>
      </c>
      <c r="P98" s="185" t="s">
        <v>32</v>
      </c>
      <c r="Q98" s="187" t="s">
        <v>32</v>
      </c>
      <c r="R98" s="184" t="s">
        <v>32</v>
      </c>
      <c r="S98" s="188" t="s">
        <v>32</v>
      </c>
      <c r="T98" s="183" t="s">
        <v>32</v>
      </c>
      <c r="U98" s="184" t="s">
        <v>32</v>
      </c>
      <c r="V98" s="185" t="s">
        <v>32</v>
      </c>
      <c r="W98" s="187" t="s">
        <v>32</v>
      </c>
      <c r="X98" s="184" t="s">
        <v>32</v>
      </c>
      <c r="Y98" s="185" t="s">
        <v>32</v>
      </c>
      <c r="Z98" s="187" t="s">
        <v>32</v>
      </c>
      <c r="AA98" s="184" t="s">
        <v>32</v>
      </c>
      <c r="AB98" s="188">
        <v>7</v>
      </c>
      <c r="AD98" s="183">
        <v>1</v>
      </c>
      <c r="AE98" s="184" t="s">
        <v>32</v>
      </c>
      <c r="AF98" s="185" t="s">
        <v>32</v>
      </c>
      <c r="AG98" s="187" t="s">
        <v>32</v>
      </c>
      <c r="AH98" s="184" t="s">
        <v>32</v>
      </c>
      <c r="AI98" s="185" t="s">
        <v>32</v>
      </c>
      <c r="AJ98" s="187" t="s">
        <v>32</v>
      </c>
      <c r="AK98" s="184" t="s">
        <v>32</v>
      </c>
      <c r="AL98" s="188" t="s">
        <v>32</v>
      </c>
      <c r="AM98" s="183" t="s">
        <v>32</v>
      </c>
      <c r="AN98" s="184" t="s">
        <v>32</v>
      </c>
      <c r="AO98" s="185" t="s">
        <v>32</v>
      </c>
      <c r="AP98" s="187" t="s">
        <v>32</v>
      </c>
      <c r="AQ98" s="184" t="s">
        <v>32</v>
      </c>
      <c r="AR98" s="185" t="s">
        <v>32</v>
      </c>
      <c r="AS98" s="187" t="s">
        <v>32</v>
      </c>
      <c r="AT98" s="184" t="s">
        <v>32</v>
      </c>
      <c r="AU98" s="188" t="s">
        <v>32</v>
      </c>
      <c r="AV98" s="183" t="s">
        <v>32</v>
      </c>
      <c r="AW98" s="184" t="s">
        <v>32</v>
      </c>
      <c r="AX98" s="185" t="s">
        <v>32</v>
      </c>
      <c r="AY98" s="187" t="s">
        <v>32</v>
      </c>
      <c r="AZ98" s="184" t="s">
        <v>32</v>
      </c>
      <c r="BA98" s="185" t="s">
        <v>32</v>
      </c>
      <c r="BB98" s="187" t="s">
        <v>32</v>
      </c>
      <c r="BC98" s="184" t="s">
        <v>32</v>
      </c>
      <c r="BD98" s="188">
        <v>7</v>
      </c>
      <c r="BF98" s="12">
        <v>1</v>
      </c>
      <c r="BG98" s="13" t="s">
        <v>32</v>
      </c>
      <c r="BH98" s="15" t="s">
        <v>32</v>
      </c>
      <c r="BI98" s="14" t="s">
        <v>32</v>
      </c>
      <c r="BJ98" s="13" t="s">
        <v>32</v>
      </c>
      <c r="BK98" s="15" t="s">
        <v>32</v>
      </c>
      <c r="BL98" s="14" t="s">
        <v>32</v>
      </c>
      <c r="BM98" s="13" t="s">
        <v>32</v>
      </c>
      <c r="BN98" s="1" t="s">
        <v>32</v>
      </c>
      <c r="BO98" s="12" t="s">
        <v>32</v>
      </c>
      <c r="BP98" s="13" t="s">
        <v>32</v>
      </c>
      <c r="BQ98" s="15" t="s">
        <v>32</v>
      </c>
      <c r="BR98" s="14" t="s">
        <v>32</v>
      </c>
      <c r="BS98" s="13" t="s">
        <v>32</v>
      </c>
      <c r="BT98" s="15" t="s">
        <v>32</v>
      </c>
      <c r="BU98" s="14" t="s">
        <v>32</v>
      </c>
      <c r="BV98" s="13" t="s">
        <v>32</v>
      </c>
      <c r="BW98" s="1" t="s">
        <v>32</v>
      </c>
      <c r="BX98" s="12" t="s">
        <v>32</v>
      </c>
      <c r="BY98" s="13" t="s">
        <v>32</v>
      </c>
      <c r="BZ98" s="15" t="s">
        <v>32</v>
      </c>
      <c r="CA98" s="14" t="s">
        <v>32</v>
      </c>
      <c r="CB98" s="13" t="s">
        <v>32</v>
      </c>
      <c r="CC98" s="15" t="s">
        <v>32</v>
      </c>
      <c r="CD98" s="14" t="s">
        <v>32</v>
      </c>
      <c r="CE98" s="13" t="s">
        <v>32</v>
      </c>
      <c r="CF98" s="1">
        <v>7</v>
      </c>
    </row>
    <row r="99" spans="2:84" ht="15" customHeight="1">
      <c r="B99" s="190">
        <v>2</v>
      </c>
      <c r="C99" s="202">
        <v>8</v>
      </c>
      <c r="D99" s="194" t="s">
        <v>32</v>
      </c>
      <c r="E99" s="193" t="s">
        <v>32</v>
      </c>
      <c r="F99" s="191" t="s">
        <v>32</v>
      </c>
      <c r="G99" s="194" t="s">
        <v>32</v>
      </c>
      <c r="H99" s="193" t="s">
        <v>32</v>
      </c>
      <c r="I99" s="191" t="s">
        <v>32</v>
      </c>
      <c r="J99" s="195" t="s">
        <v>32</v>
      </c>
      <c r="K99" s="190" t="s">
        <v>32</v>
      </c>
      <c r="L99" s="191" t="s">
        <v>32</v>
      </c>
      <c r="M99" s="194" t="s">
        <v>32</v>
      </c>
      <c r="N99" s="193">
        <v>9</v>
      </c>
      <c r="O99" s="191">
        <v>5</v>
      </c>
      <c r="P99" s="194">
        <v>4</v>
      </c>
      <c r="Q99" s="193" t="s">
        <v>32</v>
      </c>
      <c r="R99" s="191" t="s">
        <v>32</v>
      </c>
      <c r="S99" s="195" t="s">
        <v>32</v>
      </c>
      <c r="T99" s="190" t="s">
        <v>32</v>
      </c>
      <c r="U99" s="191" t="s">
        <v>32</v>
      </c>
      <c r="V99" s="194" t="s">
        <v>32</v>
      </c>
      <c r="W99" s="193" t="s">
        <v>32</v>
      </c>
      <c r="X99" s="191" t="s">
        <v>32</v>
      </c>
      <c r="Y99" s="194" t="s">
        <v>32</v>
      </c>
      <c r="Z99" s="193" t="s">
        <v>32</v>
      </c>
      <c r="AA99" s="202">
        <v>6</v>
      </c>
      <c r="AB99" s="195">
        <v>3</v>
      </c>
      <c r="AD99" s="190">
        <v>2</v>
      </c>
      <c r="AE99" s="202">
        <v>8</v>
      </c>
      <c r="AF99" s="194" t="s">
        <v>32</v>
      </c>
      <c r="AG99" s="193" t="s">
        <v>32</v>
      </c>
      <c r="AH99" s="191" t="s">
        <v>32</v>
      </c>
      <c r="AI99" s="194" t="s">
        <v>32</v>
      </c>
      <c r="AJ99" s="193" t="s">
        <v>32</v>
      </c>
      <c r="AK99" s="191" t="s">
        <v>32</v>
      </c>
      <c r="AL99" s="195" t="s">
        <v>32</v>
      </c>
      <c r="AM99" s="190" t="s">
        <v>32</v>
      </c>
      <c r="AN99" s="191" t="s">
        <v>32</v>
      </c>
      <c r="AO99" s="194" t="s">
        <v>32</v>
      </c>
      <c r="AP99" s="193">
        <v>3</v>
      </c>
      <c r="AQ99" s="191">
        <v>5</v>
      </c>
      <c r="AR99" s="194">
        <v>4</v>
      </c>
      <c r="AS99" s="193" t="s">
        <v>32</v>
      </c>
      <c r="AT99" s="191" t="s">
        <v>32</v>
      </c>
      <c r="AU99" s="195" t="s">
        <v>32</v>
      </c>
      <c r="AV99" s="190" t="s">
        <v>32</v>
      </c>
      <c r="AW99" s="191" t="s">
        <v>32</v>
      </c>
      <c r="AX99" s="194" t="s">
        <v>32</v>
      </c>
      <c r="AY99" s="193" t="s">
        <v>32</v>
      </c>
      <c r="AZ99" s="191" t="s">
        <v>32</v>
      </c>
      <c r="BA99" s="194" t="s">
        <v>32</v>
      </c>
      <c r="BB99" s="193" t="s">
        <v>32</v>
      </c>
      <c r="BC99" s="202">
        <v>6</v>
      </c>
      <c r="BD99" s="195">
        <v>9</v>
      </c>
      <c r="BF99" s="16">
        <v>2</v>
      </c>
      <c r="BG99" s="211">
        <v>8</v>
      </c>
      <c r="BH99" s="18" t="s">
        <v>32</v>
      </c>
      <c r="BI99" s="19" t="s">
        <v>32</v>
      </c>
      <c r="BJ99" s="17" t="s">
        <v>32</v>
      </c>
      <c r="BK99" s="18" t="s">
        <v>32</v>
      </c>
      <c r="BL99" s="19" t="s">
        <v>32</v>
      </c>
      <c r="BM99" s="17" t="s">
        <v>32</v>
      </c>
      <c r="BN99" s="20" t="s">
        <v>32</v>
      </c>
      <c r="BO99" s="16" t="s">
        <v>32</v>
      </c>
      <c r="BP99" s="17" t="s">
        <v>32</v>
      </c>
      <c r="BQ99" s="18" t="s">
        <v>32</v>
      </c>
      <c r="BR99" s="19">
        <v>9</v>
      </c>
      <c r="BS99" s="17">
        <v>5</v>
      </c>
      <c r="BT99" s="18">
        <v>4</v>
      </c>
      <c r="BU99" s="19" t="s">
        <v>32</v>
      </c>
      <c r="BV99" s="17" t="s">
        <v>32</v>
      </c>
      <c r="BW99" s="20" t="s">
        <v>32</v>
      </c>
      <c r="BX99" s="16" t="s">
        <v>32</v>
      </c>
      <c r="BY99" s="17" t="s">
        <v>32</v>
      </c>
      <c r="BZ99" s="18" t="s">
        <v>32</v>
      </c>
      <c r="CA99" s="19" t="s">
        <v>32</v>
      </c>
      <c r="CB99" s="17" t="s">
        <v>32</v>
      </c>
      <c r="CC99" s="18" t="s">
        <v>32</v>
      </c>
      <c r="CD99" s="19" t="s">
        <v>32</v>
      </c>
      <c r="CE99" s="211">
        <v>6</v>
      </c>
      <c r="CF99" s="20">
        <v>3</v>
      </c>
    </row>
    <row r="100" spans="2:84" ht="15" customHeight="1">
      <c r="B100" s="175">
        <v>6</v>
      </c>
      <c r="C100" s="179">
        <v>7</v>
      </c>
      <c r="D100" s="180">
        <v>5</v>
      </c>
      <c r="E100" s="178" t="s">
        <v>32</v>
      </c>
      <c r="F100" s="179" t="s">
        <v>32</v>
      </c>
      <c r="G100" s="180" t="s">
        <v>32</v>
      </c>
      <c r="H100" s="178" t="s">
        <v>32</v>
      </c>
      <c r="I100" s="179" t="s">
        <v>32</v>
      </c>
      <c r="J100" s="181" t="s">
        <v>32</v>
      </c>
      <c r="K100" s="175" t="s">
        <v>32</v>
      </c>
      <c r="L100" s="179" t="s">
        <v>32</v>
      </c>
      <c r="M100" s="180" t="s">
        <v>32</v>
      </c>
      <c r="N100" s="178">
        <v>1</v>
      </c>
      <c r="O100" s="179">
        <v>3</v>
      </c>
      <c r="P100" s="180">
        <v>2</v>
      </c>
      <c r="Q100" s="178" t="s">
        <v>32</v>
      </c>
      <c r="R100" s="179" t="s">
        <v>32</v>
      </c>
      <c r="S100" s="181" t="s">
        <v>32</v>
      </c>
      <c r="T100" s="175" t="s">
        <v>32</v>
      </c>
      <c r="U100" s="179" t="s">
        <v>32</v>
      </c>
      <c r="V100" s="180" t="s">
        <v>32</v>
      </c>
      <c r="W100" s="178" t="s">
        <v>32</v>
      </c>
      <c r="X100" s="179" t="s">
        <v>32</v>
      </c>
      <c r="Y100" s="180" t="s">
        <v>32</v>
      </c>
      <c r="Z100" s="178">
        <v>4</v>
      </c>
      <c r="AA100" s="179">
        <v>8</v>
      </c>
      <c r="AB100" s="181">
        <v>9</v>
      </c>
      <c r="AD100" s="175">
        <v>6</v>
      </c>
      <c r="AE100" s="179">
        <v>7</v>
      </c>
      <c r="AF100" s="180">
        <v>5</v>
      </c>
      <c r="AG100" s="178" t="s">
        <v>32</v>
      </c>
      <c r="AH100" s="179" t="s">
        <v>32</v>
      </c>
      <c r="AI100" s="180" t="s">
        <v>32</v>
      </c>
      <c r="AJ100" s="178" t="s">
        <v>32</v>
      </c>
      <c r="AK100" s="179" t="s">
        <v>32</v>
      </c>
      <c r="AL100" s="181" t="s">
        <v>32</v>
      </c>
      <c r="AM100" s="175" t="s">
        <v>32</v>
      </c>
      <c r="AN100" s="179" t="s">
        <v>32</v>
      </c>
      <c r="AO100" s="180" t="s">
        <v>32</v>
      </c>
      <c r="AP100" s="178">
        <v>1</v>
      </c>
      <c r="AQ100" s="179">
        <v>9</v>
      </c>
      <c r="AR100" s="180">
        <v>2</v>
      </c>
      <c r="AS100" s="178" t="s">
        <v>32</v>
      </c>
      <c r="AT100" s="179" t="s">
        <v>32</v>
      </c>
      <c r="AU100" s="181" t="s">
        <v>32</v>
      </c>
      <c r="AV100" s="175" t="s">
        <v>32</v>
      </c>
      <c r="AW100" s="179" t="s">
        <v>32</v>
      </c>
      <c r="AX100" s="180" t="s">
        <v>32</v>
      </c>
      <c r="AY100" s="178" t="s">
        <v>32</v>
      </c>
      <c r="AZ100" s="179" t="s">
        <v>32</v>
      </c>
      <c r="BA100" s="180" t="s">
        <v>32</v>
      </c>
      <c r="BB100" s="178">
        <v>4</v>
      </c>
      <c r="BC100" s="179">
        <v>8</v>
      </c>
      <c r="BD100" s="181">
        <v>3</v>
      </c>
      <c r="BF100" s="11">
        <v>6</v>
      </c>
      <c r="BG100" s="7">
        <v>7</v>
      </c>
      <c r="BH100" s="9">
        <v>5</v>
      </c>
      <c r="BI100" s="8" t="s">
        <v>32</v>
      </c>
      <c r="BJ100" s="7" t="s">
        <v>32</v>
      </c>
      <c r="BK100" s="9" t="s">
        <v>32</v>
      </c>
      <c r="BL100" s="8" t="s">
        <v>32</v>
      </c>
      <c r="BM100" s="7" t="s">
        <v>32</v>
      </c>
      <c r="BN100" s="10" t="s">
        <v>32</v>
      </c>
      <c r="BO100" s="11" t="s">
        <v>32</v>
      </c>
      <c r="BP100" s="7" t="s">
        <v>32</v>
      </c>
      <c r="BQ100" s="9" t="s">
        <v>32</v>
      </c>
      <c r="BR100" s="8">
        <v>1</v>
      </c>
      <c r="BS100" s="7">
        <v>3</v>
      </c>
      <c r="BT100" s="9">
        <v>8</v>
      </c>
      <c r="BU100" s="8" t="s">
        <v>32</v>
      </c>
      <c r="BV100" s="7" t="s">
        <v>32</v>
      </c>
      <c r="BW100" s="10" t="s">
        <v>32</v>
      </c>
      <c r="BX100" s="11" t="s">
        <v>32</v>
      </c>
      <c r="BY100" s="7" t="s">
        <v>32</v>
      </c>
      <c r="BZ100" s="9" t="s">
        <v>32</v>
      </c>
      <c r="CA100" s="8" t="s">
        <v>32</v>
      </c>
      <c r="CB100" s="7" t="s">
        <v>32</v>
      </c>
      <c r="CC100" s="9" t="s">
        <v>32</v>
      </c>
      <c r="CD100" s="8">
        <v>4</v>
      </c>
      <c r="CE100" s="7">
        <v>2</v>
      </c>
      <c r="CF100" s="10">
        <v>9</v>
      </c>
    </row>
    <row r="101" spans="2:84" ht="15" customHeight="1">
      <c r="B101" s="183">
        <v>3</v>
      </c>
      <c r="C101" s="203">
        <v>4</v>
      </c>
      <c r="D101" s="185" t="s">
        <v>32</v>
      </c>
      <c r="E101" s="187" t="s">
        <v>32</v>
      </c>
      <c r="F101" s="184" t="s">
        <v>32</v>
      </c>
      <c r="G101" s="185" t="s">
        <v>32</v>
      </c>
      <c r="H101" s="187" t="s">
        <v>32</v>
      </c>
      <c r="I101" s="184" t="s">
        <v>32</v>
      </c>
      <c r="J101" s="188" t="s">
        <v>32</v>
      </c>
      <c r="K101" s="183" t="s">
        <v>32</v>
      </c>
      <c r="L101" s="184" t="s">
        <v>32</v>
      </c>
      <c r="M101" s="185" t="s">
        <v>32</v>
      </c>
      <c r="N101" s="187">
        <v>6</v>
      </c>
      <c r="O101" s="184">
        <v>7</v>
      </c>
      <c r="P101" s="185">
        <v>8</v>
      </c>
      <c r="Q101" s="187" t="s">
        <v>32</v>
      </c>
      <c r="R101" s="184" t="s">
        <v>32</v>
      </c>
      <c r="S101" s="188" t="s">
        <v>32</v>
      </c>
      <c r="T101" s="183" t="s">
        <v>32</v>
      </c>
      <c r="U101" s="184" t="s">
        <v>32</v>
      </c>
      <c r="V101" s="185" t="s">
        <v>32</v>
      </c>
      <c r="W101" s="187" t="s">
        <v>32</v>
      </c>
      <c r="X101" s="184" t="s">
        <v>32</v>
      </c>
      <c r="Y101" s="185" t="s">
        <v>32</v>
      </c>
      <c r="Z101" s="187" t="s">
        <v>32</v>
      </c>
      <c r="AA101" s="203">
        <v>2</v>
      </c>
      <c r="AB101" s="188">
        <v>5</v>
      </c>
      <c r="AD101" s="183">
        <v>3</v>
      </c>
      <c r="AE101" s="203">
        <v>4</v>
      </c>
      <c r="AF101" s="185" t="s">
        <v>32</v>
      </c>
      <c r="AG101" s="187" t="s">
        <v>32</v>
      </c>
      <c r="AH101" s="184" t="s">
        <v>32</v>
      </c>
      <c r="AI101" s="185" t="s">
        <v>32</v>
      </c>
      <c r="AJ101" s="187" t="s">
        <v>32</v>
      </c>
      <c r="AK101" s="184" t="s">
        <v>32</v>
      </c>
      <c r="AL101" s="188" t="s">
        <v>32</v>
      </c>
      <c r="AM101" s="183" t="s">
        <v>32</v>
      </c>
      <c r="AN101" s="184" t="s">
        <v>32</v>
      </c>
      <c r="AO101" s="185" t="s">
        <v>32</v>
      </c>
      <c r="AP101" s="187">
        <v>8</v>
      </c>
      <c r="AQ101" s="184">
        <v>7</v>
      </c>
      <c r="AR101" s="185">
        <v>6</v>
      </c>
      <c r="AS101" s="187" t="s">
        <v>32</v>
      </c>
      <c r="AT101" s="184" t="s">
        <v>32</v>
      </c>
      <c r="AU101" s="188" t="s">
        <v>32</v>
      </c>
      <c r="AV101" s="183" t="s">
        <v>32</v>
      </c>
      <c r="AW101" s="184" t="s">
        <v>32</v>
      </c>
      <c r="AX101" s="185" t="s">
        <v>32</v>
      </c>
      <c r="AY101" s="187" t="s">
        <v>32</v>
      </c>
      <c r="AZ101" s="184" t="s">
        <v>32</v>
      </c>
      <c r="BA101" s="185" t="s">
        <v>32</v>
      </c>
      <c r="BB101" s="187" t="s">
        <v>32</v>
      </c>
      <c r="BC101" s="203">
        <v>2</v>
      </c>
      <c r="BD101" s="188">
        <v>5</v>
      </c>
      <c r="BF101" s="12">
        <v>3</v>
      </c>
      <c r="BG101" s="212">
        <v>4</v>
      </c>
      <c r="BH101" s="15" t="s">
        <v>32</v>
      </c>
      <c r="BI101" s="14" t="s">
        <v>32</v>
      </c>
      <c r="BJ101" s="13" t="s">
        <v>32</v>
      </c>
      <c r="BK101" s="15" t="s">
        <v>32</v>
      </c>
      <c r="BL101" s="14" t="s">
        <v>32</v>
      </c>
      <c r="BM101" s="13" t="s">
        <v>32</v>
      </c>
      <c r="BN101" s="1" t="s">
        <v>32</v>
      </c>
      <c r="BO101" s="12" t="s">
        <v>32</v>
      </c>
      <c r="BP101" s="13" t="s">
        <v>32</v>
      </c>
      <c r="BQ101" s="15" t="s">
        <v>32</v>
      </c>
      <c r="BR101" s="14">
        <v>6</v>
      </c>
      <c r="BS101" s="13">
        <v>7</v>
      </c>
      <c r="BT101" s="15">
        <v>2</v>
      </c>
      <c r="BU101" s="14" t="s">
        <v>32</v>
      </c>
      <c r="BV101" s="13" t="s">
        <v>32</v>
      </c>
      <c r="BW101" s="1" t="s">
        <v>32</v>
      </c>
      <c r="BX101" s="12" t="s">
        <v>32</v>
      </c>
      <c r="BY101" s="13" t="s">
        <v>32</v>
      </c>
      <c r="BZ101" s="15" t="s">
        <v>32</v>
      </c>
      <c r="CA101" s="14" t="s">
        <v>32</v>
      </c>
      <c r="CB101" s="13" t="s">
        <v>32</v>
      </c>
      <c r="CC101" s="15" t="s">
        <v>32</v>
      </c>
      <c r="CD101" s="14" t="s">
        <v>32</v>
      </c>
      <c r="CE101" s="212">
        <v>8</v>
      </c>
      <c r="CF101" s="1">
        <v>5</v>
      </c>
    </row>
    <row r="102" spans="2:84" ht="15" customHeight="1">
      <c r="B102" s="190">
        <v>9</v>
      </c>
      <c r="C102" s="191" t="s">
        <v>32</v>
      </c>
      <c r="D102" s="194" t="s">
        <v>32</v>
      </c>
      <c r="E102" s="193" t="s">
        <v>32</v>
      </c>
      <c r="F102" s="191" t="s">
        <v>32</v>
      </c>
      <c r="G102" s="194" t="s">
        <v>32</v>
      </c>
      <c r="H102" s="193" t="s">
        <v>32</v>
      </c>
      <c r="I102" s="191" t="s">
        <v>32</v>
      </c>
      <c r="J102" s="195" t="s">
        <v>32</v>
      </c>
      <c r="K102" s="190" t="s">
        <v>32</v>
      </c>
      <c r="L102" s="191" t="s">
        <v>32</v>
      </c>
      <c r="M102" s="194" t="s">
        <v>32</v>
      </c>
      <c r="N102" s="193" t="s">
        <v>32</v>
      </c>
      <c r="O102" s="191" t="s">
        <v>32</v>
      </c>
      <c r="P102" s="194" t="s">
        <v>32</v>
      </c>
      <c r="Q102" s="193" t="s">
        <v>32</v>
      </c>
      <c r="R102" s="191" t="s">
        <v>32</v>
      </c>
      <c r="S102" s="195" t="s">
        <v>32</v>
      </c>
      <c r="T102" s="190" t="s">
        <v>32</v>
      </c>
      <c r="U102" s="191" t="s">
        <v>32</v>
      </c>
      <c r="V102" s="194" t="s">
        <v>32</v>
      </c>
      <c r="W102" s="193" t="s">
        <v>32</v>
      </c>
      <c r="X102" s="191" t="s">
        <v>32</v>
      </c>
      <c r="Y102" s="194" t="s">
        <v>32</v>
      </c>
      <c r="Z102" s="193" t="s">
        <v>32</v>
      </c>
      <c r="AA102" s="191" t="s">
        <v>32</v>
      </c>
      <c r="AB102" s="195">
        <v>1</v>
      </c>
      <c r="AD102" s="190">
        <v>9</v>
      </c>
      <c r="AE102" s="191" t="s">
        <v>32</v>
      </c>
      <c r="AF102" s="194" t="s">
        <v>32</v>
      </c>
      <c r="AG102" s="193" t="s">
        <v>32</v>
      </c>
      <c r="AH102" s="191" t="s">
        <v>32</v>
      </c>
      <c r="AI102" s="194" t="s">
        <v>32</v>
      </c>
      <c r="AJ102" s="193" t="s">
        <v>32</v>
      </c>
      <c r="AK102" s="191" t="s">
        <v>32</v>
      </c>
      <c r="AL102" s="195" t="s">
        <v>32</v>
      </c>
      <c r="AM102" s="190" t="s">
        <v>32</v>
      </c>
      <c r="AN102" s="191" t="s">
        <v>32</v>
      </c>
      <c r="AO102" s="194" t="s">
        <v>32</v>
      </c>
      <c r="AP102" s="193" t="s">
        <v>32</v>
      </c>
      <c r="AQ102" s="191" t="s">
        <v>32</v>
      </c>
      <c r="AR102" s="194" t="s">
        <v>32</v>
      </c>
      <c r="AS102" s="193" t="s">
        <v>32</v>
      </c>
      <c r="AT102" s="191" t="s">
        <v>32</v>
      </c>
      <c r="AU102" s="195" t="s">
        <v>32</v>
      </c>
      <c r="AV102" s="190" t="s">
        <v>32</v>
      </c>
      <c r="AW102" s="191" t="s">
        <v>32</v>
      </c>
      <c r="AX102" s="194" t="s">
        <v>32</v>
      </c>
      <c r="AY102" s="193" t="s">
        <v>32</v>
      </c>
      <c r="AZ102" s="191" t="s">
        <v>32</v>
      </c>
      <c r="BA102" s="194" t="s">
        <v>32</v>
      </c>
      <c r="BB102" s="193" t="s">
        <v>32</v>
      </c>
      <c r="BC102" s="191" t="s">
        <v>32</v>
      </c>
      <c r="BD102" s="195">
        <v>1</v>
      </c>
      <c r="BF102" s="16">
        <v>9</v>
      </c>
      <c r="BG102" s="17" t="s">
        <v>32</v>
      </c>
      <c r="BH102" s="18" t="s">
        <v>32</v>
      </c>
      <c r="BI102" s="19" t="s">
        <v>32</v>
      </c>
      <c r="BJ102" s="17" t="s">
        <v>32</v>
      </c>
      <c r="BK102" s="18" t="s">
        <v>32</v>
      </c>
      <c r="BL102" s="19" t="s">
        <v>32</v>
      </c>
      <c r="BM102" s="17" t="s">
        <v>32</v>
      </c>
      <c r="BN102" s="20" t="s">
        <v>32</v>
      </c>
      <c r="BO102" s="16" t="s">
        <v>32</v>
      </c>
      <c r="BP102" s="17" t="s">
        <v>32</v>
      </c>
      <c r="BQ102" s="18" t="s">
        <v>32</v>
      </c>
      <c r="BR102" s="19" t="s">
        <v>32</v>
      </c>
      <c r="BS102" s="17" t="s">
        <v>32</v>
      </c>
      <c r="BT102" s="18" t="s">
        <v>32</v>
      </c>
      <c r="BU102" s="19" t="s">
        <v>32</v>
      </c>
      <c r="BV102" s="17" t="s">
        <v>32</v>
      </c>
      <c r="BW102" s="20" t="s">
        <v>32</v>
      </c>
      <c r="BX102" s="16" t="s">
        <v>32</v>
      </c>
      <c r="BY102" s="17" t="s">
        <v>32</v>
      </c>
      <c r="BZ102" s="18" t="s">
        <v>32</v>
      </c>
      <c r="CA102" s="19" t="s">
        <v>32</v>
      </c>
      <c r="CB102" s="17" t="s">
        <v>32</v>
      </c>
      <c r="CC102" s="18" t="s">
        <v>32</v>
      </c>
      <c r="CD102" s="19" t="s">
        <v>32</v>
      </c>
      <c r="CE102" s="17" t="s">
        <v>32</v>
      </c>
      <c r="CF102" s="20">
        <v>1</v>
      </c>
    </row>
    <row r="103" spans="2:84" ht="15" customHeight="1">
      <c r="B103" s="175" t="s">
        <v>32</v>
      </c>
      <c r="C103" s="179" t="s">
        <v>32</v>
      </c>
      <c r="D103" s="180" t="s">
        <v>32</v>
      </c>
      <c r="E103" s="178" t="s">
        <v>32</v>
      </c>
      <c r="F103" s="179" t="s">
        <v>32</v>
      </c>
      <c r="G103" s="180" t="s">
        <v>32</v>
      </c>
      <c r="H103" s="178" t="s">
        <v>32</v>
      </c>
      <c r="I103" s="179" t="s">
        <v>32</v>
      </c>
      <c r="J103" s="181" t="s">
        <v>32</v>
      </c>
      <c r="K103" s="175" t="s">
        <v>32</v>
      </c>
      <c r="L103" s="179" t="s">
        <v>32</v>
      </c>
      <c r="M103" s="180" t="s">
        <v>32</v>
      </c>
      <c r="N103" s="178" t="s">
        <v>32</v>
      </c>
      <c r="O103" s="179" t="s">
        <v>32</v>
      </c>
      <c r="P103" s="180" t="s">
        <v>32</v>
      </c>
      <c r="Q103" s="178" t="s">
        <v>32</v>
      </c>
      <c r="R103" s="179" t="s">
        <v>32</v>
      </c>
      <c r="S103" s="181" t="s">
        <v>32</v>
      </c>
      <c r="T103" s="175" t="s">
        <v>32</v>
      </c>
      <c r="U103" s="179" t="s">
        <v>32</v>
      </c>
      <c r="V103" s="180" t="s">
        <v>32</v>
      </c>
      <c r="W103" s="178" t="s">
        <v>32</v>
      </c>
      <c r="X103" s="179" t="s">
        <v>32</v>
      </c>
      <c r="Y103" s="180" t="s">
        <v>32</v>
      </c>
      <c r="Z103" s="178" t="s">
        <v>32</v>
      </c>
      <c r="AA103" s="179" t="s">
        <v>32</v>
      </c>
      <c r="AB103" s="181" t="s">
        <v>32</v>
      </c>
      <c r="AD103" s="175" t="s">
        <v>32</v>
      </c>
      <c r="AE103" s="179" t="s">
        <v>32</v>
      </c>
      <c r="AF103" s="180" t="s">
        <v>32</v>
      </c>
      <c r="AG103" s="178" t="s">
        <v>32</v>
      </c>
      <c r="AH103" s="179" t="s">
        <v>32</v>
      </c>
      <c r="AI103" s="180" t="s">
        <v>32</v>
      </c>
      <c r="AJ103" s="178" t="s">
        <v>32</v>
      </c>
      <c r="AK103" s="179" t="s">
        <v>32</v>
      </c>
      <c r="AL103" s="181" t="s">
        <v>32</v>
      </c>
      <c r="AM103" s="175" t="s">
        <v>32</v>
      </c>
      <c r="AN103" s="179" t="s">
        <v>32</v>
      </c>
      <c r="AO103" s="180" t="s">
        <v>32</v>
      </c>
      <c r="AP103" s="178" t="s">
        <v>32</v>
      </c>
      <c r="AQ103" s="179" t="s">
        <v>32</v>
      </c>
      <c r="AR103" s="180" t="s">
        <v>32</v>
      </c>
      <c r="AS103" s="178" t="s">
        <v>32</v>
      </c>
      <c r="AT103" s="179" t="s">
        <v>32</v>
      </c>
      <c r="AU103" s="181" t="s">
        <v>32</v>
      </c>
      <c r="AV103" s="175" t="s">
        <v>32</v>
      </c>
      <c r="AW103" s="179" t="s">
        <v>32</v>
      </c>
      <c r="AX103" s="180" t="s">
        <v>32</v>
      </c>
      <c r="AY103" s="178" t="s">
        <v>32</v>
      </c>
      <c r="AZ103" s="179" t="s">
        <v>32</v>
      </c>
      <c r="BA103" s="180" t="s">
        <v>32</v>
      </c>
      <c r="BB103" s="178" t="s">
        <v>32</v>
      </c>
      <c r="BC103" s="179" t="s">
        <v>32</v>
      </c>
      <c r="BD103" s="181" t="s">
        <v>32</v>
      </c>
      <c r="BF103" s="11" t="s">
        <v>32</v>
      </c>
      <c r="BG103" s="7" t="s">
        <v>32</v>
      </c>
      <c r="BH103" s="9" t="s">
        <v>32</v>
      </c>
      <c r="BI103" s="8" t="s">
        <v>32</v>
      </c>
      <c r="BJ103" s="7" t="s">
        <v>32</v>
      </c>
      <c r="BK103" s="9" t="s">
        <v>32</v>
      </c>
      <c r="BL103" s="8" t="s">
        <v>32</v>
      </c>
      <c r="BM103" s="7" t="s">
        <v>32</v>
      </c>
      <c r="BN103" s="10" t="s">
        <v>32</v>
      </c>
      <c r="BO103" s="11" t="s">
        <v>32</v>
      </c>
      <c r="BP103" s="7" t="s">
        <v>32</v>
      </c>
      <c r="BQ103" s="9" t="s">
        <v>32</v>
      </c>
      <c r="BR103" s="8" t="s">
        <v>32</v>
      </c>
      <c r="BS103" s="7" t="s">
        <v>32</v>
      </c>
      <c r="BT103" s="9" t="s">
        <v>32</v>
      </c>
      <c r="BU103" s="8" t="s">
        <v>32</v>
      </c>
      <c r="BV103" s="7" t="s">
        <v>32</v>
      </c>
      <c r="BW103" s="10" t="s">
        <v>32</v>
      </c>
      <c r="BX103" s="11" t="s">
        <v>32</v>
      </c>
      <c r="BY103" s="7" t="s">
        <v>32</v>
      </c>
      <c r="BZ103" s="9" t="s">
        <v>32</v>
      </c>
      <c r="CA103" s="8" t="s">
        <v>32</v>
      </c>
      <c r="CB103" s="7" t="s">
        <v>32</v>
      </c>
      <c r="CC103" s="9" t="s">
        <v>32</v>
      </c>
      <c r="CD103" s="8" t="s">
        <v>32</v>
      </c>
      <c r="CE103" s="7" t="s">
        <v>32</v>
      </c>
      <c r="CF103" s="10" t="s">
        <v>32</v>
      </c>
    </row>
    <row r="104" spans="2:84" ht="15" customHeight="1" thickBot="1">
      <c r="B104" s="197" t="s">
        <v>32</v>
      </c>
      <c r="C104" s="198" t="s">
        <v>32</v>
      </c>
      <c r="D104" s="199" t="s">
        <v>32</v>
      </c>
      <c r="E104" s="200" t="s">
        <v>32</v>
      </c>
      <c r="F104" s="198" t="s">
        <v>32</v>
      </c>
      <c r="G104" s="199" t="s">
        <v>32</v>
      </c>
      <c r="H104" s="200" t="s">
        <v>32</v>
      </c>
      <c r="I104" s="198" t="s">
        <v>32</v>
      </c>
      <c r="J104" s="201" t="s">
        <v>32</v>
      </c>
      <c r="K104" s="197" t="s">
        <v>32</v>
      </c>
      <c r="L104" s="198" t="s">
        <v>32</v>
      </c>
      <c r="M104" s="199" t="s">
        <v>32</v>
      </c>
      <c r="N104" s="200" t="s">
        <v>32</v>
      </c>
      <c r="O104" s="198" t="s">
        <v>32</v>
      </c>
      <c r="P104" s="199" t="s">
        <v>32</v>
      </c>
      <c r="Q104" s="200" t="s">
        <v>32</v>
      </c>
      <c r="R104" s="198" t="s">
        <v>32</v>
      </c>
      <c r="S104" s="201" t="s">
        <v>32</v>
      </c>
      <c r="T104" s="197" t="s">
        <v>32</v>
      </c>
      <c r="U104" s="198" t="s">
        <v>32</v>
      </c>
      <c r="V104" s="199" t="s">
        <v>32</v>
      </c>
      <c r="W104" s="200" t="s">
        <v>32</v>
      </c>
      <c r="X104" s="198" t="s">
        <v>32</v>
      </c>
      <c r="Y104" s="199" t="s">
        <v>32</v>
      </c>
      <c r="Z104" s="200" t="s">
        <v>32</v>
      </c>
      <c r="AA104" s="198" t="s">
        <v>32</v>
      </c>
      <c r="AB104" s="201" t="s">
        <v>32</v>
      </c>
      <c r="AD104" s="197" t="s">
        <v>32</v>
      </c>
      <c r="AE104" s="198" t="s">
        <v>32</v>
      </c>
      <c r="AF104" s="199" t="s">
        <v>32</v>
      </c>
      <c r="AG104" s="200" t="s">
        <v>32</v>
      </c>
      <c r="AH104" s="198" t="s">
        <v>32</v>
      </c>
      <c r="AI104" s="199" t="s">
        <v>32</v>
      </c>
      <c r="AJ104" s="200" t="s">
        <v>32</v>
      </c>
      <c r="AK104" s="198" t="s">
        <v>32</v>
      </c>
      <c r="AL104" s="201" t="s">
        <v>32</v>
      </c>
      <c r="AM104" s="197" t="s">
        <v>32</v>
      </c>
      <c r="AN104" s="198" t="s">
        <v>32</v>
      </c>
      <c r="AO104" s="199" t="s">
        <v>32</v>
      </c>
      <c r="AP104" s="200" t="s">
        <v>32</v>
      </c>
      <c r="AQ104" s="198" t="s">
        <v>32</v>
      </c>
      <c r="AR104" s="199" t="s">
        <v>32</v>
      </c>
      <c r="AS104" s="200" t="s">
        <v>32</v>
      </c>
      <c r="AT104" s="198" t="s">
        <v>32</v>
      </c>
      <c r="AU104" s="201" t="s">
        <v>32</v>
      </c>
      <c r="AV104" s="197" t="s">
        <v>32</v>
      </c>
      <c r="AW104" s="198" t="s">
        <v>32</v>
      </c>
      <c r="AX104" s="199" t="s">
        <v>32</v>
      </c>
      <c r="AY104" s="200" t="s">
        <v>32</v>
      </c>
      <c r="AZ104" s="198" t="s">
        <v>32</v>
      </c>
      <c r="BA104" s="199" t="s">
        <v>32</v>
      </c>
      <c r="BB104" s="200" t="s">
        <v>32</v>
      </c>
      <c r="BC104" s="198" t="s">
        <v>32</v>
      </c>
      <c r="BD104" s="201" t="s">
        <v>32</v>
      </c>
      <c r="BF104" s="21" t="s">
        <v>32</v>
      </c>
      <c r="BG104" s="22" t="s">
        <v>32</v>
      </c>
      <c r="BH104" s="23" t="s">
        <v>32</v>
      </c>
      <c r="BI104" s="24" t="s">
        <v>32</v>
      </c>
      <c r="BJ104" s="22" t="s">
        <v>32</v>
      </c>
      <c r="BK104" s="23" t="s">
        <v>32</v>
      </c>
      <c r="BL104" s="24" t="s">
        <v>32</v>
      </c>
      <c r="BM104" s="22" t="s">
        <v>32</v>
      </c>
      <c r="BN104" s="25" t="s">
        <v>32</v>
      </c>
      <c r="BO104" s="21" t="s">
        <v>32</v>
      </c>
      <c r="BP104" s="22" t="s">
        <v>32</v>
      </c>
      <c r="BQ104" s="23" t="s">
        <v>32</v>
      </c>
      <c r="BR104" s="24" t="s">
        <v>32</v>
      </c>
      <c r="BS104" s="22" t="s">
        <v>32</v>
      </c>
      <c r="BT104" s="23" t="s">
        <v>32</v>
      </c>
      <c r="BU104" s="24" t="s">
        <v>32</v>
      </c>
      <c r="BV104" s="22" t="s">
        <v>32</v>
      </c>
      <c r="BW104" s="25" t="s">
        <v>32</v>
      </c>
      <c r="BX104" s="21" t="s">
        <v>32</v>
      </c>
      <c r="BY104" s="22" t="s">
        <v>32</v>
      </c>
      <c r="BZ104" s="23" t="s">
        <v>32</v>
      </c>
      <c r="CA104" s="24" t="s">
        <v>32</v>
      </c>
      <c r="CB104" s="22" t="s">
        <v>32</v>
      </c>
      <c r="CC104" s="23" t="s">
        <v>32</v>
      </c>
      <c r="CD104" s="24" t="s">
        <v>32</v>
      </c>
      <c r="CE104" s="22" t="s">
        <v>32</v>
      </c>
      <c r="CF104" s="25" t="s">
        <v>32</v>
      </c>
    </row>
    <row r="105" spans="2:84" ht="15" customHeight="1">
      <c r="B105" s="170" t="s">
        <v>32</v>
      </c>
      <c r="C105" s="171" t="s">
        <v>32</v>
      </c>
      <c r="D105" s="172" t="s">
        <v>32</v>
      </c>
      <c r="E105" s="173" t="s">
        <v>32</v>
      </c>
      <c r="F105" s="171" t="s">
        <v>32</v>
      </c>
      <c r="G105" s="172" t="s">
        <v>32</v>
      </c>
      <c r="H105" s="173" t="s">
        <v>32</v>
      </c>
      <c r="I105" s="171" t="s">
        <v>32</v>
      </c>
      <c r="J105" s="174" t="s">
        <v>32</v>
      </c>
      <c r="K105" s="170" t="s">
        <v>32</v>
      </c>
      <c r="L105" s="171" t="s">
        <v>32</v>
      </c>
      <c r="M105" s="172" t="s">
        <v>32</v>
      </c>
      <c r="N105" s="173" t="s">
        <v>32</v>
      </c>
      <c r="O105" s="171" t="s">
        <v>32</v>
      </c>
      <c r="P105" s="172" t="s">
        <v>32</v>
      </c>
      <c r="Q105" s="173" t="s">
        <v>32</v>
      </c>
      <c r="R105" s="171" t="s">
        <v>32</v>
      </c>
      <c r="S105" s="174" t="s">
        <v>32</v>
      </c>
      <c r="T105" s="170" t="s">
        <v>32</v>
      </c>
      <c r="U105" s="171" t="s">
        <v>32</v>
      </c>
      <c r="V105" s="172" t="s">
        <v>32</v>
      </c>
      <c r="W105" s="173" t="s">
        <v>32</v>
      </c>
      <c r="X105" s="171" t="s">
        <v>32</v>
      </c>
      <c r="Y105" s="172" t="s">
        <v>32</v>
      </c>
      <c r="Z105" s="173" t="s">
        <v>32</v>
      </c>
      <c r="AA105" s="171" t="s">
        <v>32</v>
      </c>
      <c r="AB105" s="174" t="s">
        <v>32</v>
      </c>
      <c r="AD105" s="170" t="s">
        <v>32</v>
      </c>
      <c r="AE105" s="171" t="s">
        <v>32</v>
      </c>
      <c r="AF105" s="172" t="s">
        <v>32</v>
      </c>
      <c r="AG105" s="173" t="s">
        <v>32</v>
      </c>
      <c r="AH105" s="171" t="s">
        <v>32</v>
      </c>
      <c r="AI105" s="172" t="s">
        <v>32</v>
      </c>
      <c r="AJ105" s="173" t="s">
        <v>32</v>
      </c>
      <c r="AK105" s="171" t="s">
        <v>32</v>
      </c>
      <c r="AL105" s="174" t="s">
        <v>32</v>
      </c>
      <c r="AM105" s="170" t="s">
        <v>32</v>
      </c>
      <c r="AN105" s="171" t="s">
        <v>32</v>
      </c>
      <c r="AO105" s="172" t="s">
        <v>32</v>
      </c>
      <c r="AP105" s="173" t="s">
        <v>32</v>
      </c>
      <c r="AQ105" s="171" t="s">
        <v>32</v>
      </c>
      <c r="AR105" s="172" t="s">
        <v>32</v>
      </c>
      <c r="AS105" s="173" t="s">
        <v>32</v>
      </c>
      <c r="AT105" s="171" t="s">
        <v>32</v>
      </c>
      <c r="AU105" s="174" t="s">
        <v>32</v>
      </c>
      <c r="AV105" s="170" t="s">
        <v>32</v>
      </c>
      <c r="AW105" s="171" t="s">
        <v>32</v>
      </c>
      <c r="AX105" s="172" t="s">
        <v>32</v>
      </c>
      <c r="AY105" s="173" t="s">
        <v>32</v>
      </c>
      <c r="AZ105" s="171" t="s">
        <v>32</v>
      </c>
      <c r="BA105" s="172" t="s">
        <v>32</v>
      </c>
      <c r="BB105" s="173" t="s">
        <v>32</v>
      </c>
      <c r="BC105" s="171" t="s">
        <v>32</v>
      </c>
      <c r="BD105" s="174" t="s">
        <v>32</v>
      </c>
      <c r="BF105" s="2" t="s">
        <v>32</v>
      </c>
      <c r="BG105" s="5" t="s">
        <v>32</v>
      </c>
      <c r="BH105" s="3" t="s">
        <v>32</v>
      </c>
      <c r="BI105" s="4" t="s">
        <v>32</v>
      </c>
      <c r="BJ105" s="5" t="s">
        <v>32</v>
      </c>
      <c r="BK105" s="3" t="s">
        <v>32</v>
      </c>
      <c r="BL105" s="4" t="s">
        <v>32</v>
      </c>
      <c r="BM105" s="5" t="s">
        <v>32</v>
      </c>
      <c r="BN105" s="6" t="s">
        <v>32</v>
      </c>
      <c r="BO105" s="2" t="s">
        <v>32</v>
      </c>
      <c r="BP105" s="5" t="s">
        <v>32</v>
      </c>
      <c r="BQ105" s="3" t="s">
        <v>32</v>
      </c>
      <c r="BR105" s="4" t="s">
        <v>32</v>
      </c>
      <c r="BS105" s="5" t="s">
        <v>32</v>
      </c>
      <c r="BT105" s="3" t="s">
        <v>32</v>
      </c>
      <c r="BU105" s="4" t="s">
        <v>32</v>
      </c>
      <c r="BV105" s="5" t="s">
        <v>32</v>
      </c>
      <c r="BW105" s="6" t="s">
        <v>32</v>
      </c>
      <c r="BX105" s="2" t="s">
        <v>32</v>
      </c>
      <c r="BY105" s="5" t="s">
        <v>32</v>
      </c>
      <c r="BZ105" s="3" t="s">
        <v>32</v>
      </c>
      <c r="CA105" s="4" t="s">
        <v>32</v>
      </c>
      <c r="CB105" s="5" t="s">
        <v>32</v>
      </c>
      <c r="CC105" s="3" t="s">
        <v>32</v>
      </c>
      <c r="CD105" s="4" t="s">
        <v>32</v>
      </c>
      <c r="CE105" s="5" t="s">
        <v>32</v>
      </c>
      <c r="CF105" s="6" t="s">
        <v>32</v>
      </c>
    </row>
    <row r="106" spans="2:84" ht="15" customHeight="1">
      <c r="B106" s="175" t="s">
        <v>32</v>
      </c>
      <c r="C106" s="179" t="s">
        <v>32</v>
      </c>
      <c r="D106" s="180" t="s">
        <v>32</v>
      </c>
      <c r="E106" s="178" t="s">
        <v>32</v>
      </c>
      <c r="F106" s="179" t="s">
        <v>32</v>
      </c>
      <c r="G106" s="180" t="s">
        <v>32</v>
      </c>
      <c r="H106" s="178" t="s">
        <v>32</v>
      </c>
      <c r="I106" s="179" t="s">
        <v>32</v>
      </c>
      <c r="J106" s="181" t="s">
        <v>32</v>
      </c>
      <c r="K106" s="175" t="s">
        <v>32</v>
      </c>
      <c r="L106" s="179" t="s">
        <v>32</v>
      </c>
      <c r="M106" s="180" t="s">
        <v>32</v>
      </c>
      <c r="N106" s="178" t="s">
        <v>32</v>
      </c>
      <c r="O106" s="179" t="s">
        <v>32</v>
      </c>
      <c r="P106" s="180" t="s">
        <v>32</v>
      </c>
      <c r="Q106" s="178" t="s">
        <v>32</v>
      </c>
      <c r="R106" s="179" t="s">
        <v>32</v>
      </c>
      <c r="S106" s="181" t="s">
        <v>32</v>
      </c>
      <c r="T106" s="175" t="s">
        <v>32</v>
      </c>
      <c r="U106" s="179" t="s">
        <v>32</v>
      </c>
      <c r="V106" s="180" t="s">
        <v>32</v>
      </c>
      <c r="W106" s="178" t="s">
        <v>32</v>
      </c>
      <c r="X106" s="179" t="s">
        <v>32</v>
      </c>
      <c r="Y106" s="180" t="s">
        <v>32</v>
      </c>
      <c r="Z106" s="178" t="s">
        <v>32</v>
      </c>
      <c r="AA106" s="179" t="s">
        <v>32</v>
      </c>
      <c r="AB106" s="181" t="s">
        <v>32</v>
      </c>
      <c r="AD106" s="175" t="s">
        <v>32</v>
      </c>
      <c r="AE106" s="179" t="s">
        <v>32</v>
      </c>
      <c r="AF106" s="180" t="s">
        <v>32</v>
      </c>
      <c r="AG106" s="178" t="s">
        <v>32</v>
      </c>
      <c r="AH106" s="179" t="s">
        <v>32</v>
      </c>
      <c r="AI106" s="180" t="s">
        <v>32</v>
      </c>
      <c r="AJ106" s="178" t="s">
        <v>32</v>
      </c>
      <c r="AK106" s="179" t="s">
        <v>32</v>
      </c>
      <c r="AL106" s="181" t="s">
        <v>32</v>
      </c>
      <c r="AM106" s="175" t="s">
        <v>32</v>
      </c>
      <c r="AN106" s="179" t="s">
        <v>32</v>
      </c>
      <c r="AO106" s="180" t="s">
        <v>32</v>
      </c>
      <c r="AP106" s="178" t="s">
        <v>32</v>
      </c>
      <c r="AQ106" s="179" t="s">
        <v>32</v>
      </c>
      <c r="AR106" s="180" t="s">
        <v>32</v>
      </c>
      <c r="AS106" s="178" t="s">
        <v>32</v>
      </c>
      <c r="AT106" s="179" t="s">
        <v>32</v>
      </c>
      <c r="AU106" s="181" t="s">
        <v>32</v>
      </c>
      <c r="AV106" s="175" t="s">
        <v>32</v>
      </c>
      <c r="AW106" s="179" t="s">
        <v>32</v>
      </c>
      <c r="AX106" s="180" t="s">
        <v>32</v>
      </c>
      <c r="AY106" s="178" t="s">
        <v>32</v>
      </c>
      <c r="AZ106" s="179" t="s">
        <v>32</v>
      </c>
      <c r="BA106" s="180" t="s">
        <v>32</v>
      </c>
      <c r="BB106" s="178" t="s">
        <v>32</v>
      </c>
      <c r="BC106" s="179" t="s">
        <v>32</v>
      </c>
      <c r="BD106" s="181" t="s">
        <v>32</v>
      </c>
      <c r="BF106" s="11" t="s">
        <v>32</v>
      </c>
      <c r="BG106" s="7" t="s">
        <v>32</v>
      </c>
      <c r="BH106" s="9" t="s">
        <v>32</v>
      </c>
      <c r="BI106" s="8" t="s">
        <v>32</v>
      </c>
      <c r="BJ106" s="7" t="s">
        <v>32</v>
      </c>
      <c r="BK106" s="9" t="s">
        <v>32</v>
      </c>
      <c r="BL106" s="8" t="s">
        <v>32</v>
      </c>
      <c r="BM106" s="7" t="s">
        <v>32</v>
      </c>
      <c r="BN106" s="10" t="s">
        <v>32</v>
      </c>
      <c r="BO106" s="11" t="s">
        <v>32</v>
      </c>
      <c r="BP106" s="7" t="s">
        <v>32</v>
      </c>
      <c r="BQ106" s="9" t="s">
        <v>32</v>
      </c>
      <c r="BR106" s="8" t="s">
        <v>32</v>
      </c>
      <c r="BS106" s="7" t="s">
        <v>32</v>
      </c>
      <c r="BT106" s="9" t="s">
        <v>32</v>
      </c>
      <c r="BU106" s="8" t="s">
        <v>32</v>
      </c>
      <c r="BV106" s="7" t="s">
        <v>32</v>
      </c>
      <c r="BW106" s="10" t="s">
        <v>32</v>
      </c>
      <c r="BX106" s="11" t="s">
        <v>32</v>
      </c>
      <c r="BY106" s="7" t="s">
        <v>32</v>
      </c>
      <c r="BZ106" s="9" t="s">
        <v>32</v>
      </c>
      <c r="CA106" s="8" t="s">
        <v>32</v>
      </c>
      <c r="CB106" s="7" t="s">
        <v>32</v>
      </c>
      <c r="CC106" s="9" t="s">
        <v>32</v>
      </c>
      <c r="CD106" s="8" t="s">
        <v>32</v>
      </c>
      <c r="CE106" s="7" t="s">
        <v>32</v>
      </c>
      <c r="CF106" s="10" t="s">
        <v>32</v>
      </c>
    </row>
    <row r="107" spans="2:84" ht="15" customHeight="1">
      <c r="B107" s="183" t="s">
        <v>32</v>
      </c>
      <c r="C107" s="184" t="s">
        <v>32</v>
      </c>
      <c r="D107" s="185" t="s">
        <v>32</v>
      </c>
      <c r="E107" s="187" t="s">
        <v>32</v>
      </c>
      <c r="F107" s="184" t="s">
        <v>32</v>
      </c>
      <c r="G107" s="185" t="s">
        <v>32</v>
      </c>
      <c r="H107" s="187" t="s">
        <v>32</v>
      </c>
      <c r="I107" s="184" t="s">
        <v>32</v>
      </c>
      <c r="J107" s="188" t="s">
        <v>32</v>
      </c>
      <c r="K107" s="183" t="s">
        <v>32</v>
      </c>
      <c r="L107" s="184" t="s">
        <v>32</v>
      </c>
      <c r="M107" s="185" t="s">
        <v>32</v>
      </c>
      <c r="N107" s="187" t="s">
        <v>32</v>
      </c>
      <c r="O107" s="184" t="s">
        <v>32</v>
      </c>
      <c r="P107" s="185" t="s">
        <v>32</v>
      </c>
      <c r="Q107" s="187" t="s">
        <v>32</v>
      </c>
      <c r="R107" s="184" t="s">
        <v>32</v>
      </c>
      <c r="S107" s="188" t="s">
        <v>32</v>
      </c>
      <c r="T107" s="183" t="s">
        <v>32</v>
      </c>
      <c r="U107" s="184" t="s">
        <v>32</v>
      </c>
      <c r="V107" s="185" t="s">
        <v>32</v>
      </c>
      <c r="W107" s="187" t="s">
        <v>32</v>
      </c>
      <c r="X107" s="184" t="s">
        <v>32</v>
      </c>
      <c r="Y107" s="185" t="s">
        <v>32</v>
      </c>
      <c r="Z107" s="187" t="s">
        <v>32</v>
      </c>
      <c r="AA107" s="184" t="s">
        <v>32</v>
      </c>
      <c r="AB107" s="188" t="s">
        <v>32</v>
      </c>
      <c r="AD107" s="183" t="s">
        <v>32</v>
      </c>
      <c r="AE107" s="184" t="s">
        <v>32</v>
      </c>
      <c r="AF107" s="185" t="s">
        <v>32</v>
      </c>
      <c r="AG107" s="187" t="s">
        <v>32</v>
      </c>
      <c r="AH107" s="184" t="s">
        <v>32</v>
      </c>
      <c r="AI107" s="185" t="s">
        <v>32</v>
      </c>
      <c r="AJ107" s="187" t="s">
        <v>32</v>
      </c>
      <c r="AK107" s="184" t="s">
        <v>32</v>
      </c>
      <c r="AL107" s="188" t="s">
        <v>32</v>
      </c>
      <c r="AM107" s="183" t="s">
        <v>32</v>
      </c>
      <c r="AN107" s="184" t="s">
        <v>32</v>
      </c>
      <c r="AO107" s="185" t="s">
        <v>32</v>
      </c>
      <c r="AP107" s="187" t="s">
        <v>32</v>
      </c>
      <c r="AQ107" s="184" t="s">
        <v>32</v>
      </c>
      <c r="AR107" s="185" t="s">
        <v>32</v>
      </c>
      <c r="AS107" s="187" t="s">
        <v>32</v>
      </c>
      <c r="AT107" s="184" t="s">
        <v>32</v>
      </c>
      <c r="AU107" s="188" t="s">
        <v>32</v>
      </c>
      <c r="AV107" s="183" t="s">
        <v>32</v>
      </c>
      <c r="AW107" s="184" t="s">
        <v>32</v>
      </c>
      <c r="AX107" s="185" t="s">
        <v>32</v>
      </c>
      <c r="AY107" s="187" t="s">
        <v>32</v>
      </c>
      <c r="AZ107" s="184" t="s">
        <v>32</v>
      </c>
      <c r="BA107" s="185" t="s">
        <v>32</v>
      </c>
      <c r="BB107" s="187" t="s">
        <v>32</v>
      </c>
      <c r="BC107" s="184" t="s">
        <v>32</v>
      </c>
      <c r="BD107" s="188" t="s">
        <v>32</v>
      </c>
      <c r="BF107" s="12" t="s">
        <v>32</v>
      </c>
      <c r="BG107" s="13" t="s">
        <v>32</v>
      </c>
      <c r="BH107" s="15" t="s">
        <v>32</v>
      </c>
      <c r="BI107" s="14" t="s">
        <v>32</v>
      </c>
      <c r="BJ107" s="13" t="s">
        <v>32</v>
      </c>
      <c r="BK107" s="15" t="s">
        <v>32</v>
      </c>
      <c r="BL107" s="14" t="s">
        <v>32</v>
      </c>
      <c r="BM107" s="13" t="s">
        <v>32</v>
      </c>
      <c r="BN107" s="1" t="s">
        <v>32</v>
      </c>
      <c r="BO107" s="12" t="s">
        <v>32</v>
      </c>
      <c r="BP107" s="13" t="s">
        <v>32</v>
      </c>
      <c r="BQ107" s="15" t="s">
        <v>32</v>
      </c>
      <c r="BR107" s="14" t="s">
        <v>32</v>
      </c>
      <c r="BS107" s="13" t="s">
        <v>32</v>
      </c>
      <c r="BT107" s="15" t="s">
        <v>32</v>
      </c>
      <c r="BU107" s="14" t="s">
        <v>32</v>
      </c>
      <c r="BV107" s="13" t="s">
        <v>32</v>
      </c>
      <c r="BW107" s="1" t="s">
        <v>32</v>
      </c>
      <c r="BX107" s="12" t="s">
        <v>32</v>
      </c>
      <c r="BY107" s="13" t="s">
        <v>32</v>
      </c>
      <c r="BZ107" s="15" t="s">
        <v>32</v>
      </c>
      <c r="CA107" s="14" t="s">
        <v>32</v>
      </c>
      <c r="CB107" s="13" t="s">
        <v>32</v>
      </c>
      <c r="CC107" s="15" t="s">
        <v>32</v>
      </c>
      <c r="CD107" s="14" t="s">
        <v>32</v>
      </c>
      <c r="CE107" s="13" t="s">
        <v>32</v>
      </c>
      <c r="CF107" s="1" t="s">
        <v>32</v>
      </c>
    </row>
    <row r="108" spans="2:84" ht="15" customHeight="1">
      <c r="B108" s="190" t="s">
        <v>32</v>
      </c>
      <c r="C108" s="191" t="s">
        <v>32</v>
      </c>
      <c r="D108" s="194" t="s">
        <v>32</v>
      </c>
      <c r="E108" s="193" t="s">
        <v>32</v>
      </c>
      <c r="F108" s="191" t="s">
        <v>32</v>
      </c>
      <c r="G108" s="194" t="s">
        <v>32</v>
      </c>
      <c r="H108" s="193" t="s">
        <v>32</v>
      </c>
      <c r="I108" s="191" t="s">
        <v>32</v>
      </c>
      <c r="J108" s="195" t="s">
        <v>32</v>
      </c>
      <c r="K108" s="190" t="s">
        <v>32</v>
      </c>
      <c r="L108" s="191" t="s">
        <v>32</v>
      </c>
      <c r="M108" s="194" t="s">
        <v>32</v>
      </c>
      <c r="N108" s="193" t="s">
        <v>32</v>
      </c>
      <c r="O108" s="191" t="s">
        <v>32</v>
      </c>
      <c r="P108" s="194" t="s">
        <v>32</v>
      </c>
      <c r="Q108" s="193" t="s">
        <v>32</v>
      </c>
      <c r="R108" s="191" t="s">
        <v>32</v>
      </c>
      <c r="S108" s="195" t="s">
        <v>32</v>
      </c>
      <c r="T108" s="190" t="s">
        <v>32</v>
      </c>
      <c r="U108" s="191" t="s">
        <v>32</v>
      </c>
      <c r="V108" s="194" t="s">
        <v>32</v>
      </c>
      <c r="W108" s="193" t="s">
        <v>32</v>
      </c>
      <c r="X108" s="191" t="s">
        <v>32</v>
      </c>
      <c r="Y108" s="194" t="s">
        <v>32</v>
      </c>
      <c r="Z108" s="193" t="s">
        <v>32</v>
      </c>
      <c r="AA108" s="191" t="s">
        <v>32</v>
      </c>
      <c r="AB108" s="195" t="s">
        <v>32</v>
      </c>
      <c r="AD108" s="190" t="s">
        <v>32</v>
      </c>
      <c r="AE108" s="191" t="s">
        <v>32</v>
      </c>
      <c r="AF108" s="194" t="s">
        <v>32</v>
      </c>
      <c r="AG108" s="193" t="s">
        <v>32</v>
      </c>
      <c r="AH108" s="191" t="s">
        <v>32</v>
      </c>
      <c r="AI108" s="194" t="s">
        <v>32</v>
      </c>
      <c r="AJ108" s="193" t="s">
        <v>32</v>
      </c>
      <c r="AK108" s="191" t="s">
        <v>32</v>
      </c>
      <c r="AL108" s="195" t="s">
        <v>32</v>
      </c>
      <c r="AM108" s="190" t="s">
        <v>32</v>
      </c>
      <c r="AN108" s="191" t="s">
        <v>32</v>
      </c>
      <c r="AO108" s="194" t="s">
        <v>32</v>
      </c>
      <c r="AP108" s="193" t="s">
        <v>32</v>
      </c>
      <c r="AQ108" s="191" t="s">
        <v>32</v>
      </c>
      <c r="AR108" s="194" t="s">
        <v>32</v>
      </c>
      <c r="AS108" s="193" t="s">
        <v>32</v>
      </c>
      <c r="AT108" s="191" t="s">
        <v>32</v>
      </c>
      <c r="AU108" s="195" t="s">
        <v>32</v>
      </c>
      <c r="AV108" s="190" t="s">
        <v>32</v>
      </c>
      <c r="AW108" s="191" t="s">
        <v>32</v>
      </c>
      <c r="AX108" s="194" t="s">
        <v>32</v>
      </c>
      <c r="AY108" s="193" t="s">
        <v>32</v>
      </c>
      <c r="AZ108" s="191" t="s">
        <v>32</v>
      </c>
      <c r="BA108" s="194" t="s">
        <v>32</v>
      </c>
      <c r="BB108" s="193" t="s">
        <v>32</v>
      </c>
      <c r="BC108" s="191" t="s">
        <v>32</v>
      </c>
      <c r="BD108" s="195" t="s">
        <v>32</v>
      </c>
      <c r="BF108" s="16" t="s">
        <v>32</v>
      </c>
      <c r="BG108" s="17" t="s">
        <v>32</v>
      </c>
      <c r="BH108" s="18" t="s">
        <v>32</v>
      </c>
      <c r="BI108" s="19" t="s">
        <v>32</v>
      </c>
      <c r="BJ108" s="17" t="s">
        <v>32</v>
      </c>
      <c r="BK108" s="18" t="s">
        <v>32</v>
      </c>
      <c r="BL108" s="19" t="s">
        <v>32</v>
      </c>
      <c r="BM108" s="17" t="s">
        <v>32</v>
      </c>
      <c r="BN108" s="20" t="s">
        <v>32</v>
      </c>
      <c r="BO108" s="16" t="s">
        <v>32</v>
      </c>
      <c r="BP108" s="17" t="s">
        <v>32</v>
      </c>
      <c r="BQ108" s="18" t="s">
        <v>32</v>
      </c>
      <c r="BR108" s="19" t="s">
        <v>32</v>
      </c>
      <c r="BS108" s="17" t="s">
        <v>32</v>
      </c>
      <c r="BT108" s="18" t="s">
        <v>32</v>
      </c>
      <c r="BU108" s="19" t="s">
        <v>32</v>
      </c>
      <c r="BV108" s="17" t="s">
        <v>32</v>
      </c>
      <c r="BW108" s="20" t="s">
        <v>32</v>
      </c>
      <c r="BX108" s="16" t="s">
        <v>32</v>
      </c>
      <c r="BY108" s="17" t="s">
        <v>32</v>
      </c>
      <c r="BZ108" s="18" t="s">
        <v>32</v>
      </c>
      <c r="CA108" s="19" t="s">
        <v>32</v>
      </c>
      <c r="CB108" s="17" t="s">
        <v>32</v>
      </c>
      <c r="CC108" s="18" t="s">
        <v>32</v>
      </c>
      <c r="CD108" s="19" t="s">
        <v>32</v>
      </c>
      <c r="CE108" s="17" t="s">
        <v>32</v>
      </c>
      <c r="CF108" s="20" t="s">
        <v>32</v>
      </c>
    </row>
    <row r="109" spans="2:84" ht="15" customHeight="1">
      <c r="B109" s="175" t="s">
        <v>32</v>
      </c>
      <c r="C109" s="179" t="s">
        <v>32</v>
      </c>
      <c r="D109" s="180" t="s">
        <v>32</v>
      </c>
      <c r="E109" s="178" t="s">
        <v>32</v>
      </c>
      <c r="F109" s="179" t="s">
        <v>32</v>
      </c>
      <c r="G109" s="180" t="s">
        <v>32</v>
      </c>
      <c r="H109" s="178" t="s">
        <v>32</v>
      </c>
      <c r="I109" s="179" t="s">
        <v>32</v>
      </c>
      <c r="J109" s="181" t="s">
        <v>32</v>
      </c>
      <c r="K109" s="175" t="s">
        <v>32</v>
      </c>
      <c r="L109" s="179" t="s">
        <v>32</v>
      </c>
      <c r="M109" s="180" t="s">
        <v>32</v>
      </c>
      <c r="N109" s="178" t="s">
        <v>32</v>
      </c>
      <c r="O109" s="179" t="s">
        <v>32</v>
      </c>
      <c r="P109" s="180" t="s">
        <v>32</v>
      </c>
      <c r="Q109" s="178" t="s">
        <v>32</v>
      </c>
      <c r="R109" s="179" t="s">
        <v>32</v>
      </c>
      <c r="S109" s="181" t="s">
        <v>32</v>
      </c>
      <c r="T109" s="175" t="s">
        <v>32</v>
      </c>
      <c r="U109" s="179" t="s">
        <v>32</v>
      </c>
      <c r="V109" s="180" t="s">
        <v>32</v>
      </c>
      <c r="W109" s="178" t="s">
        <v>32</v>
      </c>
      <c r="X109" s="179" t="s">
        <v>32</v>
      </c>
      <c r="Y109" s="180" t="s">
        <v>32</v>
      </c>
      <c r="Z109" s="178" t="s">
        <v>32</v>
      </c>
      <c r="AA109" s="179" t="s">
        <v>32</v>
      </c>
      <c r="AB109" s="181" t="s">
        <v>32</v>
      </c>
      <c r="AD109" s="175" t="s">
        <v>32</v>
      </c>
      <c r="AE109" s="179" t="s">
        <v>32</v>
      </c>
      <c r="AF109" s="180" t="s">
        <v>32</v>
      </c>
      <c r="AG109" s="178" t="s">
        <v>32</v>
      </c>
      <c r="AH109" s="179" t="s">
        <v>32</v>
      </c>
      <c r="AI109" s="180" t="s">
        <v>32</v>
      </c>
      <c r="AJ109" s="178" t="s">
        <v>32</v>
      </c>
      <c r="AK109" s="179" t="s">
        <v>32</v>
      </c>
      <c r="AL109" s="181" t="s">
        <v>32</v>
      </c>
      <c r="AM109" s="175" t="s">
        <v>32</v>
      </c>
      <c r="AN109" s="179" t="s">
        <v>32</v>
      </c>
      <c r="AO109" s="180" t="s">
        <v>32</v>
      </c>
      <c r="AP109" s="178" t="s">
        <v>32</v>
      </c>
      <c r="AQ109" s="179" t="s">
        <v>32</v>
      </c>
      <c r="AR109" s="180" t="s">
        <v>32</v>
      </c>
      <c r="AS109" s="178" t="s">
        <v>32</v>
      </c>
      <c r="AT109" s="179" t="s">
        <v>32</v>
      </c>
      <c r="AU109" s="181" t="s">
        <v>32</v>
      </c>
      <c r="AV109" s="175" t="s">
        <v>32</v>
      </c>
      <c r="AW109" s="179" t="s">
        <v>32</v>
      </c>
      <c r="AX109" s="180" t="s">
        <v>32</v>
      </c>
      <c r="AY109" s="178" t="s">
        <v>32</v>
      </c>
      <c r="AZ109" s="179" t="s">
        <v>32</v>
      </c>
      <c r="BA109" s="180" t="s">
        <v>32</v>
      </c>
      <c r="BB109" s="178" t="s">
        <v>32</v>
      </c>
      <c r="BC109" s="179" t="s">
        <v>32</v>
      </c>
      <c r="BD109" s="181" t="s">
        <v>32</v>
      </c>
      <c r="BF109" s="11" t="s">
        <v>32</v>
      </c>
      <c r="BG109" s="7" t="s">
        <v>32</v>
      </c>
      <c r="BH109" s="9" t="s">
        <v>32</v>
      </c>
      <c r="BI109" s="8" t="s">
        <v>32</v>
      </c>
      <c r="BJ109" s="7" t="s">
        <v>32</v>
      </c>
      <c r="BK109" s="9" t="s">
        <v>32</v>
      </c>
      <c r="BL109" s="8" t="s">
        <v>32</v>
      </c>
      <c r="BM109" s="7" t="s">
        <v>32</v>
      </c>
      <c r="BN109" s="10" t="s">
        <v>32</v>
      </c>
      <c r="BO109" s="11" t="s">
        <v>32</v>
      </c>
      <c r="BP109" s="7" t="s">
        <v>32</v>
      </c>
      <c r="BQ109" s="9" t="s">
        <v>32</v>
      </c>
      <c r="BR109" s="8" t="s">
        <v>32</v>
      </c>
      <c r="BS109" s="7" t="s">
        <v>32</v>
      </c>
      <c r="BT109" s="9" t="s">
        <v>32</v>
      </c>
      <c r="BU109" s="8" t="s">
        <v>32</v>
      </c>
      <c r="BV109" s="7" t="s">
        <v>32</v>
      </c>
      <c r="BW109" s="10" t="s">
        <v>32</v>
      </c>
      <c r="BX109" s="11" t="s">
        <v>32</v>
      </c>
      <c r="BY109" s="7" t="s">
        <v>32</v>
      </c>
      <c r="BZ109" s="9" t="s">
        <v>32</v>
      </c>
      <c r="CA109" s="8" t="s">
        <v>32</v>
      </c>
      <c r="CB109" s="7" t="s">
        <v>32</v>
      </c>
      <c r="CC109" s="9" t="s">
        <v>32</v>
      </c>
      <c r="CD109" s="8" t="s">
        <v>32</v>
      </c>
      <c r="CE109" s="7" t="s">
        <v>32</v>
      </c>
      <c r="CF109" s="10" t="s">
        <v>32</v>
      </c>
    </row>
    <row r="110" spans="2:84" ht="15" customHeight="1">
      <c r="B110" s="183" t="s">
        <v>32</v>
      </c>
      <c r="C110" s="184" t="s">
        <v>32</v>
      </c>
      <c r="D110" s="189">
        <v>1</v>
      </c>
      <c r="E110" s="187" t="s">
        <v>32</v>
      </c>
      <c r="F110" s="184" t="s">
        <v>32</v>
      </c>
      <c r="G110" s="185" t="s">
        <v>32</v>
      </c>
      <c r="H110" s="187" t="s">
        <v>32</v>
      </c>
      <c r="I110" s="184" t="s">
        <v>32</v>
      </c>
      <c r="J110" s="188" t="s">
        <v>32</v>
      </c>
      <c r="K110" s="183" t="s">
        <v>32</v>
      </c>
      <c r="L110" s="184" t="s">
        <v>32</v>
      </c>
      <c r="M110" s="185" t="s">
        <v>32</v>
      </c>
      <c r="N110" s="187" t="s">
        <v>32</v>
      </c>
      <c r="O110" s="184" t="s">
        <v>32</v>
      </c>
      <c r="P110" s="185" t="s">
        <v>32</v>
      </c>
      <c r="Q110" s="187" t="s">
        <v>32</v>
      </c>
      <c r="R110" s="184" t="s">
        <v>32</v>
      </c>
      <c r="S110" s="188" t="s">
        <v>32</v>
      </c>
      <c r="T110" s="183" t="s">
        <v>32</v>
      </c>
      <c r="U110" s="184" t="s">
        <v>32</v>
      </c>
      <c r="V110" s="185" t="s">
        <v>32</v>
      </c>
      <c r="W110" s="187" t="s">
        <v>32</v>
      </c>
      <c r="X110" s="184" t="s">
        <v>32</v>
      </c>
      <c r="Y110" s="185" t="s">
        <v>32</v>
      </c>
      <c r="Z110" s="186">
        <v>9</v>
      </c>
      <c r="AA110" s="184" t="s">
        <v>32</v>
      </c>
      <c r="AB110" s="188" t="s">
        <v>32</v>
      </c>
      <c r="AD110" s="183" t="s">
        <v>32</v>
      </c>
      <c r="AE110" s="184" t="s">
        <v>32</v>
      </c>
      <c r="AF110" s="189">
        <v>1</v>
      </c>
      <c r="AG110" s="187" t="s">
        <v>32</v>
      </c>
      <c r="AH110" s="184" t="s">
        <v>32</v>
      </c>
      <c r="AI110" s="185" t="s">
        <v>32</v>
      </c>
      <c r="AJ110" s="187" t="s">
        <v>32</v>
      </c>
      <c r="AK110" s="184" t="s">
        <v>32</v>
      </c>
      <c r="AL110" s="188" t="s">
        <v>32</v>
      </c>
      <c r="AM110" s="183" t="s">
        <v>32</v>
      </c>
      <c r="AN110" s="184" t="s">
        <v>32</v>
      </c>
      <c r="AO110" s="185" t="s">
        <v>32</v>
      </c>
      <c r="AP110" s="187" t="s">
        <v>32</v>
      </c>
      <c r="AQ110" s="184" t="s">
        <v>32</v>
      </c>
      <c r="AR110" s="185" t="s">
        <v>32</v>
      </c>
      <c r="AS110" s="187" t="s">
        <v>32</v>
      </c>
      <c r="AT110" s="184" t="s">
        <v>32</v>
      </c>
      <c r="AU110" s="188" t="s">
        <v>32</v>
      </c>
      <c r="AV110" s="183" t="s">
        <v>32</v>
      </c>
      <c r="AW110" s="184" t="s">
        <v>32</v>
      </c>
      <c r="AX110" s="185" t="s">
        <v>32</v>
      </c>
      <c r="AY110" s="187" t="s">
        <v>32</v>
      </c>
      <c r="AZ110" s="184" t="s">
        <v>32</v>
      </c>
      <c r="BA110" s="185" t="s">
        <v>32</v>
      </c>
      <c r="BB110" s="186">
        <v>9</v>
      </c>
      <c r="BC110" s="184" t="s">
        <v>32</v>
      </c>
      <c r="BD110" s="188" t="s">
        <v>32</v>
      </c>
      <c r="BF110" s="12" t="s">
        <v>32</v>
      </c>
      <c r="BG110" s="13" t="s">
        <v>32</v>
      </c>
      <c r="BH110" s="208">
        <v>1</v>
      </c>
      <c r="BI110" s="14" t="s">
        <v>32</v>
      </c>
      <c r="BJ110" s="13" t="s">
        <v>32</v>
      </c>
      <c r="BK110" s="15" t="s">
        <v>32</v>
      </c>
      <c r="BL110" s="14" t="s">
        <v>32</v>
      </c>
      <c r="BM110" s="13" t="s">
        <v>32</v>
      </c>
      <c r="BN110" s="1" t="s">
        <v>32</v>
      </c>
      <c r="BO110" s="12" t="s">
        <v>32</v>
      </c>
      <c r="BP110" s="13" t="s">
        <v>32</v>
      </c>
      <c r="BQ110" s="15" t="s">
        <v>32</v>
      </c>
      <c r="BR110" s="14" t="s">
        <v>32</v>
      </c>
      <c r="BS110" s="13" t="s">
        <v>32</v>
      </c>
      <c r="BT110" s="15" t="s">
        <v>32</v>
      </c>
      <c r="BU110" s="14" t="s">
        <v>32</v>
      </c>
      <c r="BV110" s="13" t="s">
        <v>32</v>
      </c>
      <c r="BW110" s="1" t="s">
        <v>32</v>
      </c>
      <c r="BX110" s="12" t="s">
        <v>32</v>
      </c>
      <c r="BY110" s="13" t="s">
        <v>32</v>
      </c>
      <c r="BZ110" s="15" t="s">
        <v>32</v>
      </c>
      <c r="CA110" s="14" t="s">
        <v>32</v>
      </c>
      <c r="CB110" s="13" t="s">
        <v>32</v>
      </c>
      <c r="CC110" s="15" t="s">
        <v>32</v>
      </c>
      <c r="CD110" s="207">
        <v>9</v>
      </c>
      <c r="CE110" s="13" t="s">
        <v>32</v>
      </c>
      <c r="CF110" s="1" t="s">
        <v>32</v>
      </c>
    </row>
    <row r="111" spans="2:84" ht="15" customHeight="1">
      <c r="B111" s="190" t="s">
        <v>32</v>
      </c>
      <c r="C111" s="191">
        <v>2</v>
      </c>
      <c r="D111" s="194">
        <v>3</v>
      </c>
      <c r="E111" s="196">
        <v>4</v>
      </c>
      <c r="F111" s="191" t="s">
        <v>32</v>
      </c>
      <c r="G111" s="194" t="s">
        <v>32</v>
      </c>
      <c r="H111" s="193" t="s">
        <v>32</v>
      </c>
      <c r="I111" s="191" t="s">
        <v>32</v>
      </c>
      <c r="J111" s="195" t="s">
        <v>32</v>
      </c>
      <c r="K111" s="190" t="s">
        <v>32</v>
      </c>
      <c r="L111" s="191" t="s">
        <v>32</v>
      </c>
      <c r="M111" s="194" t="s">
        <v>32</v>
      </c>
      <c r="N111" s="193" t="s">
        <v>32</v>
      </c>
      <c r="O111" s="191">
        <v>8</v>
      </c>
      <c r="P111" s="194" t="s">
        <v>32</v>
      </c>
      <c r="Q111" s="193" t="s">
        <v>32</v>
      </c>
      <c r="R111" s="191" t="s">
        <v>32</v>
      </c>
      <c r="S111" s="195" t="s">
        <v>32</v>
      </c>
      <c r="T111" s="190" t="s">
        <v>32</v>
      </c>
      <c r="U111" s="191" t="s">
        <v>32</v>
      </c>
      <c r="V111" s="194" t="s">
        <v>32</v>
      </c>
      <c r="W111" s="193" t="s">
        <v>32</v>
      </c>
      <c r="X111" s="191" t="s">
        <v>32</v>
      </c>
      <c r="Y111" s="192">
        <v>7</v>
      </c>
      <c r="Z111" s="193">
        <v>6</v>
      </c>
      <c r="AA111" s="191">
        <v>5</v>
      </c>
      <c r="AB111" s="195" t="s">
        <v>32</v>
      </c>
      <c r="AD111" s="190" t="s">
        <v>32</v>
      </c>
      <c r="AE111" s="191">
        <v>2</v>
      </c>
      <c r="AF111" s="194">
        <v>3</v>
      </c>
      <c r="AG111" s="196">
        <v>4</v>
      </c>
      <c r="AH111" s="191" t="s">
        <v>32</v>
      </c>
      <c r="AI111" s="194" t="s">
        <v>32</v>
      </c>
      <c r="AJ111" s="193" t="s">
        <v>32</v>
      </c>
      <c r="AK111" s="191" t="s">
        <v>32</v>
      </c>
      <c r="AL111" s="195" t="s">
        <v>32</v>
      </c>
      <c r="AM111" s="190" t="s">
        <v>32</v>
      </c>
      <c r="AN111" s="191" t="s">
        <v>32</v>
      </c>
      <c r="AO111" s="194" t="s">
        <v>32</v>
      </c>
      <c r="AP111" s="193" t="s">
        <v>32</v>
      </c>
      <c r="AQ111" s="191">
        <v>8</v>
      </c>
      <c r="AR111" s="194" t="s">
        <v>32</v>
      </c>
      <c r="AS111" s="193" t="s">
        <v>32</v>
      </c>
      <c r="AT111" s="191" t="s">
        <v>32</v>
      </c>
      <c r="AU111" s="195" t="s">
        <v>32</v>
      </c>
      <c r="AV111" s="190" t="s">
        <v>32</v>
      </c>
      <c r="AW111" s="191" t="s">
        <v>32</v>
      </c>
      <c r="AX111" s="194" t="s">
        <v>32</v>
      </c>
      <c r="AY111" s="193" t="s">
        <v>32</v>
      </c>
      <c r="AZ111" s="191" t="s">
        <v>32</v>
      </c>
      <c r="BA111" s="192">
        <v>7</v>
      </c>
      <c r="BB111" s="193">
        <v>6</v>
      </c>
      <c r="BC111" s="191">
        <v>5</v>
      </c>
      <c r="BD111" s="195" t="s">
        <v>32</v>
      </c>
      <c r="BF111" s="16" t="s">
        <v>32</v>
      </c>
      <c r="BG111" s="17">
        <v>2</v>
      </c>
      <c r="BH111" s="18">
        <v>3</v>
      </c>
      <c r="BI111" s="210">
        <v>4</v>
      </c>
      <c r="BJ111" s="17" t="s">
        <v>32</v>
      </c>
      <c r="BK111" s="18" t="s">
        <v>32</v>
      </c>
      <c r="BL111" s="19" t="s">
        <v>32</v>
      </c>
      <c r="BM111" s="17" t="s">
        <v>32</v>
      </c>
      <c r="BN111" s="20" t="s">
        <v>32</v>
      </c>
      <c r="BO111" s="16" t="s">
        <v>32</v>
      </c>
      <c r="BP111" s="17" t="s">
        <v>32</v>
      </c>
      <c r="BQ111" s="18" t="s">
        <v>32</v>
      </c>
      <c r="BR111" s="19" t="s">
        <v>32</v>
      </c>
      <c r="BS111" s="17">
        <v>8</v>
      </c>
      <c r="BT111" s="18" t="s">
        <v>32</v>
      </c>
      <c r="BU111" s="19" t="s">
        <v>32</v>
      </c>
      <c r="BV111" s="17" t="s">
        <v>32</v>
      </c>
      <c r="BW111" s="20" t="s">
        <v>32</v>
      </c>
      <c r="BX111" s="16" t="s">
        <v>32</v>
      </c>
      <c r="BY111" s="17" t="s">
        <v>32</v>
      </c>
      <c r="BZ111" s="18" t="s">
        <v>32</v>
      </c>
      <c r="CA111" s="19" t="s">
        <v>32</v>
      </c>
      <c r="CB111" s="17" t="s">
        <v>32</v>
      </c>
      <c r="CC111" s="209">
        <v>7</v>
      </c>
      <c r="CD111" s="19">
        <v>6</v>
      </c>
      <c r="CE111" s="17">
        <v>5</v>
      </c>
      <c r="CF111" s="20" t="s">
        <v>32</v>
      </c>
    </row>
    <row r="112" spans="2:84" ht="15" customHeight="1">
      <c r="B112" s="175">
        <v>7</v>
      </c>
      <c r="C112" s="176">
        <v>6</v>
      </c>
      <c r="D112" s="177">
        <v>8</v>
      </c>
      <c r="E112" s="178" t="s">
        <v>32</v>
      </c>
      <c r="F112" s="179" t="s">
        <v>32</v>
      </c>
      <c r="G112" s="180" t="s">
        <v>32</v>
      </c>
      <c r="H112" s="178" t="s">
        <v>32</v>
      </c>
      <c r="I112" s="179" t="s">
        <v>32</v>
      </c>
      <c r="J112" s="181" t="s">
        <v>32</v>
      </c>
      <c r="K112" s="175" t="s">
        <v>32</v>
      </c>
      <c r="L112" s="179" t="s">
        <v>32</v>
      </c>
      <c r="M112" s="180" t="s">
        <v>32</v>
      </c>
      <c r="N112" s="182">
        <v>5</v>
      </c>
      <c r="O112" s="179">
        <v>1</v>
      </c>
      <c r="P112" s="177">
        <v>9</v>
      </c>
      <c r="Q112" s="178" t="s">
        <v>32</v>
      </c>
      <c r="R112" s="179" t="s">
        <v>32</v>
      </c>
      <c r="S112" s="181" t="s">
        <v>32</v>
      </c>
      <c r="T112" s="175" t="s">
        <v>32</v>
      </c>
      <c r="U112" s="179" t="s">
        <v>32</v>
      </c>
      <c r="V112" s="180" t="s">
        <v>32</v>
      </c>
      <c r="W112" s="178" t="s">
        <v>32</v>
      </c>
      <c r="X112" s="179" t="s">
        <v>32</v>
      </c>
      <c r="Y112" s="180" t="s">
        <v>32</v>
      </c>
      <c r="Z112" s="182">
        <v>2</v>
      </c>
      <c r="AA112" s="176">
        <v>3</v>
      </c>
      <c r="AB112" s="181">
        <v>4</v>
      </c>
      <c r="AD112" s="175">
        <v>7</v>
      </c>
      <c r="AE112" s="176">
        <v>6</v>
      </c>
      <c r="AF112" s="177">
        <v>8</v>
      </c>
      <c r="AG112" s="178" t="s">
        <v>32</v>
      </c>
      <c r="AH112" s="179" t="s">
        <v>32</v>
      </c>
      <c r="AI112" s="180" t="s">
        <v>32</v>
      </c>
      <c r="AJ112" s="178" t="s">
        <v>32</v>
      </c>
      <c r="AK112" s="179" t="s">
        <v>32</v>
      </c>
      <c r="AL112" s="181" t="s">
        <v>32</v>
      </c>
      <c r="AM112" s="175" t="s">
        <v>32</v>
      </c>
      <c r="AN112" s="179" t="s">
        <v>32</v>
      </c>
      <c r="AO112" s="180" t="s">
        <v>32</v>
      </c>
      <c r="AP112" s="182">
        <v>5</v>
      </c>
      <c r="AQ112" s="179">
        <v>1</v>
      </c>
      <c r="AR112" s="177">
        <v>9</v>
      </c>
      <c r="AS112" s="178" t="s">
        <v>32</v>
      </c>
      <c r="AT112" s="179" t="s">
        <v>32</v>
      </c>
      <c r="AU112" s="181" t="s">
        <v>32</v>
      </c>
      <c r="AV112" s="175" t="s">
        <v>32</v>
      </c>
      <c r="AW112" s="179" t="s">
        <v>32</v>
      </c>
      <c r="AX112" s="180" t="s">
        <v>32</v>
      </c>
      <c r="AY112" s="178" t="s">
        <v>32</v>
      </c>
      <c r="AZ112" s="179" t="s">
        <v>32</v>
      </c>
      <c r="BA112" s="180" t="s">
        <v>32</v>
      </c>
      <c r="BB112" s="182">
        <v>2</v>
      </c>
      <c r="BC112" s="176">
        <v>3</v>
      </c>
      <c r="BD112" s="181">
        <v>4</v>
      </c>
      <c r="BF112" s="11">
        <v>7</v>
      </c>
      <c r="BG112" s="204">
        <v>6</v>
      </c>
      <c r="BH112" s="205">
        <v>8</v>
      </c>
      <c r="BI112" s="8" t="s">
        <v>32</v>
      </c>
      <c r="BJ112" s="7" t="s">
        <v>32</v>
      </c>
      <c r="BK112" s="9" t="s">
        <v>32</v>
      </c>
      <c r="BL112" s="8" t="s">
        <v>32</v>
      </c>
      <c r="BM112" s="7" t="s">
        <v>32</v>
      </c>
      <c r="BN112" s="10" t="s">
        <v>32</v>
      </c>
      <c r="BO112" s="11" t="s">
        <v>32</v>
      </c>
      <c r="BP112" s="7" t="s">
        <v>32</v>
      </c>
      <c r="BQ112" s="9" t="s">
        <v>32</v>
      </c>
      <c r="BR112" s="206">
        <v>5</v>
      </c>
      <c r="BS112" s="7">
        <v>1</v>
      </c>
      <c r="BT112" s="205">
        <v>9</v>
      </c>
      <c r="BU112" s="8" t="s">
        <v>32</v>
      </c>
      <c r="BV112" s="7" t="s">
        <v>32</v>
      </c>
      <c r="BW112" s="10" t="s">
        <v>32</v>
      </c>
      <c r="BX112" s="11" t="s">
        <v>32</v>
      </c>
      <c r="BY112" s="7" t="s">
        <v>32</v>
      </c>
      <c r="BZ112" s="9" t="s">
        <v>32</v>
      </c>
      <c r="CA112" s="8" t="s">
        <v>32</v>
      </c>
      <c r="CB112" s="7" t="s">
        <v>32</v>
      </c>
      <c r="CC112" s="9" t="s">
        <v>32</v>
      </c>
      <c r="CD112" s="206">
        <v>2</v>
      </c>
      <c r="CE112" s="204">
        <v>3</v>
      </c>
      <c r="CF112" s="10">
        <v>4</v>
      </c>
    </row>
    <row r="113" spans="2:84" ht="15" customHeight="1" thickBot="1">
      <c r="B113" s="197">
        <v>5</v>
      </c>
      <c r="C113" s="198">
        <v>9</v>
      </c>
      <c r="D113" s="199" t="s">
        <v>32</v>
      </c>
      <c r="E113" s="200" t="s">
        <v>32</v>
      </c>
      <c r="F113" s="198" t="s">
        <v>32</v>
      </c>
      <c r="G113" s="199" t="s">
        <v>32</v>
      </c>
      <c r="H113" s="200" t="s">
        <v>32</v>
      </c>
      <c r="I113" s="198" t="s">
        <v>32</v>
      </c>
      <c r="J113" s="201" t="s">
        <v>32</v>
      </c>
      <c r="K113" s="197" t="s">
        <v>32</v>
      </c>
      <c r="L113" s="198" t="s">
        <v>32</v>
      </c>
      <c r="M113" s="199">
        <v>4</v>
      </c>
      <c r="N113" s="200">
        <v>3</v>
      </c>
      <c r="O113" s="198">
        <v>2</v>
      </c>
      <c r="P113" s="199">
        <v>6</v>
      </c>
      <c r="Q113" s="200">
        <v>7</v>
      </c>
      <c r="R113" s="198" t="s">
        <v>32</v>
      </c>
      <c r="S113" s="201" t="s">
        <v>32</v>
      </c>
      <c r="T113" s="197" t="s">
        <v>32</v>
      </c>
      <c r="U113" s="198" t="s">
        <v>32</v>
      </c>
      <c r="V113" s="199" t="s">
        <v>32</v>
      </c>
      <c r="W113" s="200" t="s">
        <v>32</v>
      </c>
      <c r="X113" s="198" t="s">
        <v>32</v>
      </c>
      <c r="Y113" s="199" t="s">
        <v>32</v>
      </c>
      <c r="Z113" s="200" t="s">
        <v>32</v>
      </c>
      <c r="AA113" s="198">
        <v>1</v>
      </c>
      <c r="AB113" s="201">
        <v>8</v>
      </c>
      <c r="AD113" s="197">
        <v>5</v>
      </c>
      <c r="AE113" s="198">
        <v>9</v>
      </c>
      <c r="AF113" s="199" t="s">
        <v>32</v>
      </c>
      <c r="AG113" s="200" t="s">
        <v>32</v>
      </c>
      <c r="AH113" s="198" t="s">
        <v>32</v>
      </c>
      <c r="AI113" s="199" t="s">
        <v>32</v>
      </c>
      <c r="AJ113" s="200" t="s">
        <v>32</v>
      </c>
      <c r="AK113" s="198" t="s">
        <v>32</v>
      </c>
      <c r="AL113" s="201" t="s">
        <v>32</v>
      </c>
      <c r="AM113" s="197" t="s">
        <v>32</v>
      </c>
      <c r="AN113" s="198" t="s">
        <v>32</v>
      </c>
      <c r="AO113" s="199">
        <v>4</v>
      </c>
      <c r="AP113" s="200">
        <v>6</v>
      </c>
      <c r="AQ113" s="198">
        <v>2</v>
      </c>
      <c r="AR113" s="199">
        <v>3</v>
      </c>
      <c r="AS113" s="200">
        <v>7</v>
      </c>
      <c r="AT113" s="198" t="s">
        <v>32</v>
      </c>
      <c r="AU113" s="201" t="s">
        <v>32</v>
      </c>
      <c r="AV113" s="197" t="s">
        <v>32</v>
      </c>
      <c r="AW113" s="198" t="s">
        <v>32</v>
      </c>
      <c r="AX113" s="199" t="s">
        <v>32</v>
      </c>
      <c r="AY113" s="200" t="s">
        <v>32</v>
      </c>
      <c r="AZ113" s="198" t="s">
        <v>32</v>
      </c>
      <c r="BA113" s="199" t="s">
        <v>32</v>
      </c>
      <c r="BB113" s="200" t="s">
        <v>32</v>
      </c>
      <c r="BC113" s="198">
        <v>1</v>
      </c>
      <c r="BD113" s="201">
        <v>8</v>
      </c>
      <c r="BF113" s="21">
        <v>5</v>
      </c>
      <c r="BG113" s="22">
        <v>9</v>
      </c>
      <c r="BH113" s="23" t="s">
        <v>32</v>
      </c>
      <c r="BI113" s="24" t="s">
        <v>32</v>
      </c>
      <c r="BJ113" s="22" t="s">
        <v>32</v>
      </c>
      <c r="BK113" s="23" t="s">
        <v>32</v>
      </c>
      <c r="BL113" s="24" t="s">
        <v>32</v>
      </c>
      <c r="BM113" s="22" t="s">
        <v>32</v>
      </c>
      <c r="BN113" s="25" t="s">
        <v>32</v>
      </c>
      <c r="BO113" s="21" t="s">
        <v>32</v>
      </c>
      <c r="BP113" s="22" t="s">
        <v>32</v>
      </c>
      <c r="BQ113" s="23">
        <v>4</v>
      </c>
      <c r="BR113" s="24">
        <v>3</v>
      </c>
      <c r="BS113" s="22">
        <v>2</v>
      </c>
      <c r="BT113" s="23">
        <v>6</v>
      </c>
      <c r="BU113" s="24">
        <v>7</v>
      </c>
      <c r="BV113" s="22" t="s">
        <v>32</v>
      </c>
      <c r="BW113" s="25" t="s">
        <v>32</v>
      </c>
      <c r="BX113" s="21" t="s">
        <v>32</v>
      </c>
      <c r="BY113" s="22" t="s">
        <v>32</v>
      </c>
      <c r="BZ113" s="23" t="s">
        <v>32</v>
      </c>
      <c r="CA113" s="24" t="s">
        <v>32</v>
      </c>
      <c r="CB113" s="22" t="s">
        <v>32</v>
      </c>
      <c r="CC113" s="23" t="s">
        <v>32</v>
      </c>
      <c r="CD113" s="24" t="s">
        <v>32</v>
      </c>
      <c r="CE113" s="22">
        <v>1</v>
      </c>
      <c r="CF113" s="25">
        <v>8</v>
      </c>
    </row>
    <row r="114" spans="2:84" ht="15" customHeight="1" thickBot="1">
      <c r="B114" s="33" t="s">
        <v>17</v>
      </c>
      <c r="AD114" s="33" t="s">
        <v>19</v>
      </c>
    </row>
    <row r="115" spans="2:84" ht="15" customHeight="1">
      <c r="B115" s="170">
        <v>4</v>
      </c>
      <c r="C115" s="171">
        <v>1</v>
      </c>
      <c r="D115" s="172" t="s">
        <v>32</v>
      </c>
      <c r="E115" s="173" t="s">
        <v>32</v>
      </c>
      <c r="F115" s="171" t="s">
        <v>32</v>
      </c>
      <c r="G115" s="172" t="s">
        <v>32</v>
      </c>
      <c r="H115" s="173" t="s">
        <v>32</v>
      </c>
      <c r="I115" s="171" t="s">
        <v>32</v>
      </c>
      <c r="J115" s="174" t="s">
        <v>32</v>
      </c>
      <c r="K115" s="170" t="s">
        <v>32</v>
      </c>
      <c r="L115" s="171" t="s">
        <v>32</v>
      </c>
      <c r="M115" s="172">
        <v>2</v>
      </c>
      <c r="N115" s="173">
        <v>3</v>
      </c>
      <c r="O115" s="171">
        <v>9</v>
      </c>
      <c r="P115" s="172">
        <v>8</v>
      </c>
      <c r="Q115" s="173">
        <v>5</v>
      </c>
      <c r="R115" s="171" t="s">
        <v>32</v>
      </c>
      <c r="S115" s="174" t="s">
        <v>32</v>
      </c>
      <c r="T115" s="170" t="s">
        <v>32</v>
      </c>
      <c r="U115" s="171" t="s">
        <v>32</v>
      </c>
      <c r="V115" s="172" t="s">
        <v>32</v>
      </c>
      <c r="W115" s="173" t="s">
        <v>32</v>
      </c>
      <c r="X115" s="171" t="s">
        <v>32</v>
      </c>
      <c r="Y115" s="172" t="s">
        <v>32</v>
      </c>
      <c r="Z115" s="173" t="s">
        <v>32</v>
      </c>
      <c r="AA115" s="171">
        <v>7</v>
      </c>
      <c r="AB115" s="174">
        <v>6</v>
      </c>
      <c r="AD115" s="170">
        <v>4</v>
      </c>
      <c r="AE115" s="171">
        <v>1</v>
      </c>
      <c r="AF115" s="172" t="s">
        <v>32</v>
      </c>
      <c r="AG115" s="173" t="s">
        <v>32</v>
      </c>
      <c r="AH115" s="171" t="s">
        <v>32</v>
      </c>
      <c r="AI115" s="172" t="s">
        <v>32</v>
      </c>
      <c r="AJ115" s="173" t="s">
        <v>32</v>
      </c>
      <c r="AK115" s="171" t="s">
        <v>32</v>
      </c>
      <c r="AL115" s="174" t="s">
        <v>32</v>
      </c>
      <c r="AM115" s="170" t="s">
        <v>32</v>
      </c>
      <c r="AN115" s="171" t="s">
        <v>32</v>
      </c>
      <c r="AO115" s="172">
        <v>2</v>
      </c>
      <c r="AP115" s="173">
        <v>8</v>
      </c>
      <c r="AQ115" s="171">
        <v>9</v>
      </c>
      <c r="AR115" s="172">
        <v>3</v>
      </c>
      <c r="AS115" s="173">
        <v>5</v>
      </c>
      <c r="AT115" s="171" t="s">
        <v>32</v>
      </c>
      <c r="AU115" s="174" t="s">
        <v>32</v>
      </c>
      <c r="AV115" s="170" t="s">
        <v>32</v>
      </c>
      <c r="AW115" s="171" t="s">
        <v>32</v>
      </c>
      <c r="AX115" s="172" t="s">
        <v>32</v>
      </c>
      <c r="AY115" s="173" t="s">
        <v>32</v>
      </c>
      <c r="AZ115" s="171" t="s">
        <v>32</v>
      </c>
      <c r="BA115" s="172" t="s">
        <v>32</v>
      </c>
      <c r="BB115" s="173" t="s">
        <v>32</v>
      </c>
      <c r="BC115" s="171">
        <v>7</v>
      </c>
      <c r="BD115" s="174">
        <v>6</v>
      </c>
    </row>
    <row r="116" spans="2:84" ht="15" customHeight="1">
      <c r="B116" s="175">
        <v>8</v>
      </c>
      <c r="C116" s="176">
        <v>5</v>
      </c>
      <c r="D116" s="177">
        <v>9</v>
      </c>
      <c r="E116" s="178" t="s">
        <v>32</v>
      </c>
      <c r="F116" s="179" t="s">
        <v>32</v>
      </c>
      <c r="G116" s="180" t="s">
        <v>32</v>
      </c>
      <c r="H116" s="178" t="s">
        <v>32</v>
      </c>
      <c r="I116" s="179" t="s">
        <v>32</v>
      </c>
      <c r="J116" s="181" t="s">
        <v>32</v>
      </c>
      <c r="K116" s="175" t="s">
        <v>32</v>
      </c>
      <c r="L116" s="179" t="s">
        <v>32</v>
      </c>
      <c r="M116" s="180" t="s">
        <v>32</v>
      </c>
      <c r="N116" s="182">
        <v>7</v>
      </c>
      <c r="O116" s="179">
        <v>6</v>
      </c>
      <c r="P116" s="177">
        <v>1</v>
      </c>
      <c r="Q116" s="178" t="s">
        <v>32</v>
      </c>
      <c r="R116" s="179" t="s">
        <v>32</v>
      </c>
      <c r="S116" s="181" t="s">
        <v>32</v>
      </c>
      <c r="T116" s="175" t="s">
        <v>32</v>
      </c>
      <c r="U116" s="179" t="s">
        <v>32</v>
      </c>
      <c r="V116" s="180" t="s">
        <v>32</v>
      </c>
      <c r="W116" s="178" t="s">
        <v>32</v>
      </c>
      <c r="X116" s="179" t="s">
        <v>32</v>
      </c>
      <c r="Y116" s="180" t="s">
        <v>32</v>
      </c>
      <c r="Z116" s="182">
        <v>3</v>
      </c>
      <c r="AA116" s="176">
        <v>4</v>
      </c>
      <c r="AB116" s="181">
        <v>2</v>
      </c>
      <c r="AD116" s="175">
        <v>8</v>
      </c>
      <c r="AE116" s="176">
        <v>5</v>
      </c>
      <c r="AF116" s="177">
        <v>9</v>
      </c>
      <c r="AG116" s="178" t="s">
        <v>32</v>
      </c>
      <c r="AH116" s="179" t="s">
        <v>32</v>
      </c>
      <c r="AI116" s="180" t="s">
        <v>32</v>
      </c>
      <c r="AJ116" s="178" t="s">
        <v>32</v>
      </c>
      <c r="AK116" s="179" t="s">
        <v>32</v>
      </c>
      <c r="AL116" s="181" t="s">
        <v>32</v>
      </c>
      <c r="AM116" s="175" t="s">
        <v>32</v>
      </c>
      <c r="AN116" s="179" t="s">
        <v>32</v>
      </c>
      <c r="AO116" s="180" t="s">
        <v>32</v>
      </c>
      <c r="AP116" s="182">
        <v>7</v>
      </c>
      <c r="AQ116" s="179">
        <v>6</v>
      </c>
      <c r="AR116" s="177">
        <v>1</v>
      </c>
      <c r="AS116" s="178" t="s">
        <v>32</v>
      </c>
      <c r="AT116" s="179" t="s">
        <v>32</v>
      </c>
      <c r="AU116" s="181" t="s">
        <v>32</v>
      </c>
      <c r="AV116" s="175" t="s">
        <v>32</v>
      </c>
      <c r="AW116" s="179" t="s">
        <v>32</v>
      </c>
      <c r="AX116" s="180" t="s">
        <v>32</v>
      </c>
      <c r="AY116" s="178" t="s">
        <v>32</v>
      </c>
      <c r="AZ116" s="179" t="s">
        <v>32</v>
      </c>
      <c r="BA116" s="180" t="s">
        <v>32</v>
      </c>
      <c r="BB116" s="182">
        <v>3</v>
      </c>
      <c r="BC116" s="176">
        <v>4</v>
      </c>
      <c r="BD116" s="181">
        <v>2</v>
      </c>
    </row>
    <row r="117" spans="2:84" ht="15" customHeight="1">
      <c r="B117" s="183" t="s">
        <v>32</v>
      </c>
      <c r="C117" s="184">
        <v>3</v>
      </c>
      <c r="D117" s="185">
        <v>6</v>
      </c>
      <c r="E117" s="186">
        <v>2</v>
      </c>
      <c r="F117" s="184" t="s">
        <v>32</v>
      </c>
      <c r="G117" s="185" t="s">
        <v>32</v>
      </c>
      <c r="H117" s="187" t="s">
        <v>32</v>
      </c>
      <c r="I117" s="184" t="s">
        <v>32</v>
      </c>
      <c r="J117" s="188" t="s">
        <v>32</v>
      </c>
      <c r="K117" s="183" t="s">
        <v>32</v>
      </c>
      <c r="L117" s="184" t="s">
        <v>32</v>
      </c>
      <c r="M117" s="185" t="s">
        <v>32</v>
      </c>
      <c r="N117" s="187" t="s">
        <v>32</v>
      </c>
      <c r="O117" s="184">
        <v>4</v>
      </c>
      <c r="P117" s="185" t="s">
        <v>32</v>
      </c>
      <c r="Q117" s="187" t="s">
        <v>32</v>
      </c>
      <c r="R117" s="184" t="s">
        <v>32</v>
      </c>
      <c r="S117" s="188" t="s">
        <v>32</v>
      </c>
      <c r="T117" s="183" t="s">
        <v>32</v>
      </c>
      <c r="U117" s="184" t="s">
        <v>32</v>
      </c>
      <c r="V117" s="185" t="s">
        <v>32</v>
      </c>
      <c r="W117" s="187" t="s">
        <v>32</v>
      </c>
      <c r="X117" s="184" t="s">
        <v>32</v>
      </c>
      <c r="Y117" s="189">
        <v>5</v>
      </c>
      <c r="Z117" s="187">
        <v>8</v>
      </c>
      <c r="AA117" s="184">
        <v>9</v>
      </c>
      <c r="AB117" s="188" t="s">
        <v>32</v>
      </c>
      <c r="AD117" s="183" t="s">
        <v>32</v>
      </c>
      <c r="AE117" s="184">
        <v>3</v>
      </c>
      <c r="AF117" s="185">
        <v>6</v>
      </c>
      <c r="AG117" s="186">
        <v>2</v>
      </c>
      <c r="AH117" s="184" t="s">
        <v>32</v>
      </c>
      <c r="AI117" s="185" t="s">
        <v>32</v>
      </c>
      <c r="AJ117" s="187" t="s">
        <v>32</v>
      </c>
      <c r="AK117" s="184" t="s">
        <v>32</v>
      </c>
      <c r="AL117" s="188" t="s">
        <v>32</v>
      </c>
      <c r="AM117" s="183" t="s">
        <v>32</v>
      </c>
      <c r="AN117" s="184" t="s">
        <v>32</v>
      </c>
      <c r="AO117" s="185" t="s">
        <v>32</v>
      </c>
      <c r="AP117" s="187" t="s">
        <v>32</v>
      </c>
      <c r="AQ117" s="184">
        <v>4</v>
      </c>
      <c r="AR117" s="185" t="s">
        <v>32</v>
      </c>
      <c r="AS117" s="187" t="s">
        <v>32</v>
      </c>
      <c r="AT117" s="184" t="s">
        <v>32</v>
      </c>
      <c r="AU117" s="188" t="s">
        <v>32</v>
      </c>
      <c r="AV117" s="183" t="s">
        <v>32</v>
      </c>
      <c r="AW117" s="184" t="s">
        <v>32</v>
      </c>
      <c r="AX117" s="185" t="s">
        <v>32</v>
      </c>
      <c r="AY117" s="187" t="s">
        <v>32</v>
      </c>
      <c r="AZ117" s="184" t="s">
        <v>32</v>
      </c>
      <c r="BA117" s="189">
        <v>5</v>
      </c>
      <c r="BB117" s="187">
        <v>8</v>
      </c>
      <c r="BC117" s="184">
        <v>9</v>
      </c>
      <c r="BD117" s="188" t="s">
        <v>32</v>
      </c>
    </row>
    <row r="118" spans="2:84" ht="15" customHeight="1">
      <c r="B118" s="190" t="s">
        <v>32</v>
      </c>
      <c r="C118" s="191" t="s">
        <v>32</v>
      </c>
      <c r="D118" s="192">
        <v>7</v>
      </c>
      <c r="E118" s="193" t="s">
        <v>32</v>
      </c>
      <c r="F118" s="191" t="s">
        <v>32</v>
      </c>
      <c r="G118" s="194" t="s">
        <v>32</v>
      </c>
      <c r="H118" s="193" t="s">
        <v>32</v>
      </c>
      <c r="I118" s="191" t="s">
        <v>32</v>
      </c>
      <c r="J118" s="195" t="s">
        <v>32</v>
      </c>
      <c r="K118" s="190" t="s">
        <v>32</v>
      </c>
      <c r="L118" s="191" t="s">
        <v>32</v>
      </c>
      <c r="M118" s="194" t="s">
        <v>32</v>
      </c>
      <c r="N118" s="193" t="s">
        <v>32</v>
      </c>
      <c r="O118" s="191" t="s">
        <v>32</v>
      </c>
      <c r="P118" s="194" t="s">
        <v>32</v>
      </c>
      <c r="Q118" s="193" t="s">
        <v>32</v>
      </c>
      <c r="R118" s="191" t="s">
        <v>32</v>
      </c>
      <c r="S118" s="195" t="s">
        <v>32</v>
      </c>
      <c r="T118" s="190" t="s">
        <v>32</v>
      </c>
      <c r="U118" s="191" t="s">
        <v>32</v>
      </c>
      <c r="V118" s="194" t="s">
        <v>32</v>
      </c>
      <c r="W118" s="193" t="s">
        <v>32</v>
      </c>
      <c r="X118" s="191" t="s">
        <v>32</v>
      </c>
      <c r="Y118" s="194" t="s">
        <v>32</v>
      </c>
      <c r="Z118" s="196">
        <v>1</v>
      </c>
      <c r="AA118" s="191" t="s">
        <v>32</v>
      </c>
      <c r="AB118" s="195" t="s">
        <v>32</v>
      </c>
      <c r="AD118" s="190" t="s">
        <v>32</v>
      </c>
      <c r="AE118" s="191" t="s">
        <v>32</v>
      </c>
      <c r="AF118" s="192">
        <v>7</v>
      </c>
      <c r="AG118" s="193" t="s">
        <v>32</v>
      </c>
      <c r="AH118" s="191" t="s">
        <v>32</v>
      </c>
      <c r="AI118" s="194" t="s">
        <v>32</v>
      </c>
      <c r="AJ118" s="193" t="s">
        <v>32</v>
      </c>
      <c r="AK118" s="191" t="s">
        <v>32</v>
      </c>
      <c r="AL118" s="195" t="s">
        <v>32</v>
      </c>
      <c r="AM118" s="190" t="s">
        <v>32</v>
      </c>
      <c r="AN118" s="191" t="s">
        <v>32</v>
      </c>
      <c r="AO118" s="194" t="s">
        <v>32</v>
      </c>
      <c r="AP118" s="193" t="s">
        <v>32</v>
      </c>
      <c r="AQ118" s="191" t="s">
        <v>32</v>
      </c>
      <c r="AR118" s="194" t="s">
        <v>32</v>
      </c>
      <c r="AS118" s="193" t="s">
        <v>32</v>
      </c>
      <c r="AT118" s="191" t="s">
        <v>32</v>
      </c>
      <c r="AU118" s="195" t="s">
        <v>32</v>
      </c>
      <c r="AV118" s="190" t="s">
        <v>32</v>
      </c>
      <c r="AW118" s="191" t="s">
        <v>32</v>
      </c>
      <c r="AX118" s="194" t="s">
        <v>32</v>
      </c>
      <c r="AY118" s="193" t="s">
        <v>32</v>
      </c>
      <c r="AZ118" s="191" t="s">
        <v>32</v>
      </c>
      <c r="BA118" s="194" t="s">
        <v>32</v>
      </c>
      <c r="BB118" s="196">
        <v>1</v>
      </c>
      <c r="BC118" s="191" t="s">
        <v>32</v>
      </c>
      <c r="BD118" s="195" t="s">
        <v>32</v>
      </c>
    </row>
    <row r="119" spans="2:84" ht="15" customHeight="1">
      <c r="B119" s="175" t="s">
        <v>32</v>
      </c>
      <c r="C119" s="179" t="s">
        <v>32</v>
      </c>
      <c r="D119" s="180" t="s">
        <v>32</v>
      </c>
      <c r="E119" s="178" t="s">
        <v>32</v>
      </c>
      <c r="F119" s="179" t="s">
        <v>32</v>
      </c>
      <c r="G119" s="180" t="s">
        <v>32</v>
      </c>
      <c r="H119" s="178" t="s">
        <v>32</v>
      </c>
      <c r="I119" s="179" t="s">
        <v>32</v>
      </c>
      <c r="J119" s="181" t="s">
        <v>32</v>
      </c>
      <c r="K119" s="175" t="s">
        <v>32</v>
      </c>
      <c r="L119" s="179" t="s">
        <v>32</v>
      </c>
      <c r="M119" s="180" t="s">
        <v>32</v>
      </c>
      <c r="N119" s="178" t="s">
        <v>32</v>
      </c>
      <c r="O119" s="179" t="s">
        <v>32</v>
      </c>
      <c r="P119" s="180" t="s">
        <v>32</v>
      </c>
      <c r="Q119" s="178" t="s">
        <v>32</v>
      </c>
      <c r="R119" s="179" t="s">
        <v>32</v>
      </c>
      <c r="S119" s="181" t="s">
        <v>32</v>
      </c>
      <c r="T119" s="175" t="s">
        <v>32</v>
      </c>
      <c r="U119" s="179" t="s">
        <v>32</v>
      </c>
      <c r="V119" s="180" t="s">
        <v>32</v>
      </c>
      <c r="W119" s="178" t="s">
        <v>32</v>
      </c>
      <c r="X119" s="179" t="s">
        <v>32</v>
      </c>
      <c r="Y119" s="180" t="s">
        <v>32</v>
      </c>
      <c r="Z119" s="178" t="s">
        <v>32</v>
      </c>
      <c r="AA119" s="179" t="s">
        <v>32</v>
      </c>
      <c r="AB119" s="181" t="s">
        <v>32</v>
      </c>
      <c r="AD119" s="175" t="s">
        <v>32</v>
      </c>
      <c r="AE119" s="179" t="s">
        <v>32</v>
      </c>
      <c r="AF119" s="180" t="s">
        <v>32</v>
      </c>
      <c r="AG119" s="178" t="s">
        <v>32</v>
      </c>
      <c r="AH119" s="179" t="s">
        <v>32</v>
      </c>
      <c r="AI119" s="180" t="s">
        <v>32</v>
      </c>
      <c r="AJ119" s="178" t="s">
        <v>32</v>
      </c>
      <c r="AK119" s="179" t="s">
        <v>32</v>
      </c>
      <c r="AL119" s="181" t="s">
        <v>32</v>
      </c>
      <c r="AM119" s="175" t="s">
        <v>32</v>
      </c>
      <c r="AN119" s="179" t="s">
        <v>32</v>
      </c>
      <c r="AO119" s="180" t="s">
        <v>32</v>
      </c>
      <c r="AP119" s="178" t="s">
        <v>32</v>
      </c>
      <c r="AQ119" s="179" t="s">
        <v>32</v>
      </c>
      <c r="AR119" s="180" t="s">
        <v>32</v>
      </c>
      <c r="AS119" s="178" t="s">
        <v>32</v>
      </c>
      <c r="AT119" s="179" t="s">
        <v>32</v>
      </c>
      <c r="AU119" s="181" t="s">
        <v>32</v>
      </c>
      <c r="AV119" s="175" t="s">
        <v>32</v>
      </c>
      <c r="AW119" s="179" t="s">
        <v>32</v>
      </c>
      <c r="AX119" s="180" t="s">
        <v>32</v>
      </c>
      <c r="AY119" s="178" t="s">
        <v>32</v>
      </c>
      <c r="AZ119" s="179" t="s">
        <v>32</v>
      </c>
      <c r="BA119" s="180" t="s">
        <v>32</v>
      </c>
      <c r="BB119" s="178" t="s">
        <v>32</v>
      </c>
      <c r="BC119" s="179" t="s">
        <v>32</v>
      </c>
      <c r="BD119" s="181" t="s">
        <v>32</v>
      </c>
    </row>
    <row r="120" spans="2:84" ht="15" customHeight="1">
      <c r="B120" s="183" t="s">
        <v>32</v>
      </c>
      <c r="C120" s="184" t="s">
        <v>32</v>
      </c>
      <c r="D120" s="185" t="s">
        <v>32</v>
      </c>
      <c r="E120" s="187" t="s">
        <v>32</v>
      </c>
      <c r="F120" s="184" t="s">
        <v>32</v>
      </c>
      <c r="G120" s="185" t="s">
        <v>32</v>
      </c>
      <c r="H120" s="187" t="s">
        <v>32</v>
      </c>
      <c r="I120" s="184" t="s">
        <v>32</v>
      </c>
      <c r="J120" s="188" t="s">
        <v>32</v>
      </c>
      <c r="K120" s="183" t="s">
        <v>32</v>
      </c>
      <c r="L120" s="184" t="s">
        <v>32</v>
      </c>
      <c r="M120" s="185" t="s">
        <v>32</v>
      </c>
      <c r="N120" s="187" t="s">
        <v>32</v>
      </c>
      <c r="O120" s="184" t="s">
        <v>32</v>
      </c>
      <c r="P120" s="185" t="s">
        <v>32</v>
      </c>
      <c r="Q120" s="187" t="s">
        <v>32</v>
      </c>
      <c r="R120" s="184" t="s">
        <v>32</v>
      </c>
      <c r="S120" s="188" t="s">
        <v>32</v>
      </c>
      <c r="T120" s="183" t="s">
        <v>32</v>
      </c>
      <c r="U120" s="184" t="s">
        <v>32</v>
      </c>
      <c r="V120" s="185" t="s">
        <v>32</v>
      </c>
      <c r="W120" s="187" t="s">
        <v>32</v>
      </c>
      <c r="X120" s="184" t="s">
        <v>32</v>
      </c>
      <c r="Y120" s="185" t="s">
        <v>32</v>
      </c>
      <c r="Z120" s="187" t="s">
        <v>32</v>
      </c>
      <c r="AA120" s="184" t="s">
        <v>32</v>
      </c>
      <c r="AB120" s="188" t="s">
        <v>32</v>
      </c>
      <c r="AD120" s="183" t="s">
        <v>32</v>
      </c>
      <c r="AE120" s="184" t="s">
        <v>32</v>
      </c>
      <c r="AF120" s="185" t="s">
        <v>32</v>
      </c>
      <c r="AG120" s="187" t="s">
        <v>32</v>
      </c>
      <c r="AH120" s="184" t="s">
        <v>32</v>
      </c>
      <c r="AI120" s="185" t="s">
        <v>32</v>
      </c>
      <c r="AJ120" s="187" t="s">
        <v>32</v>
      </c>
      <c r="AK120" s="184" t="s">
        <v>32</v>
      </c>
      <c r="AL120" s="188" t="s">
        <v>32</v>
      </c>
      <c r="AM120" s="183" t="s">
        <v>32</v>
      </c>
      <c r="AN120" s="184" t="s">
        <v>32</v>
      </c>
      <c r="AO120" s="185" t="s">
        <v>32</v>
      </c>
      <c r="AP120" s="187" t="s">
        <v>32</v>
      </c>
      <c r="AQ120" s="184" t="s">
        <v>32</v>
      </c>
      <c r="AR120" s="185" t="s">
        <v>32</v>
      </c>
      <c r="AS120" s="187" t="s">
        <v>32</v>
      </c>
      <c r="AT120" s="184" t="s">
        <v>32</v>
      </c>
      <c r="AU120" s="188" t="s">
        <v>32</v>
      </c>
      <c r="AV120" s="183" t="s">
        <v>32</v>
      </c>
      <c r="AW120" s="184" t="s">
        <v>32</v>
      </c>
      <c r="AX120" s="185" t="s">
        <v>32</v>
      </c>
      <c r="AY120" s="187" t="s">
        <v>32</v>
      </c>
      <c r="AZ120" s="184" t="s">
        <v>32</v>
      </c>
      <c r="BA120" s="185" t="s">
        <v>32</v>
      </c>
      <c r="BB120" s="187" t="s">
        <v>32</v>
      </c>
      <c r="BC120" s="184" t="s">
        <v>32</v>
      </c>
      <c r="BD120" s="188" t="s">
        <v>32</v>
      </c>
    </row>
    <row r="121" spans="2:84" ht="15" customHeight="1">
      <c r="B121" s="190" t="s">
        <v>32</v>
      </c>
      <c r="C121" s="191" t="s">
        <v>32</v>
      </c>
      <c r="D121" s="194" t="s">
        <v>32</v>
      </c>
      <c r="E121" s="193" t="s">
        <v>32</v>
      </c>
      <c r="F121" s="191" t="s">
        <v>32</v>
      </c>
      <c r="G121" s="194" t="s">
        <v>32</v>
      </c>
      <c r="H121" s="193" t="s">
        <v>32</v>
      </c>
      <c r="I121" s="191" t="s">
        <v>32</v>
      </c>
      <c r="J121" s="195" t="s">
        <v>32</v>
      </c>
      <c r="K121" s="190" t="s">
        <v>32</v>
      </c>
      <c r="L121" s="191" t="s">
        <v>32</v>
      </c>
      <c r="M121" s="194" t="s">
        <v>32</v>
      </c>
      <c r="N121" s="193" t="s">
        <v>32</v>
      </c>
      <c r="O121" s="191" t="s">
        <v>32</v>
      </c>
      <c r="P121" s="194" t="s">
        <v>32</v>
      </c>
      <c r="Q121" s="193" t="s">
        <v>32</v>
      </c>
      <c r="R121" s="191" t="s">
        <v>32</v>
      </c>
      <c r="S121" s="195" t="s">
        <v>32</v>
      </c>
      <c r="T121" s="190" t="s">
        <v>32</v>
      </c>
      <c r="U121" s="191" t="s">
        <v>32</v>
      </c>
      <c r="V121" s="194" t="s">
        <v>32</v>
      </c>
      <c r="W121" s="193" t="s">
        <v>32</v>
      </c>
      <c r="X121" s="191" t="s">
        <v>32</v>
      </c>
      <c r="Y121" s="194" t="s">
        <v>32</v>
      </c>
      <c r="Z121" s="193" t="s">
        <v>32</v>
      </c>
      <c r="AA121" s="191" t="s">
        <v>32</v>
      </c>
      <c r="AB121" s="195" t="s">
        <v>32</v>
      </c>
      <c r="AD121" s="190" t="s">
        <v>32</v>
      </c>
      <c r="AE121" s="191" t="s">
        <v>32</v>
      </c>
      <c r="AF121" s="194" t="s">
        <v>32</v>
      </c>
      <c r="AG121" s="193" t="s">
        <v>32</v>
      </c>
      <c r="AH121" s="191" t="s">
        <v>32</v>
      </c>
      <c r="AI121" s="194" t="s">
        <v>32</v>
      </c>
      <c r="AJ121" s="193" t="s">
        <v>32</v>
      </c>
      <c r="AK121" s="191" t="s">
        <v>32</v>
      </c>
      <c r="AL121" s="195" t="s">
        <v>32</v>
      </c>
      <c r="AM121" s="190" t="s">
        <v>32</v>
      </c>
      <c r="AN121" s="191" t="s">
        <v>32</v>
      </c>
      <c r="AO121" s="194" t="s">
        <v>32</v>
      </c>
      <c r="AP121" s="193" t="s">
        <v>32</v>
      </c>
      <c r="AQ121" s="191" t="s">
        <v>32</v>
      </c>
      <c r="AR121" s="194" t="s">
        <v>32</v>
      </c>
      <c r="AS121" s="193" t="s">
        <v>32</v>
      </c>
      <c r="AT121" s="191" t="s">
        <v>32</v>
      </c>
      <c r="AU121" s="195" t="s">
        <v>32</v>
      </c>
      <c r="AV121" s="190" t="s">
        <v>32</v>
      </c>
      <c r="AW121" s="191" t="s">
        <v>32</v>
      </c>
      <c r="AX121" s="194" t="s">
        <v>32</v>
      </c>
      <c r="AY121" s="193" t="s">
        <v>32</v>
      </c>
      <c r="AZ121" s="191" t="s">
        <v>32</v>
      </c>
      <c r="BA121" s="194" t="s">
        <v>32</v>
      </c>
      <c r="BB121" s="193" t="s">
        <v>32</v>
      </c>
      <c r="BC121" s="191" t="s">
        <v>32</v>
      </c>
      <c r="BD121" s="195" t="s">
        <v>32</v>
      </c>
    </row>
    <row r="122" spans="2:84" ht="15" customHeight="1">
      <c r="B122" s="175" t="s">
        <v>32</v>
      </c>
      <c r="C122" s="179" t="s">
        <v>32</v>
      </c>
      <c r="D122" s="180" t="s">
        <v>32</v>
      </c>
      <c r="E122" s="178" t="s">
        <v>32</v>
      </c>
      <c r="F122" s="179" t="s">
        <v>32</v>
      </c>
      <c r="G122" s="180" t="s">
        <v>32</v>
      </c>
      <c r="H122" s="178" t="s">
        <v>32</v>
      </c>
      <c r="I122" s="179" t="s">
        <v>32</v>
      </c>
      <c r="J122" s="181" t="s">
        <v>32</v>
      </c>
      <c r="K122" s="175" t="s">
        <v>32</v>
      </c>
      <c r="L122" s="179" t="s">
        <v>32</v>
      </c>
      <c r="M122" s="180" t="s">
        <v>32</v>
      </c>
      <c r="N122" s="178" t="s">
        <v>32</v>
      </c>
      <c r="O122" s="179" t="s">
        <v>32</v>
      </c>
      <c r="P122" s="180" t="s">
        <v>32</v>
      </c>
      <c r="Q122" s="178" t="s">
        <v>32</v>
      </c>
      <c r="R122" s="179" t="s">
        <v>32</v>
      </c>
      <c r="S122" s="181" t="s">
        <v>32</v>
      </c>
      <c r="T122" s="175" t="s">
        <v>32</v>
      </c>
      <c r="U122" s="179" t="s">
        <v>32</v>
      </c>
      <c r="V122" s="180" t="s">
        <v>32</v>
      </c>
      <c r="W122" s="178" t="s">
        <v>32</v>
      </c>
      <c r="X122" s="179" t="s">
        <v>32</v>
      </c>
      <c r="Y122" s="180" t="s">
        <v>32</v>
      </c>
      <c r="Z122" s="178" t="s">
        <v>32</v>
      </c>
      <c r="AA122" s="179" t="s">
        <v>32</v>
      </c>
      <c r="AB122" s="181" t="s">
        <v>32</v>
      </c>
      <c r="AD122" s="175" t="s">
        <v>32</v>
      </c>
      <c r="AE122" s="179" t="s">
        <v>32</v>
      </c>
      <c r="AF122" s="180" t="s">
        <v>32</v>
      </c>
      <c r="AG122" s="178" t="s">
        <v>32</v>
      </c>
      <c r="AH122" s="179" t="s">
        <v>32</v>
      </c>
      <c r="AI122" s="180" t="s">
        <v>32</v>
      </c>
      <c r="AJ122" s="178" t="s">
        <v>32</v>
      </c>
      <c r="AK122" s="179" t="s">
        <v>32</v>
      </c>
      <c r="AL122" s="181" t="s">
        <v>32</v>
      </c>
      <c r="AM122" s="175" t="s">
        <v>32</v>
      </c>
      <c r="AN122" s="179" t="s">
        <v>32</v>
      </c>
      <c r="AO122" s="180" t="s">
        <v>32</v>
      </c>
      <c r="AP122" s="178" t="s">
        <v>32</v>
      </c>
      <c r="AQ122" s="179" t="s">
        <v>32</v>
      </c>
      <c r="AR122" s="180" t="s">
        <v>32</v>
      </c>
      <c r="AS122" s="178" t="s">
        <v>32</v>
      </c>
      <c r="AT122" s="179" t="s">
        <v>32</v>
      </c>
      <c r="AU122" s="181" t="s">
        <v>32</v>
      </c>
      <c r="AV122" s="175" t="s">
        <v>32</v>
      </c>
      <c r="AW122" s="179" t="s">
        <v>32</v>
      </c>
      <c r="AX122" s="180" t="s">
        <v>32</v>
      </c>
      <c r="AY122" s="178" t="s">
        <v>32</v>
      </c>
      <c r="AZ122" s="179" t="s">
        <v>32</v>
      </c>
      <c r="BA122" s="180" t="s">
        <v>32</v>
      </c>
      <c r="BB122" s="178" t="s">
        <v>32</v>
      </c>
      <c r="BC122" s="179" t="s">
        <v>32</v>
      </c>
      <c r="BD122" s="181" t="s">
        <v>32</v>
      </c>
    </row>
    <row r="123" spans="2:84" ht="15" customHeight="1" thickBot="1">
      <c r="B123" s="197" t="s">
        <v>32</v>
      </c>
      <c r="C123" s="198" t="s">
        <v>32</v>
      </c>
      <c r="D123" s="199" t="s">
        <v>32</v>
      </c>
      <c r="E123" s="200" t="s">
        <v>32</v>
      </c>
      <c r="F123" s="198" t="s">
        <v>32</v>
      </c>
      <c r="G123" s="199" t="s">
        <v>32</v>
      </c>
      <c r="H123" s="200" t="s">
        <v>32</v>
      </c>
      <c r="I123" s="198" t="s">
        <v>32</v>
      </c>
      <c r="J123" s="201" t="s">
        <v>32</v>
      </c>
      <c r="K123" s="197" t="s">
        <v>32</v>
      </c>
      <c r="L123" s="198" t="s">
        <v>32</v>
      </c>
      <c r="M123" s="199" t="s">
        <v>32</v>
      </c>
      <c r="N123" s="200" t="s">
        <v>32</v>
      </c>
      <c r="O123" s="198" t="s">
        <v>32</v>
      </c>
      <c r="P123" s="199" t="s">
        <v>32</v>
      </c>
      <c r="Q123" s="200" t="s">
        <v>32</v>
      </c>
      <c r="R123" s="198" t="s">
        <v>32</v>
      </c>
      <c r="S123" s="201" t="s">
        <v>32</v>
      </c>
      <c r="T123" s="197" t="s">
        <v>32</v>
      </c>
      <c r="U123" s="198" t="s">
        <v>32</v>
      </c>
      <c r="V123" s="199" t="s">
        <v>32</v>
      </c>
      <c r="W123" s="200" t="s">
        <v>32</v>
      </c>
      <c r="X123" s="198" t="s">
        <v>32</v>
      </c>
      <c r="Y123" s="199" t="s">
        <v>32</v>
      </c>
      <c r="Z123" s="200" t="s">
        <v>32</v>
      </c>
      <c r="AA123" s="198" t="s">
        <v>32</v>
      </c>
      <c r="AB123" s="201" t="s">
        <v>32</v>
      </c>
      <c r="AD123" s="197" t="s">
        <v>32</v>
      </c>
      <c r="AE123" s="198" t="s">
        <v>32</v>
      </c>
      <c r="AF123" s="199" t="s">
        <v>32</v>
      </c>
      <c r="AG123" s="200" t="s">
        <v>32</v>
      </c>
      <c r="AH123" s="198" t="s">
        <v>32</v>
      </c>
      <c r="AI123" s="199" t="s">
        <v>32</v>
      </c>
      <c r="AJ123" s="200" t="s">
        <v>32</v>
      </c>
      <c r="AK123" s="198" t="s">
        <v>32</v>
      </c>
      <c r="AL123" s="201" t="s">
        <v>32</v>
      </c>
      <c r="AM123" s="197" t="s">
        <v>32</v>
      </c>
      <c r="AN123" s="198" t="s">
        <v>32</v>
      </c>
      <c r="AO123" s="199" t="s">
        <v>32</v>
      </c>
      <c r="AP123" s="200" t="s">
        <v>32</v>
      </c>
      <c r="AQ123" s="198" t="s">
        <v>32</v>
      </c>
      <c r="AR123" s="199" t="s">
        <v>32</v>
      </c>
      <c r="AS123" s="200" t="s">
        <v>32</v>
      </c>
      <c r="AT123" s="198" t="s">
        <v>32</v>
      </c>
      <c r="AU123" s="201" t="s">
        <v>32</v>
      </c>
      <c r="AV123" s="197" t="s">
        <v>32</v>
      </c>
      <c r="AW123" s="198" t="s">
        <v>32</v>
      </c>
      <c r="AX123" s="199" t="s">
        <v>32</v>
      </c>
      <c r="AY123" s="200" t="s">
        <v>32</v>
      </c>
      <c r="AZ123" s="198" t="s">
        <v>32</v>
      </c>
      <c r="BA123" s="199" t="s">
        <v>32</v>
      </c>
      <c r="BB123" s="200" t="s">
        <v>32</v>
      </c>
      <c r="BC123" s="198" t="s">
        <v>32</v>
      </c>
      <c r="BD123" s="201" t="s">
        <v>32</v>
      </c>
    </row>
    <row r="124" spans="2:84" ht="15" customHeight="1">
      <c r="B124" s="170" t="s">
        <v>32</v>
      </c>
      <c r="C124" s="171" t="s">
        <v>32</v>
      </c>
      <c r="D124" s="172" t="s">
        <v>32</v>
      </c>
      <c r="E124" s="173" t="s">
        <v>32</v>
      </c>
      <c r="F124" s="171" t="s">
        <v>32</v>
      </c>
      <c r="G124" s="172" t="s">
        <v>32</v>
      </c>
      <c r="H124" s="173" t="s">
        <v>32</v>
      </c>
      <c r="I124" s="171" t="s">
        <v>32</v>
      </c>
      <c r="J124" s="174" t="s">
        <v>32</v>
      </c>
      <c r="K124" s="170" t="s">
        <v>32</v>
      </c>
      <c r="L124" s="171" t="s">
        <v>32</v>
      </c>
      <c r="M124" s="172" t="s">
        <v>32</v>
      </c>
      <c r="N124" s="173" t="s">
        <v>32</v>
      </c>
      <c r="O124" s="171" t="s">
        <v>32</v>
      </c>
      <c r="P124" s="172" t="s">
        <v>32</v>
      </c>
      <c r="Q124" s="173" t="s">
        <v>32</v>
      </c>
      <c r="R124" s="171" t="s">
        <v>32</v>
      </c>
      <c r="S124" s="174" t="s">
        <v>32</v>
      </c>
      <c r="T124" s="170" t="s">
        <v>32</v>
      </c>
      <c r="U124" s="171" t="s">
        <v>32</v>
      </c>
      <c r="V124" s="172" t="s">
        <v>32</v>
      </c>
      <c r="W124" s="173" t="s">
        <v>32</v>
      </c>
      <c r="X124" s="171" t="s">
        <v>32</v>
      </c>
      <c r="Y124" s="172" t="s">
        <v>32</v>
      </c>
      <c r="Z124" s="173" t="s">
        <v>32</v>
      </c>
      <c r="AA124" s="171" t="s">
        <v>32</v>
      </c>
      <c r="AB124" s="174" t="s">
        <v>32</v>
      </c>
      <c r="AD124" s="170" t="s">
        <v>32</v>
      </c>
      <c r="AE124" s="171" t="s">
        <v>32</v>
      </c>
      <c r="AF124" s="172" t="s">
        <v>32</v>
      </c>
      <c r="AG124" s="173" t="s">
        <v>32</v>
      </c>
      <c r="AH124" s="171" t="s">
        <v>32</v>
      </c>
      <c r="AI124" s="172" t="s">
        <v>32</v>
      </c>
      <c r="AJ124" s="173" t="s">
        <v>32</v>
      </c>
      <c r="AK124" s="171" t="s">
        <v>32</v>
      </c>
      <c r="AL124" s="174" t="s">
        <v>32</v>
      </c>
      <c r="AM124" s="170" t="s">
        <v>32</v>
      </c>
      <c r="AN124" s="171" t="s">
        <v>32</v>
      </c>
      <c r="AO124" s="172" t="s">
        <v>32</v>
      </c>
      <c r="AP124" s="173" t="s">
        <v>32</v>
      </c>
      <c r="AQ124" s="171" t="s">
        <v>32</v>
      </c>
      <c r="AR124" s="172" t="s">
        <v>32</v>
      </c>
      <c r="AS124" s="173" t="s">
        <v>32</v>
      </c>
      <c r="AT124" s="171" t="s">
        <v>32</v>
      </c>
      <c r="AU124" s="174" t="s">
        <v>32</v>
      </c>
      <c r="AV124" s="170" t="s">
        <v>32</v>
      </c>
      <c r="AW124" s="171" t="s">
        <v>32</v>
      </c>
      <c r="AX124" s="172" t="s">
        <v>32</v>
      </c>
      <c r="AY124" s="173" t="s">
        <v>32</v>
      </c>
      <c r="AZ124" s="171" t="s">
        <v>32</v>
      </c>
      <c r="BA124" s="172" t="s">
        <v>32</v>
      </c>
      <c r="BB124" s="173" t="s">
        <v>32</v>
      </c>
      <c r="BC124" s="171" t="s">
        <v>32</v>
      </c>
      <c r="BD124" s="174" t="s">
        <v>32</v>
      </c>
    </row>
    <row r="125" spans="2:84" ht="15" customHeight="1">
      <c r="B125" s="175" t="s">
        <v>32</v>
      </c>
      <c r="C125" s="179" t="s">
        <v>32</v>
      </c>
      <c r="D125" s="180" t="s">
        <v>32</v>
      </c>
      <c r="E125" s="178" t="s">
        <v>32</v>
      </c>
      <c r="F125" s="179" t="s">
        <v>32</v>
      </c>
      <c r="G125" s="180" t="s">
        <v>32</v>
      </c>
      <c r="H125" s="178" t="s">
        <v>32</v>
      </c>
      <c r="I125" s="179" t="s">
        <v>32</v>
      </c>
      <c r="J125" s="181" t="s">
        <v>32</v>
      </c>
      <c r="K125" s="175" t="s">
        <v>32</v>
      </c>
      <c r="L125" s="179" t="s">
        <v>32</v>
      </c>
      <c r="M125" s="180" t="s">
        <v>32</v>
      </c>
      <c r="N125" s="178" t="s">
        <v>32</v>
      </c>
      <c r="O125" s="179" t="s">
        <v>32</v>
      </c>
      <c r="P125" s="180" t="s">
        <v>32</v>
      </c>
      <c r="Q125" s="178" t="s">
        <v>32</v>
      </c>
      <c r="R125" s="179" t="s">
        <v>32</v>
      </c>
      <c r="S125" s="181" t="s">
        <v>32</v>
      </c>
      <c r="T125" s="175" t="s">
        <v>32</v>
      </c>
      <c r="U125" s="179" t="s">
        <v>32</v>
      </c>
      <c r="V125" s="180" t="s">
        <v>32</v>
      </c>
      <c r="W125" s="178" t="s">
        <v>32</v>
      </c>
      <c r="X125" s="179" t="s">
        <v>32</v>
      </c>
      <c r="Y125" s="180" t="s">
        <v>32</v>
      </c>
      <c r="Z125" s="178" t="s">
        <v>32</v>
      </c>
      <c r="AA125" s="179" t="s">
        <v>32</v>
      </c>
      <c r="AB125" s="181" t="s">
        <v>32</v>
      </c>
      <c r="AD125" s="175" t="s">
        <v>32</v>
      </c>
      <c r="AE125" s="179" t="s">
        <v>32</v>
      </c>
      <c r="AF125" s="180" t="s">
        <v>32</v>
      </c>
      <c r="AG125" s="178" t="s">
        <v>32</v>
      </c>
      <c r="AH125" s="179" t="s">
        <v>32</v>
      </c>
      <c r="AI125" s="180" t="s">
        <v>32</v>
      </c>
      <c r="AJ125" s="178" t="s">
        <v>32</v>
      </c>
      <c r="AK125" s="179" t="s">
        <v>32</v>
      </c>
      <c r="AL125" s="181" t="s">
        <v>32</v>
      </c>
      <c r="AM125" s="175" t="s">
        <v>32</v>
      </c>
      <c r="AN125" s="179" t="s">
        <v>32</v>
      </c>
      <c r="AO125" s="180" t="s">
        <v>32</v>
      </c>
      <c r="AP125" s="178" t="s">
        <v>32</v>
      </c>
      <c r="AQ125" s="179" t="s">
        <v>32</v>
      </c>
      <c r="AR125" s="180" t="s">
        <v>32</v>
      </c>
      <c r="AS125" s="178" t="s">
        <v>32</v>
      </c>
      <c r="AT125" s="179" t="s">
        <v>32</v>
      </c>
      <c r="AU125" s="181" t="s">
        <v>32</v>
      </c>
      <c r="AV125" s="175" t="s">
        <v>32</v>
      </c>
      <c r="AW125" s="179" t="s">
        <v>32</v>
      </c>
      <c r="AX125" s="180" t="s">
        <v>32</v>
      </c>
      <c r="AY125" s="178" t="s">
        <v>32</v>
      </c>
      <c r="AZ125" s="179" t="s">
        <v>32</v>
      </c>
      <c r="BA125" s="180" t="s">
        <v>32</v>
      </c>
      <c r="BB125" s="178" t="s">
        <v>32</v>
      </c>
      <c r="BC125" s="179" t="s">
        <v>32</v>
      </c>
      <c r="BD125" s="181" t="s">
        <v>32</v>
      </c>
    </row>
    <row r="126" spans="2:84" ht="15" customHeight="1">
      <c r="B126" s="183">
        <v>1</v>
      </c>
      <c r="C126" s="184" t="s">
        <v>32</v>
      </c>
      <c r="D126" s="185" t="s">
        <v>32</v>
      </c>
      <c r="E126" s="187" t="s">
        <v>32</v>
      </c>
      <c r="F126" s="184" t="s">
        <v>32</v>
      </c>
      <c r="G126" s="185" t="s">
        <v>32</v>
      </c>
      <c r="H126" s="187" t="s">
        <v>32</v>
      </c>
      <c r="I126" s="184" t="s">
        <v>32</v>
      </c>
      <c r="J126" s="188" t="s">
        <v>32</v>
      </c>
      <c r="K126" s="183" t="s">
        <v>32</v>
      </c>
      <c r="L126" s="184" t="s">
        <v>32</v>
      </c>
      <c r="M126" s="185" t="s">
        <v>32</v>
      </c>
      <c r="N126" s="187" t="s">
        <v>32</v>
      </c>
      <c r="O126" s="184" t="s">
        <v>32</v>
      </c>
      <c r="P126" s="185" t="s">
        <v>32</v>
      </c>
      <c r="Q126" s="187" t="s">
        <v>32</v>
      </c>
      <c r="R126" s="184" t="s">
        <v>32</v>
      </c>
      <c r="S126" s="188" t="s">
        <v>32</v>
      </c>
      <c r="T126" s="183" t="s">
        <v>32</v>
      </c>
      <c r="U126" s="184" t="s">
        <v>32</v>
      </c>
      <c r="V126" s="185" t="s">
        <v>32</v>
      </c>
      <c r="W126" s="187" t="s">
        <v>32</v>
      </c>
      <c r="X126" s="184" t="s">
        <v>32</v>
      </c>
      <c r="Y126" s="185" t="s">
        <v>32</v>
      </c>
      <c r="Z126" s="187" t="s">
        <v>32</v>
      </c>
      <c r="AA126" s="184" t="s">
        <v>32</v>
      </c>
      <c r="AB126" s="188">
        <v>7</v>
      </c>
      <c r="AD126" s="183">
        <v>1</v>
      </c>
      <c r="AE126" s="184" t="s">
        <v>32</v>
      </c>
      <c r="AF126" s="185" t="s">
        <v>32</v>
      </c>
      <c r="AG126" s="187" t="s">
        <v>32</v>
      </c>
      <c r="AH126" s="184" t="s">
        <v>32</v>
      </c>
      <c r="AI126" s="185" t="s">
        <v>32</v>
      </c>
      <c r="AJ126" s="187" t="s">
        <v>32</v>
      </c>
      <c r="AK126" s="184" t="s">
        <v>32</v>
      </c>
      <c r="AL126" s="188" t="s">
        <v>32</v>
      </c>
      <c r="AM126" s="183" t="s">
        <v>32</v>
      </c>
      <c r="AN126" s="184" t="s">
        <v>32</v>
      </c>
      <c r="AO126" s="185" t="s">
        <v>32</v>
      </c>
      <c r="AP126" s="187" t="s">
        <v>32</v>
      </c>
      <c r="AQ126" s="184" t="s">
        <v>32</v>
      </c>
      <c r="AR126" s="185" t="s">
        <v>32</v>
      </c>
      <c r="AS126" s="187" t="s">
        <v>32</v>
      </c>
      <c r="AT126" s="184" t="s">
        <v>32</v>
      </c>
      <c r="AU126" s="188" t="s">
        <v>32</v>
      </c>
      <c r="AV126" s="183" t="s">
        <v>32</v>
      </c>
      <c r="AW126" s="184" t="s">
        <v>32</v>
      </c>
      <c r="AX126" s="185" t="s">
        <v>32</v>
      </c>
      <c r="AY126" s="187" t="s">
        <v>32</v>
      </c>
      <c r="AZ126" s="184" t="s">
        <v>32</v>
      </c>
      <c r="BA126" s="185" t="s">
        <v>32</v>
      </c>
      <c r="BB126" s="187" t="s">
        <v>32</v>
      </c>
      <c r="BC126" s="184" t="s">
        <v>32</v>
      </c>
      <c r="BD126" s="188">
        <v>7</v>
      </c>
    </row>
    <row r="127" spans="2:84" ht="15" customHeight="1">
      <c r="B127" s="190">
        <v>2</v>
      </c>
      <c r="C127" s="202">
        <v>8</v>
      </c>
      <c r="D127" s="194" t="s">
        <v>32</v>
      </c>
      <c r="E127" s="193" t="s">
        <v>32</v>
      </c>
      <c r="F127" s="191" t="s">
        <v>32</v>
      </c>
      <c r="G127" s="194" t="s">
        <v>32</v>
      </c>
      <c r="H127" s="193" t="s">
        <v>32</v>
      </c>
      <c r="I127" s="191" t="s">
        <v>32</v>
      </c>
      <c r="J127" s="195" t="s">
        <v>32</v>
      </c>
      <c r="K127" s="190" t="s">
        <v>32</v>
      </c>
      <c r="L127" s="191" t="s">
        <v>32</v>
      </c>
      <c r="M127" s="194" t="s">
        <v>32</v>
      </c>
      <c r="N127" s="193">
        <v>9</v>
      </c>
      <c r="O127" s="191">
        <v>5</v>
      </c>
      <c r="P127" s="194">
        <v>4</v>
      </c>
      <c r="Q127" s="193" t="s">
        <v>32</v>
      </c>
      <c r="R127" s="191" t="s">
        <v>32</v>
      </c>
      <c r="S127" s="195" t="s">
        <v>32</v>
      </c>
      <c r="T127" s="190" t="s">
        <v>32</v>
      </c>
      <c r="U127" s="191" t="s">
        <v>32</v>
      </c>
      <c r="V127" s="194" t="s">
        <v>32</v>
      </c>
      <c r="W127" s="193" t="s">
        <v>32</v>
      </c>
      <c r="X127" s="191" t="s">
        <v>32</v>
      </c>
      <c r="Y127" s="194" t="s">
        <v>32</v>
      </c>
      <c r="Z127" s="193" t="s">
        <v>32</v>
      </c>
      <c r="AA127" s="202">
        <v>6</v>
      </c>
      <c r="AB127" s="195">
        <v>3</v>
      </c>
      <c r="AD127" s="190">
        <v>2</v>
      </c>
      <c r="AE127" s="202">
        <v>8</v>
      </c>
      <c r="AF127" s="194" t="s">
        <v>32</v>
      </c>
      <c r="AG127" s="193" t="s">
        <v>32</v>
      </c>
      <c r="AH127" s="191" t="s">
        <v>32</v>
      </c>
      <c r="AI127" s="194" t="s">
        <v>32</v>
      </c>
      <c r="AJ127" s="193" t="s">
        <v>32</v>
      </c>
      <c r="AK127" s="191" t="s">
        <v>32</v>
      </c>
      <c r="AL127" s="195" t="s">
        <v>32</v>
      </c>
      <c r="AM127" s="190" t="s">
        <v>32</v>
      </c>
      <c r="AN127" s="191" t="s">
        <v>32</v>
      </c>
      <c r="AO127" s="194" t="s">
        <v>32</v>
      </c>
      <c r="AP127" s="193">
        <v>9</v>
      </c>
      <c r="AQ127" s="191">
        <v>5</v>
      </c>
      <c r="AR127" s="194">
        <v>4</v>
      </c>
      <c r="AS127" s="193" t="s">
        <v>32</v>
      </c>
      <c r="AT127" s="191" t="s">
        <v>32</v>
      </c>
      <c r="AU127" s="195" t="s">
        <v>32</v>
      </c>
      <c r="AV127" s="190" t="s">
        <v>32</v>
      </c>
      <c r="AW127" s="191" t="s">
        <v>32</v>
      </c>
      <c r="AX127" s="194" t="s">
        <v>32</v>
      </c>
      <c r="AY127" s="193" t="s">
        <v>32</v>
      </c>
      <c r="AZ127" s="191" t="s">
        <v>32</v>
      </c>
      <c r="BA127" s="194" t="s">
        <v>32</v>
      </c>
      <c r="BB127" s="193" t="s">
        <v>32</v>
      </c>
      <c r="BC127" s="202">
        <v>6</v>
      </c>
      <c r="BD127" s="195">
        <v>3</v>
      </c>
    </row>
    <row r="128" spans="2:84" ht="15" customHeight="1">
      <c r="B128" s="175">
        <v>3</v>
      </c>
      <c r="C128" s="179">
        <v>7</v>
      </c>
      <c r="D128" s="180">
        <v>5</v>
      </c>
      <c r="E128" s="178" t="s">
        <v>32</v>
      </c>
      <c r="F128" s="179" t="s">
        <v>32</v>
      </c>
      <c r="G128" s="180" t="s">
        <v>32</v>
      </c>
      <c r="H128" s="178" t="s">
        <v>32</v>
      </c>
      <c r="I128" s="179" t="s">
        <v>32</v>
      </c>
      <c r="J128" s="181" t="s">
        <v>32</v>
      </c>
      <c r="K128" s="175" t="s">
        <v>32</v>
      </c>
      <c r="L128" s="179" t="s">
        <v>32</v>
      </c>
      <c r="M128" s="180" t="s">
        <v>32</v>
      </c>
      <c r="N128" s="178">
        <v>1</v>
      </c>
      <c r="O128" s="179">
        <v>2</v>
      </c>
      <c r="P128" s="180">
        <v>6</v>
      </c>
      <c r="Q128" s="178" t="s">
        <v>32</v>
      </c>
      <c r="R128" s="179" t="s">
        <v>32</v>
      </c>
      <c r="S128" s="181" t="s">
        <v>32</v>
      </c>
      <c r="T128" s="175" t="s">
        <v>32</v>
      </c>
      <c r="U128" s="179" t="s">
        <v>32</v>
      </c>
      <c r="V128" s="180" t="s">
        <v>32</v>
      </c>
      <c r="W128" s="178" t="s">
        <v>32</v>
      </c>
      <c r="X128" s="179" t="s">
        <v>32</v>
      </c>
      <c r="Y128" s="180" t="s">
        <v>32</v>
      </c>
      <c r="Z128" s="178">
        <v>4</v>
      </c>
      <c r="AA128" s="179">
        <v>8</v>
      </c>
      <c r="AB128" s="181">
        <v>9</v>
      </c>
      <c r="AD128" s="175">
        <v>3</v>
      </c>
      <c r="AE128" s="179">
        <v>7</v>
      </c>
      <c r="AF128" s="180">
        <v>5</v>
      </c>
      <c r="AG128" s="178" t="s">
        <v>32</v>
      </c>
      <c r="AH128" s="179" t="s">
        <v>32</v>
      </c>
      <c r="AI128" s="180" t="s">
        <v>32</v>
      </c>
      <c r="AJ128" s="178" t="s">
        <v>32</v>
      </c>
      <c r="AK128" s="179" t="s">
        <v>32</v>
      </c>
      <c r="AL128" s="181" t="s">
        <v>32</v>
      </c>
      <c r="AM128" s="175" t="s">
        <v>32</v>
      </c>
      <c r="AN128" s="179" t="s">
        <v>32</v>
      </c>
      <c r="AO128" s="180" t="s">
        <v>32</v>
      </c>
      <c r="AP128" s="178">
        <v>1</v>
      </c>
      <c r="AQ128" s="179">
        <v>2</v>
      </c>
      <c r="AR128" s="180">
        <v>6</v>
      </c>
      <c r="AS128" s="178" t="s">
        <v>32</v>
      </c>
      <c r="AT128" s="179" t="s">
        <v>32</v>
      </c>
      <c r="AU128" s="181" t="s">
        <v>32</v>
      </c>
      <c r="AV128" s="175" t="s">
        <v>32</v>
      </c>
      <c r="AW128" s="179" t="s">
        <v>32</v>
      </c>
      <c r="AX128" s="180" t="s">
        <v>32</v>
      </c>
      <c r="AY128" s="178" t="s">
        <v>32</v>
      </c>
      <c r="AZ128" s="179" t="s">
        <v>32</v>
      </c>
      <c r="BA128" s="180" t="s">
        <v>32</v>
      </c>
      <c r="BB128" s="178">
        <v>4</v>
      </c>
      <c r="BC128" s="179">
        <v>8</v>
      </c>
      <c r="BD128" s="181">
        <v>9</v>
      </c>
    </row>
    <row r="129" spans="2:56" ht="15" customHeight="1">
      <c r="B129" s="183">
        <v>6</v>
      </c>
      <c r="C129" s="203">
        <v>4</v>
      </c>
      <c r="D129" s="185" t="s">
        <v>32</v>
      </c>
      <c r="E129" s="187" t="s">
        <v>32</v>
      </c>
      <c r="F129" s="184" t="s">
        <v>32</v>
      </c>
      <c r="G129" s="185" t="s">
        <v>32</v>
      </c>
      <c r="H129" s="187" t="s">
        <v>32</v>
      </c>
      <c r="I129" s="184" t="s">
        <v>32</v>
      </c>
      <c r="J129" s="188" t="s">
        <v>32</v>
      </c>
      <c r="K129" s="183" t="s">
        <v>32</v>
      </c>
      <c r="L129" s="184" t="s">
        <v>32</v>
      </c>
      <c r="M129" s="185" t="s">
        <v>32</v>
      </c>
      <c r="N129" s="187">
        <v>8</v>
      </c>
      <c r="O129" s="184">
        <v>7</v>
      </c>
      <c r="P129" s="185">
        <v>3</v>
      </c>
      <c r="Q129" s="187" t="s">
        <v>32</v>
      </c>
      <c r="R129" s="184" t="s">
        <v>32</v>
      </c>
      <c r="S129" s="188" t="s">
        <v>32</v>
      </c>
      <c r="T129" s="183" t="s">
        <v>32</v>
      </c>
      <c r="U129" s="184" t="s">
        <v>32</v>
      </c>
      <c r="V129" s="185" t="s">
        <v>32</v>
      </c>
      <c r="W129" s="187" t="s">
        <v>32</v>
      </c>
      <c r="X129" s="184" t="s">
        <v>32</v>
      </c>
      <c r="Y129" s="185" t="s">
        <v>32</v>
      </c>
      <c r="Z129" s="187" t="s">
        <v>32</v>
      </c>
      <c r="AA129" s="203">
        <v>2</v>
      </c>
      <c r="AB129" s="188">
        <v>5</v>
      </c>
      <c r="AD129" s="183">
        <v>6</v>
      </c>
      <c r="AE129" s="203">
        <v>4</v>
      </c>
      <c r="AF129" s="185" t="s">
        <v>32</v>
      </c>
      <c r="AG129" s="187" t="s">
        <v>32</v>
      </c>
      <c r="AH129" s="184" t="s">
        <v>32</v>
      </c>
      <c r="AI129" s="185" t="s">
        <v>32</v>
      </c>
      <c r="AJ129" s="187" t="s">
        <v>32</v>
      </c>
      <c r="AK129" s="184" t="s">
        <v>32</v>
      </c>
      <c r="AL129" s="188" t="s">
        <v>32</v>
      </c>
      <c r="AM129" s="183" t="s">
        <v>32</v>
      </c>
      <c r="AN129" s="184" t="s">
        <v>32</v>
      </c>
      <c r="AO129" s="185" t="s">
        <v>32</v>
      </c>
      <c r="AP129" s="187">
        <v>3</v>
      </c>
      <c r="AQ129" s="184">
        <v>7</v>
      </c>
      <c r="AR129" s="185">
        <v>8</v>
      </c>
      <c r="AS129" s="187" t="s">
        <v>32</v>
      </c>
      <c r="AT129" s="184" t="s">
        <v>32</v>
      </c>
      <c r="AU129" s="188" t="s">
        <v>32</v>
      </c>
      <c r="AV129" s="183" t="s">
        <v>32</v>
      </c>
      <c r="AW129" s="184" t="s">
        <v>32</v>
      </c>
      <c r="AX129" s="185" t="s">
        <v>32</v>
      </c>
      <c r="AY129" s="187" t="s">
        <v>32</v>
      </c>
      <c r="AZ129" s="184" t="s">
        <v>32</v>
      </c>
      <c r="BA129" s="185" t="s">
        <v>32</v>
      </c>
      <c r="BB129" s="187" t="s">
        <v>32</v>
      </c>
      <c r="BC129" s="203">
        <v>2</v>
      </c>
      <c r="BD129" s="188">
        <v>5</v>
      </c>
    </row>
    <row r="130" spans="2:56" ht="15" customHeight="1">
      <c r="B130" s="190">
        <v>9</v>
      </c>
      <c r="C130" s="191" t="s">
        <v>32</v>
      </c>
      <c r="D130" s="194" t="s">
        <v>32</v>
      </c>
      <c r="E130" s="193" t="s">
        <v>32</v>
      </c>
      <c r="F130" s="191" t="s">
        <v>32</v>
      </c>
      <c r="G130" s="194" t="s">
        <v>32</v>
      </c>
      <c r="H130" s="193" t="s">
        <v>32</v>
      </c>
      <c r="I130" s="191" t="s">
        <v>32</v>
      </c>
      <c r="J130" s="195" t="s">
        <v>32</v>
      </c>
      <c r="K130" s="190" t="s">
        <v>32</v>
      </c>
      <c r="L130" s="191" t="s">
        <v>32</v>
      </c>
      <c r="M130" s="194" t="s">
        <v>32</v>
      </c>
      <c r="N130" s="193" t="s">
        <v>32</v>
      </c>
      <c r="O130" s="191" t="s">
        <v>32</v>
      </c>
      <c r="P130" s="194" t="s">
        <v>32</v>
      </c>
      <c r="Q130" s="193" t="s">
        <v>32</v>
      </c>
      <c r="R130" s="191" t="s">
        <v>32</v>
      </c>
      <c r="S130" s="195" t="s">
        <v>32</v>
      </c>
      <c r="T130" s="190" t="s">
        <v>32</v>
      </c>
      <c r="U130" s="191" t="s">
        <v>32</v>
      </c>
      <c r="V130" s="194" t="s">
        <v>32</v>
      </c>
      <c r="W130" s="193" t="s">
        <v>32</v>
      </c>
      <c r="X130" s="191" t="s">
        <v>32</v>
      </c>
      <c r="Y130" s="194" t="s">
        <v>32</v>
      </c>
      <c r="Z130" s="193" t="s">
        <v>32</v>
      </c>
      <c r="AA130" s="191" t="s">
        <v>32</v>
      </c>
      <c r="AB130" s="195">
        <v>1</v>
      </c>
      <c r="AD130" s="190">
        <v>9</v>
      </c>
      <c r="AE130" s="191" t="s">
        <v>32</v>
      </c>
      <c r="AF130" s="194" t="s">
        <v>32</v>
      </c>
      <c r="AG130" s="193" t="s">
        <v>32</v>
      </c>
      <c r="AH130" s="191" t="s">
        <v>32</v>
      </c>
      <c r="AI130" s="194" t="s">
        <v>32</v>
      </c>
      <c r="AJ130" s="193" t="s">
        <v>32</v>
      </c>
      <c r="AK130" s="191" t="s">
        <v>32</v>
      </c>
      <c r="AL130" s="195" t="s">
        <v>32</v>
      </c>
      <c r="AM130" s="190" t="s">
        <v>32</v>
      </c>
      <c r="AN130" s="191" t="s">
        <v>32</v>
      </c>
      <c r="AO130" s="194" t="s">
        <v>32</v>
      </c>
      <c r="AP130" s="193" t="s">
        <v>32</v>
      </c>
      <c r="AQ130" s="191" t="s">
        <v>32</v>
      </c>
      <c r="AR130" s="194" t="s">
        <v>32</v>
      </c>
      <c r="AS130" s="193" t="s">
        <v>32</v>
      </c>
      <c r="AT130" s="191" t="s">
        <v>32</v>
      </c>
      <c r="AU130" s="195" t="s">
        <v>32</v>
      </c>
      <c r="AV130" s="190" t="s">
        <v>32</v>
      </c>
      <c r="AW130" s="191" t="s">
        <v>32</v>
      </c>
      <c r="AX130" s="194" t="s">
        <v>32</v>
      </c>
      <c r="AY130" s="193" t="s">
        <v>32</v>
      </c>
      <c r="AZ130" s="191" t="s">
        <v>32</v>
      </c>
      <c r="BA130" s="194" t="s">
        <v>32</v>
      </c>
      <c r="BB130" s="193" t="s">
        <v>32</v>
      </c>
      <c r="BC130" s="191" t="s">
        <v>32</v>
      </c>
      <c r="BD130" s="195">
        <v>1</v>
      </c>
    </row>
    <row r="131" spans="2:56" ht="15" customHeight="1">
      <c r="B131" s="175" t="s">
        <v>32</v>
      </c>
      <c r="C131" s="179" t="s">
        <v>32</v>
      </c>
      <c r="D131" s="180" t="s">
        <v>32</v>
      </c>
      <c r="E131" s="178" t="s">
        <v>32</v>
      </c>
      <c r="F131" s="179" t="s">
        <v>32</v>
      </c>
      <c r="G131" s="180" t="s">
        <v>32</v>
      </c>
      <c r="H131" s="178" t="s">
        <v>32</v>
      </c>
      <c r="I131" s="179" t="s">
        <v>32</v>
      </c>
      <c r="J131" s="181" t="s">
        <v>32</v>
      </c>
      <c r="K131" s="175" t="s">
        <v>32</v>
      </c>
      <c r="L131" s="179" t="s">
        <v>32</v>
      </c>
      <c r="M131" s="180" t="s">
        <v>32</v>
      </c>
      <c r="N131" s="178" t="s">
        <v>32</v>
      </c>
      <c r="O131" s="179" t="s">
        <v>32</v>
      </c>
      <c r="P131" s="180" t="s">
        <v>32</v>
      </c>
      <c r="Q131" s="178" t="s">
        <v>32</v>
      </c>
      <c r="R131" s="179" t="s">
        <v>32</v>
      </c>
      <c r="S131" s="181" t="s">
        <v>32</v>
      </c>
      <c r="T131" s="175" t="s">
        <v>32</v>
      </c>
      <c r="U131" s="179" t="s">
        <v>32</v>
      </c>
      <c r="V131" s="180" t="s">
        <v>32</v>
      </c>
      <c r="W131" s="178" t="s">
        <v>32</v>
      </c>
      <c r="X131" s="179" t="s">
        <v>32</v>
      </c>
      <c r="Y131" s="180" t="s">
        <v>32</v>
      </c>
      <c r="Z131" s="178" t="s">
        <v>32</v>
      </c>
      <c r="AA131" s="179" t="s">
        <v>32</v>
      </c>
      <c r="AB131" s="181" t="s">
        <v>32</v>
      </c>
      <c r="AD131" s="175" t="s">
        <v>32</v>
      </c>
      <c r="AE131" s="179" t="s">
        <v>32</v>
      </c>
      <c r="AF131" s="180" t="s">
        <v>32</v>
      </c>
      <c r="AG131" s="178" t="s">
        <v>32</v>
      </c>
      <c r="AH131" s="179" t="s">
        <v>32</v>
      </c>
      <c r="AI131" s="180" t="s">
        <v>32</v>
      </c>
      <c r="AJ131" s="178" t="s">
        <v>32</v>
      </c>
      <c r="AK131" s="179" t="s">
        <v>32</v>
      </c>
      <c r="AL131" s="181" t="s">
        <v>32</v>
      </c>
      <c r="AM131" s="175" t="s">
        <v>32</v>
      </c>
      <c r="AN131" s="179" t="s">
        <v>32</v>
      </c>
      <c r="AO131" s="180" t="s">
        <v>32</v>
      </c>
      <c r="AP131" s="178" t="s">
        <v>32</v>
      </c>
      <c r="AQ131" s="179" t="s">
        <v>32</v>
      </c>
      <c r="AR131" s="180" t="s">
        <v>32</v>
      </c>
      <c r="AS131" s="178" t="s">
        <v>32</v>
      </c>
      <c r="AT131" s="179" t="s">
        <v>32</v>
      </c>
      <c r="AU131" s="181" t="s">
        <v>32</v>
      </c>
      <c r="AV131" s="175" t="s">
        <v>32</v>
      </c>
      <c r="AW131" s="179" t="s">
        <v>32</v>
      </c>
      <c r="AX131" s="180" t="s">
        <v>32</v>
      </c>
      <c r="AY131" s="178" t="s">
        <v>32</v>
      </c>
      <c r="AZ131" s="179" t="s">
        <v>32</v>
      </c>
      <c r="BA131" s="180" t="s">
        <v>32</v>
      </c>
      <c r="BB131" s="178" t="s">
        <v>32</v>
      </c>
      <c r="BC131" s="179" t="s">
        <v>32</v>
      </c>
      <c r="BD131" s="181" t="s">
        <v>32</v>
      </c>
    </row>
    <row r="132" spans="2:56" ht="15" customHeight="1" thickBot="1">
      <c r="B132" s="197" t="s">
        <v>32</v>
      </c>
      <c r="C132" s="198" t="s">
        <v>32</v>
      </c>
      <c r="D132" s="199" t="s">
        <v>32</v>
      </c>
      <c r="E132" s="200" t="s">
        <v>32</v>
      </c>
      <c r="F132" s="198" t="s">
        <v>32</v>
      </c>
      <c r="G132" s="199" t="s">
        <v>32</v>
      </c>
      <c r="H132" s="200" t="s">
        <v>32</v>
      </c>
      <c r="I132" s="198" t="s">
        <v>32</v>
      </c>
      <c r="J132" s="201" t="s">
        <v>32</v>
      </c>
      <c r="K132" s="197" t="s">
        <v>32</v>
      </c>
      <c r="L132" s="198" t="s">
        <v>32</v>
      </c>
      <c r="M132" s="199" t="s">
        <v>32</v>
      </c>
      <c r="N132" s="200" t="s">
        <v>32</v>
      </c>
      <c r="O132" s="198" t="s">
        <v>32</v>
      </c>
      <c r="P132" s="199" t="s">
        <v>32</v>
      </c>
      <c r="Q132" s="200" t="s">
        <v>32</v>
      </c>
      <c r="R132" s="198" t="s">
        <v>32</v>
      </c>
      <c r="S132" s="201" t="s">
        <v>32</v>
      </c>
      <c r="T132" s="197" t="s">
        <v>32</v>
      </c>
      <c r="U132" s="198" t="s">
        <v>32</v>
      </c>
      <c r="V132" s="199" t="s">
        <v>32</v>
      </c>
      <c r="W132" s="200" t="s">
        <v>32</v>
      </c>
      <c r="X132" s="198" t="s">
        <v>32</v>
      </c>
      <c r="Y132" s="199" t="s">
        <v>32</v>
      </c>
      <c r="Z132" s="200" t="s">
        <v>32</v>
      </c>
      <c r="AA132" s="198" t="s">
        <v>32</v>
      </c>
      <c r="AB132" s="201" t="s">
        <v>32</v>
      </c>
      <c r="AD132" s="197" t="s">
        <v>32</v>
      </c>
      <c r="AE132" s="198" t="s">
        <v>32</v>
      </c>
      <c r="AF132" s="199" t="s">
        <v>32</v>
      </c>
      <c r="AG132" s="200" t="s">
        <v>32</v>
      </c>
      <c r="AH132" s="198" t="s">
        <v>32</v>
      </c>
      <c r="AI132" s="199" t="s">
        <v>32</v>
      </c>
      <c r="AJ132" s="200" t="s">
        <v>32</v>
      </c>
      <c r="AK132" s="198" t="s">
        <v>32</v>
      </c>
      <c r="AL132" s="201" t="s">
        <v>32</v>
      </c>
      <c r="AM132" s="197" t="s">
        <v>32</v>
      </c>
      <c r="AN132" s="198" t="s">
        <v>32</v>
      </c>
      <c r="AO132" s="199" t="s">
        <v>32</v>
      </c>
      <c r="AP132" s="200" t="s">
        <v>32</v>
      </c>
      <c r="AQ132" s="198" t="s">
        <v>32</v>
      </c>
      <c r="AR132" s="199" t="s">
        <v>32</v>
      </c>
      <c r="AS132" s="200" t="s">
        <v>32</v>
      </c>
      <c r="AT132" s="198" t="s">
        <v>32</v>
      </c>
      <c r="AU132" s="201" t="s">
        <v>32</v>
      </c>
      <c r="AV132" s="197" t="s">
        <v>32</v>
      </c>
      <c r="AW132" s="198" t="s">
        <v>32</v>
      </c>
      <c r="AX132" s="199" t="s">
        <v>32</v>
      </c>
      <c r="AY132" s="200" t="s">
        <v>32</v>
      </c>
      <c r="AZ132" s="198" t="s">
        <v>32</v>
      </c>
      <c r="BA132" s="199" t="s">
        <v>32</v>
      </c>
      <c r="BB132" s="200" t="s">
        <v>32</v>
      </c>
      <c r="BC132" s="198" t="s">
        <v>32</v>
      </c>
      <c r="BD132" s="201" t="s">
        <v>32</v>
      </c>
    </row>
    <row r="133" spans="2:56" ht="15" customHeight="1">
      <c r="B133" s="170" t="s">
        <v>32</v>
      </c>
      <c r="C133" s="171" t="s">
        <v>32</v>
      </c>
      <c r="D133" s="172" t="s">
        <v>32</v>
      </c>
      <c r="E133" s="173" t="s">
        <v>32</v>
      </c>
      <c r="F133" s="171" t="s">
        <v>32</v>
      </c>
      <c r="G133" s="172" t="s">
        <v>32</v>
      </c>
      <c r="H133" s="173" t="s">
        <v>32</v>
      </c>
      <c r="I133" s="171" t="s">
        <v>32</v>
      </c>
      <c r="J133" s="174" t="s">
        <v>32</v>
      </c>
      <c r="K133" s="170" t="s">
        <v>32</v>
      </c>
      <c r="L133" s="171" t="s">
        <v>32</v>
      </c>
      <c r="M133" s="172" t="s">
        <v>32</v>
      </c>
      <c r="N133" s="173" t="s">
        <v>32</v>
      </c>
      <c r="O133" s="171" t="s">
        <v>32</v>
      </c>
      <c r="P133" s="172" t="s">
        <v>32</v>
      </c>
      <c r="Q133" s="173" t="s">
        <v>32</v>
      </c>
      <c r="R133" s="171" t="s">
        <v>32</v>
      </c>
      <c r="S133" s="174" t="s">
        <v>32</v>
      </c>
      <c r="T133" s="170" t="s">
        <v>32</v>
      </c>
      <c r="U133" s="171" t="s">
        <v>32</v>
      </c>
      <c r="V133" s="172" t="s">
        <v>32</v>
      </c>
      <c r="W133" s="173" t="s">
        <v>32</v>
      </c>
      <c r="X133" s="171" t="s">
        <v>32</v>
      </c>
      <c r="Y133" s="172" t="s">
        <v>32</v>
      </c>
      <c r="Z133" s="173" t="s">
        <v>32</v>
      </c>
      <c r="AA133" s="171" t="s">
        <v>32</v>
      </c>
      <c r="AB133" s="174" t="s">
        <v>32</v>
      </c>
      <c r="AD133" s="170" t="s">
        <v>32</v>
      </c>
      <c r="AE133" s="171" t="s">
        <v>32</v>
      </c>
      <c r="AF133" s="172" t="s">
        <v>32</v>
      </c>
      <c r="AG133" s="173" t="s">
        <v>32</v>
      </c>
      <c r="AH133" s="171" t="s">
        <v>32</v>
      </c>
      <c r="AI133" s="172" t="s">
        <v>32</v>
      </c>
      <c r="AJ133" s="173" t="s">
        <v>32</v>
      </c>
      <c r="AK133" s="171" t="s">
        <v>32</v>
      </c>
      <c r="AL133" s="174" t="s">
        <v>32</v>
      </c>
      <c r="AM133" s="170" t="s">
        <v>32</v>
      </c>
      <c r="AN133" s="171" t="s">
        <v>32</v>
      </c>
      <c r="AO133" s="172" t="s">
        <v>32</v>
      </c>
      <c r="AP133" s="173" t="s">
        <v>32</v>
      </c>
      <c r="AQ133" s="171" t="s">
        <v>32</v>
      </c>
      <c r="AR133" s="172" t="s">
        <v>32</v>
      </c>
      <c r="AS133" s="173" t="s">
        <v>32</v>
      </c>
      <c r="AT133" s="171" t="s">
        <v>32</v>
      </c>
      <c r="AU133" s="174" t="s">
        <v>32</v>
      </c>
      <c r="AV133" s="170" t="s">
        <v>32</v>
      </c>
      <c r="AW133" s="171" t="s">
        <v>32</v>
      </c>
      <c r="AX133" s="172" t="s">
        <v>32</v>
      </c>
      <c r="AY133" s="173" t="s">
        <v>32</v>
      </c>
      <c r="AZ133" s="171" t="s">
        <v>32</v>
      </c>
      <c r="BA133" s="172" t="s">
        <v>32</v>
      </c>
      <c r="BB133" s="173" t="s">
        <v>32</v>
      </c>
      <c r="BC133" s="171" t="s">
        <v>32</v>
      </c>
      <c r="BD133" s="174" t="s">
        <v>32</v>
      </c>
    </row>
    <row r="134" spans="2:56" ht="15" customHeight="1">
      <c r="B134" s="175" t="s">
        <v>32</v>
      </c>
      <c r="C134" s="179" t="s">
        <v>32</v>
      </c>
      <c r="D134" s="180" t="s">
        <v>32</v>
      </c>
      <c r="E134" s="178" t="s">
        <v>32</v>
      </c>
      <c r="F134" s="179" t="s">
        <v>32</v>
      </c>
      <c r="G134" s="180" t="s">
        <v>32</v>
      </c>
      <c r="H134" s="178" t="s">
        <v>32</v>
      </c>
      <c r="I134" s="179" t="s">
        <v>32</v>
      </c>
      <c r="J134" s="181" t="s">
        <v>32</v>
      </c>
      <c r="K134" s="175" t="s">
        <v>32</v>
      </c>
      <c r="L134" s="179" t="s">
        <v>32</v>
      </c>
      <c r="M134" s="180" t="s">
        <v>32</v>
      </c>
      <c r="N134" s="178" t="s">
        <v>32</v>
      </c>
      <c r="O134" s="179" t="s">
        <v>32</v>
      </c>
      <c r="P134" s="180" t="s">
        <v>32</v>
      </c>
      <c r="Q134" s="178" t="s">
        <v>32</v>
      </c>
      <c r="R134" s="179" t="s">
        <v>32</v>
      </c>
      <c r="S134" s="181" t="s">
        <v>32</v>
      </c>
      <c r="T134" s="175" t="s">
        <v>32</v>
      </c>
      <c r="U134" s="179" t="s">
        <v>32</v>
      </c>
      <c r="V134" s="180" t="s">
        <v>32</v>
      </c>
      <c r="W134" s="178" t="s">
        <v>32</v>
      </c>
      <c r="X134" s="179" t="s">
        <v>32</v>
      </c>
      <c r="Y134" s="180" t="s">
        <v>32</v>
      </c>
      <c r="Z134" s="178" t="s">
        <v>32</v>
      </c>
      <c r="AA134" s="179" t="s">
        <v>32</v>
      </c>
      <c r="AB134" s="181" t="s">
        <v>32</v>
      </c>
      <c r="AD134" s="175" t="s">
        <v>32</v>
      </c>
      <c r="AE134" s="179" t="s">
        <v>32</v>
      </c>
      <c r="AF134" s="180" t="s">
        <v>32</v>
      </c>
      <c r="AG134" s="178" t="s">
        <v>32</v>
      </c>
      <c r="AH134" s="179" t="s">
        <v>32</v>
      </c>
      <c r="AI134" s="180" t="s">
        <v>32</v>
      </c>
      <c r="AJ134" s="178" t="s">
        <v>32</v>
      </c>
      <c r="AK134" s="179" t="s">
        <v>32</v>
      </c>
      <c r="AL134" s="181" t="s">
        <v>32</v>
      </c>
      <c r="AM134" s="175" t="s">
        <v>32</v>
      </c>
      <c r="AN134" s="179" t="s">
        <v>32</v>
      </c>
      <c r="AO134" s="180" t="s">
        <v>32</v>
      </c>
      <c r="AP134" s="178" t="s">
        <v>32</v>
      </c>
      <c r="AQ134" s="179" t="s">
        <v>32</v>
      </c>
      <c r="AR134" s="180" t="s">
        <v>32</v>
      </c>
      <c r="AS134" s="178" t="s">
        <v>32</v>
      </c>
      <c r="AT134" s="179" t="s">
        <v>32</v>
      </c>
      <c r="AU134" s="181" t="s">
        <v>32</v>
      </c>
      <c r="AV134" s="175" t="s">
        <v>32</v>
      </c>
      <c r="AW134" s="179" t="s">
        <v>32</v>
      </c>
      <c r="AX134" s="180" t="s">
        <v>32</v>
      </c>
      <c r="AY134" s="178" t="s">
        <v>32</v>
      </c>
      <c r="AZ134" s="179" t="s">
        <v>32</v>
      </c>
      <c r="BA134" s="180" t="s">
        <v>32</v>
      </c>
      <c r="BB134" s="178" t="s">
        <v>32</v>
      </c>
      <c r="BC134" s="179" t="s">
        <v>32</v>
      </c>
      <c r="BD134" s="181" t="s">
        <v>32</v>
      </c>
    </row>
    <row r="135" spans="2:56" ht="15" customHeight="1">
      <c r="B135" s="183" t="s">
        <v>32</v>
      </c>
      <c r="C135" s="184" t="s">
        <v>32</v>
      </c>
      <c r="D135" s="185" t="s">
        <v>32</v>
      </c>
      <c r="E135" s="187" t="s">
        <v>32</v>
      </c>
      <c r="F135" s="184" t="s">
        <v>32</v>
      </c>
      <c r="G135" s="185" t="s">
        <v>32</v>
      </c>
      <c r="H135" s="187" t="s">
        <v>32</v>
      </c>
      <c r="I135" s="184" t="s">
        <v>32</v>
      </c>
      <c r="J135" s="188" t="s">
        <v>32</v>
      </c>
      <c r="K135" s="183" t="s">
        <v>32</v>
      </c>
      <c r="L135" s="184" t="s">
        <v>32</v>
      </c>
      <c r="M135" s="185" t="s">
        <v>32</v>
      </c>
      <c r="N135" s="187" t="s">
        <v>32</v>
      </c>
      <c r="O135" s="184" t="s">
        <v>32</v>
      </c>
      <c r="P135" s="185" t="s">
        <v>32</v>
      </c>
      <c r="Q135" s="187" t="s">
        <v>32</v>
      </c>
      <c r="R135" s="184" t="s">
        <v>32</v>
      </c>
      <c r="S135" s="188" t="s">
        <v>32</v>
      </c>
      <c r="T135" s="183" t="s">
        <v>32</v>
      </c>
      <c r="U135" s="184" t="s">
        <v>32</v>
      </c>
      <c r="V135" s="185" t="s">
        <v>32</v>
      </c>
      <c r="W135" s="187" t="s">
        <v>32</v>
      </c>
      <c r="X135" s="184" t="s">
        <v>32</v>
      </c>
      <c r="Y135" s="185" t="s">
        <v>32</v>
      </c>
      <c r="Z135" s="187" t="s">
        <v>32</v>
      </c>
      <c r="AA135" s="184" t="s">
        <v>32</v>
      </c>
      <c r="AB135" s="188" t="s">
        <v>32</v>
      </c>
      <c r="AD135" s="183" t="s">
        <v>32</v>
      </c>
      <c r="AE135" s="184" t="s">
        <v>32</v>
      </c>
      <c r="AF135" s="185" t="s">
        <v>32</v>
      </c>
      <c r="AG135" s="187" t="s">
        <v>32</v>
      </c>
      <c r="AH135" s="184" t="s">
        <v>32</v>
      </c>
      <c r="AI135" s="185" t="s">
        <v>32</v>
      </c>
      <c r="AJ135" s="187" t="s">
        <v>32</v>
      </c>
      <c r="AK135" s="184" t="s">
        <v>32</v>
      </c>
      <c r="AL135" s="188" t="s">
        <v>32</v>
      </c>
      <c r="AM135" s="183" t="s">
        <v>32</v>
      </c>
      <c r="AN135" s="184" t="s">
        <v>32</v>
      </c>
      <c r="AO135" s="185" t="s">
        <v>32</v>
      </c>
      <c r="AP135" s="187" t="s">
        <v>32</v>
      </c>
      <c r="AQ135" s="184" t="s">
        <v>32</v>
      </c>
      <c r="AR135" s="185" t="s">
        <v>32</v>
      </c>
      <c r="AS135" s="187" t="s">
        <v>32</v>
      </c>
      <c r="AT135" s="184" t="s">
        <v>32</v>
      </c>
      <c r="AU135" s="188" t="s">
        <v>32</v>
      </c>
      <c r="AV135" s="183" t="s">
        <v>32</v>
      </c>
      <c r="AW135" s="184" t="s">
        <v>32</v>
      </c>
      <c r="AX135" s="185" t="s">
        <v>32</v>
      </c>
      <c r="AY135" s="187" t="s">
        <v>32</v>
      </c>
      <c r="AZ135" s="184" t="s">
        <v>32</v>
      </c>
      <c r="BA135" s="185" t="s">
        <v>32</v>
      </c>
      <c r="BB135" s="187" t="s">
        <v>32</v>
      </c>
      <c r="BC135" s="184" t="s">
        <v>32</v>
      </c>
      <c r="BD135" s="188" t="s">
        <v>32</v>
      </c>
    </row>
    <row r="136" spans="2:56" ht="15" customHeight="1">
      <c r="B136" s="190" t="s">
        <v>32</v>
      </c>
      <c r="C136" s="191" t="s">
        <v>32</v>
      </c>
      <c r="D136" s="194" t="s">
        <v>32</v>
      </c>
      <c r="E136" s="193" t="s">
        <v>32</v>
      </c>
      <c r="F136" s="191" t="s">
        <v>32</v>
      </c>
      <c r="G136" s="194" t="s">
        <v>32</v>
      </c>
      <c r="H136" s="193" t="s">
        <v>32</v>
      </c>
      <c r="I136" s="191" t="s">
        <v>32</v>
      </c>
      <c r="J136" s="195" t="s">
        <v>32</v>
      </c>
      <c r="K136" s="190" t="s">
        <v>32</v>
      </c>
      <c r="L136" s="191" t="s">
        <v>32</v>
      </c>
      <c r="M136" s="194" t="s">
        <v>32</v>
      </c>
      <c r="N136" s="193" t="s">
        <v>32</v>
      </c>
      <c r="O136" s="191" t="s">
        <v>32</v>
      </c>
      <c r="P136" s="194" t="s">
        <v>32</v>
      </c>
      <c r="Q136" s="193" t="s">
        <v>32</v>
      </c>
      <c r="R136" s="191" t="s">
        <v>32</v>
      </c>
      <c r="S136" s="195" t="s">
        <v>32</v>
      </c>
      <c r="T136" s="190" t="s">
        <v>32</v>
      </c>
      <c r="U136" s="191" t="s">
        <v>32</v>
      </c>
      <c r="V136" s="194" t="s">
        <v>32</v>
      </c>
      <c r="W136" s="193" t="s">
        <v>32</v>
      </c>
      <c r="X136" s="191" t="s">
        <v>32</v>
      </c>
      <c r="Y136" s="194" t="s">
        <v>32</v>
      </c>
      <c r="Z136" s="193" t="s">
        <v>32</v>
      </c>
      <c r="AA136" s="191" t="s">
        <v>32</v>
      </c>
      <c r="AB136" s="195" t="s">
        <v>32</v>
      </c>
      <c r="AD136" s="190" t="s">
        <v>32</v>
      </c>
      <c r="AE136" s="191" t="s">
        <v>32</v>
      </c>
      <c r="AF136" s="194" t="s">
        <v>32</v>
      </c>
      <c r="AG136" s="193" t="s">
        <v>32</v>
      </c>
      <c r="AH136" s="191" t="s">
        <v>32</v>
      </c>
      <c r="AI136" s="194" t="s">
        <v>32</v>
      </c>
      <c r="AJ136" s="193" t="s">
        <v>32</v>
      </c>
      <c r="AK136" s="191" t="s">
        <v>32</v>
      </c>
      <c r="AL136" s="195" t="s">
        <v>32</v>
      </c>
      <c r="AM136" s="190" t="s">
        <v>32</v>
      </c>
      <c r="AN136" s="191" t="s">
        <v>32</v>
      </c>
      <c r="AO136" s="194" t="s">
        <v>32</v>
      </c>
      <c r="AP136" s="193" t="s">
        <v>32</v>
      </c>
      <c r="AQ136" s="191" t="s">
        <v>32</v>
      </c>
      <c r="AR136" s="194" t="s">
        <v>32</v>
      </c>
      <c r="AS136" s="193" t="s">
        <v>32</v>
      </c>
      <c r="AT136" s="191" t="s">
        <v>32</v>
      </c>
      <c r="AU136" s="195" t="s">
        <v>32</v>
      </c>
      <c r="AV136" s="190" t="s">
        <v>32</v>
      </c>
      <c r="AW136" s="191" t="s">
        <v>32</v>
      </c>
      <c r="AX136" s="194" t="s">
        <v>32</v>
      </c>
      <c r="AY136" s="193" t="s">
        <v>32</v>
      </c>
      <c r="AZ136" s="191" t="s">
        <v>32</v>
      </c>
      <c r="BA136" s="194" t="s">
        <v>32</v>
      </c>
      <c r="BB136" s="193" t="s">
        <v>32</v>
      </c>
      <c r="BC136" s="191" t="s">
        <v>32</v>
      </c>
      <c r="BD136" s="195" t="s">
        <v>32</v>
      </c>
    </row>
    <row r="137" spans="2:56" ht="15" customHeight="1">
      <c r="B137" s="175" t="s">
        <v>32</v>
      </c>
      <c r="C137" s="179" t="s">
        <v>32</v>
      </c>
      <c r="D137" s="180" t="s">
        <v>32</v>
      </c>
      <c r="E137" s="178" t="s">
        <v>32</v>
      </c>
      <c r="F137" s="179" t="s">
        <v>32</v>
      </c>
      <c r="G137" s="180" t="s">
        <v>32</v>
      </c>
      <c r="H137" s="178" t="s">
        <v>32</v>
      </c>
      <c r="I137" s="179" t="s">
        <v>32</v>
      </c>
      <c r="J137" s="181" t="s">
        <v>32</v>
      </c>
      <c r="K137" s="175" t="s">
        <v>32</v>
      </c>
      <c r="L137" s="179" t="s">
        <v>32</v>
      </c>
      <c r="M137" s="180" t="s">
        <v>32</v>
      </c>
      <c r="N137" s="178" t="s">
        <v>32</v>
      </c>
      <c r="O137" s="179" t="s">
        <v>32</v>
      </c>
      <c r="P137" s="180" t="s">
        <v>32</v>
      </c>
      <c r="Q137" s="178" t="s">
        <v>32</v>
      </c>
      <c r="R137" s="179" t="s">
        <v>32</v>
      </c>
      <c r="S137" s="181" t="s">
        <v>32</v>
      </c>
      <c r="T137" s="175" t="s">
        <v>32</v>
      </c>
      <c r="U137" s="179" t="s">
        <v>32</v>
      </c>
      <c r="V137" s="180" t="s">
        <v>32</v>
      </c>
      <c r="W137" s="178" t="s">
        <v>32</v>
      </c>
      <c r="X137" s="179" t="s">
        <v>32</v>
      </c>
      <c r="Y137" s="180" t="s">
        <v>32</v>
      </c>
      <c r="Z137" s="178" t="s">
        <v>32</v>
      </c>
      <c r="AA137" s="179" t="s">
        <v>32</v>
      </c>
      <c r="AB137" s="181" t="s">
        <v>32</v>
      </c>
      <c r="AD137" s="175" t="s">
        <v>32</v>
      </c>
      <c r="AE137" s="179" t="s">
        <v>32</v>
      </c>
      <c r="AF137" s="180" t="s">
        <v>32</v>
      </c>
      <c r="AG137" s="178" t="s">
        <v>32</v>
      </c>
      <c r="AH137" s="179" t="s">
        <v>32</v>
      </c>
      <c r="AI137" s="180" t="s">
        <v>32</v>
      </c>
      <c r="AJ137" s="178" t="s">
        <v>32</v>
      </c>
      <c r="AK137" s="179" t="s">
        <v>32</v>
      </c>
      <c r="AL137" s="181" t="s">
        <v>32</v>
      </c>
      <c r="AM137" s="175" t="s">
        <v>32</v>
      </c>
      <c r="AN137" s="179" t="s">
        <v>32</v>
      </c>
      <c r="AO137" s="180" t="s">
        <v>32</v>
      </c>
      <c r="AP137" s="178" t="s">
        <v>32</v>
      </c>
      <c r="AQ137" s="179" t="s">
        <v>32</v>
      </c>
      <c r="AR137" s="180" t="s">
        <v>32</v>
      </c>
      <c r="AS137" s="178" t="s">
        <v>32</v>
      </c>
      <c r="AT137" s="179" t="s">
        <v>32</v>
      </c>
      <c r="AU137" s="181" t="s">
        <v>32</v>
      </c>
      <c r="AV137" s="175" t="s">
        <v>32</v>
      </c>
      <c r="AW137" s="179" t="s">
        <v>32</v>
      </c>
      <c r="AX137" s="180" t="s">
        <v>32</v>
      </c>
      <c r="AY137" s="178" t="s">
        <v>32</v>
      </c>
      <c r="AZ137" s="179" t="s">
        <v>32</v>
      </c>
      <c r="BA137" s="180" t="s">
        <v>32</v>
      </c>
      <c r="BB137" s="178" t="s">
        <v>32</v>
      </c>
      <c r="BC137" s="179" t="s">
        <v>32</v>
      </c>
      <c r="BD137" s="181" t="s">
        <v>32</v>
      </c>
    </row>
    <row r="138" spans="2:56" ht="15" customHeight="1">
      <c r="B138" s="183" t="s">
        <v>32</v>
      </c>
      <c r="C138" s="184" t="s">
        <v>32</v>
      </c>
      <c r="D138" s="189">
        <v>1</v>
      </c>
      <c r="E138" s="187" t="s">
        <v>32</v>
      </c>
      <c r="F138" s="184" t="s">
        <v>32</v>
      </c>
      <c r="G138" s="185" t="s">
        <v>32</v>
      </c>
      <c r="H138" s="187" t="s">
        <v>32</v>
      </c>
      <c r="I138" s="184" t="s">
        <v>32</v>
      </c>
      <c r="J138" s="188" t="s">
        <v>32</v>
      </c>
      <c r="K138" s="183" t="s">
        <v>32</v>
      </c>
      <c r="L138" s="184" t="s">
        <v>32</v>
      </c>
      <c r="M138" s="185" t="s">
        <v>32</v>
      </c>
      <c r="N138" s="187" t="s">
        <v>32</v>
      </c>
      <c r="O138" s="184" t="s">
        <v>32</v>
      </c>
      <c r="P138" s="185" t="s">
        <v>32</v>
      </c>
      <c r="Q138" s="187" t="s">
        <v>32</v>
      </c>
      <c r="R138" s="184" t="s">
        <v>32</v>
      </c>
      <c r="S138" s="188" t="s">
        <v>32</v>
      </c>
      <c r="T138" s="183" t="s">
        <v>32</v>
      </c>
      <c r="U138" s="184" t="s">
        <v>32</v>
      </c>
      <c r="V138" s="185" t="s">
        <v>32</v>
      </c>
      <c r="W138" s="187" t="s">
        <v>32</v>
      </c>
      <c r="X138" s="184" t="s">
        <v>32</v>
      </c>
      <c r="Y138" s="185" t="s">
        <v>32</v>
      </c>
      <c r="Z138" s="186">
        <v>9</v>
      </c>
      <c r="AA138" s="184" t="s">
        <v>32</v>
      </c>
      <c r="AB138" s="188" t="s">
        <v>32</v>
      </c>
      <c r="AD138" s="183" t="s">
        <v>32</v>
      </c>
      <c r="AE138" s="184" t="s">
        <v>32</v>
      </c>
      <c r="AF138" s="189">
        <v>1</v>
      </c>
      <c r="AG138" s="187" t="s">
        <v>32</v>
      </c>
      <c r="AH138" s="184" t="s">
        <v>32</v>
      </c>
      <c r="AI138" s="185" t="s">
        <v>32</v>
      </c>
      <c r="AJ138" s="187" t="s">
        <v>32</v>
      </c>
      <c r="AK138" s="184" t="s">
        <v>32</v>
      </c>
      <c r="AL138" s="188" t="s">
        <v>32</v>
      </c>
      <c r="AM138" s="183" t="s">
        <v>32</v>
      </c>
      <c r="AN138" s="184" t="s">
        <v>32</v>
      </c>
      <c r="AO138" s="185" t="s">
        <v>32</v>
      </c>
      <c r="AP138" s="187" t="s">
        <v>32</v>
      </c>
      <c r="AQ138" s="184" t="s">
        <v>32</v>
      </c>
      <c r="AR138" s="185" t="s">
        <v>32</v>
      </c>
      <c r="AS138" s="187" t="s">
        <v>32</v>
      </c>
      <c r="AT138" s="184" t="s">
        <v>32</v>
      </c>
      <c r="AU138" s="188" t="s">
        <v>32</v>
      </c>
      <c r="AV138" s="183" t="s">
        <v>32</v>
      </c>
      <c r="AW138" s="184" t="s">
        <v>32</v>
      </c>
      <c r="AX138" s="185" t="s">
        <v>32</v>
      </c>
      <c r="AY138" s="187" t="s">
        <v>32</v>
      </c>
      <c r="AZ138" s="184" t="s">
        <v>32</v>
      </c>
      <c r="BA138" s="185" t="s">
        <v>32</v>
      </c>
      <c r="BB138" s="186">
        <v>9</v>
      </c>
      <c r="BC138" s="184" t="s">
        <v>32</v>
      </c>
      <c r="BD138" s="188" t="s">
        <v>32</v>
      </c>
    </row>
    <row r="139" spans="2:56" ht="15" customHeight="1">
      <c r="B139" s="190" t="s">
        <v>32</v>
      </c>
      <c r="C139" s="191">
        <v>2</v>
      </c>
      <c r="D139" s="194">
        <v>3</v>
      </c>
      <c r="E139" s="196">
        <v>4</v>
      </c>
      <c r="F139" s="191" t="s">
        <v>32</v>
      </c>
      <c r="G139" s="194" t="s">
        <v>32</v>
      </c>
      <c r="H139" s="193" t="s">
        <v>32</v>
      </c>
      <c r="I139" s="191" t="s">
        <v>32</v>
      </c>
      <c r="J139" s="195" t="s">
        <v>32</v>
      </c>
      <c r="K139" s="190" t="s">
        <v>32</v>
      </c>
      <c r="L139" s="191" t="s">
        <v>32</v>
      </c>
      <c r="M139" s="194" t="s">
        <v>32</v>
      </c>
      <c r="N139" s="193" t="s">
        <v>32</v>
      </c>
      <c r="O139" s="191">
        <v>8</v>
      </c>
      <c r="P139" s="194" t="s">
        <v>32</v>
      </c>
      <c r="Q139" s="193" t="s">
        <v>32</v>
      </c>
      <c r="R139" s="191" t="s">
        <v>32</v>
      </c>
      <c r="S139" s="195" t="s">
        <v>32</v>
      </c>
      <c r="T139" s="190" t="s">
        <v>32</v>
      </c>
      <c r="U139" s="191" t="s">
        <v>32</v>
      </c>
      <c r="V139" s="194" t="s">
        <v>32</v>
      </c>
      <c r="W139" s="193" t="s">
        <v>32</v>
      </c>
      <c r="X139" s="191" t="s">
        <v>32</v>
      </c>
      <c r="Y139" s="192">
        <v>7</v>
      </c>
      <c r="Z139" s="193">
        <v>6</v>
      </c>
      <c r="AA139" s="191">
        <v>5</v>
      </c>
      <c r="AB139" s="195" t="s">
        <v>32</v>
      </c>
      <c r="AD139" s="190" t="s">
        <v>32</v>
      </c>
      <c r="AE139" s="191">
        <v>2</v>
      </c>
      <c r="AF139" s="194">
        <v>3</v>
      </c>
      <c r="AG139" s="196">
        <v>4</v>
      </c>
      <c r="AH139" s="191" t="s">
        <v>32</v>
      </c>
      <c r="AI139" s="194" t="s">
        <v>32</v>
      </c>
      <c r="AJ139" s="193" t="s">
        <v>32</v>
      </c>
      <c r="AK139" s="191" t="s">
        <v>32</v>
      </c>
      <c r="AL139" s="195" t="s">
        <v>32</v>
      </c>
      <c r="AM139" s="190" t="s">
        <v>32</v>
      </c>
      <c r="AN139" s="191" t="s">
        <v>32</v>
      </c>
      <c r="AO139" s="194" t="s">
        <v>32</v>
      </c>
      <c r="AP139" s="193" t="s">
        <v>32</v>
      </c>
      <c r="AQ139" s="191">
        <v>8</v>
      </c>
      <c r="AR139" s="194" t="s">
        <v>32</v>
      </c>
      <c r="AS139" s="193" t="s">
        <v>32</v>
      </c>
      <c r="AT139" s="191" t="s">
        <v>32</v>
      </c>
      <c r="AU139" s="195" t="s">
        <v>32</v>
      </c>
      <c r="AV139" s="190" t="s">
        <v>32</v>
      </c>
      <c r="AW139" s="191" t="s">
        <v>32</v>
      </c>
      <c r="AX139" s="194" t="s">
        <v>32</v>
      </c>
      <c r="AY139" s="193" t="s">
        <v>32</v>
      </c>
      <c r="AZ139" s="191" t="s">
        <v>32</v>
      </c>
      <c r="BA139" s="192">
        <v>7</v>
      </c>
      <c r="BB139" s="193">
        <v>6</v>
      </c>
      <c r="BC139" s="191">
        <v>5</v>
      </c>
      <c r="BD139" s="195" t="s">
        <v>32</v>
      </c>
    </row>
    <row r="140" spans="2:56" ht="15" customHeight="1">
      <c r="B140" s="175">
        <v>7</v>
      </c>
      <c r="C140" s="176">
        <v>6</v>
      </c>
      <c r="D140" s="177">
        <v>8</v>
      </c>
      <c r="E140" s="178" t="s">
        <v>32</v>
      </c>
      <c r="F140" s="179" t="s">
        <v>32</v>
      </c>
      <c r="G140" s="180" t="s">
        <v>32</v>
      </c>
      <c r="H140" s="178" t="s">
        <v>32</v>
      </c>
      <c r="I140" s="179" t="s">
        <v>32</v>
      </c>
      <c r="J140" s="181" t="s">
        <v>32</v>
      </c>
      <c r="K140" s="175" t="s">
        <v>32</v>
      </c>
      <c r="L140" s="179" t="s">
        <v>32</v>
      </c>
      <c r="M140" s="180" t="s">
        <v>32</v>
      </c>
      <c r="N140" s="182">
        <v>5</v>
      </c>
      <c r="O140" s="179">
        <v>1</v>
      </c>
      <c r="P140" s="177">
        <v>9</v>
      </c>
      <c r="Q140" s="178" t="s">
        <v>32</v>
      </c>
      <c r="R140" s="179" t="s">
        <v>32</v>
      </c>
      <c r="S140" s="181" t="s">
        <v>32</v>
      </c>
      <c r="T140" s="175" t="s">
        <v>32</v>
      </c>
      <c r="U140" s="179" t="s">
        <v>32</v>
      </c>
      <c r="V140" s="180" t="s">
        <v>32</v>
      </c>
      <c r="W140" s="178" t="s">
        <v>32</v>
      </c>
      <c r="X140" s="179" t="s">
        <v>32</v>
      </c>
      <c r="Y140" s="180" t="s">
        <v>32</v>
      </c>
      <c r="Z140" s="182">
        <v>2</v>
      </c>
      <c r="AA140" s="176">
        <v>3</v>
      </c>
      <c r="AB140" s="181">
        <v>4</v>
      </c>
      <c r="AD140" s="175">
        <v>7</v>
      </c>
      <c r="AE140" s="176">
        <v>6</v>
      </c>
      <c r="AF140" s="177">
        <v>8</v>
      </c>
      <c r="AG140" s="178" t="s">
        <v>32</v>
      </c>
      <c r="AH140" s="179" t="s">
        <v>32</v>
      </c>
      <c r="AI140" s="180" t="s">
        <v>32</v>
      </c>
      <c r="AJ140" s="178" t="s">
        <v>32</v>
      </c>
      <c r="AK140" s="179" t="s">
        <v>32</v>
      </c>
      <c r="AL140" s="181" t="s">
        <v>32</v>
      </c>
      <c r="AM140" s="175" t="s">
        <v>32</v>
      </c>
      <c r="AN140" s="179" t="s">
        <v>32</v>
      </c>
      <c r="AO140" s="180" t="s">
        <v>32</v>
      </c>
      <c r="AP140" s="182">
        <v>5</v>
      </c>
      <c r="AQ140" s="179">
        <v>1</v>
      </c>
      <c r="AR140" s="177">
        <v>9</v>
      </c>
      <c r="AS140" s="178" t="s">
        <v>32</v>
      </c>
      <c r="AT140" s="179" t="s">
        <v>32</v>
      </c>
      <c r="AU140" s="181" t="s">
        <v>32</v>
      </c>
      <c r="AV140" s="175" t="s">
        <v>32</v>
      </c>
      <c r="AW140" s="179" t="s">
        <v>32</v>
      </c>
      <c r="AX140" s="180" t="s">
        <v>32</v>
      </c>
      <c r="AY140" s="178" t="s">
        <v>32</v>
      </c>
      <c r="AZ140" s="179" t="s">
        <v>32</v>
      </c>
      <c r="BA140" s="180" t="s">
        <v>32</v>
      </c>
      <c r="BB140" s="182">
        <v>2</v>
      </c>
      <c r="BC140" s="176">
        <v>3</v>
      </c>
      <c r="BD140" s="181">
        <v>4</v>
      </c>
    </row>
    <row r="141" spans="2:56" ht="15" customHeight="1" thickBot="1">
      <c r="B141" s="197">
        <v>5</v>
      </c>
      <c r="C141" s="198">
        <v>9</v>
      </c>
      <c r="D141" s="199" t="s">
        <v>32</v>
      </c>
      <c r="E141" s="200" t="s">
        <v>32</v>
      </c>
      <c r="F141" s="198" t="s">
        <v>32</v>
      </c>
      <c r="G141" s="199" t="s">
        <v>32</v>
      </c>
      <c r="H141" s="200" t="s">
        <v>32</v>
      </c>
      <c r="I141" s="198" t="s">
        <v>32</v>
      </c>
      <c r="J141" s="201" t="s">
        <v>32</v>
      </c>
      <c r="K141" s="197" t="s">
        <v>32</v>
      </c>
      <c r="L141" s="198" t="s">
        <v>32</v>
      </c>
      <c r="M141" s="199">
        <v>4</v>
      </c>
      <c r="N141" s="200">
        <v>6</v>
      </c>
      <c r="O141" s="198">
        <v>3</v>
      </c>
      <c r="P141" s="199">
        <v>2</v>
      </c>
      <c r="Q141" s="200">
        <v>7</v>
      </c>
      <c r="R141" s="198" t="s">
        <v>32</v>
      </c>
      <c r="S141" s="201" t="s">
        <v>32</v>
      </c>
      <c r="T141" s="197" t="s">
        <v>32</v>
      </c>
      <c r="U141" s="198" t="s">
        <v>32</v>
      </c>
      <c r="V141" s="199" t="s">
        <v>32</v>
      </c>
      <c r="W141" s="200" t="s">
        <v>32</v>
      </c>
      <c r="X141" s="198" t="s">
        <v>32</v>
      </c>
      <c r="Y141" s="199" t="s">
        <v>32</v>
      </c>
      <c r="Z141" s="200" t="s">
        <v>32</v>
      </c>
      <c r="AA141" s="198">
        <v>1</v>
      </c>
      <c r="AB141" s="201">
        <v>8</v>
      </c>
      <c r="AD141" s="197">
        <v>5</v>
      </c>
      <c r="AE141" s="198">
        <v>9</v>
      </c>
      <c r="AF141" s="199" t="s">
        <v>32</v>
      </c>
      <c r="AG141" s="200" t="s">
        <v>32</v>
      </c>
      <c r="AH141" s="198" t="s">
        <v>32</v>
      </c>
      <c r="AI141" s="199" t="s">
        <v>32</v>
      </c>
      <c r="AJ141" s="200" t="s">
        <v>32</v>
      </c>
      <c r="AK141" s="198" t="s">
        <v>32</v>
      </c>
      <c r="AL141" s="201" t="s">
        <v>32</v>
      </c>
      <c r="AM141" s="197" t="s">
        <v>32</v>
      </c>
      <c r="AN141" s="198" t="s">
        <v>32</v>
      </c>
      <c r="AO141" s="199">
        <v>4</v>
      </c>
      <c r="AP141" s="200">
        <v>6</v>
      </c>
      <c r="AQ141" s="198">
        <v>3</v>
      </c>
      <c r="AR141" s="199">
        <v>2</v>
      </c>
      <c r="AS141" s="200">
        <v>7</v>
      </c>
      <c r="AT141" s="198" t="s">
        <v>32</v>
      </c>
      <c r="AU141" s="201" t="s">
        <v>32</v>
      </c>
      <c r="AV141" s="197" t="s">
        <v>32</v>
      </c>
      <c r="AW141" s="198" t="s">
        <v>32</v>
      </c>
      <c r="AX141" s="199" t="s">
        <v>32</v>
      </c>
      <c r="AY141" s="200" t="s">
        <v>32</v>
      </c>
      <c r="AZ141" s="198" t="s">
        <v>32</v>
      </c>
      <c r="BA141" s="199" t="s">
        <v>32</v>
      </c>
      <c r="BB141" s="200" t="s">
        <v>32</v>
      </c>
      <c r="BC141" s="198">
        <v>1</v>
      </c>
      <c r="BD141" s="201">
        <v>8</v>
      </c>
    </row>
    <row r="143" spans="2:56" ht="15" customHeight="1" thickBot="1">
      <c r="B143" s="33" t="s">
        <v>65</v>
      </c>
    </row>
    <row r="144" spans="2:56" ht="15" customHeight="1">
      <c r="B144" s="170">
        <v>7</v>
      </c>
      <c r="C144" s="171">
        <v>2</v>
      </c>
      <c r="D144" s="172">
        <v>0</v>
      </c>
      <c r="E144" s="173">
        <v>0</v>
      </c>
      <c r="F144" s="171">
        <v>0</v>
      </c>
      <c r="G144" s="172" t="s">
        <v>32</v>
      </c>
      <c r="H144" s="173" t="s">
        <v>32</v>
      </c>
      <c r="I144" s="171" t="s">
        <v>32</v>
      </c>
      <c r="J144" s="174" t="s">
        <v>32</v>
      </c>
      <c r="K144" s="170" t="s">
        <v>32</v>
      </c>
      <c r="L144" s="171" t="s">
        <v>32</v>
      </c>
      <c r="M144" s="172" t="s">
        <v>32</v>
      </c>
      <c r="N144" s="173" t="s">
        <v>32</v>
      </c>
      <c r="O144" s="171" t="s">
        <v>32</v>
      </c>
      <c r="P144" s="172" t="s">
        <v>32</v>
      </c>
      <c r="Q144" s="173" t="s">
        <v>32</v>
      </c>
      <c r="R144" s="171" t="s">
        <v>32</v>
      </c>
      <c r="S144" s="174" t="s">
        <v>32</v>
      </c>
      <c r="T144" s="170" t="s">
        <v>32</v>
      </c>
      <c r="U144" s="171" t="s">
        <v>32</v>
      </c>
      <c r="V144" s="172" t="s">
        <v>32</v>
      </c>
      <c r="W144" s="173" t="s">
        <v>32</v>
      </c>
      <c r="X144" s="171" t="s">
        <v>32</v>
      </c>
      <c r="Y144" s="172">
        <v>0</v>
      </c>
      <c r="Z144" s="173">
        <v>0</v>
      </c>
      <c r="AA144" s="171">
        <v>8</v>
      </c>
      <c r="AB144" s="174">
        <v>1</v>
      </c>
    </row>
    <row r="145" spans="2:28" ht="15" customHeight="1">
      <c r="B145" s="175">
        <v>8</v>
      </c>
      <c r="C145" s="176" t="s">
        <v>32</v>
      </c>
      <c r="D145" s="177" t="s">
        <v>32</v>
      </c>
      <c r="E145" s="178" t="s">
        <v>32</v>
      </c>
      <c r="F145" s="179" t="s">
        <v>32</v>
      </c>
      <c r="G145" s="180" t="s">
        <v>32</v>
      </c>
      <c r="H145" s="178" t="s">
        <v>32</v>
      </c>
      <c r="I145" s="179" t="s">
        <v>32</v>
      </c>
      <c r="J145" s="181" t="s">
        <v>32</v>
      </c>
      <c r="K145" s="175" t="s">
        <v>32</v>
      </c>
      <c r="L145" s="179" t="s">
        <v>32</v>
      </c>
      <c r="M145" s="180" t="s">
        <v>32</v>
      </c>
      <c r="N145" s="182" t="s">
        <v>32</v>
      </c>
      <c r="O145" s="179" t="s">
        <v>32</v>
      </c>
      <c r="P145" s="177" t="s">
        <v>32</v>
      </c>
      <c r="Q145" s="178">
        <v>0</v>
      </c>
      <c r="R145" s="179">
        <v>0</v>
      </c>
      <c r="S145" s="181" t="s">
        <v>32</v>
      </c>
      <c r="T145" s="175" t="s">
        <v>32</v>
      </c>
      <c r="U145" s="179" t="s">
        <v>32</v>
      </c>
      <c r="V145" s="180" t="s">
        <v>32</v>
      </c>
      <c r="W145" s="178" t="s">
        <v>32</v>
      </c>
      <c r="X145" s="179">
        <v>9</v>
      </c>
      <c r="Y145" s="180">
        <v>0</v>
      </c>
      <c r="Z145" s="182" t="s">
        <v>32</v>
      </c>
      <c r="AA145" s="176" t="s">
        <v>32</v>
      </c>
      <c r="AB145" s="181">
        <v>7</v>
      </c>
    </row>
    <row r="146" spans="2:28" ht="15" customHeight="1">
      <c r="B146" s="183">
        <v>0</v>
      </c>
      <c r="C146" s="184" t="s">
        <v>32</v>
      </c>
      <c r="D146" s="185" t="s">
        <v>32</v>
      </c>
      <c r="E146" s="186" t="s">
        <v>32</v>
      </c>
      <c r="F146" s="184" t="s">
        <v>32</v>
      </c>
      <c r="G146" s="185" t="s">
        <v>32</v>
      </c>
      <c r="H146" s="187" t="s">
        <v>32</v>
      </c>
      <c r="I146" s="184" t="s">
        <v>32</v>
      </c>
      <c r="J146" s="188" t="s">
        <v>32</v>
      </c>
      <c r="K146" s="183" t="s">
        <v>32</v>
      </c>
      <c r="L146" s="184" t="s">
        <v>32</v>
      </c>
      <c r="M146" s="185" t="s">
        <v>32</v>
      </c>
      <c r="N146" s="187" t="s">
        <v>32</v>
      </c>
      <c r="O146" s="184" t="s">
        <v>32</v>
      </c>
      <c r="P146" s="185" t="s">
        <v>32</v>
      </c>
      <c r="Q146" s="187">
        <v>0</v>
      </c>
      <c r="R146" s="184">
        <v>0</v>
      </c>
      <c r="S146" s="188">
        <v>0</v>
      </c>
      <c r="T146" s="183" t="s">
        <v>32</v>
      </c>
      <c r="U146" s="184" t="s">
        <v>32</v>
      </c>
      <c r="V146" s="185" t="s">
        <v>32</v>
      </c>
      <c r="W146" s="187" t="s">
        <v>32</v>
      </c>
      <c r="X146" s="184">
        <v>6</v>
      </c>
      <c r="Y146" s="189">
        <v>0</v>
      </c>
      <c r="Z146" s="187" t="s">
        <v>32</v>
      </c>
      <c r="AA146" s="184" t="s">
        <v>32</v>
      </c>
      <c r="AB146" s="188" t="s">
        <v>32</v>
      </c>
    </row>
    <row r="147" spans="2:28" ht="15" customHeight="1">
      <c r="B147" s="190">
        <v>0</v>
      </c>
      <c r="C147" s="191" t="s">
        <v>32</v>
      </c>
      <c r="D147" s="192" t="s">
        <v>32</v>
      </c>
      <c r="E147" s="193" t="s">
        <v>32</v>
      </c>
      <c r="F147" s="191" t="s">
        <v>32</v>
      </c>
      <c r="G147" s="194" t="s">
        <v>32</v>
      </c>
      <c r="H147" s="193" t="s">
        <v>32</v>
      </c>
      <c r="I147" s="191" t="s">
        <v>32</v>
      </c>
      <c r="J147" s="195" t="s">
        <v>32</v>
      </c>
      <c r="K147" s="190" t="s">
        <v>32</v>
      </c>
      <c r="L147" s="191" t="s">
        <v>32</v>
      </c>
      <c r="M147" s="194" t="s">
        <v>32</v>
      </c>
      <c r="N147" s="193" t="s">
        <v>32</v>
      </c>
      <c r="O147" s="191" t="s">
        <v>32</v>
      </c>
      <c r="P147" s="194">
        <v>0</v>
      </c>
      <c r="Q147" s="193">
        <v>0</v>
      </c>
      <c r="R147" s="191" t="s">
        <v>32</v>
      </c>
      <c r="S147" s="195" t="s">
        <v>32</v>
      </c>
      <c r="T147" s="190" t="s">
        <v>32</v>
      </c>
      <c r="U147" s="191" t="s">
        <v>32</v>
      </c>
      <c r="V147" s="194" t="s">
        <v>32</v>
      </c>
      <c r="W147" s="193" t="s">
        <v>32</v>
      </c>
      <c r="X147" s="191" t="s">
        <v>32</v>
      </c>
      <c r="Y147" s="194" t="s">
        <v>32</v>
      </c>
      <c r="Z147" s="196" t="s">
        <v>32</v>
      </c>
      <c r="AA147" s="191" t="s">
        <v>32</v>
      </c>
      <c r="AB147" s="195" t="s">
        <v>32</v>
      </c>
    </row>
    <row r="148" spans="2:28" ht="15" customHeight="1">
      <c r="B148" s="175">
        <v>0</v>
      </c>
      <c r="C148" s="179" t="s">
        <v>32</v>
      </c>
      <c r="D148" s="180" t="s">
        <v>32</v>
      </c>
      <c r="E148" s="178" t="s">
        <v>32</v>
      </c>
      <c r="F148" s="179" t="s">
        <v>32</v>
      </c>
      <c r="G148" s="180" t="s">
        <v>32</v>
      </c>
      <c r="H148" s="178" t="s">
        <v>32</v>
      </c>
      <c r="I148" s="179" t="s">
        <v>32</v>
      </c>
      <c r="J148" s="181" t="s">
        <v>32</v>
      </c>
      <c r="K148" s="175" t="s">
        <v>32</v>
      </c>
      <c r="L148" s="179" t="s">
        <v>32</v>
      </c>
      <c r="M148" s="180" t="s">
        <v>32</v>
      </c>
      <c r="N148" s="178" t="s">
        <v>32</v>
      </c>
      <c r="O148" s="179" t="s">
        <v>32</v>
      </c>
      <c r="P148" s="180" t="s">
        <v>32</v>
      </c>
      <c r="Q148" s="178">
        <v>1</v>
      </c>
      <c r="R148" s="179" t="s">
        <v>32</v>
      </c>
      <c r="S148" s="181" t="s">
        <v>32</v>
      </c>
      <c r="T148" s="175" t="s">
        <v>32</v>
      </c>
      <c r="U148" s="179" t="s">
        <v>32</v>
      </c>
      <c r="V148" s="180" t="s">
        <v>32</v>
      </c>
      <c r="W148" s="178" t="s">
        <v>32</v>
      </c>
      <c r="X148" s="179" t="s">
        <v>32</v>
      </c>
      <c r="Y148" s="180" t="s">
        <v>32</v>
      </c>
      <c r="Z148" s="178" t="s">
        <v>32</v>
      </c>
      <c r="AA148" s="179" t="s">
        <v>32</v>
      </c>
      <c r="AB148" s="181" t="s">
        <v>32</v>
      </c>
    </row>
    <row r="149" spans="2:28" ht="15" customHeight="1">
      <c r="B149" s="183" t="s">
        <v>32</v>
      </c>
      <c r="C149" s="184" t="s">
        <v>32</v>
      </c>
      <c r="D149" s="185" t="s">
        <v>32</v>
      </c>
      <c r="E149" s="187" t="s">
        <v>32</v>
      </c>
      <c r="F149" s="184" t="s">
        <v>32</v>
      </c>
      <c r="G149" s="185" t="s">
        <v>32</v>
      </c>
      <c r="H149" s="187" t="s">
        <v>32</v>
      </c>
      <c r="I149" s="184" t="s">
        <v>32</v>
      </c>
      <c r="J149" s="188" t="s">
        <v>32</v>
      </c>
      <c r="K149" s="183" t="s">
        <v>32</v>
      </c>
      <c r="L149" s="184" t="s">
        <v>32</v>
      </c>
      <c r="M149" s="185" t="s">
        <v>32</v>
      </c>
      <c r="N149" s="187" t="s">
        <v>32</v>
      </c>
      <c r="O149" s="184" t="s">
        <v>32</v>
      </c>
      <c r="P149" s="185" t="s">
        <v>32</v>
      </c>
      <c r="Q149" s="187">
        <v>0</v>
      </c>
      <c r="R149" s="184" t="s">
        <v>32</v>
      </c>
      <c r="S149" s="188" t="s">
        <v>32</v>
      </c>
      <c r="T149" s="183" t="s">
        <v>32</v>
      </c>
      <c r="U149" s="184" t="s">
        <v>32</v>
      </c>
      <c r="V149" s="185" t="s">
        <v>32</v>
      </c>
      <c r="W149" s="187" t="s">
        <v>32</v>
      </c>
      <c r="X149" s="184" t="s">
        <v>32</v>
      </c>
      <c r="Y149" s="185" t="s">
        <v>32</v>
      </c>
      <c r="Z149" s="187" t="s">
        <v>32</v>
      </c>
      <c r="AA149" s="184" t="s">
        <v>32</v>
      </c>
      <c r="AB149" s="188" t="s">
        <v>32</v>
      </c>
    </row>
    <row r="150" spans="2:28" ht="15" customHeight="1">
      <c r="B150" s="190" t="s">
        <v>32</v>
      </c>
      <c r="C150" s="191" t="s">
        <v>32</v>
      </c>
      <c r="D150" s="194" t="s">
        <v>32</v>
      </c>
      <c r="E150" s="193" t="s">
        <v>32</v>
      </c>
      <c r="F150" s="191" t="s">
        <v>32</v>
      </c>
      <c r="G150" s="194" t="s">
        <v>32</v>
      </c>
      <c r="H150" s="193" t="s">
        <v>32</v>
      </c>
      <c r="I150" s="191" t="s">
        <v>32</v>
      </c>
      <c r="J150" s="195" t="s">
        <v>32</v>
      </c>
      <c r="K150" s="190" t="s">
        <v>32</v>
      </c>
      <c r="L150" s="191" t="s">
        <v>32</v>
      </c>
      <c r="M150" s="194" t="s">
        <v>32</v>
      </c>
      <c r="N150" s="193" t="s">
        <v>32</v>
      </c>
      <c r="O150" s="191" t="s">
        <v>32</v>
      </c>
      <c r="P150" s="194" t="s">
        <v>32</v>
      </c>
      <c r="Q150" s="193" t="s">
        <v>32</v>
      </c>
      <c r="R150" s="191" t="s">
        <v>32</v>
      </c>
      <c r="S150" s="195" t="s">
        <v>32</v>
      </c>
      <c r="T150" s="190" t="s">
        <v>32</v>
      </c>
      <c r="U150" s="191" t="s">
        <v>32</v>
      </c>
      <c r="V150" s="194" t="s">
        <v>32</v>
      </c>
      <c r="W150" s="193" t="s">
        <v>32</v>
      </c>
      <c r="X150" s="191" t="s">
        <v>32</v>
      </c>
      <c r="Y150" s="194" t="s">
        <v>32</v>
      </c>
      <c r="Z150" s="193" t="s">
        <v>32</v>
      </c>
      <c r="AA150" s="191" t="s">
        <v>32</v>
      </c>
      <c r="AB150" s="195" t="s">
        <v>32</v>
      </c>
    </row>
    <row r="151" spans="2:28" ht="15" customHeight="1">
      <c r="B151" s="175" t="s">
        <v>32</v>
      </c>
      <c r="C151" s="179" t="s">
        <v>32</v>
      </c>
      <c r="D151" s="180" t="s">
        <v>32</v>
      </c>
      <c r="E151" s="178" t="s">
        <v>32</v>
      </c>
      <c r="F151" s="179" t="s">
        <v>32</v>
      </c>
      <c r="G151" s="180" t="s">
        <v>32</v>
      </c>
      <c r="H151" s="178" t="s">
        <v>32</v>
      </c>
      <c r="I151" s="179" t="s">
        <v>32</v>
      </c>
      <c r="J151" s="181" t="s">
        <v>32</v>
      </c>
      <c r="K151" s="175" t="s">
        <v>32</v>
      </c>
      <c r="L151" s="179" t="s">
        <v>32</v>
      </c>
      <c r="M151" s="180" t="s">
        <v>32</v>
      </c>
      <c r="N151" s="178" t="s">
        <v>32</v>
      </c>
      <c r="O151" s="179" t="s">
        <v>32</v>
      </c>
      <c r="P151" s="180" t="s">
        <v>32</v>
      </c>
      <c r="Q151" s="178" t="s">
        <v>32</v>
      </c>
      <c r="R151" s="179" t="s">
        <v>32</v>
      </c>
      <c r="S151" s="181" t="s">
        <v>32</v>
      </c>
      <c r="T151" s="175" t="s">
        <v>32</v>
      </c>
      <c r="U151" s="179" t="s">
        <v>32</v>
      </c>
      <c r="V151" s="180" t="s">
        <v>32</v>
      </c>
      <c r="W151" s="178" t="s">
        <v>32</v>
      </c>
      <c r="X151" s="179" t="s">
        <v>32</v>
      </c>
      <c r="Y151" s="180" t="s">
        <v>32</v>
      </c>
      <c r="Z151" s="178" t="s">
        <v>32</v>
      </c>
      <c r="AA151" s="179" t="s">
        <v>32</v>
      </c>
      <c r="AB151" s="181" t="s">
        <v>32</v>
      </c>
    </row>
    <row r="152" spans="2:28" ht="15" customHeight="1" thickBot="1">
      <c r="B152" s="197" t="s">
        <v>32</v>
      </c>
      <c r="C152" s="198" t="s">
        <v>32</v>
      </c>
      <c r="D152" s="199" t="s">
        <v>32</v>
      </c>
      <c r="E152" s="200" t="s">
        <v>32</v>
      </c>
      <c r="F152" s="198" t="s">
        <v>32</v>
      </c>
      <c r="G152" s="199" t="s">
        <v>32</v>
      </c>
      <c r="H152" s="200" t="s">
        <v>32</v>
      </c>
      <c r="I152" s="198" t="s">
        <v>32</v>
      </c>
      <c r="J152" s="201" t="s">
        <v>32</v>
      </c>
      <c r="K152" s="197" t="s">
        <v>32</v>
      </c>
      <c r="L152" s="198" t="s">
        <v>32</v>
      </c>
      <c r="M152" s="199" t="s">
        <v>32</v>
      </c>
      <c r="N152" s="200" t="s">
        <v>32</v>
      </c>
      <c r="O152" s="198" t="s">
        <v>32</v>
      </c>
      <c r="P152" s="199" t="s">
        <v>32</v>
      </c>
      <c r="Q152" s="200" t="s">
        <v>32</v>
      </c>
      <c r="R152" s="198" t="s">
        <v>32</v>
      </c>
      <c r="S152" s="201" t="s">
        <v>32</v>
      </c>
      <c r="T152" s="197" t="s">
        <v>32</v>
      </c>
      <c r="U152" s="198" t="s">
        <v>32</v>
      </c>
      <c r="V152" s="199" t="s">
        <v>32</v>
      </c>
      <c r="W152" s="200" t="s">
        <v>32</v>
      </c>
      <c r="X152" s="198" t="s">
        <v>32</v>
      </c>
      <c r="Y152" s="199" t="s">
        <v>32</v>
      </c>
      <c r="Z152" s="200" t="s">
        <v>32</v>
      </c>
      <c r="AA152" s="198" t="s">
        <v>32</v>
      </c>
      <c r="AB152" s="201" t="s">
        <v>32</v>
      </c>
    </row>
    <row r="153" spans="2:28" ht="15" customHeight="1">
      <c r="B153" s="170" t="s">
        <v>32</v>
      </c>
      <c r="C153" s="171" t="s">
        <v>32</v>
      </c>
      <c r="D153" s="172" t="s">
        <v>32</v>
      </c>
      <c r="E153" s="173" t="s">
        <v>32</v>
      </c>
      <c r="F153" s="171" t="s">
        <v>32</v>
      </c>
      <c r="G153" s="172" t="s">
        <v>32</v>
      </c>
      <c r="H153" s="173" t="s">
        <v>32</v>
      </c>
      <c r="I153" s="171" t="s">
        <v>32</v>
      </c>
      <c r="J153" s="174" t="s">
        <v>32</v>
      </c>
      <c r="K153" s="170" t="s">
        <v>32</v>
      </c>
      <c r="L153" s="171" t="s">
        <v>32</v>
      </c>
      <c r="M153" s="172" t="s">
        <v>32</v>
      </c>
      <c r="N153" s="173" t="s">
        <v>32</v>
      </c>
      <c r="O153" s="171" t="s">
        <v>32</v>
      </c>
      <c r="P153" s="172" t="s">
        <v>32</v>
      </c>
      <c r="Q153" s="173" t="s">
        <v>32</v>
      </c>
      <c r="R153" s="171" t="s">
        <v>32</v>
      </c>
      <c r="S153" s="174" t="s">
        <v>32</v>
      </c>
      <c r="T153" s="170" t="s">
        <v>32</v>
      </c>
      <c r="U153" s="171" t="s">
        <v>32</v>
      </c>
      <c r="V153" s="172" t="s">
        <v>32</v>
      </c>
      <c r="W153" s="173" t="s">
        <v>32</v>
      </c>
      <c r="X153" s="171" t="s">
        <v>32</v>
      </c>
      <c r="Y153" s="172" t="s">
        <v>32</v>
      </c>
      <c r="Z153" s="173" t="s">
        <v>32</v>
      </c>
      <c r="AA153" s="171" t="s">
        <v>32</v>
      </c>
      <c r="AB153" s="174" t="s">
        <v>32</v>
      </c>
    </row>
    <row r="154" spans="2:28" ht="15" customHeight="1">
      <c r="B154" s="175" t="s">
        <v>32</v>
      </c>
      <c r="C154" s="179">
        <v>0</v>
      </c>
      <c r="D154" s="180">
        <v>0</v>
      </c>
      <c r="E154" s="178">
        <v>0</v>
      </c>
      <c r="F154" s="179" t="s">
        <v>32</v>
      </c>
      <c r="G154" s="180" t="s">
        <v>32</v>
      </c>
      <c r="H154" s="178" t="s">
        <v>32</v>
      </c>
      <c r="I154" s="179" t="s">
        <v>32</v>
      </c>
      <c r="J154" s="181" t="s">
        <v>32</v>
      </c>
      <c r="K154" s="175" t="s">
        <v>32</v>
      </c>
      <c r="L154" s="179" t="s">
        <v>32</v>
      </c>
      <c r="M154" s="180" t="s">
        <v>32</v>
      </c>
      <c r="N154" s="178" t="s">
        <v>32</v>
      </c>
      <c r="O154" s="179" t="s">
        <v>32</v>
      </c>
      <c r="P154" s="180" t="s">
        <v>32</v>
      </c>
      <c r="Q154" s="178" t="s">
        <v>32</v>
      </c>
      <c r="R154" s="179" t="s">
        <v>32</v>
      </c>
      <c r="S154" s="181" t="s">
        <v>32</v>
      </c>
      <c r="T154" s="175" t="s">
        <v>32</v>
      </c>
      <c r="U154" s="179" t="s">
        <v>32</v>
      </c>
      <c r="V154" s="180" t="s">
        <v>32</v>
      </c>
      <c r="W154" s="178" t="s">
        <v>32</v>
      </c>
      <c r="X154" s="179" t="s">
        <v>32</v>
      </c>
      <c r="Y154" s="180" t="s">
        <v>32</v>
      </c>
      <c r="Z154" s="178" t="s">
        <v>32</v>
      </c>
      <c r="AA154" s="179" t="s">
        <v>32</v>
      </c>
      <c r="AB154" s="181" t="s">
        <v>32</v>
      </c>
    </row>
    <row r="155" spans="2:28" ht="15" customHeight="1">
      <c r="B155" s="183" t="s">
        <v>32</v>
      </c>
      <c r="C155" s="184">
        <v>0</v>
      </c>
      <c r="D155" s="185">
        <v>0</v>
      </c>
      <c r="E155" s="187" t="s">
        <v>32</v>
      </c>
      <c r="F155" s="184" t="s">
        <v>32</v>
      </c>
      <c r="G155" s="185" t="s">
        <v>32</v>
      </c>
      <c r="H155" s="187" t="s">
        <v>32</v>
      </c>
      <c r="I155" s="184" t="s">
        <v>32</v>
      </c>
      <c r="J155" s="188" t="s">
        <v>32</v>
      </c>
      <c r="K155" s="183" t="s">
        <v>32</v>
      </c>
      <c r="L155" s="184" t="s">
        <v>32</v>
      </c>
      <c r="M155" s="185" t="s">
        <v>32</v>
      </c>
      <c r="N155" s="187">
        <v>0</v>
      </c>
      <c r="O155" s="184" t="s">
        <v>32</v>
      </c>
      <c r="P155" s="185" t="s">
        <v>32</v>
      </c>
      <c r="Q155" s="187" t="s">
        <v>32</v>
      </c>
      <c r="R155" s="184" t="s">
        <v>32</v>
      </c>
      <c r="S155" s="188" t="s">
        <v>32</v>
      </c>
      <c r="T155" s="183" t="s">
        <v>32</v>
      </c>
      <c r="U155" s="184" t="s">
        <v>32</v>
      </c>
      <c r="V155" s="185" t="s">
        <v>32</v>
      </c>
      <c r="W155" s="187" t="s">
        <v>32</v>
      </c>
      <c r="X155" s="184" t="s">
        <v>32</v>
      </c>
      <c r="Y155" s="185" t="s">
        <v>32</v>
      </c>
      <c r="Z155" s="187" t="s">
        <v>32</v>
      </c>
      <c r="AA155" s="184" t="s">
        <v>32</v>
      </c>
      <c r="AB155" s="188" t="s">
        <v>32</v>
      </c>
    </row>
    <row r="156" spans="2:28" ht="15" customHeight="1">
      <c r="B156" s="190" t="s">
        <v>32</v>
      </c>
      <c r="C156" s="202">
        <v>0</v>
      </c>
      <c r="D156" s="194" t="s">
        <v>32</v>
      </c>
      <c r="E156" s="193" t="s">
        <v>32</v>
      </c>
      <c r="F156" s="191" t="s">
        <v>32</v>
      </c>
      <c r="G156" s="194" t="s">
        <v>32</v>
      </c>
      <c r="H156" s="193" t="s">
        <v>32</v>
      </c>
      <c r="I156" s="191" t="s">
        <v>32</v>
      </c>
      <c r="J156" s="195" t="s">
        <v>32</v>
      </c>
      <c r="K156" s="190" t="s">
        <v>32</v>
      </c>
      <c r="L156" s="191" t="s">
        <v>32</v>
      </c>
      <c r="M156" s="194" t="s">
        <v>32</v>
      </c>
      <c r="N156" s="193">
        <v>0</v>
      </c>
      <c r="O156" s="191">
        <v>0</v>
      </c>
      <c r="P156" s="194" t="s">
        <v>32</v>
      </c>
      <c r="Q156" s="193" t="s">
        <v>32</v>
      </c>
      <c r="R156" s="191" t="s">
        <v>32</v>
      </c>
      <c r="S156" s="195" t="s">
        <v>32</v>
      </c>
      <c r="T156" s="190" t="s">
        <v>32</v>
      </c>
      <c r="U156" s="191" t="s">
        <v>32</v>
      </c>
      <c r="V156" s="194" t="s">
        <v>32</v>
      </c>
      <c r="W156" s="193" t="s">
        <v>32</v>
      </c>
      <c r="X156" s="191" t="s">
        <v>32</v>
      </c>
      <c r="Y156" s="194" t="s">
        <v>32</v>
      </c>
      <c r="Z156" s="193" t="s">
        <v>32</v>
      </c>
      <c r="AA156" s="202">
        <v>0</v>
      </c>
      <c r="AB156" s="195">
        <v>0</v>
      </c>
    </row>
    <row r="157" spans="2:28" ht="15" customHeight="1">
      <c r="B157" s="175" t="s">
        <v>32</v>
      </c>
      <c r="C157" s="179">
        <v>7</v>
      </c>
      <c r="D157" s="180" t="s">
        <v>32</v>
      </c>
      <c r="E157" s="178" t="s">
        <v>32</v>
      </c>
      <c r="F157" s="179" t="s">
        <v>32</v>
      </c>
      <c r="G157" s="180" t="s">
        <v>32</v>
      </c>
      <c r="H157" s="178" t="s">
        <v>32</v>
      </c>
      <c r="I157" s="179" t="s">
        <v>32</v>
      </c>
      <c r="J157" s="181" t="s">
        <v>32</v>
      </c>
      <c r="K157" s="175" t="s">
        <v>32</v>
      </c>
      <c r="L157" s="179" t="s">
        <v>32</v>
      </c>
      <c r="M157" s="180" t="s">
        <v>32</v>
      </c>
      <c r="N157" s="178">
        <v>0</v>
      </c>
      <c r="O157" s="179">
        <v>0</v>
      </c>
      <c r="P157" s="180">
        <v>0</v>
      </c>
      <c r="Q157" s="178" t="s">
        <v>32</v>
      </c>
      <c r="R157" s="179" t="s">
        <v>32</v>
      </c>
      <c r="S157" s="181" t="s">
        <v>32</v>
      </c>
      <c r="T157" s="175" t="s">
        <v>32</v>
      </c>
      <c r="U157" s="179" t="s">
        <v>32</v>
      </c>
      <c r="V157" s="180" t="s">
        <v>32</v>
      </c>
      <c r="W157" s="178" t="s">
        <v>32</v>
      </c>
      <c r="X157" s="179" t="s">
        <v>32</v>
      </c>
      <c r="Y157" s="180" t="s">
        <v>32</v>
      </c>
      <c r="Z157" s="178" t="s">
        <v>32</v>
      </c>
      <c r="AA157" s="179">
        <v>5</v>
      </c>
      <c r="AB157" s="181" t="s">
        <v>32</v>
      </c>
    </row>
    <row r="158" spans="2:28" ht="15" customHeight="1">
      <c r="B158" s="183">
        <v>0</v>
      </c>
      <c r="C158" s="203">
        <v>0</v>
      </c>
      <c r="D158" s="185" t="s">
        <v>32</v>
      </c>
      <c r="E158" s="187" t="s">
        <v>32</v>
      </c>
      <c r="F158" s="184" t="s">
        <v>32</v>
      </c>
      <c r="G158" s="185" t="s">
        <v>32</v>
      </c>
      <c r="H158" s="187" t="s">
        <v>32</v>
      </c>
      <c r="I158" s="184" t="s">
        <v>32</v>
      </c>
      <c r="J158" s="188" t="s">
        <v>32</v>
      </c>
      <c r="K158" s="183" t="s">
        <v>32</v>
      </c>
      <c r="L158" s="184" t="s">
        <v>32</v>
      </c>
      <c r="M158" s="185" t="s">
        <v>32</v>
      </c>
      <c r="N158" s="187" t="s">
        <v>32</v>
      </c>
      <c r="O158" s="184">
        <v>0</v>
      </c>
      <c r="P158" s="185">
        <v>0</v>
      </c>
      <c r="Q158" s="187" t="s">
        <v>32</v>
      </c>
      <c r="R158" s="184" t="s">
        <v>32</v>
      </c>
      <c r="S158" s="188" t="s">
        <v>32</v>
      </c>
      <c r="T158" s="183" t="s">
        <v>32</v>
      </c>
      <c r="U158" s="184" t="s">
        <v>32</v>
      </c>
      <c r="V158" s="185" t="s">
        <v>32</v>
      </c>
      <c r="W158" s="187" t="s">
        <v>32</v>
      </c>
      <c r="X158" s="184" t="s">
        <v>32</v>
      </c>
      <c r="Y158" s="185" t="s">
        <v>32</v>
      </c>
      <c r="Z158" s="187" t="s">
        <v>32</v>
      </c>
      <c r="AA158" s="203">
        <v>0</v>
      </c>
      <c r="AB158" s="188" t="s">
        <v>32</v>
      </c>
    </row>
    <row r="159" spans="2:28" ht="15" customHeight="1">
      <c r="B159" s="190" t="s">
        <v>32</v>
      </c>
      <c r="C159" s="191" t="s">
        <v>32</v>
      </c>
      <c r="D159" s="194" t="s">
        <v>32</v>
      </c>
      <c r="E159" s="193" t="s">
        <v>32</v>
      </c>
      <c r="F159" s="191" t="s">
        <v>32</v>
      </c>
      <c r="G159" s="194" t="s">
        <v>32</v>
      </c>
      <c r="H159" s="193" t="s">
        <v>32</v>
      </c>
      <c r="I159" s="191" t="s">
        <v>32</v>
      </c>
      <c r="J159" s="195" t="s">
        <v>32</v>
      </c>
      <c r="K159" s="190" t="s">
        <v>32</v>
      </c>
      <c r="L159" s="191" t="s">
        <v>32</v>
      </c>
      <c r="M159" s="194" t="s">
        <v>32</v>
      </c>
      <c r="N159" s="193" t="s">
        <v>32</v>
      </c>
      <c r="O159" s="191" t="s">
        <v>32</v>
      </c>
      <c r="P159" s="194">
        <v>0</v>
      </c>
      <c r="Q159" s="193" t="s">
        <v>32</v>
      </c>
      <c r="R159" s="191" t="s">
        <v>32</v>
      </c>
      <c r="S159" s="195" t="s">
        <v>32</v>
      </c>
      <c r="T159" s="190" t="s">
        <v>32</v>
      </c>
      <c r="U159" s="191" t="s">
        <v>32</v>
      </c>
      <c r="V159" s="194" t="s">
        <v>32</v>
      </c>
      <c r="W159" s="193" t="s">
        <v>32</v>
      </c>
      <c r="X159" s="191" t="s">
        <v>32</v>
      </c>
      <c r="Y159" s="194" t="s">
        <v>32</v>
      </c>
      <c r="Z159" s="193">
        <v>0</v>
      </c>
      <c r="AA159" s="191">
        <v>0</v>
      </c>
      <c r="AB159" s="195" t="s">
        <v>32</v>
      </c>
    </row>
    <row r="160" spans="2:28" ht="15" customHeight="1">
      <c r="B160" s="175" t="s">
        <v>32</v>
      </c>
      <c r="C160" s="179" t="s">
        <v>32</v>
      </c>
      <c r="D160" s="180" t="s">
        <v>32</v>
      </c>
      <c r="E160" s="178" t="s">
        <v>32</v>
      </c>
      <c r="F160" s="179" t="s">
        <v>32</v>
      </c>
      <c r="G160" s="180" t="s">
        <v>32</v>
      </c>
      <c r="H160" s="178" t="s">
        <v>32</v>
      </c>
      <c r="I160" s="179" t="s">
        <v>32</v>
      </c>
      <c r="J160" s="181" t="s">
        <v>32</v>
      </c>
      <c r="K160" s="175" t="s">
        <v>32</v>
      </c>
      <c r="L160" s="179" t="s">
        <v>32</v>
      </c>
      <c r="M160" s="180" t="s">
        <v>32</v>
      </c>
      <c r="N160" s="178" t="s">
        <v>32</v>
      </c>
      <c r="O160" s="179" t="s">
        <v>32</v>
      </c>
      <c r="P160" s="180" t="s">
        <v>32</v>
      </c>
      <c r="Q160" s="178" t="s">
        <v>32</v>
      </c>
      <c r="R160" s="179" t="s">
        <v>32</v>
      </c>
      <c r="S160" s="181" t="s">
        <v>32</v>
      </c>
      <c r="T160" s="175" t="s">
        <v>32</v>
      </c>
      <c r="U160" s="179" t="s">
        <v>32</v>
      </c>
      <c r="V160" s="180" t="s">
        <v>32</v>
      </c>
      <c r="W160" s="178" t="s">
        <v>32</v>
      </c>
      <c r="X160" s="179" t="s">
        <v>32</v>
      </c>
      <c r="Y160" s="180">
        <v>0</v>
      </c>
      <c r="Z160" s="178">
        <v>0</v>
      </c>
      <c r="AA160" s="179">
        <v>0</v>
      </c>
      <c r="AB160" s="181" t="s">
        <v>32</v>
      </c>
    </row>
    <row r="161" spans="2:113" ht="15" customHeight="1" thickBot="1">
      <c r="B161" s="197" t="s">
        <v>32</v>
      </c>
      <c r="C161" s="198" t="s">
        <v>32</v>
      </c>
      <c r="D161" s="199" t="s">
        <v>32</v>
      </c>
      <c r="E161" s="200" t="s">
        <v>32</v>
      </c>
      <c r="F161" s="198" t="s">
        <v>32</v>
      </c>
      <c r="G161" s="199" t="s">
        <v>32</v>
      </c>
      <c r="H161" s="200" t="s">
        <v>32</v>
      </c>
      <c r="I161" s="198" t="s">
        <v>32</v>
      </c>
      <c r="J161" s="201" t="s">
        <v>32</v>
      </c>
      <c r="K161" s="197" t="s">
        <v>32</v>
      </c>
      <c r="L161" s="198" t="s">
        <v>32</v>
      </c>
      <c r="M161" s="199" t="s">
        <v>32</v>
      </c>
      <c r="N161" s="200" t="s">
        <v>32</v>
      </c>
      <c r="O161" s="198" t="s">
        <v>32</v>
      </c>
      <c r="P161" s="199" t="s">
        <v>32</v>
      </c>
      <c r="Q161" s="200" t="s">
        <v>32</v>
      </c>
      <c r="R161" s="198" t="s">
        <v>32</v>
      </c>
      <c r="S161" s="201" t="s">
        <v>32</v>
      </c>
      <c r="T161" s="197" t="s">
        <v>32</v>
      </c>
      <c r="U161" s="198" t="s">
        <v>32</v>
      </c>
      <c r="V161" s="199" t="s">
        <v>32</v>
      </c>
      <c r="W161" s="200" t="s">
        <v>32</v>
      </c>
      <c r="X161" s="198" t="s">
        <v>32</v>
      </c>
      <c r="Y161" s="199" t="s">
        <v>32</v>
      </c>
      <c r="Z161" s="200" t="s">
        <v>32</v>
      </c>
      <c r="AA161" s="198" t="s">
        <v>32</v>
      </c>
      <c r="AB161" s="201" t="s">
        <v>32</v>
      </c>
    </row>
    <row r="162" spans="2:113" ht="15" customHeight="1">
      <c r="B162" s="170" t="s">
        <v>32</v>
      </c>
      <c r="C162" s="171" t="s">
        <v>32</v>
      </c>
      <c r="D162" s="172" t="s">
        <v>32</v>
      </c>
      <c r="E162" s="173" t="s">
        <v>32</v>
      </c>
      <c r="F162" s="171" t="s">
        <v>32</v>
      </c>
      <c r="G162" s="172" t="s">
        <v>32</v>
      </c>
      <c r="H162" s="173" t="s">
        <v>32</v>
      </c>
      <c r="I162" s="171" t="s">
        <v>32</v>
      </c>
      <c r="J162" s="174" t="s">
        <v>32</v>
      </c>
      <c r="K162" s="170" t="s">
        <v>32</v>
      </c>
      <c r="L162" s="171" t="s">
        <v>32</v>
      </c>
      <c r="M162" s="172" t="s">
        <v>32</v>
      </c>
      <c r="N162" s="173" t="s">
        <v>32</v>
      </c>
      <c r="O162" s="171" t="s">
        <v>32</v>
      </c>
      <c r="P162" s="172" t="s">
        <v>32</v>
      </c>
      <c r="Q162" s="173" t="s">
        <v>32</v>
      </c>
      <c r="R162" s="171" t="s">
        <v>32</v>
      </c>
      <c r="S162" s="174" t="s">
        <v>32</v>
      </c>
      <c r="T162" s="170" t="s">
        <v>32</v>
      </c>
      <c r="U162" s="171" t="s">
        <v>32</v>
      </c>
      <c r="V162" s="172" t="s">
        <v>32</v>
      </c>
      <c r="W162" s="173" t="s">
        <v>32</v>
      </c>
      <c r="X162" s="171" t="s">
        <v>32</v>
      </c>
      <c r="Y162" s="172" t="s">
        <v>32</v>
      </c>
      <c r="Z162" s="173" t="s">
        <v>32</v>
      </c>
      <c r="AA162" s="171" t="s">
        <v>32</v>
      </c>
      <c r="AB162" s="174" t="s">
        <v>32</v>
      </c>
    </row>
    <row r="163" spans="2:113" ht="15" customHeight="1">
      <c r="B163" s="175" t="s">
        <v>32</v>
      </c>
      <c r="C163" s="179" t="s">
        <v>32</v>
      </c>
      <c r="D163" s="180" t="s">
        <v>32</v>
      </c>
      <c r="E163" s="178" t="s">
        <v>32</v>
      </c>
      <c r="F163" s="179" t="s">
        <v>32</v>
      </c>
      <c r="G163" s="180" t="s">
        <v>32</v>
      </c>
      <c r="H163" s="178" t="s">
        <v>32</v>
      </c>
      <c r="I163" s="179" t="s">
        <v>32</v>
      </c>
      <c r="J163" s="181" t="s">
        <v>32</v>
      </c>
      <c r="K163" s="175" t="s">
        <v>32</v>
      </c>
      <c r="L163" s="179" t="s">
        <v>32</v>
      </c>
      <c r="M163" s="180" t="s">
        <v>32</v>
      </c>
      <c r="N163" s="178" t="s">
        <v>32</v>
      </c>
      <c r="O163" s="179" t="s">
        <v>32</v>
      </c>
      <c r="P163" s="180" t="s">
        <v>32</v>
      </c>
      <c r="Q163" s="178" t="s">
        <v>32</v>
      </c>
      <c r="R163" s="179" t="s">
        <v>32</v>
      </c>
      <c r="S163" s="181" t="s">
        <v>32</v>
      </c>
      <c r="T163" s="175" t="s">
        <v>32</v>
      </c>
      <c r="U163" s="179" t="s">
        <v>32</v>
      </c>
      <c r="V163" s="180" t="s">
        <v>32</v>
      </c>
      <c r="W163" s="178" t="s">
        <v>32</v>
      </c>
      <c r="X163" s="179" t="s">
        <v>32</v>
      </c>
      <c r="Y163" s="180" t="s">
        <v>32</v>
      </c>
      <c r="Z163" s="178" t="s">
        <v>32</v>
      </c>
      <c r="AA163" s="179" t="s">
        <v>32</v>
      </c>
      <c r="AB163" s="181" t="s">
        <v>32</v>
      </c>
    </row>
    <row r="164" spans="2:113" ht="15" customHeight="1">
      <c r="B164" s="183" t="s">
        <v>32</v>
      </c>
      <c r="C164" s="184" t="s">
        <v>32</v>
      </c>
      <c r="D164" s="185" t="s">
        <v>32</v>
      </c>
      <c r="E164" s="187" t="s">
        <v>32</v>
      </c>
      <c r="F164" s="184" t="s">
        <v>32</v>
      </c>
      <c r="G164" s="185" t="s">
        <v>32</v>
      </c>
      <c r="H164" s="187" t="s">
        <v>32</v>
      </c>
      <c r="I164" s="184" t="s">
        <v>32</v>
      </c>
      <c r="J164" s="188" t="s">
        <v>32</v>
      </c>
      <c r="K164" s="183" t="s">
        <v>32</v>
      </c>
      <c r="L164" s="184" t="s">
        <v>32</v>
      </c>
      <c r="M164" s="185" t="s">
        <v>32</v>
      </c>
      <c r="N164" s="187" t="s">
        <v>32</v>
      </c>
      <c r="O164" s="184" t="s">
        <v>32</v>
      </c>
      <c r="P164" s="185" t="s">
        <v>32</v>
      </c>
      <c r="Q164" s="187" t="s">
        <v>32</v>
      </c>
      <c r="R164" s="184" t="s">
        <v>32</v>
      </c>
      <c r="S164" s="188" t="s">
        <v>32</v>
      </c>
      <c r="T164" s="183" t="s">
        <v>32</v>
      </c>
      <c r="U164" s="184" t="s">
        <v>32</v>
      </c>
      <c r="V164" s="185" t="s">
        <v>32</v>
      </c>
      <c r="W164" s="187" t="s">
        <v>32</v>
      </c>
      <c r="X164" s="184" t="s">
        <v>32</v>
      </c>
      <c r="Y164" s="185" t="s">
        <v>32</v>
      </c>
      <c r="Z164" s="187" t="s">
        <v>32</v>
      </c>
      <c r="AA164" s="184" t="s">
        <v>32</v>
      </c>
      <c r="AB164" s="188" t="s">
        <v>32</v>
      </c>
    </row>
    <row r="165" spans="2:113" ht="15" customHeight="1">
      <c r="B165" s="190" t="s">
        <v>32</v>
      </c>
      <c r="C165" s="191" t="s">
        <v>32</v>
      </c>
      <c r="D165" s="194" t="s">
        <v>32</v>
      </c>
      <c r="E165" s="193" t="s">
        <v>32</v>
      </c>
      <c r="F165" s="191" t="s">
        <v>32</v>
      </c>
      <c r="G165" s="194" t="s">
        <v>32</v>
      </c>
      <c r="H165" s="193" t="s">
        <v>32</v>
      </c>
      <c r="I165" s="191" t="s">
        <v>32</v>
      </c>
      <c r="J165" s="195" t="s">
        <v>32</v>
      </c>
      <c r="K165" s="190" t="s">
        <v>32</v>
      </c>
      <c r="L165" s="191" t="s">
        <v>32</v>
      </c>
      <c r="M165" s="194">
        <v>0</v>
      </c>
      <c r="N165" s="193" t="s">
        <v>32</v>
      </c>
      <c r="O165" s="191" t="s">
        <v>32</v>
      </c>
      <c r="P165" s="194" t="s">
        <v>32</v>
      </c>
      <c r="Q165" s="193" t="s">
        <v>32</v>
      </c>
      <c r="R165" s="191" t="s">
        <v>32</v>
      </c>
      <c r="S165" s="195" t="s">
        <v>32</v>
      </c>
      <c r="T165" s="190" t="s">
        <v>32</v>
      </c>
      <c r="U165" s="191" t="s">
        <v>32</v>
      </c>
      <c r="V165" s="194" t="s">
        <v>32</v>
      </c>
      <c r="W165" s="193" t="s">
        <v>32</v>
      </c>
      <c r="X165" s="191" t="s">
        <v>32</v>
      </c>
      <c r="Y165" s="194" t="s">
        <v>32</v>
      </c>
      <c r="Z165" s="193" t="s">
        <v>32</v>
      </c>
      <c r="AA165" s="191" t="s">
        <v>32</v>
      </c>
      <c r="AB165" s="195" t="s">
        <v>32</v>
      </c>
    </row>
    <row r="166" spans="2:113" ht="15" customHeight="1">
      <c r="B166" s="175" t="s">
        <v>32</v>
      </c>
      <c r="C166" s="179" t="s">
        <v>32</v>
      </c>
      <c r="D166" s="180" t="s">
        <v>32</v>
      </c>
      <c r="E166" s="178" t="s">
        <v>32</v>
      </c>
      <c r="F166" s="179" t="s">
        <v>32</v>
      </c>
      <c r="G166" s="180" t="s">
        <v>32</v>
      </c>
      <c r="H166" s="178" t="s">
        <v>32</v>
      </c>
      <c r="I166" s="179" t="s">
        <v>32</v>
      </c>
      <c r="J166" s="181" t="s">
        <v>32</v>
      </c>
      <c r="K166" s="175" t="s">
        <v>32</v>
      </c>
      <c r="L166" s="179" t="s">
        <v>32</v>
      </c>
      <c r="M166" s="180">
        <v>2</v>
      </c>
      <c r="N166" s="178" t="s">
        <v>32</v>
      </c>
      <c r="O166" s="179" t="s">
        <v>32</v>
      </c>
      <c r="P166" s="180" t="s">
        <v>32</v>
      </c>
      <c r="Q166" s="178" t="s">
        <v>32</v>
      </c>
      <c r="R166" s="179" t="s">
        <v>32</v>
      </c>
      <c r="S166" s="181" t="s">
        <v>32</v>
      </c>
      <c r="T166" s="175" t="s">
        <v>32</v>
      </c>
      <c r="U166" s="179" t="s">
        <v>32</v>
      </c>
      <c r="V166" s="180" t="s">
        <v>32</v>
      </c>
      <c r="W166" s="178" t="s">
        <v>32</v>
      </c>
      <c r="X166" s="179" t="s">
        <v>32</v>
      </c>
      <c r="Y166" s="180" t="s">
        <v>32</v>
      </c>
      <c r="Z166" s="178" t="s">
        <v>32</v>
      </c>
      <c r="AA166" s="179" t="s">
        <v>32</v>
      </c>
      <c r="AB166" s="181">
        <v>0</v>
      </c>
    </row>
    <row r="167" spans="2:113" ht="15" customHeight="1">
      <c r="B167" s="183" t="s">
        <v>32</v>
      </c>
      <c r="C167" s="184" t="s">
        <v>32</v>
      </c>
      <c r="D167" s="189" t="s">
        <v>32</v>
      </c>
      <c r="E167" s="187" t="s">
        <v>32</v>
      </c>
      <c r="F167" s="184" t="s">
        <v>32</v>
      </c>
      <c r="G167" s="185" t="s">
        <v>32</v>
      </c>
      <c r="H167" s="187" t="s">
        <v>32</v>
      </c>
      <c r="I167" s="184" t="s">
        <v>32</v>
      </c>
      <c r="J167" s="188" t="s">
        <v>32</v>
      </c>
      <c r="K167" s="183" t="s">
        <v>32</v>
      </c>
      <c r="L167" s="184" t="s">
        <v>32</v>
      </c>
      <c r="M167" s="185">
        <v>0</v>
      </c>
      <c r="N167" s="187">
        <v>0</v>
      </c>
      <c r="O167" s="184" t="s">
        <v>32</v>
      </c>
      <c r="P167" s="185" t="s">
        <v>32</v>
      </c>
      <c r="Q167" s="187" t="s">
        <v>32</v>
      </c>
      <c r="R167" s="184" t="s">
        <v>32</v>
      </c>
      <c r="S167" s="188" t="s">
        <v>32</v>
      </c>
      <c r="T167" s="183" t="s">
        <v>32</v>
      </c>
      <c r="U167" s="184" t="s">
        <v>32</v>
      </c>
      <c r="V167" s="185" t="s">
        <v>32</v>
      </c>
      <c r="W167" s="187" t="s">
        <v>32</v>
      </c>
      <c r="X167" s="184" t="s">
        <v>32</v>
      </c>
      <c r="Y167" s="185" t="s">
        <v>32</v>
      </c>
      <c r="Z167" s="186" t="s">
        <v>32</v>
      </c>
      <c r="AA167" s="184" t="s">
        <v>32</v>
      </c>
      <c r="AB167" s="188">
        <v>0</v>
      </c>
    </row>
    <row r="168" spans="2:113" ht="15" customHeight="1">
      <c r="B168" s="190" t="s">
        <v>32</v>
      </c>
      <c r="C168" s="191" t="s">
        <v>32</v>
      </c>
      <c r="D168" s="194" t="s">
        <v>32</v>
      </c>
      <c r="E168" s="196">
        <v>0</v>
      </c>
      <c r="F168" s="191">
        <v>2</v>
      </c>
      <c r="G168" s="194" t="s">
        <v>32</v>
      </c>
      <c r="H168" s="193" t="s">
        <v>32</v>
      </c>
      <c r="I168" s="191" t="s">
        <v>32</v>
      </c>
      <c r="J168" s="195" t="s">
        <v>32</v>
      </c>
      <c r="K168" s="190">
        <v>0</v>
      </c>
      <c r="L168" s="191">
        <v>0</v>
      </c>
      <c r="M168" s="194">
        <v>0</v>
      </c>
      <c r="N168" s="193" t="s">
        <v>32</v>
      </c>
      <c r="O168" s="191" t="s">
        <v>32</v>
      </c>
      <c r="P168" s="194" t="s">
        <v>32</v>
      </c>
      <c r="Q168" s="193" t="s">
        <v>32</v>
      </c>
      <c r="R168" s="191" t="s">
        <v>32</v>
      </c>
      <c r="S168" s="195" t="s">
        <v>32</v>
      </c>
      <c r="T168" s="190" t="s">
        <v>32</v>
      </c>
      <c r="U168" s="191" t="s">
        <v>32</v>
      </c>
      <c r="V168" s="194" t="s">
        <v>32</v>
      </c>
      <c r="W168" s="193" t="s">
        <v>32</v>
      </c>
      <c r="X168" s="191" t="s">
        <v>32</v>
      </c>
      <c r="Y168" s="192" t="s">
        <v>32</v>
      </c>
      <c r="Z168" s="193" t="s">
        <v>32</v>
      </c>
      <c r="AA168" s="191" t="s">
        <v>32</v>
      </c>
      <c r="AB168" s="195">
        <v>0</v>
      </c>
    </row>
    <row r="169" spans="2:113" ht="15" customHeight="1">
      <c r="B169" s="175">
        <v>6</v>
      </c>
      <c r="C169" s="176" t="s">
        <v>32</v>
      </c>
      <c r="D169" s="177" t="s">
        <v>32</v>
      </c>
      <c r="E169" s="178">
        <v>0</v>
      </c>
      <c r="F169" s="179">
        <v>1</v>
      </c>
      <c r="G169" s="180" t="s">
        <v>32</v>
      </c>
      <c r="H169" s="178" t="s">
        <v>32</v>
      </c>
      <c r="I169" s="179" t="s">
        <v>32</v>
      </c>
      <c r="J169" s="181" t="s">
        <v>32</v>
      </c>
      <c r="K169" s="175" t="s">
        <v>32</v>
      </c>
      <c r="L169" s="179">
        <v>0</v>
      </c>
      <c r="M169" s="180">
        <v>0</v>
      </c>
      <c r="N169" s="182" t="s">
        <v>32</v>
      </c>
      <c r="O169" s="179" t="s">
        <v>32</v>
      </c>
      <c r="P169" s="177" t="s">
        <v>32</v>
      </c>
      <c r="Q169" s="178" t="s">
        <v>32</v>
      </c>
      <c r="R169" s="179" t="s">
        <v>32</v>
      </c>
      <c r="S169" s="181" t="s">
        <v>32</v>
      </c>
      <c r="T169" s="175" t="s">
        <v>32</v>
      </c>
      <c r="U169" s="179" t="s">
        <v>32</v>
      </c>
      <c r="V169" s="180" t="s">
        <v>32</v>
      </c>
      <c r="W169" s="178" t="s">
        <v>32</v>
      </c>
      <c r="X169" s="179" t="s">
        <v>32</v>
      </c>
      <c r="Y169" s="180" t="s">
        <v>32</v>
      </c>
      <c r="Z169" s="182" t="s">
        <v>32</v>
      </c>
      <c r="AA169" s="176" t="s">
        <v>32</v>
      </c>
      <c r="AB169" s="181">
        <v>3</v>
      </c>
    </row>
    <row r="170" spans="2:113" ht="15" customHeight="1" thickBot="1">
      <c r="B170" s="197">
        <v>4</v>
      </c>
      <c r="C170" s="198">
        <v>3</v>
      </c>
      <c r="D170" s="199">
        <v>0</v>
      </c>
      <c r="E170" s="200">
        <v>0</v>
      </c>
      <c r="F170" s="198" t="s">
        <v>32</v>
      </c>
      <c r="G170" s="199" t="s">
        <v>32</v>
      </c>
      <c r="H170" s="200" t="s">
        <v>32</v>
      </c>
      <c r="I170" s="198" t="s">
        <v>32</v>
      </c>
      <c r="J170" s="201" t="s">
        <v>32</v>
      </c>
      <c r="K170" s="197" t="s">
        <v>32</v>
      </c>
      <c r="L170" s="198" t="s">
        <v>32</v>
      </c>
      <c r="M170" s="199" t="s">
        <v>32</v>
      </c>
      <c r="N170" s="200" t="s">
        <v>32</v>
      </c>
      <c r="O170" s="198" t="s">
        <v>32</v>
      </c>
      <c r="P170" s="199" t="s">
        <v>32</v>
      </c>
      <c r="Q170" s="200" t="s">
        <v>32</v>
      </c>
      <c r="R170" s="198" t="s">
        <v>32</v>
      </c>
      <c r="S170" s="201" t="s">
        <v>32</v>
      </c>
      <c r="T170" s="197" t="s">
        <v>32</v>
      </c>
      <c r="U170" s="198" t="s">
        <v>32</v>
      </c>
      <c r="V170" s="199" t="s">
        <v>32</v>
      </c>
      <c r="W170" s="200" t="s">
        <v>32</v>
      </c>
      <c r="X170" s="198">
        <v>0</v>
      </c>
      <c r="Y170" s="199">
        <v>0</v>
      </c>
      <c r="Z170" s="200">
        <v>0</v>
      </c>
      <c r="AA170" s="198">
        <v>6</v>
      </c>
      <c r="AB170" s="201">
        <v>5</v>
      </c>
    </row>
    <row r="171" spans="2:113" s="433" customFormat="1" ht="15" customHeight="1">
      <c r="B171" s="439"/>
      <c r="C171" s="439"/>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39"/>
      <c r="AB171" s="439"/>
    </row>
    <row r="172" spans="2:113" ht="15" customHeight="1" thickBot="1">
      <c r="B172" s="33" t="s">
        <v>66</v>
      </c>
      <c r="AD172" s="33" t="s">
        <v>67</v>
      </c>
      <c r="BG172" s="33" t="s">
        <v>85</v>
      </c>
      <c r="CI172" s="33" t="s">
        <v>76</v>
      </c>
    </row>
    <row r="173" spans="2:113" ht="15" customHeight="1">
      <c r="B173" s="2">
        <v>0</v>
      </c>
      <c r="C173" s="216">
        <v>5</v>
      </c>
      <c r="D173" s="3" t="s">
        <v>32</v>
      </c>
      <c r="E173" s="4">
        <v>0</v>
      </c>
      <c r="F173" s="5">
        <v>0</v>
      </c>
      <c r="G173" s="3">
        <v>0</v>
      </c>
      <c r="H173" s="4" t="s">
        <v>32</v>
      </c>
      <c r="I173" s="5" t="s">
        <v>32</v>
      </c>
      <c r="J173" s="6" t="s">
        <v>32</v>
      </c>
      <c r="K173" s="2" t="s">
        <v>32</v>
      </c>
      <c r="L173" s="5" t="s">
        <v>32</v>
      </c>
      <c r="M173" s="224">
        <v>2</v>
      </c>
      <c r="N173" s="4" t="s">
        <v>32</v>
      </c>
      <c r="O173" s="5" t="s">
        <v>32</v>
      </c>
      <c r="P173" s="3" t="s">
        <v>32</v>
      </c>
      <c r="Q173" s="4" t="s">
        <v>32</v>
      </c>
      <c r="R173" s="5" t="s">
        <v>32</v>
      </c>
      <c r="S173" s="6" t="s">
        <v>32</v>
      </c>
      <c r="T173" s="2" t="s">
        <v>32</v>
      </c>
      <c r="U173" s="5" t="s">
        <v>32</v>
      </c>
      <c r="V173" s="3" t="s">
        <v>32</v>
      </c>
      <c r="W173" s="4" t="s">
        <v>32</v>
      </c>
      <c r="X173" s="5" t="s">
        <v>32</v>
      </c>
      <c r="Y173" s="3" t="s">
        <v>32</v>
      </c>
      <c r="Z173" s="222">
        <v>7</v>
      </c>
      <c r="AA173" s="216">
        <v>9</v>
      </c>
      <c r="AB173" s="6">
        <v>0</v>
      </c>
      <c r="AD173" s="2">
        <v>4</v>
      </c>
      <c r="AE173" s="216">
        <v>5</v>
      </c>
      <c r="AF173" s="3" t="s">
        <v>32</v>
      </c>
      <c r="AG173" s="4">
        <v>8</v>
      </c>
      <c r="AH173" s="5">
        <v>1</v>
      </c>
      <c r="AI173" s="3">
        <v>6</v>
      </c>
      <c r="AJ173" s="4" t="s">
        <v>32</v>
      </c>
      <c r="AK173" s="5" t="s">
        <v>32</v>
      </c>
      <c r="AL173" s="6" t="s">
        <v>32</v>
      </c>
      <c r="AM173" s="2" t="s">
        <v>32</v>
      </c>
      <c r="AN173" s="5" t="s">
        <v>32</v>
      </c>
      <c r="AO173" s="224">
        <v>2</v>
      </c>
      <c r="AP173" s="4" t="s">
        <v>32</v>
      </c>
      <c r="AQ173" s="5" t="s">
        <v>32</v>
      </c>
      <c r="AR173" s="3" t="s">
        <v>32</v>
      </c>
      <c r="AS173" s="4" t="s">
        <v>32</v>
      </c>
      <c r="AT173" s="5" t="s">
        <v>32</v>
      </c>
      <c r="AU173" s="6" t="s">
        <v>32</v>
      </c>
      <c r="AV173" s="2" t="s">
        <v>32</v>
      </c>
      <c r="AW173" s="5" t="s">
        <v>32</v>
      </c>
      <c r="AX173" s="3" t="s">
        <v>32</v>
      </c>
      <c r="AY173" s="4" t="s">
        <v>32</v>
      </c>
      <c r="AZ173" s="5" t="s">
        <v>32</v>
      </c>
      <c r="BA173" s="3" t="s">
        <v>32</v>
      </c>
      <c r="BB173" s="222">
        <v>7</v>
      </c>
      <c r="BC173" s="216">
        <v>9</v>
      </c>
      <c r="BD173" s="6">
        <v>3</v>
      </c>
      <c r="BG173" s="2">
        <v>0</v>
      </c>
      <c r="BH173" s="5">
        <v>0</v>
      </c>
      <c r="BI173" s="3" t="s">
        <v>32</v>
      </c>
      <c r="BJ173" s="4" t="s">
        <v>32</v>
      </c>
      <c r="BK173" s="5" t="s">
        <v>32</v>
      </c>
      <c r="BL173" s="3" t="s">
        <v>32</v>
      </c>
      <c r="BM173" s="4" t="s">
        <v>32</v>
      </c>
      <c r="BN173" s="5" t="s">
        <v>32</v>
      </c>
      <c r="BO173" s="6" t="s">
        <v>32</v>
      </c>
      <c r="BP173" s="2" t="s">
        <v>32</v>
      </c>
      <c r="BQ173" s="5" t="s">
        <v>32</v>
      </c>
      <c r="BR173" s="3">
        <v>0</v>
      </c>
      <c r="BS173" s="4" t="s">
        <v>32</v>
      </c>
      <c r="BT173" s="5">
        <v>0</v>
      </c>
      <c r="BU173" s="3">
        <v>0</v>
      </c>
      <c r="BV173" s="4">
        <v>0</v>
      </c>
      <c r="BW173" s="5">
        <v>0</v>
      </c>
      <c r="BX173" s="6">
        <v>0</v>
      </c>
      <c r="BY173" s="2" t="s">
        <v>32</v>
      </c>
      <c r="BZ173" s="5" t="s">
        <v>32</v>
      </c>
      <c r="CA173" s="3" t="s">
        <v>32</v>
      </c>
      <c r="CB173" s="4" t="s">
        <v>32</v>
      </c>
      <c r="CC173" s="5" t="s">
        <v>32</v>
      </c>
      <c r="CD173" s="3" t="s">
        <v>32</v>
      </c>
      <c r="CE173" s="4" t="s">
        <v>32</v>
      </c>
      <c r="CF173" s="5" t="s">
        <v>32</v>
      </c>
      <c r="CG173" s="6" t="s">
        <v>32</v>
      </c>
      <c r="CI173" s="2">
        <v>7</v>
      </c>
      <c r="CJ173" s="5">
        <v>3</v>
      </c>
      <c r="CK173" s="3" t="s">
        <v>32</v>
      </c>
      <c r="CL173" s="4" t="s">
        <v>32</v>
      </c>
      <c r="CM173" s="5" t="s">
        <v>32</v>
      </c>
      <c r="CN173" s="3" t="s">
        <v>32</v>
      </c>
      <c r="CO173" s="4" t="s">
        <v>32</v>
      </c>
      <c r="CP173" s="5" t="s">
        <v>32</v>
      </c>
      <c r="CQ173" s="6" t="s">
        <v>32</v>
      </c>
      <c r="CR173" s="2" t="s">
        <v>32</v>
      </c>
      <c r="CS173" s="5" t="s">
        <v>32</v>
      </c>
      <c r="CT173" s="3">
        <v>5</v>
      </c>
      <c r="CU173" s="4" t="s">
        <v>32</v>
      </c>
      <c r="CV173" s="5">
        <v>1</v>
      </c>
      <c r="CW173" s="3">
        <v>2</v>
      </c>
      <c r="CX173" s="4">
        <v>9</v>
      </c>
      <c r="CY173" s="5">
        <v>4</v>
      </c>
      <c r="CZ173" s="6">
        <v>8</v>
      </c>
      <c r="DA173" s="2" t="s">
        <v>32</v>
      </c>
      <c r="DB173" s="5" t="s">
        <v>32</v>
      </c>
      <c r="DC173" s="3" t="s">
        <v>32</v>
      </c>
      <c r="DD173" s="4" t="s">
        <v>32</v>
      </c>
      <c r="DE173" s="5" t="s">
        <v>32</v>
      </c>
      <c r="DF173" s="3" t="s">
        <v>32</v>
      </c>
      <c r="DG173" s="4" t="s">
        <v>32</v>
      </c>
      <c r="DH173" s="5" t="s">
        <v>32</v>
      </c>
      <c r="DI173" s="6" t="s">
        <v>32</v>
      </c>
    </row>
    <row r="174" spans="2:113" ht="15" customHeight="1">
      <c r="B174" s="11" t="s">
        <v>32</v>
      </c>
      <c r="C174" s="7">
        <v>0</v>
      </c>
      <c r="D174" s="9">
        <v>0</v>
      </c>
      <c r="E174" s="8" t="s">
        <v>32</v>
      </c>
      <c r="F174" s="7" t="s">
        <v>32</v>
      </c>
      <c r="G174" s="9">
        <v>0</v>
      </c>
      <c r="H174" s="8" t="s">
        <v>32</v>
      </c>
      <c r="I174" s="7" t="s">
        <v>32</v>
      </c>
      <c r="J174" s="10" t="s">
        <v>32</v>
      </c>
      <c r="K174" s="11" t="s">
        <v>32</v>
      </c>
      <c r="L174" s="7" t="s">
        <v>32</v>
      </c>
      <c r="M174" s="9" t="s">
        <v>32</v>
      </c>
      <c r="N174" s="8">
        <v>0</v>
      </c>
      <c r="O174" s="7" t="s">
        <v>32</v>
      </c>
      <c r="P174" s="9" t="s">
        <v>32</v>
      </c>
      <c r="Q174" s="8" t="s">
        <v>32</v>
      </c>
      <c r="R174" s="7" t="s">
        <v>32</v>
      </c>
      <c r="S174" s="10" t="s">
        <v>32</v>
      </c>
      <c r="T174" s="11" t="s">
        <v>32</v>
      </c>
      <c r="U174" s="7" t="s">
        <v>32</v>
      </c>
      <c r="V174" s="9" t="s">
        <v>32</v>
      </c>
      <c r="W174" s="8" t="s">
        <v>32</v>
      </c>
      <c r="X174" s="7" t="s">
        <v>32</v>
      </c>
      <c r="Y174" s="9" t="s">
        <v>32</v>
      </c>
      <c r="Z174" s="8" t="s">
        <v>32</v>
      </c>
      <c r="AA174" s="7">
        <v>0</v>
      </c>
      <c r="AB174" s="10">
        <v>0</v>
      </c>
      <c r="AD174" s="11" t="s">
        <v>32</v>
      </c>
      <c r="AE174" s="7">
        <v>9</v>
      </c>
      <c r="AF174" s="9">
        <v>3</v>
      </c>
      <c r="AG174" s="8" t="s">
        <v>32</v>
      </c>
      <c r="AH174" s="7" t="s">
        <v>32</v>
      </c>
      <c r="AI174" s="9">
        <v>7</v>
      </c>
      <c r="AJ174" s="8" t="s">
        <v>32</v>
      </c>
      <c r="AK174" s="7" t="s">
        <v>32</v>
      </c>
      <c r="AL174" s="10" t="s">
        <v>32</v>
      </c>
      <c r="AM174" s="11" t="s">
        <v>32</v>
      </c>
      <c r="AN174" s="7" t="s">
        <v>32</v>
      </c>
      <c r="AO174" s="9" t="s">
        <v>32</v>
      </c>
      <c r="AP174" s="8">
        <v>5</v>
      </c>
      <c r="AQ174" s="7" t="s">
        <v>32</v>
      </c>
      <c r="AR174" s="9" t="s">
        <v>32</v>
      </c>
      <c r="AS174" s="8" t="s">
        <v>32</v>
      </c>
      <c r="AT174" s="7" t="s">
        <v>32</v>
      </c>
      <c r="AU174" s="10" t="s">
        <v>32</v>
      </c>
      <c r="AV174" s="11" t="s">
        <v>32</v>
      </c>
      <c r="AW174" s="7" t="s">
        <v>32</v>
      </c>
      <c r="AX174" s="9" t="s">
        <v>32</v>
      </c>
      <c r="AY174" s="8" t="s">
        <v>32</v>
      </c>
      <c r="AZ174" s="7" t="s">
        <v>32</v>
      </c>
      <c r="BA174" s="9" t="s">
        <v>32</v>
      </c>
      <c r="BB174" s="8" t="s">
        <v>32</v>
      </c>
      <c r="BC174" s="7">
        <v>8</v>
      </c>
      <c r="BD174" s="10">
        <v>2</v>
      </c>
      <c r="BG174" s="11">
        <v>0</v>
      </c>
      <c r="BH174" s="7">
        <v>0</v>
      </c>
      <c r="BI174" s="9" t="s">
        <v>32</v>
      </c>
      <c r="BJ174" s="8" t="s">
        <v>32</v>
      </c>
      <c r="BK174" s="7" t="s">
        <v>32</v>
      </c>
      <c r="BL174" s="9" t="s">
        <v>32</v>
      </c>
      <c r="BM174" s="8" t="s">
        <v>32</v>
      </c>
      <c r="BN174" s="7" t="s">
        <v>32</v>
      </c>
      <c r="BO174" s="10" t="s">
        <v>32</v>
      </c>
      <c r="BP174" s="11" t="s">
        <v>32</v>
      </c>
      <c r="BQ174" s="7" t="s">
        <v>32</v>
      </c>
      <c r="BR174" s="9" t="s">
        <v>32</v>
      </c>
      <c r="BS174" s="8">
        <v>0</v>
      </c>
      <c r="BT174" s="7" t="s">
        <v>32</v>
      </c>
      <c r="BU174" s="9" t="s">
        <v>32</v>
      </c>
      <c r="BV174" s="8" t="s">
        <v>32</v>
      </c>
      <c r="BW174" s="7">
        <v>0</v>
      </c>
      <c r="BX174" s="10" t="s">
        <v>32</v>
      </c>
      <c r="BY174" s="11" t="s">
        <v>32</v>
      </c>
      <c r="BZ174" s="7" t="s">
        <v>32</v>
      </c>
      <c r="CA174" s="9" t="s">
        <v>32</v>
      </c>
      <c r="CB174" s="8" t="s">
        <v>32</v>
      </c>
      <c r="CC174" s="7" t="s">
        <v>32</v>
      </c>
      <c r="CD174" s="9" t="s">
        <v>32</v>
      </c>
      <c r="CE174" s="206">
        <v>5</v>
      </c>
      <c r="CF174" s="7" t="s">
        <v>32</v>
      </c>
      <c r="CG174" s="10">
        <v>0</v>
      </c>
      <c r="CI174" s="11">
        <v>1</v>
      </c>
      <c r="CJ174" s="7">
        <v>9</v>
      </c>
      <c r="CK174" s="9" t="s">
        <v>32</v>
      </c>
      <c r="CL174" s="8" t="s">
        <v>32</v>
      </c>
      <c r="CM174" s="7" t="s">
        <v>32</v>
      </c>
      <c r="CN174" s="9" t="s">
        <v>32</v>
      </c>
      <c r="CO174" s="8" t="s">
        <v>32</v>
      </c>
      <c r="CP174" s="7" t="s">
        <v>32</v>
      </c>
      <c r="CQ174" s="10" t="s">
        <v>32</v>
      </c>
      <c r="CR174" s="11" t="s">
        <v>32</v>
      </c>
      <c r="CS174" s="7" t="s">
        <v>32</v>
      </c>
      <c r="CT174" s="9" t="s">
        <v>32</v>
      </c>
      <c r="CU174" s="8">
        <v>3</v>
      </c>
      <c r="CV174" s="7" t="s">
        <v>32</v>
      </c>
      <c r="CW174" s="9" t="s">
        <v>32</v>
      </c>
      <c r="CX174" s="8" t="s">
        <v>32</v>
      </c>
      <c r="CY174" s="7">
        <v>6</v>
      </c>
      <c r="CZ174" s="10" t="s">
        <v>32</v>
      </c>
      <c r="DA174" s="11" t="s">
        <v>32</v>
      </c>
      <c r="DB174" s="7" t="s">
        <v>32</v>
      </c>
      <c r="DC174" s="9" t="s">
        <v>32</v>
      </c>
      <c r="DD174" s="8" t="s">
        <v>32</v>
      </c>
      <c r="DE174" s="7" t="s">
        <v>32</v>
      </c>
      <c r="DF174" s="9" t="s">
        <v>32</v>
      </c>
      <c r="DG174" s="206">
        <v>5</v>
      </c>
      <c r="DH174" s="7" t="s">
        <v>32</v>
      </c>
      <c r="DI174" s="10">
        <v>2</v>
      </c>
    </row>
    <row r="175" spans="2:113" ht="15" customHeight="1">
      <c r="B175" s="12" t="s">
        <v>32</v>
      </c>
      <c r="C175" s="13" t="s">
        <v>32</v>
      </c>
      <c r="D175" s="15" t="s">
        <v>32</v>
      </c>
      <c r="E175" s="14" t="s">
        <v>32</v>
      </c>
      <c r="F175" s="13" t="s">
        <v>32</v>
      </c>
      <c r="G175" s="15" t="s">
        <v>32</v>
      </c>
      <c r="H175" s="14">
        <v>0</v>
      </c>
      <c r="I175" s="13" t="s">
        <v>32</v>
      </c>
      <c r="J175" s="1" t="s">
        <v>32</v>
      </c>
      <c r="K175" s="12" t="s">
        <v>32</v>
      </c>
      <c r="L175" s="13" t="s">
        <v>32</v>
      </c>
      <c r="M175" s="15">
        <v>0</v>
      </c>
      <c r="N175" s="207">
        <v>9</v>
      </c>
      <c r="O175" s="13" t="s">
        <v>32</v>
      </c>
      <c r="P175" s="15" t="s">
        <v>32</v>
      </c>
      <c r="Q175" s="14" t="s">
        <v>32</v>
      </c>
      <c r="R175" s="13" t="s">
        <v>32</v>
      </c>
      <c r="S175" s="1" t="s">
        <v>32</v>
      </c>
      <c r="T175" s="12" t="s">
        <v>32</v>
      </c>
      <c r="U175" s="13" t="s">
        <v>32</v>
      </c>
      <c r="V175" s="15" t="s">
        <v>32</v>
      </c>
      <c r="W175" s="14" t="s">
        <v>32</v>
      </c>
      <c r="X175" s="13" t="s">
        <v>32</v>
      </c>
      <c r="Y175" s="15" t="s">
        <v>32</v>
      </c>
      <c r="Z175" s="14" t="s">
        <v>32</v>
      </c>
      <c r="AA175" s="13">
        <v>0</v>
      </c>
      <c r="AB175" s="1">
        <v>0</v>
      </c>
      <c r="AD175" s="12" t="s">
        <v>32</v>
      </c>
      <c r="AE175" s="13" t="s">
        <v>32</v>
      </c>
      <c r="AF175" s="15" t="s">
        <v>32</v>
      </c>
      <c r="AG175" s="14" t="s">
        <v>32</v>
      </c>
      <c r="AH175" s="13" t="s">
        <v>32</v>
      </c>
      <c r="AI175" s="15" t="s">
        <v>32</v>
      </c>
      <c r="AJ175" s="14">
        <v>2</v>
      </c>
      <c r="AK175" s="13" t="s">
        <v>32</v>
      </c>
      <c r="AL175" s="1" t="s">
        <v>32</v>
      </c>
      <c r="AM175" s="12" t="s">
        <v>32</v>
      </c>
      <c r="AN175" s="13" t="s">
        <v>32</v>
      </c>
      <c r="AO175" s="15">
        <v>8</v>
      </c>
      <c r="AP175" s="207">
        <v>9</v>
      </c>
      <c r="AQ175" s="13" t="s">
        <v>32</v>
      </c>
      <c r="AR175" s="15" t="s">
        <v>32</v>
      </c>
      <c r="AS175" s="14" t="s">
        <v>32</v>
      </c>
      <c r="AT175" s="13" t="s">
        <v>32</v>
      </c>
      <c r="AU175" s="1" t="s">
        <v>32</v>
      </c>
      <c r="AV175" s="12" t="s">
        <v>32</v>
      </c>
      <c r="AW175" s="13" t="s">
        <v>32</v>
      </c>
      <c r="AX175" s="15" t="s">
        <v>32</v>
      </c>
      <c r="AY175" s="14" t="s">
        <v>32</v>
      </c>
      <c r="AZ175" s="13" t="s">
        <v>32</v>
      </c>
      <c r="BA175" s="15" t="s">
        <v>32</v>
      </c>
      <c r="BB175" s="14" t="s">
        <v>32</v>
      </c>
      <c r="BC175" s="13">
        <v>1</v>
      </c>
      <c r="BD175" s="1">
        <v>5</v>
      </c>
      <c r="BG175" s="12" t="s">
        <v>32</v>
      </c>
      <c r="BH175" s="13" t="s">
        <v>32</v>
      </c>
      <c r="BI175" s="15">
        <v>0</v>
      </c>
      <c r="BJ175" s="14" t="s">
        <v>32</v>
      </c>
      <c r="BK175" s="13" t="s">
        <v>32</v>
      </c>
      <c r="BL175" s="15" t="s">
        <v>32</v>
      </c>
      <c r="BM175" s="14" t="s">
        <v>32</v>
      </c>
      <c r="BN175" s="13" t="s">
        <v>32</v>
      </c>
      <c r="BO175" s="1" t="s">
        <v>32</v>
      </c>
      <c r="BP175" s="12" t="s">
        <v>32</v>
      </c>
      <c r="BQ175" s="13" t="s">
        <v>32</v>
      </c>
      <c r="BR175" s="15" t="s">
        <v>32</v>
      </c>
      <c r="BS175" s="14" t="s">
        <v>32</v>
      </c>
      <c r="BT175" s="13" t="s">
        <v>32</v>
      </c>
      <c r="BU175" s="15" t="s">
        <v>32</v>
      </c>
      <c r="BV175" s="14">
        <v>0</v>
      </c>
      <c r="BW175" s="13" t="s">
        <v>32</v>
      </c>
      <c r="BX175" s="1" t="s">
        <v>32</v>
      </c>
      <c r="BY175" s="12" t="s">
        <v>32</v>
      </c>
      <c r="BZ175" s="13" t="s">
        <v>32</v>
      </c>
      <c r="CA175" s="15" t="s">
        <v>32</v>
      </c>
      <c r="CB175" s="14">
        <v>0</v>
      </c>
      <c r="CC175" s="13" t="s">
        <v>32</v>
      </c>
      <c r="CD175" s="15">
        <v>0</v>
      </c>
      <c r="CE175" s="14" t="s">
        <v>32</v>
      </c>
      <c r="CF175" s="212">
        <v>1</v>
      </c>
      <c r="CG175" s="1">
        <v>0</v>
      </c>
      <c r="CI175" s="12" t="s">
        <v>32</v>
      </c>
      <c r="CJ175" s="13" t="s">
        <v>32</v>
      </c>
      <c r="CK175" s="15">
        <v>8</v>
      </c>
      <c r="CL175" s="14" t="s">
        <v>32</v>
      </c>
      <c r="CM175" s="13" t="s">
        <v>32</v>
      </c>
      <c r="CN175" s="15" t="s">
        <v>32</v>
      </c>
      <c r="CO175" s="14" t="s">
        <v>32</v>
      </c>
      <c r="CP175" s="13" t="s">
        <v>32</v>
      </c>
      <c r="CQ175" s="1" t="s">
        <v>32</v>
      </c>
      <c r="CR175" s="12" t="s">
        <v>32</v>
      </c>
      <c r="CS175" s="13" t="s">
        <v>32</v>
      </c>
      <c r="CT175" s="15" t="s">
        <v>32</v>
      </c>
      <c r="CU175" s="14" t="s">
        <v>32</v>
      </c>
      <c r="CV175" s="13" t="s">
        <v>32</v>
      </c>
      <c r="CW175" s="15" t="s">
        <v>32</v>
      </c>
      <c r="CX175" s="14">
        <v>7</v>
      </c>
      <c r="CY175" s="13" t="s">
        <v>32</v>
      </c>
      <c r="CZ175" s="1" t="s">
        <v>32</v>
      </c>
      <c r="DA175" s="12" t="s">
        <v>32</v>
      </c>
      <c r="DB175" s="13" t="s">
        <v>32</v>
      </c>
      <c r="DC175" s="15" t="s">
        <v>32</v>
      </c>
      <c r="DD175" s="14">
        <v>4</v>
      </c>
      <c r="DE175" s="13" t="s">
        <v>32</v>
      </c>
      <c r="DF175" s="15">
        <v>6</v>
      </c>
      <c r="DG175" s="14" t="s">
        <v>32</v>
      </c>
      <c r="DH175" s="212">
        <v>1</v>
      </c>
      <c r="DI175" s="1">
        <v>3</v>
      </c>
    </row>
    <row r="176" spans="2:113" ht="15" customHeight="1">
      <c r="B176" s="16" t="s">
        <v>32</v>
      </c>
      <c r="C176" s="17" t="s">
        <v>32</v>
      </c>
      <c r="D176" s="18" t="s">
        <v>32</v>
      </c>
      <c r="E176" s="19" t="s">
        <v>32</v>
      </c>
      <c r="F176" s="17" t="s">
        <v>32</v>
      </c>
      <c r="G176" s="18" t="s">
        <v>32</v>
      </c>
      <c r="H176" s="19" t="s">
        <v>32</v>
      </c>
      <c r="I176" s="17" t="s">
        <v>32</v>
      </c>
      <c r="J176" s="20" t="s">
        <v>32</v>
      </c>
      <c r="K176" s="16" t="s">
        <v>32</v>
      </c>
      <c r="L176" s="17">
        <v>0</v>
      </c>
      <c r="M176" s="18" t="s">
        <v>32</v>
      </c>
      <c r="N176" s="210">
        <v>3</v>
      </c>
      <c r="O176" s="17" t="s">
        <v>32</v>
      </c>
      <c r="P176" s="18" t="s">
        <v>32</v>
      </c>
      <c r="Q176" s="19" t="s">
        <v>32</v>
      </c>
      <c r="R176" s="17" t="s">
        <v>32</v>
      </c>
      <c r="S176" s="20" t="s">
        <v>32</v>
      </c>
      <c r="T176" s="16" t="s">
        <v>32</v>
      </c>
      <c r="U176" s="17" t="s">
        <v>32</v>
      </c>
      <c r="V176" s="18" t="s">
        <v>32</v>
      </c>
      <c r="W176" s="19" t="s">
        <v>32</v>
      </c>
      <c r="X176" s="17" t="s">
        <v>32</v>
      </c>
      <c r="Y176" s="18" t="s">
        <v>32</v>
      </c>
      <c r="Z176" s="210">
        <v>6</v>
      </c>
      <c r="AA176" s="17">
        <v>0</v>
      </c>
      <c r="AB176" s="20" t="s">
        <v>32</v>
      </c>
      <c r="AD176" s="16" t="s">
        <v>32</v>
      </c>
      <c r="AE176" s="17" t="s">
        <v>32</v>
      </c>
      <c r="AF176" s="18" t="s">
        <v>32</v>
      </c>
      <c r="AG176" s="19" t="s">
        <v>32</v>
      </c>
      <c r="AH176" s="17" t="s">
        <v>32</v>
      </c>
      <c r="AI176" s="18" t="s">
        <v>32</v>
      </c>
      <c r="AJ176" s="19" t="s">
        <v>32</v>
      </c>
      <c r="AK176" s="17" t="s">
        <v>32</v>
      </c>
      <c r="AL176" s="20" t="s">
        <v>32</v>
      </c>
      <c r="AM176" s="16" t="s">
        <v>32</v>
      </c>
      <c r="AN176" s="17">
        <v>7</v>
      </c>
      <c r="AO176" s="18" t="s">
        <v>32</v>
      </c>
      <c r="AP176" s="210">
        <v>3</v>
      </c>
      <c r="AQ176" s="17" t="s">
        <v>32</v>
      </c>
      <c r="AR176" s="18" t="s">
        <v>32</v>
      </c>
      <c r="AS176" s="19" t="s">
        <v>32</v>
      </c>
      <c r="AT176" s="17" t="s">
        <v>32</v>
      </c>
      <c r="AU176" s="20" t="s">
        <v>32</v>
      </c>
      <c r="AV176" s="16" t="s">
        <v>32</v>
      </c>
      <c r="AW176" s="17" t="s">
        <v>32</v>
      </c>
      <c r="AX176" s="18" t="s">
        <v>32</v>
      </c>
      <c r="AY176" s="19" t="s">
        <v>32</v>
      </c>
      <c r="AZ176" s="17" t="s">
        <v>32</v>
      </c>
      <c r="BA176" s="18" t="s">
        <v>32</v>
      </c>
      <c r="BB176" s="210">
        <v>6</v>
      </c>
      <c r="BC176" s="17">
        <v>4</v>
      </c>
      <c r="BD176" s="20" t="s">
        <v>32</v>
      </c>
      <c r="BG176" s="16" t="s">
        <v>32</v>
      </c>
      <c r="BH176" s="17" t="s">
        <v>32</v>
      </c>
      <c r="BI176" s="18">
        <v>0</v>
      </c>
      <c r="BJ176" s="19" t="s">
        <v>32</v>
      </c>
      <c r="BK176" s="17" t="s">
        <v>32</v>
      </c>
      <c r="BL176" s="18" t="s">
        <v>32</v>
      </c>
      <c r="BM176" s="19" t="s">
        <v>32</v>
      </c>
      <c r="BN176" s="17" t="s">
        <v>32</v>
      </c>
      <c r="BO176" s="20" t="s">
        <v>32</v>
      </c>
      <c r="BP176" s="16" t="s">
        <v>32</v>
      </c>
      <c r="BQ176" s="17" t="s">
        <v>32</v>
      </c>
      <c r="BR176" s="18" t="s">
        <v>32</v>
      </c>
      <c r="BS176" s="19" t="s">
        <v>32</v>
      </c>
      <c r="BT176" s="17" t="s">
        <v>32</v>
      </c>
      <c r="BU176" s="18" t="s">
        <v>32</v>
      </c>
      <c r="BV176" s="19" t="s">
        <v>32</v>
      </c>
      <c r="BW176" s="17" t="s">
        <v>32</v>
      </c>
      <c r="BX176" s="20" t="s">
        <v>32</v>
      </c>
      <c r="BY176" s="16" t="s">
        <v>32</v>
      </c>
      <c r="BZ176" s="17" t="s">
        <v>32</v>
      </c>
      <c r="CA176" s="18" t="s">
        <v>32</v>
      </c>
      <c r="CB176" s="19">
        <v>0</v>
      </c>
      <c r="CC176" s="17" t="s">
        <v>32</v>
      </c>
      <c r="CD176" s="18">
        <v>0</v>
      </c>
      <c r="CE176" s="19" t="s">
        <v>32</v>
      </c>
      <c r="CF176" s="17" t="s">
        <v>32</v>
      </c>
      <c r="CG176" s="20" t="s">
        <v>32</v>
      </c>
      <c r="CI176" s="16" t="s">
        <v>32</v>
      </c>
      <c r="CJ176" s="17" t="s">
        <v>32</v>
      </c>
      <c r="CK176" s="18">
        <v>4</v>
      </c>
      <c r="CL176" s="19" t="s">
        <v>32</v>
      </c>
      <c r="CM176" s="17" t="s">
        <v>32</v>
      </c>
      <c r="CN176" s="18" t="s">
        <v>32</v>
      </c>
      <c r="CO176" s="19" t="s">
        <v>32</v>
      </c>
      <c r="CP176" s="17" t="s">
        <v>32</v>
      </c>
      <c r="CQ176" s="20" t="s">
        <v>32</v>
      </c>
      <c r="CR176" s="16" t="s">
        <v>32</v>
      </c>
      <c r="CS176" s="17" t="s">
        <v>32</v>
      </c>
      <c r="CT176" s="18" t="s">
        <v>32</v>
      </c>
      <c r="CU176" s="19" t="s">
        <v>32</v>
      </c>
      <c r="CV176" s="17" t="s">
        <v>32</v>
      </c>
      <c r="CW176" s="18" t="s">
        <v>32</v>
      </c>
      <c r="CX176" s="19" t="s">
        <v>32</v>
      </c>
      <c r="CY176" s="17" t="s">
        <v>32</v>
      </c>
      <c r="CZ176" s="20" t="s">
        <v>32</v>
      </c>
      <c r="DA176" s="16" t="s">
        <v>32</v>
      </c>
      <c r="DB176" s="17" t="s">
        <v>32</v>
      </c>
      <c r="DC176" s="18" t="s">
        <v>32</v>
      </c>
      <c r="DD176" s="19">
        <v>9</v>
      </c>
      <c r="DE176" s="17" t="s">
        <v>32</v>
      </c>
      <c r="DF176" s="18">
        <v>7</v>
      </c>
      <c r="DG176" s="19" t="s">
        <v>32</v>
      </c>
      <c r="DH176" s="17" t="s">
        <v>32</v>
      </c>
      <c r="DI176" s="20" t="s">
        <v>32</v>
      </c>
    </row>
    <row r="177" spans="2:113" ht="15" customHeight="1">
      <c r="B177" s="11" t="s">
        <v>32</v>
      </c>
      <c r="C177" s="7" t="s">
        <v>32</v>
      </c>
      <c r="D177" s="9" t="s">
        <v>32</v>
      </c>
      <c r="E177" s="8" t="s">
        <v>32</v>
      </c>
      <c r="F177" s="7" t="s">
        <v>32</v>
      </c>
      <c r="G177" s="9" t="s">
        <v>32</v>
      </c>
      <c r="H177" s="8" t="s">
        <v>32</v>
      </c>
      <c r="I177" s="7" t="s">
        <v>32</v>
      </c>
      <c r="J177" s="10" t="s">
        <v>32</v>
      </c>
      <c r="K177" s="11">
        <v>0</v>
      </c>
      <c r="L177" s="7" t="s">
        <v>32</v>
      </c>
      <c r="M177" s="205">
        <v>1</v>
      </c>
      <c r="N177" s="8" t="s">
        <v>32</v>
      </c>
      <c r="O177" s="7" t="s">
        <v>32</v>
      </c>
      <c r="P177" s="9" t="s">
        <v>32</v>
      </c>
      <c r="Q177" s="8" t="s">
        <v>32</v>
      </c>
      <c r="R177" s="7" t="s">
        <v>32</v>
      </c>
      <c r="S177" s="10" t="s">
        <v>32</v>
      </c>
      <c r="T177" s="11" t="s">
        <v>32</v>
      </c>
      <c r="U177" s="7" t="s">
        <v>32</v>
      </c>
      <c r="V177" s="9" t="s">
        <v>32</v>
      </c>
      <c r="W177" s="8" t="s">
        <v>32</v>
      </c>
      <c r="X177" s="7" t="s">
        <v>32</v>
      </c>
      <c r="Y177" s="9" t="s">
        <v>32</v>
      </c>
      <c r="Z177" s="8" t="s">
        <v>32</v>
      </c>
      <c r="AA177" s="7" t="s">
        <v>32</v>
      </c>
      <c r="AB177" s="10" t="s">
        <v>32</v>
      </c>
      <c r="AD177" s="11" t="s">
        <v>32</v>
      </c>
      <c r="AE177" s="7" t="s">
        <v>32</v>
      </c>
      <c r="AF177" s="9" t="s">
        <v>32</v>
      </c>
      <c r="AG177" s="8" t="s">
        <v>32</v>
      </c>
      <c r="AH177" s="7" t="s">
        <v>32</v>
      </c>
      <c r="AI177" s="9" t="s">
        <v>32</v>
      </c>
      <c r="AJ177" s="8" t="s">
        <v>32</v>
      </c>
      <c r="AK177" s="7" t="s">
        <v>32</v>
      </c>
      <c r="AL177" s="10" t="s">
        <v>32</v>
      </c>
      <c r="AM177" s="11">
        <v>6</v>
      </c>
      <c r="AN177" s="7" t="s">
        <v>32</v>
      </c>
      <c r="AO177" s="205">
        <v>1</v>
      </c>
      <c r="AP177" s="8" t="s">
        <v>32</v>
      </c>
      <c r="AQ177" s="7" t="s">
        <v>32</v>
      </c>
      <c r="AR177" s="9" t="s">
        <v>32</v>
      </c>
      <c r="AS177" s="8" t="s">
        <v>32</v>
      </c>
      <c r="AT177" s="7" t="s">
        <v>32</v>
      </c>
      <c r="AU177" s="10" t="s">
        <v>32</v>
      </c>
      <c r="AV177" s="11" t="s">
        <v>32</v>
      </c>
      <c r="AW177" s="7" t="s">
        <v>32</v>
      </c>
      <c r="AX177" s="9" t="s">
        <v>32</v>
      </c>
      <c r="AY177" s="8" t="s">
        <v>32</v>
      </c>
      <c r="AZ177" s="7" t="s">
        <v>32</v>
      </c>
      <c r="BA177" s="9" t="s">
        <v>32</v>
      </c>
      <c r="BB177" s="8" t="s">
        <v>32</v>
      </c>
      <c r="BC177" s="7" t="s">
        <v>32</v>
      </c>
      <c r="BD177" s="10" t="s">
        <v>32</v>
      </c>
      <c r="BG177" s="11" t="s">
        <v>32</v>
      </c>
      <c r="BH177" s="7" t="s">
        <v>32</v>
      </c>
      <c r="BI177" s="9" t="s">
        <v>32</v>
      </c>
      <c r="BJ177" s="8">
        <v>0</v>
      </c>
      <c r="BK177" s="7" t="s">
        <v>32</v>
      </c>
      <c r="BL177" s="9" t="s">
        <v>32</v>
      </c>
      <c r="BM177" s="8" t="s">
        <v>32</v>
      </c>
      <c r="BN177" s="7" t="s">
        <v>32</v>
      </c>
      <c r="BO177" s="10" t="s">
        <v>32</v>
      </c>
      <c r="BP177" s="11" t="s">
        <v>32</v>
      </c>
      <c r="BQ177" s="7" t="s">
        <v>32</v>
      </c>
      <c r="BR177" s="9" t="s">
        <v>32</v>
      </c>
      <c r="BS177" s="8" t="s">
        <v>32</v>
      </c>
      <c r="BT177" s="7" t="s">
        <v>32</v>
      </c>
      <c r="BU177" s="9" t="s">
        <v>32</v>
      </c>
      <c r="BV177" s="8" t="s">
        <v>32</v>
      </c>
      <c r="BW177" s="7" t="s">
        <v>32</v>
      </c>
      <c r="BX177" s="10" t="s">
        <v>32</v>
      </c>
      <c r="BY177" s="11" t="s">
        <v>32</v>
      </c>
      <c r="BZ177" s="7" t="s">
        <v>32</v>
      </c>
      <c r="CA177" s="9" t="s">
        <v>32</v>
      </c>
      <c r="CB177" s="8" t="s">
        <v>32</v>
      </c>
      <c r="CC177" s="7">
        <v>0</v>
      </c>
      <c r="CD177" s="9" t="s">
        <v>32</v>
      </c>
      <c r="CE177" s="8" t="s">
        <v>32</v>
      </c>
      <c r="CF177" s="7" t="s">
        <v>32</v>
      </c>
      <c r="CG177" s="10" t="s">
        <v>32</v>
      </c>
      <c r="CI177" s="11" t="s">
        <v>32</v>
      </c>
      <c r="CJ177" s="7" t="s">
        <v>32</v>
      </c>
      <c r="CK177" s="9" t="s">
        <v>32</v>
      </c>
      <c r="CL177" s="8">
        <v>2</v>
      </c>
      <c r="CM177" s="7" t="s">
        <v>32</v>
      </c>
      <c r="CN177" s="9" t="s">
        <v>32</v>
      </c>
      <c r="CO177" s="8" t="s">
        <v>32</v>
      </c>
      <c r="CP177" s="7" t="s">
        <v>32</v>
      </c>
      <c r="CQ177" s="10" t="s">
        <v>32</v>
      </c>
      <c r="CR177" s="11" t="s">
        <v>32</v>
      </c>
      <c r="CS177" s="7" t="s">
        <v>32</v>
      </c>
      <c r="CT177" s="9" t="s">
        <v>32</v>
      </c>
      <c r="CU177" s="8" t="s">
        <v>32</v>
      </c>
      <c r="CV177" s="7" t="s">
        <v>32</v>
      </c>
      <c r="CW177" s="9" t="s">
        <v>32</v>
      </c>
      <c r="CX177" s="8" t="s">
        <v>32</v>
      </c>
      <c r="CY177" s="7" t="s">
        <v>32</v>
      </c>
      <c r="CZ177" s="10" t="s">
        <v>32</v>
      </c>
      <c r="DA177" s="11" t="s">
        <v>32</v>
      </c>
      <c r="DB177" s="7" t="s">
        <v>32</v>
      </c>
      <c r="DC177" s="9" t="s">
        <v>32</v>
      </c>
      <c r="DD177" s="8" t="s">
        <v>32</v>
      </c>
      <c r="DE177" s="7">
        <v>8</v>
      </c>
      <c r="DF177" s="9" t="s">
        <v>32</v>
      </c>
      <c r="DG177" s="8" t="s">
        <v>32</v>
      </c>
      <c r="DH177" s="7" t="s">
        <v>32</v>
      </c>
      <c r="DI177" s="10" t="s">
        <v>32</v>
      </c>
    </row>
    <row r="178" spans="2:113" ht="15" customHeight="1">
      <c r="B178" s="12" t="s">
        <v>32</v>
      </c>
      <c r="C178" s="13" t="s">
        <v>32</v>
      </c>
      <c r="D178" s="15" t="s">
        <v>32</v>
      </c>
      <c r="E178" s="14" t="s">
        <v>32</v>
      </c>
      <c r="F178" s="13" t="s">
        <v>32</v>
      </c>
      <c r="G178" s="15" t="s">
        <v>32</v>
      </c>
      <c r="H178" s="14" t="s">
        <v>32</v>
      </c>
      <c r="I178" s="13" t="s">
        <v>32</v>
      </c>
      <c r="J178" s="1" t="s">
        <v>32</v>
      </c>
      <c r="K178" s="12" t="s">
        <v>32</v>
      </c>
      <c r="L178" s="13" t="s">
        <v>32</v>
      </c>
      <c r="M178" s="15" t="s">
        <v>32</v>
      </c>
      <c r="N178" s="207">
        <v>4</v>
      </c>
      <c r="O178" s="13" t="s">
        <v>32</v>
      </c>
      <c r="P178" s="15" t="s">
        <v>32</v>
      </c>
      <c r="Q178" s="14" t="s">
        <v>32</v>
      </c>
      <c r="R178" s="13" t="s">
        <v>32</v>
      </c>
      <c r="S178" s="1" t="s">
        <v>32</v>
      </c>
      <c r="T178" s="12" t="s">
        <v>32</v>
      </c>
      <c r="U178" s="13" t="s">
        <v>32</v>
      </c>
      <c r="V178" s="15" t="s">
        <v>32</v>
      </c>
      <c r="W178" s="14" t="s">
        <v>32</v>
      </c>
      <c r="X178" s="13" t="s">
        <v>32</v>
      </c>
      <c r="Y178" s="15" t="s">
        <v>32</v>
      </c>
      <c r="Z178" s="14" t="s">
        <v>32</v>
      </c>
      <c r="AA178" s="13" t="s">
        <v>32</v>
      </c>
      <c r="AB178" s="1" t="s">
        <v>32</v>
      </c>
      <c r="AD178" s="12" t="s">
        <v>32</v>
      </c>
      <c r="AE178" s="13" t="s">
        <v>32</v>
      </c>
      <c r="AF178" s="15" t="s">
        <v>32</v>
      </c>
      <c r="AG178" s="14" t="s">
        <v>32</v>
      </c>
      <c r="AH178" s="13" t="s">
        <v>32</v>
      </c>
      <c r="AI178" s="15" t="s">
        <v>32</v>
      </c>
      <c r="AJ178" s="14" t="s">
        <v>32</v>
      </c>
      <c r="AK178" s="13" t="s">
        <v>32</v>
      </c>
      <c r="AL178" s="1" t="s">
        <v>32</v>
      </c>
      <c r="AM178" s="12" t="s">
        <v>32</v>
      </c>
      <c r="AN178" s="13" t="s">
        <v>32</v>
      </c>
      <c r="AO178" s="15" t="s">
        <v>32</v>
      </c>
      <c r="AP178" s="207">
        <v>4</v>
      </c>
      <c r="AQ178" s="13" t="s">
        <v>32</v>
      </c>
      <c r="AR178" s="15" t="s">
        <v>32</v>
      </c>
      <c r="AS178" s="14" t="s">
        <v>32</v>
      </c>
      <c r="AT178" s="13" t="s">
        <v>32</v>
      </c>
      <c r="AU178" s="1" t="s">
        <v>32</v>
      </c>
      <c r="AV178" s="12" t="s">
        <v>32</v>
      </c>
      <c r="AW178" s="13" t="s">
        <v>32</v>
      </c>
      <c r="AX178" s="15" t="s">
        <v>32</v>
      </c>
      <c r="AY178" s="14" t="s">
        <v>32</v>
      </c>
      <c r="AZ178" s="13" t="s">
        <v>32</v>
      </c>
      <c r="BA178" s="15" t="s">
        <v>32</v>
      </c>
      <c r="BB178" s="14" t="s">
        <v>32</v>
      </c>
      <c r="BC178" s="13" t="s">
        <v>32</v>
      </c>
      <c r="BD178" s="1" t="s">
        <v>32</v>
      </c>
      <c r="BG178" s="12" t="s">
        <v>32</v>
      </c>
      <c r="BH178" s="13" t="s">
        <v>32</v>
      </c>
      <c r="BI178" s="15" t="s">
        <v>32</v>
      </c>
      <c r="BJ178" s="14">
        <v>0</v>
      </c>
      <c r="BK178" s="212">
        <v>6</v>
      </c>
      <c r="BL178" s="15" t="s">
        <v>32</v>
      </c>
      <c r="BM178" s="14" t="s">
        <v>32</v>
      </c>
      <c r="BN178" s="13" t="s">
        <v>32</v>
      </c>
      <c r="BO178" s="1" t="s">
        <v>32</v>
      </c>
      <c r="BP178" s="12" t="s">
        <v>32</v>
      </c>
      <c r="BQ178" s="13" t="s">
        <v>32</v>
      </c>
      <c r="BR178" s="15" t="s">
        <v>32</v>
      </c>
      <c r="BS178" s="14" t="s">
        <v>32</v>
      </c>
      <c r="BT178" s="13" t="s">
        <v>32</v>
      </c>
      <c r="BU178" s="15" t="s">
        <v>32</v>
      </c>
      <c r="BV178" s="14" t="s">
        <v>32</v>
      </c>
      <c r="BW178" s="13" t="s">
        <v>32</v>
      </c>
      <c r="BX178" s="1" t="s">
        <v>32</v>
      </c>
      <c r="BY178" s="12" t="s">
        <v>32</v>
      </c>
      <c r="BZ178" s="13" t="s">
        <v>32</v>
      </c>
      <c r="CA178" s="15" t="s">
        <v>32</v>
      </c>
      <c r="CB178" s="14" t="s">
        <v>32</v>
      </c>
      <c r="CC178" s="13" t="s">
        <v>32</v>
      </c>
      <c r="CD178" s="15" t="s">
        <v>32</v>
      </c>
      <c r="CE178" s="14" t="s">
        <v>32</v>
      </c>
      <c r="CF178" s="13" t="s">
        <v>32</v>
      </c>
      <c r="CG178" s="1" t="s">
        <v>32</v>
      </c>
      <c r="CI178" s="12" t="s">
        <v>32</v>
      </c>
      <c r="CJ178" s="13" t="s">
        <v>32</v>
      </c>
      <c r="CK178" s="15" t="s">
        <v>32</v>
      </c>
      <c r="CL178" s="14">
        <v>5</v>
      </c>
      <c r="CM178" s="212">
        <v>6</v>
      </c>
      <c r="CN178" s="15" t="s">
        <v>32</v>
      </c>
      <c r="CO178" s="14" t="s">
        <v>32</v>
      </c>
      <c r="CP178" s="13" t="s">
        <v>32</v>
      </c>
      <c r="CQ178" s="1" t="s">
        <v>32</v>
      </c>
      <c r="CR178" s="12" t="s">
        <v>32</v>
      </c>
      <c r="CS178" s="13" t="s">
        <v>32</v>
      </c>
      <c r="CT178" s="15" t="s">
        <v>32</v>
      </c>
      <c r="CU178" s="14" t="s">
        <v>32</v>
      </c>
      <c r="CV178" s="13" t="s">
        <v>32</v>
      </c>
      <c r="CW178" s="15" t="s">
        <v>32</v>
      </c>
      <c r="CX178" s="14" t="s">
        <v>32</v>
      </c>
      <c r="CY178" s="13" t="s">
        <v>32</v>
      </c>
      <c r="CZ178" s="1" t="s">
        <v>32</v>
      </c>
      <c r="DA178" s="12" t="s">
        <v>32</v>
      </c>
      <c r="DB178" s="13" t="s">
        <v>32</v>
      </c>
      <c r="DC178" s="15" t="s">
        <v>32</v>
      </c>
      <c r="DD178" s="14" t="s">
        <v>32</v>
      </c>
      <c r="DE178" s="13" t="s">
        <v>32</v>
      </c>
      <c r="DF178" s="15" t="s">
        <v>32</v>
      </c>
      <c r="DG178" s="14" t="s">
        <v>32</v>
      </c>
      <c r="DH178" s="13" t="s">
        <v>32</v>
      </c>
      <c r="DI178" s="1" t="s">
        <v>32</v>
      </c>
    </row>
    <row r="179" spans="2:113" ht="15" customHeight="1">
      <c r="B179" s="16" t="s">
        <v>32</v>
      </c>
      <c r="C179" s="17" t="s">
        <v>32</v>
      </c>
      <c r="D179" s="18" t="s">
        <v>32</v>
      </c>
      <c r="E179" s="19" t="s">
        <v>32</v>
      </c>
      <c r="F179" s="17" t="s">
        <v>32</v>
      </c>
      <c r="G179" s="18" t="s">
        <v>32</v>
      </c>
      <c r="H179" s="19" t="s">
        <v>32</v>
      </c>
      <c r="I179" s="17" t="s">
        <v>32</v>
      </c>
      <c r="J179" s="20" t="s">
        <v>32</v>
      </c>
      <c r="K179" s="16" t="s">
        <v>32</v>
      </c>
      <c r="L179" s="17" t="s">
        <v>32</v>
      </c>
      <c r="M179" s="18" t="s">
        <v>32</v>
      </c>
      <c r="N179" s="19" t="s">
        <v>32</v>
      </c>
      <c r="O179" s="17" t="s">
        <v>32</v>
      </c>
      <c r="P179" s="18" t="s">
        <v>32</v>
      </c>
      <c r="Q179" s="19" t="s">
        <v>32</v>
      </c>
      <c r="R179" s="17" t="s">
        <v>32</v>
      </c>
      <c r="S179" s="20" t="s">
        <v>32</v>
      </c>
      <c r="T179" s="16" t="s">
        <v>32</v>
      </c>
      <c r="U179" s="17" t="s">
        <v>32</v>
      </c>
      <c r="V179" s="18" t="s">
        <v>32</v>
      </c>
      <c r="W179" s="19" t="s">
        <v>32</v>
      </c>
      <c r="X179" s="17" t="s">
        <v>32</v>
      </c>
      <c r="Y179" s="18" t="s">
        <v>32</v>
      </c>
      <c r="Z179" s="19" t="s">
        <v>32</v>
      </c>
      <c r="AA179" s="17" t="s">
        <v>32</v>
      </c>
      <c r="AB179" s="20" t="s">
        <v>32</v>
      </c>
      <c r="AD179" s="16" t="s">
        <v>32</v>
      </c>
      <c r="AE179" s="17" t="s">
        <v>32</v>
      </c>
      <c r="AF179" s="18" t="s">
        <v>32</v>
      </c>
      <c r="AG179" s="19" t="s">
        <v>32</v>
      </c>
      <c r="AH179" s="17" t="s">
        <v>32</v>
      </c>
      <c r="AI179" s="18" t="s">
        <v>32</v>
      </c>
      <c r="AJ179" s="19" t="s">
        <v>32</v>
      </c>
      <c r="AK179" s="17" t="s">
        <v>32</v>
      </c>
      <c r="AL179" s="20" t="s">
        <v>32</v>
      </c>
      <c r="AM179" s="16" t="s">
        <v>32</v>
      </c>
      <c r="AN179" s="17" t="s">
        <v>32</v>
      </c>
      <c r="AO179" s="18" t="s">
        <v>32</v>
      </c>
      <c r="AP179" s="19" t="s">
        <v>32</v>
      </c>
      <c r="AQ179" s="17" t="s">
        <v>32</v>
      </c>
      <c r="AR179" s="18" t="s">
        <v>32</v>
      </c>
      <c r="AS179" s="19" t="s">
        <v>32</v>
      </c>
      <c r="AT179" s="17" t="s">
        <v>32</v>
      </c>
      <c r="AU179" s="20" t="s">
        <v>32</v>
      </c>
      <c r="AV179" s="16" t="s">
        <v>32</v>
      </c>
      <c r="AW179" s="17" t="s">
        <v>32</v>
      </c>
      <c r="AX179" s="18" t="s">
        <v>32</v>
      </c>
      <c r="AY179" s="19" t="s">
        <v>32</v>
      </c>
      <c r="AZ179" s="17" t="s">
        <v>32</v>
      </c>
      <c r="BA179" s="18" t="s">
        <v>32</v>
      </c>
      <c r="BB179" s="19" t="s">
        <v>32</v>
      </c>
      <c r="BC179" s="17" t="s">
        <v>32</v>
      </c>
      <c r="BD179" s="20" t="s">
        <v>32</v>
      </c>
      <c r="BG179" s="16" t="s">
        <v>32</v>
      </c>
      <c r="BH179" s="17" t="s">
        <v>32</v>
      </c>
      <c r="BI179" s="18" t="s">
        <v>32</v>
      </c>
      <c r="BJ179" s="19" t="s">
        <v>32</v>
      </c>
      <c r="BK179" s="17" t="s">
        <v>32</v>
      </c>
      <c r="BL179" s="18" t="s">
        <v>32</v>
      </c>
      <c r="BM179" s="19" t="s">
        <v>32</v>
      </c>
      <c r="BN179" s="17" t="s">
        <v>32</v>
      </c>
      <c r="BO179" s="20" t="s">
        <v>32</v>
      </c>
      <c r="BP179" s="16" t="s">
        <v>32</v>
      </c>
      <c r="BQ179" s="17" t="s">
        <v>32</v>
      </c>
      <c r="BR179" s="18" t="s">
        <v>32</v>
      </c>
      <c r="BS179" s="19" t="s">
        <v>32</v>
      </c>
      <c r="BT179" s="17" t="s">
        <v>32</v>
      </c>
      <c r="BU179" s="18" t="s">
        <v>32</v>
      </c>
      <c r="BV179" s="19" t="s">
        <v>32</v>
      </c>
      <c r="BW179" s="17" t="s">
        <v>32</v>
      </c>
      <c r="BX179" s="20" t="s">
        <v>32</v>
      </c>
      <c r="BY179" s="16" t="s">
        <v>32</v>
      </c>
      <c r="BZ179" s="17" t="s">
        <v>32</v>
      </c>
      <c r="CA179" s="18" t="s">
        <v>32</v>
      </c>
      <c r="CB179" s="19" t="s">
        <v>32</v>
      </c>
      <c r="CC179" s="17" t="s">
        <v>32</v>
      </c>
      <c r="CD179" s="18" t="s">
        <v>32</v>
      </c>
      <c r="CE179" s="19" t="s">
        <v>32</v>
      </c>
      <c r="CF179" s="17" t="s">
        <v>32</v>
      </c>
      <c r="CG179" s="20" t="s">
        <v>32</v>
      </c>
      <c r="CI179" s="16" t="s">
        <v>32</v>
      </c>
      <c r="CJ179" s="17" t="s">
        <v>32</v>
      </c>
      <c r="CK179" s="18" t="s">
        <v>32</v>
      </c>
      <c r="CL179" s="19" t="s">
        <v>32</v>
      </c>
      <c r="CM179" s="17" t="s">
        <v>32</v>
      </c>
      <c r="CN179" s="18" t="s">
        <v>32</v>
      </c>
      <c r="CO179" s="19" t="s">
        <v>32</v>
      </c>
      <c r="CP179" s="17" t="s">
        <v>32</v>
      </c>
      <c r="CQ179" s="20" t="s">
        <v>32</v>
      </c>
      <c r="CR179" s="16" t="s">
        <v>32</v>
      </c>
      <c r="CS179" s="17" t="s">
        <v>32</v>
      </c>
      <c r="CT179" s="18" t="s">
        <v>32</v>
      </c>
      <c r="CU179" s="19" t="s">
        <v>32</v>
      </c>
      <c r="CV179" s="17" t="s">
        <v>32</v>
      </c>
      <c r="CW179" s="18" t="s">
        <v>32</v>
      </c>
      <c r="CX179" s="19" t="s">
        <v>32</v>
      </c>
      <c r="CY179" s="17" t="s">
        <v>32</v>
      </c>
      <c r="CZ179" s="20" t="s">
        <v>32</v>
      </c>
      <c r="DA179" s="16" t="s">
        <v>32</v>
      </c>
      <c r="DB179" s="17" t="s">
        <v>32</v>
      </c>
      <c r="DC179" s="18" t="s">
        <v>32</v>
      </c>
      <c r="DD179" s="19" t="s">
        <v>32</v>
      </c>
      <c r="DE179" s="17" t="s">
        <v>32</v>
      </c>
      <c r="DF179" s="18" t="s">
        <v>32</v>
      </c>
      <c r="DG179" s="19" t="s">
        <v>32</v>
      </c>
      <c r="DH179" s="17" t="s">
        <v>32</v>
      </c>
      <c r="DI179" s="20" t="s">
        <v>32</v>
      </c>
    </row>
    <row r="180" spans="2:113" ht="15" customHeight="1">
      <c r="B180" s="11" t="s">
        <v>32</v>
      </c>
      <c r="C180" s="7" t="s">
        <v>32</v>
      </c>
      <c r="D180" s="9" t="s">
        <v>32</v>
      </c>
      <c r="E180" s="8" t="s">
        <v>32</v>
      </c>
      <c r="F180" s="7" t="s">
        <v>32</v>
      </c>
      <c r="G180" s="9" t="s">
        <v>32</v>
      </c>
      <c r="H180" s="8" t="s">
        <v>32</v>
      </c>
      <c r="I180" s="7" t="s">
        <v>32</v>
      </c>
      <c r="J180" s="10" t="s">
        <v>32</v>
      </c>
      <c r="K180" s="11" t="s">
        <v>32</v>
      </c>
      <c r="L180" s="7" t="s">
        <v>32</v>
      </c>
      <c r="M180" s="9" t="s">
        <v>32</v>
      </c>
      <c r="N180" s="8" t="s">
        <v>32</v>
      </c>
      <c r="O180" s="7" t="s">
        <v>32</v>
      </c>
      <c r="P180" s="9" t="s">
        <v>32</v>
      </c>
      <c r="Q180" s="8" t="s">
        <v>32</v>
      </c>
      <c r="R180" s="7" t="s">
        <v>32</v>
      </c>
      <c r="S180" s="10" t="s">
        <v>32</v>
      </c>
      <c r="T180" s="11" t="s">
        <v>32</v>
      </c>
      <c r="U180" s="7" t="s">
        <v>32</v>
      </c>
      <c r="V180" s="9" t="s">
        <v>32</v>
      </c>
      <c r="W180" s="8" t="s">
        <v>32</v>
      </c>
      <c r="X180" s="7" t="s">
        <v>32</v>
      </c>
      <c r="Y180" s="9" t="s">
        <v>32</v>
      </c>
      <c r="Z180" s="8" t="s">
        <v>32</v>
      </c>
      <c r="AA180" s="7" t="s">
        <v>32</v>
      </c>
      <c r="AB180" s="10" t="s">
        <v>32</v>
      </c>
      <c r="AD180" s="11" t="s">
        <v>32</v>
      </c>
      <c r="AE180" s="7" t="s">
        <v>32</v>
      </c>
      <c r="AF180" s="9" t="s">
        <v>32</v>
      </c>
      <c r="AG180" s="8" t="s">
        <v>32</v>
      </c>
      <c r="AH180" s="7" t="s">
        <v>32</v>
      </c>
      <c r="AI180" s="9" t="s">
        <v>32</v>
      </c>
      <c r="AJ180" s="8" t="s">
        <v>32</v>
      </c>
      <c r="AK180" s="7" t="s">
        <v>32</v>
      </c>
      <c r="AL180" s="10" t="s">
        <v>32</v>
      </c>
      <c r="AM180" s="11" t="s">
        <v>32</v>
      </c>
      <c r="AN180" s="7" t="s">
        <v>32</v>
      </c>
      <c r="AO180" s="9" t="s">
        <v>32</v>
      </c>
      <c r="AP180" s="8" t="s">
        <v>32</v>
      </c>
      <c r="AQ180" s="7" t="s">
        <v>32</v>
      </c>
      <c r="AR180" s="9" t="s">
        <v>32</v>
      </c>
      <c r="AS180" s="8" t="s">
        <v>32</v>
      </c>
      <c r="AT180" s="7" t="s">
        <v>32</v>
      </c>
      <c r="AU180" s="10" t="s">
        <v>32</v>
      </c>
      <c r="AV180" s="11" t="s">
        <v>32</v>
      </c>
      <c r="AW180" s="7" t="s">
        <v>32</v>
      </c>
      <c r="AX180" s="9" t="s">
        <v>32</v>
      </c>
      <c r="AY180" s="8" t="s">
        <v>32</v>
      </c>
      <c r="AZ180" s="7" t="s">
        <v>32</v>
      </c>
      <c r="BA180" s="9" t="s">
        <v>32</v>
      </c>
      <c r="BB180" s="8" t="s">
        <v>32</v>
      </c>
      <c r="BC180" s="7" t="s">
        <v>32</v>
      </c>
      <c r="BD180" s="10" t="s">
        <v>32</v>
      </c>
      <c r="BG180" s="11" t="s">
        <v>32</v>
      </c>
      <c r="BH180" s="7" t="s">
        <v>32</v>
      </c>
      <c r="BI180" s="9" t="s">
        <v>32</v>
      </c>
      <c r="BJ180" s="8" t="s">
        <v>32</v>
      </c>
      <c r="BK180" s="7" t="s">
        <v>32</v>
      </c>
      <c r="BL180" s="9" t="s">
        <v>32</v>
      </c>
      <c r="BM180" s="8" t="s">
        <v>32</v>
      </c>
      <c r="BN180" s="7" t="s">
        <v>32</v>
      </c>
      <c r="BO180" s="10" t="s">
        <v>32</v>
      </c>
      <c r="BP180" s="11" t="s">
        <v>32</v>
      </c>
      <c r="BQ180" s="7" t="s">
        <v>32</v>
      </c>
      <c r="BR180" s="9" t="s">
        <v>32</v>
      </c>
      <c r="BS180" s="8" t="s">
        <v>32</v>
      </c>
      <c r="BT180" s="7" t="s">
        <v>32</v>
      </c>
      <c r="BU180" s="9" t="s">
        <v>32</v>
      </c>
      <c r="BV180" s="8" t="s">
        <v>32</v>
      </c>
      <c r="BW180" s="7" t="s">
        <v>32</v>
      </c>
      <c r="BX180" s="10" t="s">
        <v>32</v>
      </c>
      <c r="BY180" s="11" t="s">
        <v>32</v>
      </c>
      <c r="BZ180" s="7" t="s">
        <v>32</v>
      </c>
      <c r="CA180" s="9" t="s">
        <v>32</v>
      </c>
      <c r="CB180" s="8" t="s">
        <v>32</v>
      </c>
      <c r="CC180" s="7" t="s">
        <v>32</v>
      </c>
      <c r="CD180" s="9" t="s">
        <v>32</v>
      </c>
      <c r="CE180" s="8" t="s">
        <v>32</v>
      </c>
      <c r="CF180" s="7" t="s">
        <v>32</v>
      </c>
      <c r="CG180" s="10" t="s">
        <v>32</v>
      </c>
      <c r="CI180" s="11" t="s">
        <v>32</v>
      </c>
      <c r="CJ180" s="7" t="s">
        <v>32</v>
      </c>
      <c r="CK180" s="9" t="s">
        <v>32</v>
      </c>
      <c r="CL180" s="8" t="s">
        <v>32</v>
      </c>
      <c r="CM180" s="7" t="s">
        <v>32</v>
      </c>
      <c r="CN180" s="9" t="s">
        <v>32</v>
      </c>
      <c r="CO180" s="8" t="s">
        <v>32</v>
      </c>
      <c r="CP180" s="7" t="s">
        <v>32</v>
      </c>
      <c r="CQ180" s="10" t="s">
        <v>32</v>
      </c>
      <c r="CR180" s="11" t="s">
        <v>32</v>
      </c>
      <c r="CS180" s="7" t="s">
        <v>32</v>
      </c>
      <c r="CT180" s="9" t="s">
        <v>32</v>
      </c>
      <c r="CU180" s="8" t="s">
        <v>32</v>
      </c>
      <c r="CV180" s="7" t="s">
        <v>32</v>
      </c>
      <c r="CW180" s="9" t="s">
        <v>32</v>
      </c>
      <c r="CX180" s="8" t="s">
        <v>32</v>
      </c>
      <c r="CY180" s="7" t="s">
        <v>32</v>
      </c>
      <c r="CZ180" s="10" t="s">
        <v>32</v>
      </c>
      <c r="DA180" s="11" t="s">
        <v>32</v>
      </c>
      <c r="DB180" s="7" t="s">
        <v>32</v>
      </c>
      <c r="DC180" s="9" t="s">
        <v>32</v>
      </c>
      <c r="DD180" s="8" t="s">
        <v>32</v>
      </c>
      <c r="DE180" s="7" t="s">
        <v>32</v>
      </c>
      <c r="DF180" s="9" t="s">
        <v>32</v>
      </c>
      <c r="DG180" s="8" t="s">
        <v>32</v>
      </c>
      <c r="DH180" s="7" t="s">
        <v>32</v>
      </c>
      <c r="DI180" s="10" t="s">
        <v>32</v>
      </c>
    </row>
    <row r="181" spans="2:113" ht="15" customHeight="1" thickBot="1">
      <c r="B181" s="21" t="s">
        <v>32</v>
      </c>
      <c r="C181" s="22" t="s">
        <v>32</v>
      </c>
      <c r="D181" s="23" t="s">
        <v>32</v>
      </c>
      <c r="E181" s="24" t="s">
        <v>32</v>
      </c>
      <c r="F181" s="22" t="s">
        <v>32</v>
      </c>
      <c r="G181" s="23" t="s">
        <v>32</v>
      </c>
      <c r="H181" s="24" t="s">
        <v>32</v>
      </c>
      <c r="I181" s="22" t="s">
        <v>32</v>
      </c>
      <c r="J181" s="25" t="s">
        <v>32</v>
      </c>
      <c r="K181" s="21" t="s">
        <v>32</v>
      </c>
      <c r="L181" s="22" t="s">
        <v>32</v>
      </c>
      <c r="M181" s="23" t="s">
        <v>32</v>
      </c>
      <c r="N181" s="24" t="s">
        <v>32</v>
      </c>
      <c r="O181" s="22" t="s">
        <v>32</v>
      </c>
      <c r="P181" s="23" t="s">
        <v>32</v>
      </c>
      <c r="Q181" s="24" t="s">
        <v>32</v>
      </c>
      <c r="R181" s="22" t="s">
        <v>32</v>
      </c>
      <c r="S181" s="25" t="s">
        <v>32</v>
      </c>
      <c r="T181" s="21" t="s">
        <v>32</v>
      </c>
      <c r="U181" s="22" t="s">
        <v>32</v>
      </c>
      <c r="V181" s="23" t="s">
        <v>32</v>
      </c>
      <c r="W181" s="24" t="s">
        <v>32</v>
      </c>
      <c r="X181" s="22" t="s">
        <v>32</v>
      </c>
      <c r="Y181" s="23" t="s">
        <v>32</v>
      </c>
      <c r="Z181" s="24" t="s">
        <v>32</v>
      </c>
      <c r="AA181" s="22" t="s">
        <v>32</v>
      </c>
      <c r="AB181" s="25" t="s">
        <v>32</v>
      </c>
      <c r="AD181" s="21" t="s">
        <v>32</v>
      </c>
      <c r="AE181" s="22" t="s">
        <v>32</v>
      </c>
      <c r="AF181" s="23" t="s">
        <v>32</v>
      </c>
      <c r="AG181" s="24" t="s">
        <v>32</v>
      </c>
      <c r="AH181" s="22" t="s">
        <v>32</v>
      </c>
      <c r="AI181" s="23" t="s">
        <v>32</v>
      </c>
      <c r="AJ181" s="24" t="s">
        <v>32</v>
      </c>
      <c r="AK181" s="22" t="s">
        <v>32</v>
      </c>
      <c r="AL181" s="25" t="s">
        <v>32</v>
      </c>
      <c r="AM181" s="21" t="s">
        <v>32</v>
      </c>
      <c r="AN181" s="22" t="s">
        <v>32</v>
      </c>
      <c r="AO181" s="23" t="s">
        <v>32</v>
      </c>
      <c r="AP181" s="24" t="s">
        <v>32</v>
      </c>
      <c r="AQ181" s="22" t="s">
        <v>32</v>
      </c>
      <c r="AR181" s="23" t="s">
        <v>32</v>
      </c>
      <c r="AS181" s="24" t="s">
        <v>32</v>
      </c>
      <c r="AT181" s="22" t="s">
        <v>32</v>
      </c>
      <c r="AU181" s="25" t="s">
        <v>32</v>
      </c>
      <c r="AV181" s="21" t="s">
        <v>32</v>
      </c>
      <c r="AW181" s="22" t="s">
        <v>32</v>
      </c>
      <c r="AX181" s="23" t="s">
        <v>32</v>
      </c>
      <c r="AY181" s="24" t="s">
        <v>32</v>
      </c>
      <c r="AZ181" s="22" t="s">
        <v>32</v>
      </c>
      <c r="BA181" s="23" t="s">
        <v>32</v>
      </c>
      <c r="BB181" s="24" t="s">
        <v>32</v>
      </c>
      <c r="BC181" s="22" t="s">
        <v>32</v>
      </c>
      <c r="BD181" s="25" t="s">
        <v>32</v>
      </c>
      <c r="BG181" s="21" t="s">
        <v>32</v>
      </c>
      <c r="BH181" s="22" t="s">
        <v>32</v>
      </c>
      <c r="BI181" s="23" t="s">
        <v>32</v>
      </c>
      <c r="BJ181" s="24" t="s">
        <v>32</v>
      </c>
      <c r="BK181" s="22" t="s">
        <v>32</v>
      </c>
      <c r="BL181" s="23" t="s">
        <v>32</v>
      </c>
      <c r="BM181" s="24" t="s">
        <v>32</v>
      </c>
      <c r="BN181" s="22" t="s">
        <v>32</v>
      </c>
      <c r="BO181" s="25" t="s">
        <v>32</v>
      </c>
      <c r="BP181" s="21" t="s">
        <v>32</v>
      </c>
      <c r="BQ181" s="22" t="s">
        <v>32</v>
      </c>
      <c r="BR181" s="23" t="s">
        <v>32</v>
      </c>
      <c r="BS181" s="24" t="s">
        <v>32</v>
      </c>
      <c r="BT181" s="22" t="s">
        <v>32</v>
      </c>
      <c r="BU181" s="23" t="s">
        <v>32</v>
      </c>
      <c r="BV181" s="24" t="s">
        <v>32</v>
      </c>
      <c r="BW181" s="22" t="s">
        <v>32</v>
      </c>
      <c r="BX181" s="25" t="s">
        <v>32</v>
      </c>
      <c r="BY181" s="21" t="s">
        <v>32</v>
      </c>
      <c r="BZ181" s="22" t="s">
        <v>32</v>
      </c>
      <c r="CA181" s="23" t="s">
        <v>32</v>
      </c>
      <c r="CB181" s="24" t="s">
        <v>32</v>
      </c>
      <c r="CC181" s="22" t="s">
        <v>32</v>
      </c>
      <c r="CD181" s="23" t="s">
        <v>32</v>
      </c>
      <c r="CE181" s="24" t="s">
        <v>32</v>
      </c>
      <c r="CF181" s="22" t="s">
        <v>32</v>
      </c>
      <c r="CG181" s="25" t="s">
        <v>32</v>
      </c>
      <c r="CI181" s="21" t="s">
        <v>32</v>
      </c>
      <c r="CJ181" s="22" t="s">
        <v>32</v>
      </c>
      <c r="CK181" s="23" t="s">
        <v>32</v>
      </c>
      <c r="CL181" s="24" t="s">
        <v>32</v>
      </c>
      <c r="CM181" s="22" t="s">
        <v>32</v>
      </c>
      <c r="CN181" s="23" t="s">
        <v>32</v>
      </c>
      <c r="CO181" s="24" t="s">
        <v>32</v>
      </c>
      <c r="CP181" s="22" t="s">
        <v>32</v>
      </c>
      <c r="CQ181" s="25" t="s">
        <v>32</v>
      </c>
      <c r="CR181" s="21" t="s">
        <v>32</v>
      </c>
      <c r="CS181" s="22" t="s">
        <v>32</v>
      </c>
      <c r="CT181" s="23" t="s">
        <v>32</v>
      </c>
      <c r="CU181" s="24" t="s">
        <v>32</v>
      </c>
      <c r="CV181" s="22" t="s">
        <v>32</v>
      </c>
      <c r="CW181" s="23" t="s">
        <v>32</v>
      </c>
      <c r="CX181" s="24" t="s">
        <v>32</v>
      </c>
      <c r="CY181" s="22" t="s">
        <v>32</v>
      </c>
      <c r="CZ181" s="25" t="s">
        <v>32</v>
      </c>
      <c r="DA181" s="21" t="s">
        <v>32</v>
      </c>
      <c r="DB181" s="22" t="s">
        <v>32</v>
      </c>
      <c r="DC181" s="23" t="s">
        <v>32</v>
      </c>
      <c r="DD181" s="24" t="s">
        <v>32</v>
      </c>
      <c r="DE181" s="22" t="s">
        <v>32</v>
      </c>
      <c r="DF181" s="23" t="s">
        <v>32</v>
      </c>
      <c r="DG181" s="24" t="s">
        <v>32</v>
      </c>
      <c r="DH181" s="22" t="s">
        <v>32</v>
      </c>
      <c r="DI181" s="25" t="s">
        <v>32</v>
      </c>
    </row>
    <row r="182" spans="2:113" ht="15" customHeight="1">
      <c r="B182" s="2" t="s">
        <v>32</v>
      </c>
      <c r="C182" s="5" t="s">
        <v>32</v>
      </c>
      <c r="D182" s="3" t="s">
        <v>32</v>
      </c>
      <c r="E182" s="4" t="s">
        <v>32</v>
      </c>
      <c r="F182" s="5" t="s">
        <v>32</v>
      </c>
      <c r="G182" s="3" t="s">
        <v>32</v>
      </c>
      <c r="H182" s="4" t="s">
        <v>32</v>
      </c>
      <c r="I182" s="5" t="s">
        <v>32</v>
      </c>
      <c r="J182" s="6" t="s">
        <v>32</v>
      </c>
      <c r="K182" s="2" t="s">
        <v>32</v>
      </c>
      <c r="L182" s="5" t="s">
        <v>32</v>
      </c>
      <c r="M182" s="3" t="s">
        <v>32</v>
      </c>
      <c r="N182" s="4" t="s">
        <v>32</v>
      </c>
      <c r="O182" s="5" t="s">
        <v>32</v>
      </c>
      <c r="P182" s="3" t="s">
        <v>32</v>
      </c>
      <c r="Q182" s="4" t="s">
        <v>32</v>
      </c>
      <c r="R182" s="5" t="s">
        <v>32</v>
      </c>
      <c r="S182" s="6" t="s">
        <v>32</v>
      </c>
      <c r="T182" s="2" t="s">
        <v>32</v>
      </c>
      <c r="U182" s="5" t="s">
        <v>32</v>
      </c>
      <c r="V182" s="3" t="s">
        <v>32</v>
      </c>
      <c r="W182" s="4" t="s">
        <v>32</v>
      </c>
      <c r="X182" s="5" t="s">
        <v>32</v>
      </c>
      <c r="Y182" s="3" t="s">
        <v>32</v>
      </c>
      <c r="Z182" s="4" t="s">
        <v>32</v>
      </c>
      <c r="AA182" s="5" t="s">
        <v>32</v>
      </c>
      <c r="AB182" s="6" t="s">
        <v>32</v>
      </c>
      <c r="AD182" s="2" t="s">
        <v>32</v>
      </c>
      <c r="AE182" s="5" t="s">
        <v>32</v>
      </c>
      <c r="AF182" s="3" t="s">
        <v>32</v>
      </c>
      <c r="AG182" s="4" t="s">
        <v>32</v>
      </c>
      <c r="AH182" s="5" t="s">
        <v>32</v>
      </c>
      <c r="AI182" s="3" t="s">
        <v>32</v>
      </c>
      <c r="AJ182" s="4" t="s">
        <v>32</v>
      </c>
      <c r="AK182" s="5" t="s">
        <v>32</v>
      </c>
      <c r="AL182" s="6" t="s">
        <v>32</v>
      </c>
      <c r="AM182" s="2" t="s">
        <v>32</v>
      </c>
      <c r="AN182" s="5" t="s">
        <v>32</v>
      </c>
      <c r="AO182" s="3" t="s">
        <v>32</v>
      </c>
      <c r="AP182" s="4" t="s">
        <v>32</v>
      </c>
      <c r="AQ182" s="5" t="s">
        <v>32</v>
      </c>
      <c r="AR182" s="3" t="s">
        <v>32</v>
      </c>
      <c r="AS182" s="4" t="s">
        <v>32</v>
      </c>
      <c r="AT182" s="5" t="s">
        <v>32</v>
      </c>
      <c r="AU182" s="6" t="s">
        <v>32</v>
      </c>
      <c r="AV182" s="2" t="s">
        <v>32</v>
      </c>
      <c r="AW182" s="5" t="s">
        <v>32</v>
      </c>
      <c r="AX182" s="3" t="s">
        <v>32</v>
      </c>
      <c r="AY182" s="4" t="s">
        <v>32</v>
      </c>
      <c r="AZ182" s="5" t="s">
        <v>32</v>
      </c>
      <c r="BA182" s="3" t="s">
        <v>32</v>
      </c>
      <c r="BB182" s="4" t="s">
        <v>32</v>
      </c>
      <c r="BC182" s="5" t="s">
        <v>32</v>
      </c>
      <c r="BD182" s="6" t="s">
        <v>32</v>
      </c>
      <c r="BG182" s="2" t="s">
        <v>32</v>
      </c>
      <c r="BH182" s="5" t="s">
        <v>32</v>
      </c>
      <c r="BI182" s="3" t="s">
        <v>32</v>
      </c>
      <c r="BJ182" s="4" t="s">
        <v>32</v>
      </c>
      <c r="BK182" s="5" t="s">
        <v>32</v>
      </c>
      <c r="BL182" s="3" t="s">
        <v>32</v>
      </c>
      <c r="BM182" s="4" t="s">
        <v>32</v>
      </c>
      <c r="BN182" s="5" t="s">
        <v>32</v>
      </c>
      <c r="BO182" s="6" t="s">
        <v>32</v>
      </c>
      <c r="BP182" s="2" t="s">
        <v>32</v>
      </c>
      <c r="BQ182" s="5" t="s">
        <v>32</v>
      </c>
      <c r="BR182" s="3" t="s">
        <v>32</v>
      </c>
      <c r="BS182" s="4">
        <v>0</v>
      </c>
      <c r="BT182" s="5" t="s">
        <v>32</v>
      </c>
      <c r="BU182" s="3" t="s">
        <v>32</v>
      </c>
      <c r="BV182" s="4" t="s">
        <v>32</v>
      </c>
      <c r="BW182" s="5" t="s">
        <v>32</v>
      </c>
      <c r="BX182" s="6" t="s">
        <v>32</v>
      </c>
      <c r="BY182" s="2" t="s">
        <v>32</v>
      </c>
      <c r="BZ182" s="5" t="s">
        <v>32</v>
      </c>
      <c r="CA182" s="3" t="s">
        <v>32</v>
      </c>
      <c r="CB182" s="4" t="s">
        <v>32</v>
      </c>
      <c r="CC182" s="5" t="s">
        <v>32</v>
      </c>
      <c r="CD182" s="3" t="s">
        <v>32</v>
      </c>
      <c r="CE182" s="4" t="s">
        <v>32</v>
      </c>
      <c r="CF182" s="5" t="s">
        <v>32</v>
      </c>
      <c r="CG182" s="6" t="s">
        <v>32</v>
      </c>
      <c r="CI182" s="2" t="s">
        <v>32</v>
      </c>
      <c r="CJ182" s="5" t="s">
        <v>32</v>
      </c>
      <c r="CK182" s="3" t="s">
        <v>32</v>
      </c>
      <c r="CL182" s="4" t="s">
        <v>32</v>
      </c>
      <c r="CM182" s="5" t="s">
        <v>32</v>
      </c>
      <c r="CN182" s="3" t="s">
        <v>32</v>
      </c>
      <c r="CO182" s="4" t="s">
        <v>32</v>
      </c>
      <c r="CP182" s="5" t="s">
        <v>32</v>
      </c>
      <c r="CQ182" s="6" t="s">
        <v>32</v>
      </c>
      <c r="CR182" s="2" t="s">
        <v>32</v>
      </c>
      <c r="CS182" s="5" t="s">
        <v>32</v>
      </c>
      <c r="CT182" s="3" t="s">
        <v>32</v>
      </c>
      <c r="CU182" s="4">
        <v>6</v>
      </c>
      <c r="CV182" s="5" t="s">
        <v>32</v>
      </c>
      <c r="CW182" s="3" t="s">
        <v>32</v>
      </c>
      <c r="CX182" s="4" t="s">
        <v>32</v>
      </c>
      <c r="CY182" s="5" t="s">
        <v>32</v>
      </c>
      <c r="CZ182" s="6" t="s">
        <v>32</v>
      </c>
      <c r="DA182" s="2" t="s">
        <v>32</v>
      </c>
      <c r="DB182" s="5" t="s">
        <v>32</v>
      </c>
      <c r="DC182" s="3" t="s">
        <v>32</v>
      </c>
      <c r="DD182" s="4" t="s">
        <v>32</v>
      </c>
      <c r="DE182" s="5" t="s">
        <v>32</v>
      </c>
      <c r="DF182" s="3" t="s">
        <v>32</v>
      </c>
      <c r="DG182" s="4" t="s">
        <v>32</v>
      </c>
      <c r="DH182" s="5" t="s">
        <v>32</v>
      </c>
      <c r="DI182" s="6" t="s">
        <v>32</v>
      </c>
    </row>
    <row r="183" spans="2:113" ht="15" customHeight="1">
      <c r="B183" s="11">
        <v>0</v>
      </c>
      <c r="C183" s="7" t="s">
        <v>32</v>
      </c>
      <c r="D183" s="9" t="s">
        <v>32</v>
      </c>
      <c r="E183" s="8" t="s">
        <v>32</v>
      </c>
      <c r="F183" s="7" t="s">
        <v>32</v>
      </c>
      <c r="G183" s="9" t="s">
        <v>32</v>
      </c>
      <c r="H183" s="8" t="s">
        <v>32</v>
      </c>
      <c r="I183" s="7" t="s">
        <v>32</v>
      </c>
      <c r="J183" s="10" t="s">
        <v>32</v>
      </c>
      <c r="K183" s="11" t="s">
        <v>32</v>
      </c>
      <c r="L183" s="7" t="s">
        <v>32</v>
      </c>
      <c r="M183" s="9" t="s">
        <v>32</v>
      </c>
      <c r="N183" s="8" t="s">
        <v>32</v>
      </c>
      <c r="O183" s="7" t="s">
        <v>32</v>
      </c>
      <c r="P183" s="9" t="s">
        <v>32</v>
      </c>
      <c r="Q183" s="8">
        <v>0</v>
      </c>
      <c r="R183" s="7" t="s">
        <v>32</v>
      </c>
      <c r="S183" s="10" t="s">
        <v>32</v>
      </c>
      <c r="T183" s="11" t="s">
        <v>32</v>
      </c>
      <c r="U183" s="7" t="s">
        <v>32</v>
      </c>
      <c r="V183" s="9" t="s">
        <v>32</v>
      </c>
      <c r="W183" s="8" t="s">
        <v>32</v>
      </c>
      <c r="X183" s="7" t="s">
        <v>32</v>
      </c>
      <c r="Y183" s="9" t="s">
        <v>32</v>
      </c>
      <c r="Z183" s="8" t="s">
        <v>32</v>
      </c>
      <c r="AA183" s="7" t="s">
        <v>32</v>
      </c>
      <c r="AB183" s="10" t="s">
        <v>32</v>
      </c>
      <c r="AD183" s="11">
        <v>1</v>
      </c>
      <c r="AE183" s="7" t="s">
        <v>32</v>
      </c>
      <c r="AF183" s="9" t="s">
        <v>32</v>
      </c>
      <c r="AG183" s="8" t="s">
        <v>32</v>
      </c>
      <c r="AH183" s="7" t="s">
        <v>32</v>
      </c>
      <c r="AI183" s="9" t="s">
        <v>32</v>
      </c>
      <c r="AJ183" s="8" t="s">
        <v>32</v>
      </c>
      <c r="AK183" s="7" t="s">
        <v>32</v>
      </c>
      <c r="AL183" s="10" t="s">
        <v>32</v>
      </c>
      <c r="AM183" s="11" t="s">
        <v>32</v>
      </c>
      <c r="AN183" s="7" t="s">
        <v>32</v>
      </c>
      <c r="AO183" s="9" t="s">
        <v>32</v>
      </c>
      <c r="AP183" s="8" t="s">
        <v>32</v>
      </c>
      <c r="AQ183" s="7" t="s">
        <v>32</v>
      </c>
      <c r="AR183" s="9" t="s">
        <v>32</v>
      </c>
      <c r="AS183" s="8">
        <v>4</v>
      </c>
      <c r="AT183" s="7" t="s">
        <v>32</v>
      </c>
      <c r="AU183" s="10" t="s">
        <v>32</v>
      </c>
      <c r="AV183" s="11" t="s">
        <v>32</v>
      </c>
      <c r="AW183" s="7" t="s">
        <v>32</v>
      </c>
      <c r="AX183" s="9" t="s">
        <v>32</v>
      </c>
      <c r="AY183" s="8" t="s">
        <v>32</v>
      </c>
      <c r="AZ183" s="7" t="s">
        <v>32</v>
      </c>
      <c r="BA183" s="9" t="s">
        <v>32</v>
      </c>
      <c r="BB183" s="8" t="s">
        <v>32</v>
      </c>
      <c r="BC183" s="7" t="s">
        <v>32</v>
      </c>
      <c r="BD183" s="10" t="s">
        <v>32</v>
      </c>
      <c r="BG183" s="11" t="s">
        <v>32</v>
      </c>
      <c r="BH183" s="7" t="s">
        <v>32</v>
      </c>
      <c r="BI183" s="9" t="s">
        <v>32</v>
      </c>
      <c r="BJ183" s="8" t="s">
        <v>32</v>
      </c>
      <c r="BK183" s="7" t="s">
        <v>32</v>
      </c>
      <c r="BL183" s="9" t="s">
        <v>32</v>
      </c>
      <c r="BM183" s="8" t="s">
        <v>32</v>
      </c>
      <c r="BN183" s="7" t="s">
        <v>32</v>
      </c>
      <c r="BO183" s="10" t="s">
        <v>32</v>
      </c>
      <c r="BP183" s="11" t="s">
        <v>32</v>
      </c>
      <c r="BQ183" s="7" t="s">
        <v>32</v>
      </c>
      <c r="BR183" s="205">
        <v>7</v>
      </c>
      <c r="BS183" s="8" t="s">
        <v>32</v>
      </c>
      <c r="BT183" s="204">
        <v>4</v>
      </c>
      <c r="BU183" s="9">
        <v>0</v>
      </c>
      <c r="BV183" s="8" t="s">
        <v>32</v>
      </c>
      <c r="BW183" s="7" t="s">
        <v>32</v>
      </c>
      <c r="BX183" s="10" t="s">
        <v>32</v>
      </c>
      <c r="BY183" s="11" t="s">
        <v>32</v>
      </c>
      <c r="BZ183" s="7" t="s">
        <v>32</v>
      </c>
      <c r="CA183" s="9" t="s">
        <v>32</v>
      </c>
      <c r="CB183" s="8" t="s">
        <v>32</v>
      </c>
      <c r="CC183" s="7" t="s">
        <v>32</v>
      </c>
      <c r="CD183" s="9" t="s">
        <v>32</v>
      </c>
      <c r="CE183" s="8" t="s">
        <v>32</v>
      </c>
      <c r="CF183" s="7" t="s">
        <v>32</v>
      </c>
      <c r="CG183" s="10" t="s">
        <v>32</v>
      </c>
      <c r="CI183" s="11" t="s">
        <v>32</v>
      </c>
      <c r="CJ183" s="7" t="s">
        <v>32</v>
      </c>
      <c r="CK183" s="9" t="s">
        <v>32</v>
      </c>
      <c r="CL183" s="8" t="s">
        <v>32</v>
      </c>
      <c r="CM183" s="7" t="s">
        <v>32</v>
      </c>
      <c r="CN183" s="9" t="s">
        <v>32</v>
      </c>
      <c r="CO183" s="8" t="s">
        <v>32</v>
      </c>
      <c r="CP183" s="7" t="s">
        <v>32</v>
      </c>
      <c r="CQ183" s="10" t="s">
        <v>32</v>
      </c>
      <c r="CR183" s="11" t="s">
        <v>32</v>
      </c>
      <c r="CS183" s="7" t="s">
        <v>32</v>
      </c>
      <c r="CT183" s="205">
        <v>7</v>
      </c>
      <c r="CU183" s="8" t="s">
        <v>32</v>
      </c>
      <c r="CV183" s="204">
        <v>4</v>
      </c>
      <c r="CW183" s="9">
        <v>8</v>
      </c>
      <c r="CX183" s="8" t="s">
        <v>32</v>
      </c>
      <c r="CY183" s="7" t="s">
        <v>32</v>
      </c>
      <c r="CZ183" s="10" t="s">
        <v>32</v>
      </c>
      <c r="DA183" s="11" t="s">
        <v>32</v>
      </c>
      <c r="DB183" s="7" t="s">
        <v>32</v>
      </c>
      <c r="DC183" s="9" t="s">
        <v>32</v>
      </c>
      <c r="DD183" s="8" t="s">
        <v>32</v>
      </c>
      <c r="DE183" s="7" t="s">
        <v>32</v>
      </c>
      <c r="DF183" s="9" t="s">
        <v>32</v>
      </c>
      <c r="DG183" s="8" t="s">
        <v>32</v>
      </c>
      <c r="DH183" s="7" t="s">
        <v>32</v>
      </c>
      <c r="DI183" s="10" t="s">
        <v>32</v>
      </c>
    </row>
    <row r="184" spans="2:113" ht="15" customHeight="1">
      <c r="B184" s="12">
        <v>0</v>
      </c>
      <c r="C184" s="13">
        <v>0</v>
      </c>
      <c r="D184" s="15" t="s">
        <v>32</v>
      </c>
      <c r="E184" s="14" t="s">
        <v>32</v>
      </c>
      <c r="F184" s="13" t="s">
        <v>32</v>
      </c>
      <c r="G184" s="15" t="s">
        <v>32</v>
      </c>
      <c r="H184" s="14" t="s">
        <v>32</v>
      </c>
      <c r="I184" s="13" t="s">
        <v>32</v>
      </c>
      <c r="J184" s="1" t="s">
        <v>32</v>
      </c>
      <c r="K184" s="12" t="s">
        <v>32</v>
      </c>
      <c r="L184" s="13" t="s">
        <v>32</v>
      </c>
      <c r="M184" s="15" t="s">
        <v>32</v>
      </c>
      <c r="N184" s="14" t="s">
        <v>32</v>
      </c>
      <c r="O184" s="13" t="s">
        <v>32</v>
      </c>
      <c r="P184" s="15">
        <v>0</v>
      </c>
      <c r="Q184" s="14" t="s">
        <v>32</v>
      </c>
      <c r="R184" s="13" t="s">
        <v>32</v>
      </c>
      <c r="S184" s="1" t="s">
        <v>32</v>
      </c>
      <c r="T184" s="12" t="s">
        <v>32</v>
      </c>
      <c r="U184" s="13" t="s">
        <v>32</v>
      </c>
      <c r="V184" s="15" t="s">
        <v>32</v>
      </c>
      <c r="W184" s="14" t="s">
        <v>32</v>
      </c>
      <c r="X184" s="13" t="s">
        <v>32</v>
      </c>
      <c r="Y184" s="15" t="s">
        <v>32</v>
      </c>
      <c r="Z184" s="14" t="s">
        <v>32</v>
      </c>
      <c r="AA184" s="13" t="s">
        <v>32</v>
      </c>
      <c r="AB184" s="1" t="s">
        <v>32</v>
      </c>
      <c r="AD184" s="12">
        <v>7</v>
      </c>
      <c r="AE184" s="13">
        <v>6</v>
      </c>
      <c r="AF184" s="15" t="s">
        <v>32</v>
      </c>
      <c r="AG184" s="14" t="s">
        <v>32</v>
      </c>
      <c r="AH184" s="13" t="s">
        <v>32</v>
      </c>
      <c r="AI184" s="15" t="s">
        <v>32</v>
      </c>
      <c r="AJ184" s="14" t="s">
        <v>32</v>
      </c>
      <c r="AK184" s="13" t="s">
        <v>32</v>
      </c>
      <c r="AL184" s="1" t="s">
        <v>32</v>
      </c>
      <c r="AM184" s="12" t="s">
        <v>32</v>
      </c>
      <c r="AN184" s="13" t="s">
        <v>32</v>
      </c>
      <c r="AO184" s="15" t="s">
        <v>32</v>
      </c>
      <c r="AP184" s="14" t="s">
        <v>32</v>
      </c>
      <c r="AQ184" s="13" t="s">
        <v>32</v>
      </c>
      <c r="AR184" s="15">
        <v>3</v>
      </c>
      <c r="AS184" s="14" t="s">
        <v>32</v>
      </c>
      <c r="AT184" s="13" t="s">
        <v>32</v>
      </c>
      <c r="AU184" s="1" t="s">
        <v>32</v>
      </c>
      <c r="AV184" s="12" t="s">
        <v>32</v>
      </c>
      <c r="AW184" s="13" t="s">
        <v>32</v>
      </c>
      <c r="AX184" s="15" t="s">
        <v>32</v>
      </c>
      <c r="AY184" s="14" t="s">
        <v>32</v>
      </c>
      <c r="AZ184" s="13" t="s">
        <v>32</v>
      </c>
      <c r="BA184" s="15" t="s">
        <v>32</v>
      </c>
      <c r="BB184" s="14" t="s">
        <v>32</v>
      </c>
      <c r="BC184" s="13" t="s">
        <v>32</v>
      </c>
      <c r="BD184" s="1" t="s">
        <v>32</v>
      </c>
      <c r="BG184" s="12">
        <v>0</v>
      </c>
      <c r="BH184" s="13" t="s">
        <v>32</v>
      </c>
      <c r="BI184" s="15" t="s">
        <v>32</v>
      </c>
      <c r="BJ184" s="14" t="s">
        <v>32</v>
      </c>
      <c r="BK184" s="13" t="s">
        <v>32</v>
      </c>
      <c r="BL184" s="15" t="s">
        <v>32</v>
      </c>
      <c r="BM184" s="14" t="s">
        <v>32</v>
      </c>
      <c r="BN184" s="13" t="s">
        <v>32</v>
      </c>
      <c r="BO184" s="1" t="s">
        <v>32</v>
      </c>
      <c r="BP184" s="12" t="s">
        <v>32</v>
      </c>
      <c r="BQ184" s="212">
        <v>2</v>
      </c>
      <c r="BR184" s="15" t="s">
        <v>32</v>
      </c>
      <c r="BS184" s="14" t="s">
        <v>32</v>
      </c>
      <c r="BT184" s="212">
        <v>9</v>
      </c>
      <c r="BU184" s="15" t="s">
        <v>32</v>
      </c>
      <c r="BV184" s="14" t="s">
        <v>32</v>
      </c>
      <c r="BW184" s="13" t="s">
        <v>32</v>
      </c>
      <c r="BX184" s="1" t="s">
        <v>32</v>
      </c>
      <c r="BY184" s="12" t="s">
        <v>32</v>
      </c>
      <c r="BZ184" s="13" t="s">
        <v>32</v>
      </c>
      <c r="CA184" s="15" t="s">
        <v>32</v>
      </c>
      <c r="CB184" s="14" t="s">
        <v>32</v>
      </c>
      <c r="CC184" s="13" t="s">
        <v>32</v>
      </c>
      <c r="CD184" s="15" t="s">
        <v>32</v>
      </c>
      <c r="CE184" s="14" t="s">
        <v>32</v>
      </c>
      <c r="CF184" s="13" t="s">
        <v>32</v>
      </c>
      <c r="CG184" s="1" t="s">
        <v>32</v>
      </c>
      <c r="CI184" s="12">
        <v>5</v>
      </c>
      <c r="CJ184" s="13" t="s">
        <v>32</v>
      </c>
      <c r="CK184" s="15" t="s">
        <v>32</v>
      </c>
      <c r="CL184" s="14" t="s">
        <v>32</v>
      </c>
      <c r="CM184" s="13" t="s">
        <v>32</v>
      </c>
      <c r="CN184" s="15" t="s">
        <v>32</v>
      </c>
      <c r="CO184" s="14" t="s">
        <v>32</v>
      </c>
      <c r="CP184" s="13" t="s">
        <v>32</v>
      </c>
      <c r="CQ184" s="1" t="s">
        <v>32</v>
      </c>
      <c r="CR184" s="12" t="s">
        <v>32</v>
      </c>
      <c r="CS184" s="212">
        <v>2</v>
      </c>
      <c r="CT184" s="15" t="s">
        <v>32</v>
      </c>
      <c r="CU184" s="14" t="s">
        <v>32</v>
      </c>
      <c r="CV184" s="212">
        <v>9</v>
      </c>
      <c r="CW184" s="15" t="s">
        <v>32</v>
      </c>
      <c r="CX184" s="14" t="s">
        <v>32</v>
      </c>
      <c r="CY184" s="13" t="s">
        <v>32</v>
      </c>
      <c r="CZ184" s="1" t="s">
        <v>32</v>
      </c>
      <c r="DA184" s="12" t="s">
        <v>32</v>
      </c>
      <c r="DB184" s="13" t="s">
        <v>32</v>
      </c>
      <c r="DC184" s="15" t="s">
        <v>32</v>
      </c>
      <c r="DD184" s="14" t="s">
        <v>32</v>
      </c>
      <c r="DE184" s="13" t="s">
        <v>32</v>
      </c>
      <c r="DF184" s="15" t="s">
        <v>32</v>
      </c>
      <c r="DG184" s="14" t="s">
        <v>32</v>
      </c>
      <c r="DH184" s="13" t="s">
        <v>32</v>
      </c>
      <c r="DI184" s="1" t="s">
        <v>32</v>
      </c>
    </row>
    <row r="185" spans="2:113" ht="15" customHeight="1">
      <c r="B185" s="16">
        <v>0</v>
      </c>
      <c r="C185" s="17" t="s">
        <v>32</v>
      </c>
      <c r="D185" s="18">
        <v>0</v>
      </c>
      <c r="E185" s="19" t="s">
        <v>32</v>
      </c>
      <c r="F185" s="17" t="s">
        <v>32</v>
      </c>
      <c r="G185" s="18" t="s">
        <v>32</v>
      </c>
      <c r="H185" s="19" t="s">
        <v>32</v>
      </c>
      <c r="I185" s="17" t="s">
        <v>32</v>
      </c>
      <c r="J185" s="20" t="s">
        <v>32</v>
      </c>
      <c r="K185" s="16" t="s">
        <v>32</v>
      </c>
      <c r="L185" s="17" t="s">
        <v>32</v>
      </c>
      <c r="M185" s="18" t="s">
        <v>32</v>
      </c>
      <c r="N185" s="19" t="s">
        <v>32</v>
      </c>
      <c r="O185" s="17">
        <v>0</v>
      </c>
      <c r="P185" s="18" t="s">
        <v>32</v>
      </c>
      <c r="Q185" s="19" t="s">
        <v>32</v>
      </c>
      <c r="R185" s="17" t="s">
        <v>32</v>
      </c>
      <c r="S185" s="20" t="s">
        <v>32</v>
      </c>
      <c r="T185" s="16" t="s">
        <v>32</v>
      </c>
      <c r="U185" s="17" t="s">
        <v>32</v>
      </c>
      <c r="V185" s="18" t="s">
        <v>32</v>
      </c>
      <c r="W185" s="19" t="s">
        <v>32</v>
      </c>
      <c r="X185" s="17" t="s">
        <v>32</v>
      </c>
      <c r="Y185" s="18" t="s">
        <v>32</v>
      </c>
      <c r="Z185" s="19" t="s">
        <v>32</v>
      </c>
      <c r="AA185" s="17" t="s">
        <v>32</v>
      </c>
      <c r="AB185" s="20">
        <v>0</v>
      </c>
      <c r="AD185" s="16">
        <v>8</v>
      </c>
      <c r="AE185" s="17" t="s">
        <v>32</v>
      </c>
      <c r="AF185" s="18">
        <v>9</v>
      </c>
      <c r="AG185" s="19" t="s">
        <v>32</v>
      </c>
      <c r="AH185" s="17" t="s">
        <v>32</v>
      </c>
      <c r="AI185" s="18" t="s">
        <v>32</v>
      </c>
      <c r="AJ185" s="19" t="s">
        <v>32</v>
      </c>
      <c r="AK185" s="17" t="s">
        <v>32</v>
      </c>
      <c r="AL185" s="20" t="s">
        <v>32</v>
      </c>
      <c r="AM185" s="16" t="s">
        <v>32</v>
      </c>
      <c r="AN185" s="17" t="s">
        <v>32</v>
      </c>
      <c r="AO185" s="18" t="s">
        <v>32</v>
      </c>
      <c r="AP185" s="19" t="s">
        <v>32</v>
      </c>
      <c r="AQ185" s="17">
        <v>2</v>
      </c>
      <c r="AR185" s="18" t="s">
        <v>32</v>
      </c>
      <c r="AS185" s="19" t="s">
        <v>32</v>
      </c>
      <c r="AT185" s="17" t="s">
        <v>32</v>
      </c>
      <c r="AU185" s="20" t="s">
        <v>32</v>
      </c>
      <c r="AV185" s="16" t="s">
        <v>32</v>
      </c>
      <c r="AW185" s="17" t="s">
        <v>32</v>
      </c>
      <c r="AX185" s="18" t="s">
        <v>32</v>
      </c>
      <c r="AY185" s="19" t="s">
        <v>32</v>
      </c>
      <c r="AZ185" s="17" t="s">
        <v>32</v>
      </c>
      <c r="BA185" s="18" t="s">
        <v>32</v>
      </c>
      <c r="BB185" s="19" t="s">
        <v>32</v>
      </c>
      <c r="BC185" s="17" t="s">
        <v>32</v>
      </c>
      <c r="BD185" s="20">
        <v>1</v>
      </c>
      <c r="BG185" s="16">
        <v>0</v>
      </c>
      <c r="BH185" s="17">
        <v>0</v>
      </c>
      <c r="BI185" s="18" t="s">
        <v>32</v>
      </c>
      <c r="BJ185" s="19" t="s">
        <v>32</v>
      </c>
      <c r="BK185" s="17" t="s">
        <v>32</v>
      </c>
      <c r="BL185" s="18" t="s">
        <v>32</v>
      </c>
      <c r="BM185" s="19" t="s">
        <v>32</v>
      </c>
      <c r="BN185" s="17" t="s">
        <v>32</v>
      </c>
      <c r="BO185" s="20" t="s">
        <v>32</v>
      </c>
      <c r="BP185" s="16" t="s">
        <v>32</v>
      </c>
      <c r="BQ185" s="17" t="s">
        <v>32</v>
      </c>
      <c r="BR185" s="18" t="s">
        <v>32</v>
      </c>
      <c r="BS185" s="19" t="s">
        <v>32</v>
      </c>
      <c r="BT185" s="211">
        <v>5</v>
      </c>
      <c r="BU185" s="18" t="s">
        <v>32</v>
      </c>
      <c r="BV185" s="19">
        <v>0</v>
      </c>
      <c r="BW185" s="17" t="s">
        <v>32</v>
      </c>
      <c r="BX185" s="20" t="s">
        <v>32</v>
      </c>
      <c r="BY185" s="16" t="s">
        <v>32</v>
      </c>
      <c r="BZ185" s="17" t="s">
        <v>32</v>
      </c>
      <c r="CA185" s="18" t="s">
        <v>32</v>
      </c>
      <c r="CB185" s="19" t="s">
        <v>32</v>
      </c>
      <c r="CC185" s="17" t="s">
        <v>32</v>
      </c>
      <c r="CD185" s="18" t="s">
        <v>32</v>
      </c>
      <c r="CE185" s="19" t="s">
        <v>32</v>
      </c>
      <c r="CF185" s="17">
        <v>0</v>
      </c>
      <c r="CG185" s="20">
        <v>0</v>
      </c>
      <c r="CI185" s="16">
        <v>6</v>
      </c>
      <c r="CJ185" s="17">
        <v>8</v>
      </c>
      <c r="CK185" s="18" t="s">
        <v>32</v>
      </c>
      <c r="CL185" s="19" t="s">
        <v>32</v>
      </c>
      <c r="CM185" s="17" t="s">
        <v>32</v>
      </c>
      <c r="CN185" s="18" t="s">
        <v>32</v>
      </c>
      <c r="CO185" s="19" t="s">
        <v>32</v>
      </c>
      <c r="CP185" s="17" t="s">
        <v>32</v>
      </c>
      <c r="CQ185" s="20" t="s">
        <v>32</v>
      </c>
      <c r="CR185" s="16" t="s">
        <v>32</v>
      </c>
      <c r="CS185" s="17" t="s">
        <v>32</v>
      </c>
      <c r="CT185" s="18" t="s">
        <v>32</v>
      </c>
      <c r="CU185" s="19" t="s">
        <v>32</v>
      </c>
      <c r="CV185" s="211">
        <v>5</v>
      </c>
      <c r="CW185" s="18" t="s">
        <v>32</v>
      </c>
      <c r="CX185" s="19">
        <v>3</v>
      </c>
      <c r="CY185" s="17" t="s">
        <v>32</v>
      </c>
      <c r="CZ185" s="20" t="s">
        <v>32</v>
      </c>
      <c r="DA185" s="16" t="s">
        <v>32</v>
      </c>
      <c r="DB185" s="17" t="s">
        <v>32</v>
      </c>
      <c r="DC185" s="18" t="s">
        <v>32</v>
      </c>
      <c r="DD185" s="19" t="s">
        <v>32</v>
      </c>
      <c r="DE185" s="17" t="s">
        <v>32</v>
      </c>
      <c r="DF185" s="18" t="s">
        <v>32</v>
      </c>
      <c r="DG185" s="19" t="s">
        <v>32</v>
      </c>
      <c r="DH185" s="17">
        <v>2</v>
      </c>
      <c r="DI185" s="20">
        <v>1</v>
      </c>
    </row>
    <row r="186" spans="2:113" ht="15" customHeight="1">
      <c r="B186" s="11" t="s">
        <v>32</v>
      </c>
      <c r="C186" s="7">
        <v>0</v>
      </c>
      <c r="D186" s="9" t="s">
        <v>32</v>
      </c>
      <c r="E186" s="8" t="s">
        <v>32</v>
      </c>
      <c r="F186" s="7" t="s">
        <v>32</v>
      </c>
      <c r="G186" s="9" t="s">
        <v>32</v>
      </c>
      <c r="H186" s="8" t="s">
        <v>32</v>
      </c>
      <c r="I186" s="7" t="s">
        <v>32</v>
      </c>
      <c r="J186" s="10" t="s">
        <v>32</v>
      </c>
      <c r="K186" s="11" t="s">
        <v>32</v>
      </c>
      <c r="L186" s="7" t="s">
        <v>32</v>
      </c>
      <c r="M186" s="9" t="s">
        <v>32</v>
      </c>
      <c r="N186" s="8">
        <v>0</v>
      </c>
      <c r="O186" s="204">
        <v>9</v>
      </c>
      <c r="P186" s="9" t="s">
        <v>32</v>
      </c>
      <c r="Q186" s="8" t="s">
        <v>32</v>
      </c>
      <c r="R186" s="7" t="s">
        <v>32</v>
      </c>
      <c r="S186" s="10" t="s">
        <v>32</v>
      </c>
      <c r="T186" s="11" t="s">
        <v>32</v>
      </c>
      <c r="U186" s="7" t="s">
        <v>32</v>
      </c>
      <c r="V186" s="9" t="s">
        <v>32</v>
      </c>
      <c r="W186" s="8" t="s">
        <v>32</v>
      </c>
      <c r="X186" s="7" t="s">
        <v>32</v>
      </c>
      <c r="Y186" s="9" t="s">
        <v>32</v>
      </c>
      <c r="Z186" s="206">
        <v>5</v>
      </c>
      <c r="AA186" s="7">
        <v>0</v>
      </c>
      <c r="AB186" s="10">
        <v>0</v>
      </c>
      <c r="AD186" s="11" t="s">
        <v>32</v>
      </c>
      <c r="AE186" s="7">
        <v>2</v>
      </c>
      <c r="AF186" s="9" t="s">
        <v>32</v>
      </c>
      <c r="AG186" s="8" t="s">
        <v>32</v>
      </c>
      <c r="AH186" s="7" t="s">
        <v>32</v>
      </c>
      <c r="AI186" s="9" t="s">
        <v>32</v>
      </c>
      <c r="AJ186" s="8" t="s">
        <v>32</v>
      </c>
      <c r="AK186" s="7" t="s">
        <v>32</v>
      </c>
      <c r="AL186" s="10" t="s">
        <v>32</v>
      </c>
      <c r="AM186" s="11" t="s">
        <v>32</v>
      </c>
      <c r="AN186" s="7" t="s">
        <v>32</v>
      </c>
      <c r="AO186" s="9" t="s">
        <v>32</v>
      </c>
      <c r="AP186" s="8">
        <v>7</v>
      </c>
      <c r="AQ186" s="204">
        <v>9</v>
      </c>
      <c r="AR186" s="9" t="s">
        <v>32</v>
      </c>
      <c r="AS186" s="8" t="s">
        <v>32</v>
      </c>
      <c r="AT186" s="7" t="s">
        <v>32</v>
      </c>
      <c r="AU186" s="10" t="s">
        <v>32</v>
      </c>
      <c r="AV186" s="11" t="s">
        <v>32</v>
      </c>
      <c r="AW186" s="7" t="s">
        <v>32</v>
      </c>
      <c r="AX186" s="9" t="s">
        <v>32</v>
      </c>
      <c r="AY186" s="8" t="s">
        <v>32</v>
      </c>
      <c r="AZ186" s="7" t="s">
        <v>32</v>
      </c>
      <c r="BA186" s="9" t="s">
        <v>32</v>
      </c>
      <c r="BB186" s="206">
        <v>5</v>
      </c>
      <c r="BC186" s="7">
        <v>3</v>
      </c>
      <c r="BD186" s="10">
        <v>4</v>
      </c>
      <c r="BG186" s="11">
        <v>0</v>
      </c>
      <c r="BH186" s="7" t="s">
        <v>32</v>
      </c>
      <c r="BI186" s="205">
        <v>3</v>
      </c>
      <c r="BJ186" s="8" t="s">
        <v>32</v>
      </c>
      <c r="BK186" s="7" t="s">
        <v>32</v>
      </c>
      <c r="BL186" s="9" t="s">
        <v>32</v>
      </c>
      <c r="BM186" s="8" t="s">
        <v>32</v>
      </c>
      <c r="BN186" s="7" t="s">
        <v>32</v>
      </c>
      <c r="BO186" s="10" t="s">
        <v>32</v>
      </c>
      <c r="BP186" s="11" t="s">
        <v>32</v>
      </c>
      <c r="BQ186" s="7" t="s">
        <v>32</v>
      </c>
      <c r="BR186" s="9" t="s">
        <v>32</v>
      </c>
      <c r="BS186" s="8" t="s">
        <v>32</v>
      </c>
      <c r="BT186" s="7" t="s">
        <v>32</v>
      </c>
      <c r="BU186" s="9">
        <v>0</v>
      </c>
      <c r="BV186" s="8" t="s">
        <v>32</v>
      </c>
      <c r="BW186" s="7" t="s">
        <v>32</v>
      </c>
      <c r="BX186" s="10" t="s">
        <v>32</v>
      </c>
      <c r="BY186" s="11" t="s">
        <v>32</v>
      </c>
      <c r="BZ186" s="7" t="s">
        <v>32</v>
      </c>
      <c r="CA186" s="9" t="s">
        <v>32</v>
      </c>
      <c r="CB186" s="8" t="s">
        <v>32</v>
      </c>
      <c r="CC186" s="7" t="s">
        <v>32</v>
      </c>
      <c r="CD186" s="9" t="s">
        <v>32</v>
      </c>
      <c r="CE186" s="206">
        <v>6</v>
      </c>
      <c r="CF186" s="204">
        <v>9</v>
      </c>
      <c r="CG186" s="10">
        <v>0</v>
      </c>
      <c r="CI186" s="11">
        <v>4</v>
      </c>
      <c r="CJ186" s="7" t="s">
        <v>32</v>
      </c>
      <c r="CK186" s="205">
        <v>3</v>
      </c>
      <c r="CL186" s="8" t="s">
        <v>32</v>
      </c>
      <c r="CM186" s="7" t="s">
        <v>32</v>
      </c>
      <c r="CN186" s="9" t="s">
        <v>32</v>
      </c>
      <c r="CO186" s="8" t="s">
        <v>32</v>
      </c>
      <c r="CP186" s="7" t="s">
        <v>32</v>
      </c>
      <c r="CQ186" s="10" t="s">
        <v>32</v>
      </c>
      <c r="CR186" s="11" t="s">
        <v>32</v>
      </c>
      <c r="CS186" s="7" t="s">
        <v>32</v>
      </c>
      <c r="CT186" s="9" t="s">
        <v>32</v>
      </c>
      <c r="CU186" s="8" t="s">
        <v>32</v>
      </c>
      <c r="CV186" s="7" t="s">
        <v>32</v>
      </c>
      <c r="CW186" s="9">
        <v>1</v>
      </c>
      <c r="CX186" s="8" t="s">
        <v>32</v>
      </c>
      <c r="CY186" s="7" t="s">
        <v>32</v>
      </c>
      <c r="CZ186" s="10" t="s">
        <v>32</v>
      </c>
      <c r="DA186" s="11" t="s">
        <v>32</v>
      </c>
      <c r="DB186" s="7" t="s">
        <v>32</v>
      </c>
      <c r="DC186" s="9" t="s">
        <v>32</v>
      </c>
      <c r="DD186" s="8" t="s">
        <v>32</v>
      </c>
      <c r="DE186" s="7" t="s">
        <v>32</v>
      </c>
      <c r="DF186" s="9" t="s">
        <v>32</v>
      </c>
      <c r="DG186" s="206">
        <v>6</v>
      </c>
      <c r="DH186" s="204">
        <v>9</v>
      </c>
      <c r="DI186" s="10">
        <v>5</v>
      </c>
    </row>
    <row r="187" spans="2:113" ht="15" customHeight="1">
      <c r="B187" s="12">
        <v>0</v>
      </c>
      <c r="C187" s="13" t="s">
        <v>32</v>
      </c>
      <c r="D187" s="15" t="s">
        <v>32</v>
      </c>
      <c r="E187" s="14" t="s">
        <v>32</v>
      </c>
      <c r="F187" s="13" t="s">
        <v>32</v>
      </c>
      <c r="G187" s="15" t="s">
        <v>32</v>
      </c>
      <c r="H187" s="14" t="s">
        <v>32</v>
      </c>
      <c r="I187" s="13" t="s">
        <v>32</v>
      </c>
      <c r="J187" s="1" t="s">
        <v>32</v>
      </c>
      <c r="K187" s="12" t="s">
        <v>32</v>
      </c>
      <c r="L187" s="13" t="s">
        <v>32</v>
      </c>
      <c r="M187" s="15" t="s">
        <v>32</v>
      </c>
      <c r="N187" s="14" t="s">
        <v>32</v>
      </c>
      <c r="O187" s="13">
        <v>0</v>
      </c>
      <c r="P187" s="15" t="s">
        <v>32</v>
      </c>
      <c r="Q187" s="14" t="s">
        <v>32</v>
      </c>
      <c r="R187" s="13" t="s">
        <v>32</v>
      </c>
      <c r="S187" s="1" t="s">
        <v>32</v>
      </c>
      <c r="T187" s="12" t="s">
        <v>32</v>
      </c>
      <c r="U187" s="13" t="s">
        <v>32</v>
      </c>
      <c r="V187" s="15" t="s">
        <v>32</v>
      </c>
      <c r="W187" s="14" t="s">
        <v>32</v>
      </c>
      <c r="X187" s="13" t="s">
        <v>32</v>
      </c>
      <c r="Y187" s="15" t="s">
        <v>32</v>
      </c>
      <c r="Z187" s="14" t="s">
        <v>32</v>
      </c>
      <c r="AA187" s="13">
        <v>0</v>
      </c>
      <c r="AB187" s="1">
        <v>0</v>
      </c>
      <c r="AD187" s="12">
        <v>3</v>
      </c>
      <c r="AE187" s="13" t="s">
        <v>32</v>
      </c>
      <c r="AF187" s="15" t="s">
        <v>32</v>
      </c>
      <c r="AG187" s="14" t="s">
        <v>32</v>
      </c>
      <c r="AH187" s="13" t="s">
        <v>32</v>
      </c>
      <c r="AI187" s="15" t="s">
        <v>32</v>
      </c>
      <c r="AJ187" s="14" t="s">
        <v>32</v>
      </c>
      <c r="AK187" s="13" t="s">
        <v>32</v>
      </c>
      <c r="AL187" s="1" t="s">
        <v>32</v>
      </c>
      <c r="AM187" s="12" t="s">
        <v>32</v>
      </c>
      <c r="AN187" s="13" t="s">
        <v>32</v>
      </c>
      <c r="AO187" s="15" t="s">
        <v>32</v>
      </c>
      <c r="AP187" s="14" t="s">
        <v>32</v>
      </c>
      <c r="AQ187" s="13">
        <v>5</v>
      </c>
      <c r="AR187" s="15" t="s">
        <v>32</v>
      </c>
      <c r="AS187" s="14" t="s">
        <v>32</v>
      </c>
      <c r="AT187" s="13" t="s">
        <v>32</v>
      </c>
      <c r="AU187" s="1" t="s">
        <v>32</v>
      </c>
      <c r="AV187" s="12" t="s">
        <v>32</v>
      </c>
      <c r="AW187" s="13" t="s">
        <v>32</v>
      </c>
      <c r="AX187" s="15" t="s">
        <v>32</v>
      </c>
      <c r="AY187" s="14" t="s">
        <v>32</v>
      </c>
      <c r="AZ187" s="13" t="s">
        <v>32</v>
      </c>
      <c r="BA187" s="15" t="s">
        <v>32</v>
      </c>
      <c r="BB187" s="14" t="s">
        <v>32</v>
      </c>
      <c r="BC187" s="13">
        <v>2</v>
      </c>
      <c r="BD187" s="1">
        <v>6</v>
      </c>
      <c r="BG187" s="12" t="s">
        <v>32</v>
      </c>
      <c r="BH187" s="13" t="s">
        <v>32</v>
      </c>
      <c r="BI187" s="15">
        <v>0</v>
      </c>
      <c r="BJ187" s="14" t="s">
        <v>32</v>
      </c>
      <c r="BK187" s="13" t="s">
        <v>32</v>
      </c>
      <c r="BL187" s="15" t="s">
        <v>32</v>
      </c>
      <c r="BM187" s="14" t="s">
        <v>32</v>
      </c>
      <c r="BN187" s="13" t="s">
        <v>32</v>
      </c>
      <c r="BO187" s="1" t="s">
        <v>32</v>
      </c>
      <c r="BP187" s="12" t="s">
        <v>32</v>
      </c>
      <c r="BQ187" s="13" t="s">
        <v>32</v>
      </c>
      <c r="BR187" s="15" t="s">
        <v>32</v>
      </c>
      <c r="BS187" s="14" t="s">
        <v>32</v>
      </c>
      <c r="BT187" s="13" t="s">
        <v>32</v>
      </c>
      <c r="BU187" s="15" t="s">
        <v>32</v>
      </c>
      <c r="BV187" s="14" t="s">
        <v>32</v>
      </c>
      <c r="BW187" s="13" t="s">
        <v>32</v>
      </c>
      <c r="BX187" s="1" t="s">
        <v>32</v>
      </c>
      <c r="BY187" s="12" t="s">
        <v>32</v>
      </c>
      <c r="BZ187" s="13" t="s">
        <v>32</v>
      </c>
      <c r="CA187" s="15" t="s">
        <v>32</v>
      </c>
      <c r="CB187" s="14" t="s">
        <v>32</v>
      </c>
      <c r="CC187" s="13" t="s">
        <v>32</v>
      </c>
      <c r="CD187" s="15" t="s">
        <v>32</v>
      </c>
      <c r="CE187" s="14" t="s">
        <v>32</v>
      </c>
      <c r="CF187" s="13">
        <v>0</v>
      </c>
      <c r="CG187" s="1">
        <v>0</v>
      </c>
      <c r="CI187" s="12" t="s">
        <v>32</v>
      </c>
      <c r="CJ187" s="13" t="s">
        <v>32</v>
      </c>
      <c r="CK187" s="15">
        <v>2</v>
      </c>
      <c r="CL187" s="14" t="s">
        <v>32</v>
      </c>
      <c r="CM187" s="13" t="s">
        <v>32</v>
      </c>
      <c r="CN187" s="15" t="s">
        <v>32</v>
      </c>
      <c r="CO187" s="14" t="s">
        <v>32</v>
      </c>
      <c r="CP187" s="13" t="s">
        <v>32</v>
      </c>
      <c r="CQ187" s="1" t="s">
        <v>32</v>
      </c>
      <c r="CR187" s="12" t="s">
        <v>32</v>
      </c>
      <c r="CS187" s="13" t="s">
        <v>32</v>
      </c>
      <c r="CT187" s="15" t="s">
        <v>32</v>
      </c>
      <c r="CU187" s="14" t="s">
        <v>32</v>
      </c>
      <c r="CV187" s="13" t="s">
        <v>32</v>
      </c>
      <c r="CW187" s="15" t="s">
        <v>32</v>
      </c>
      <c r="CX187" s="14" t="s">
        <v>32</v>
      </c>
      <c r="CY187" s="13" t="s">
        <v>32</v>
      </c>
      <c r="CZ187" s="1" t="s">
        <v>32</v>
      </c>
      <c r="DA187" s="12" t="s">
        <v>32</v>
      </c>
      <c r="DB187" s="13" t="s">
        <v>32</v>
      </c>
      <c r="DC187" s="15" t="s">
        <v>32</v>
      </c>
      <c r="DD187" s="14" t="s">
        <v>32</v>
      </c>
      <c r="DE187" s="13" t="s">
        <v>32</v>
      </c>
      <c r="DF187" s="15" t="s">
        <v>32</v>
      </c>
      <c r="DG187" s="14" t="s">
        <v>32</v>
      </c>
      <c r="DH187" s="13">
        <v>3</v>
      </c>
      <c r="DI187" s="1">
        <v>7</v>
      </c>
    </row>
    <row r="188" spans="2:113" ht="15" customHeight="1">
      <c r="B188" s="16" t="s">
        <v>32</v>
      </c>
      <c r="C188" s="17">
        <v>0</v>
      </c>
      <c r="D188" s="18">
        <v>0</v>
      </c>
      <c r="E188" s="19" t="s">
        <v>32</v>
      </c>
      <c r="F188" s="17" t="s">
        <v>32</v>
      </c>
      <c r="G188" s="18" t="s">
        <v>32</v>
      </c>
      <c r="H188" s="19" t="s">
        <v>32</v>
      </c>
      <c r="I188" s="17" t="s">
        <v>32</v>
      </c>
      <c r="J188" s="20" t="s">
        <v>32</v>
      </c>
      <c r="K188" s="16" t="s">
        <v>32</v>
      </c>
      <c r="L188" s="17" t="s">
        <v>32</v>
      </c>
      <c r="M188" s="18" t="s">
        <v>32</v>
      </c>
      <c r="N188" s="19">
        <v>0</v>
      </c>
      <c r="O188" s="211">
        <v>8</v>
      </c>
      <c r="P188" s="18" t="s">
        <v>32</v>
      </c>
      <c r="Q188" s="19" t="s">
        <v>32</v>
      </c>
      <c r="R188" s="17" t="s">
        <v>32</v>
      </c>
      <c r="S188" s="20" t="s">
        <v>32</v>
      </c>
      <c r="T188" s="16" t="s">
        <v>32</v>
      </c>
      <c r="U188" s="17" t="s">
        <v>32</v>
      </c>
      <c r="V188" s="18" t="s">
        <v>32</v>
      </c>
      <c r="W188" s="19" t="s">
        <v>32</v>
      </c>
      <c r="X188" s="17" t="s">
        <v>32</v>
      </c>
      <c r="Y188" s="18" t="s">
        <v>32</v>
      </c>
      <c r="Z188" s="19" t="s">
        <v>32</v>
      </c>
      <c r="AA188" s="17" t="s">
        <v>32</v>
      </c>
      <c r="AB188" s="20">
        <v>0</v>
      </c>
      <c r="AD188" s="16" t="s">
        <v>32</v>
      </c>
      <c r="AE188" s="17">
        <v>4</v>
      </c>
      <c r="AF188" s="18">
        <v>5</v>
      </c>
      <c r="AG188" s="19" t="s">
        <v>32</v>
      </c>
      <c r="AH188" s="17" t="s">
        <v>32</v>
      </c>
      <c r="AI188" s="18" t="s">
        <v>32</v>
      </c>
      <c r="AJ188" s="19" t="s">
        <v>32</v>
      </c>
      <c r="AK188" s="17" t="s">
        <v>32</v>
      </c>
      <c r="AL188" s="20" t="s">
        <v>32</v>
      </c>
      <c r="AM188" s="16" t="s">
        <v>32</v>
      </c>
      <c r="AN188" s="17" t="s">
        <v>32</v>
      </c>
      <c r="AO188" s="18" t="s">
        <v>32</v>
      </c>
      <c r="AP188" s="19">
        <v>6</v>
      </c>
      <c r="AQ188" s="211">
        <v>8</v>
      </c>
      <c r="AR188" s="18" t="s">
        <v>32</v>
      </c>
      <c r="AS188" s="19" t="s">
        <v>32</v>
      </c>
      <c r="AT188" s="17" t="s">
        <v>32</v>
      </c>
      <c r="AU188" s="20" t="s">
        <v>32</v>
      </c>
      <c r="AV188" s="16" t="s">
        <v>32</v>
      </c>
      <c r="AW188" s="17" t="s">
        <v>32</v>
      </c>
      <c r="AX188" s="18" t="s">
        <v>32</v>
      </c>
      <c r="AY188" s="19" t="s">
        <v>32</v>
      </c>
      <c r="AZ188" s="17" t="s">
        <v>32</v>
      </c>
      <c r="BA188" s="18" t="s">
        <v>32</v>
      </c>
      <c r="BB188" s="19" t="s">
        <v>32</v>
      </c>
      <c r="BC188" s="17" t="s">
        <v>32</v>
      </c>
      <c r="BD188" s="20">
        <v>9</v>
      </c>
      <c r="BG188" s="16" t="s">
        <v>32</v>
      </c>
      <c r="BH188" s="17" t="s">
        <v>32</v>
      </c>
      <c r="BI188" s="18" t="s">
        <v>32</v>
      </c>
      <c r="BJ188" s="19">
        <v>0</v>
      </c>
      <c r="BK188" s="17" t="s">
        <v>32</v>
      </c>
      <c r="BL188" s="18" t="s">
        <v>32</v>
      </c>
      <c r="BM188" s="19" t="s">
        <v>32</v>
      </c>
      <c r="BN188" s="17" t="s">
        <v>32</v>
      </c>
      <c r="BO188" s="20" t="s">
        <v>32</v>
      </c>
      <c r="BP188" s="16" t="s">
        <v>32</v>
      </c>
      <c r="BQ188" s="17" t="s">
        <v>32</v>
      </c>
      <c r="BR188" s="18" t="s">
        <v>32</v>
      </c>
      <c r="BS188" s="19" t="s">
        <v>32</v>
      </c>
      <c r="BT188" s="17" t="s">
        <v>32</v>
      </c>
      <c r="BU188" s="18" t="s">
        <v>32</v>
      </c>
      <c r="BV188" s="19" t="s">
        <v>32</v>
      </c>
      <c r="BW188" s="17" t="s">
        <v>32</v>
      </c>
      <c r="BX188" s="20" t="s">
        <v>32</v>
      </c>
      <c r="BY188" s="16" t="s">
        <v>32</v>
      </c>
      <c r="BZ188" s="17" t="s">
        <v>32</v>
      </c>
      <c r="CA188" s="18" t="s">
        <v>32</v>
      </c>
      <c r="CB188" s="19" t="s">
        <v>32</v>
      </c>
      <c r="CC188" s="17" t="s">
        <v>32</v>
      </c>
      <c r="CD188" s="18" t="s">
        <v>32</v>
      </c>
      <c r="CE188" s="19" t="s">
        <v>32</v>
      </c>
      <c r="CF188" s="211">
        <v>8</v>
      </c>
      <c r="CG188" s="20">
        <v>0</v>
      </c>
      <c r="CI188" s="16" t="s">
        <v>32</v>
      </c>
      <c r="CJ188" s="17" t="s">
        <v>32</v>
      </c>
      <c r="CK188" s="18" t="s">
        <v>32</v>
      </c>
      <c r="CL188" s="19">
        <v>7</v>
      </c>
      <c r="CM188" s="17" t="s">
        <v>32</v>
      </c>
      <c r="CN188" s="18" t="s">
        <v>32</v>
      </c>
      <c r="CO188" s="19" t="s">
        <v>32</v>
      </c>
      <c r="CP188" s="17" t="s">
        <v>32</v>
      </c>
      <c r="CQ188" s="20" t="s">
        <v>32</v>
      </c>
      <c r="CR188" s="16" t="s">
        <v>32</v>
      </c>
      <c r="CS188" s="17" t="s">
        <v>32</v>
      </c>
      <c r="CT188" s="18" t="s">
        <v>32</v>
      </c>
      <c r="CU188" s="19" t="s">
        <v>32</v>
      </c>
      <c r="CV188" s="17" t="s">
        <v>32</v>
      </c>
      <c r="CW188" s="18" t="s">
        <v>32</v>
      </c>
      <c r="CX188" s="19" t="s">
        <v>32</v>
      </c>
      <c r="CY188" s="17" t="s">
        <v>32</v>
      </c>
      <c r="CZ188" s="20" t="s">
        <v>32</v>
      </c>
      <c r="DA188" s="16" t="s">
        <v>32</v>
      </c>
      <c r="DB188" s="17" t="s">
        <v>32</v>
      </c>
      <c r="DC188" s="18" t="s">
        <v>32</v>
      </c>
      <c r="DD188" s="19" t="s">
        <v>32</v>
      </c>
      <c r="DE188" s="17" t="s">
        <v>32</v>
      </c>
      <c r="DF188" s="18" t="s">
        <v>32</v>
      </c>
      <c r="DG188" s="19" t="s">
        <v>32</v>
      </c>
      <c r="DH188" s="211">
        <v>8</v>
      </c>
      <c r="DI188" s="20">
        <v>4</v>
      </c>
    </row>
    <row r="189" spans="2:113" ht="15" customHeight="1">
      <c r="B189" s="11" t="s">
        <v>32</v>
      </c>
      <c r="C189" s="7" t="s">
        <v>32</v>
      </c>
      <c r="D189" s="9" t="s">
        <v>32</v>
      </c>
      <c r="E189" s="8" t="s">
        <v>32</v>
      </c>
      <c r="F189" s="7" t="s">
        <v>32</v>
      </c>
      <c r="G189" s="9" t="s">
        <v>32</v>
      </c>
      <c r="H189" s="8" t="s">
        <v>32</v>
      </c>
      <c r="I189" s="7" t="s">
        <v>32</v>
      </c>
      <c r="J189" s="10" t="s">
        <v>32</v>
      </c>
      <c r="K189" s="11" t="s">
        <v>32</v>
      </c>
      <c r="L189" s="7" t="s">
        <v>32</v>
      </c>
      <c r="M189" s="9" t="s">
        <v>32</v>
      </c>
      <c r="N189" s="8">
        <v>0</v>
      </c>
      <c r="O189" s="7" t="s">
        <v>32</v>
      </c>
      <c r="P189" s="9" t="s">
        <v>32</v>
      </c>
      <c r="Q189" s="8" t="s">
        <v>32</v>
      </c>
      <c r="R189" s="7" t="s">
        <v>32</v>
      </c>
      <c r="S189" s="10" t="s">
        <v>32</v>
      </c>
      <c r="T189" s="11" t="s">
        <v>32</v>
      </c>
      <c r="U189" s="7" t="s">
        <v>32</v>
      </c>
      <c r="V189" s="9" t="s">
        <v>32</v>
      </c>
      <c r="W189" s="8" t="s">
        <v>32</v>
      </c>
      <c r="X189" s="7" t="s">
        <v>32</v>
      </c>
      <c r="Y189" s="9" t="s">
        <v>32</v>
      </c>
      <c r="Z189" s="8" t="s">
        <v>32</v>
      </c>
      <c r="AA189" s="7" t="s">
        <v>32</v>
      </c>
      <c r="AB189" s="10">
        <v>0</v>
      </c>
      <c r="AD189" s="11" t="s">
        <v>32</v>
      </c>
      <c r="AE189" s="7" t="s">
        <v>32</v>
      </c>
      <c r="AF189" s="9" t="s">
        <v>32</v>
      </c>
      <c r="AG189" s="8" t="s">
        <v>32</v>
      </c>
      <c r="AH189" s="7" t="s">
        <v>32</v>
      </c>
      <c r="AI189" s="9" t="s">
        <v>32</v>
      </c>
      <c r="AJ189" s="8" t="s">
        <v>32</v>
      </c>
      <c r="AK189" s="7" t="s">
        <v>32</v>
      </c>
      <c r="AL189" s="10" t="s">
        <v>32</v>
      </c>
      <c r="AM189" s="11" t="s">
        <v>32</v>
      </c>
      <c r="AN189" s="7" t="s">
        <v>32</v>
      </c>
      <c r="AO189" s="9" t="s">
        <v>32</v>
      </c>
      <c r="AP189" s="8">
        <v>1</v>
      </c>
      <c r="AQ189" s="7" t="s">
        <v>32</v>
      </c>
      <c r="AR189" s="9" t="s">
        <v>32</v>
      </c>
      <c r="AS189" s="8" t="s">
        <v>32</v>
      </c>
      <c r="AT189" s="7" t="s">
        <v>32</v>
      </c>
      <c r="AU189" s="10" t="s">
        <v>32</v>
      </c>
      <c r="AV189" s="11" t="s">
        <v>32</v>
      </c>
      <c r="AW189" s="7" t="s">
        <v>32</v>
      </c>
      <c r="AX189" s="9" t="s">
        <v>32</v>
      </c>
      <c r="AY189" s="8" t="s">
        <v>32</v>
      </c>
      <c r="AZ189" s="7" t="s">
        <v>32</v>
      </c>
      <c r="BA189" s="9" t="s">
        <v>32</v>
      </c>
      <c r="BB189" s="8" t="s">
        <v>32</v>
      </c>
      <c r="BC189" s="7" t="s">
        <v>32</v>
      </c>
      <c r="BD189" s="10">
        <v>7</v>
      </c>
      <c r="BG189" s="11" t="s">
        <v>32</v>
      </c>
      <c r="BH189" s="7" t="s">
        <v>32</v>
      </c>
      <c r="BI189" s="205">
        <v>9</v>
      </c>
      <c r="BJ189" s="8" t="s">
        <v>32</v>
      </c>
      <c r="BK189" s="7" t="s">
        <v>32</v>
      </c>
      <c r="BL189" s="9" t="s">
        <v>32</v>
      </c>
      <c r="BM189" s="8" t="s">
        <v>32</v>
      </c>
      <c r="BN189" s="7" t="s">
        <v>32</v>
      </c>
      <c r="BO189" s="10" t="s">
        <v>32</v>
      </c>
      <c r="BP189" s="11" t="s">
        <v>32</v>
      </c>
      <c r="BQ189" s="7" t="s">
        <v>32</v>
      </c>
      <c r="BR189" s="9" t="s">
        <v>32</v>
      </c>
      <c r="BS189" s="8" t="s">
        <v>32</v>
      </c>
      <c r="BT189" s="7" t="s">
        <v>32</v>
      </c>
      <c r="BU189" s="9" t="s">
        <v>32</v>
      </c>
      <c r="BV189" s="8" t="s">
        <v>32</v>
      </c>
      <c r="BW189" s="7" t="s">
        <v>32</v>
      </c>
      <c r="BX189" s="10" t="s">
        <v>32</v>
      </c>
      <c r="BY189" s="11" t="s">
        <v>32</v>
      </c>
      <c r="BZ189" s="7" t="s">
        <v>32</v>
      </c>
      <c r="CA189" s="9" t="s">
        <v>32</v>
      </c>
      <c r="CB189" s="8" t="s">
        <v>32</v>
      </c>
      <c r="CC189" s="7" t="s">
        <v>32</v>
      </c>
      <c r="CD189" s="9" t="s">
        <v>32</v>
      </c>
      <c r="CE189" s="8" t="s">
        <v>32</v>
      </c>
      <c r="CF189" s="7" t="s">
        <v>32</v>
      </c>
      <c r="CG189" s="10" t="s">
        <v>32</v>
      </c>
      <c r="CI189" s="11" t="s">
        <v>32</v>
      </c>
      <c r="CJ189" s="7" t="s">
        <v>32</v>
      </c>
      <c r="CK189" s="205">
        <v>9</v>
      </c>
      <c r="CL189" s="8" t="s">
        <v>32</v>
      </c>
      <c r="CM189" s="7" t="s">
        <v>32</v>
      </c>
      <c r="CN189" s="9" t="s">
        <v>32</v>
      </c>
      <c r="CO189" s="8" t="s">
        <v>32</v>
      </c>
      <c r="CP189" s="7" t="s">
        <v>32</v>
      </c>
      <c r="CQ189" s="10" t="s">
        <v>32</v>
      </c>
      <c r="CR189" s="11" t="s">
        <v>32</v>
      </c>
      <c r="CS189" s="7" t="s">
        <v>32</v>
      </c>
      <c r="CT189" s="9" t="s">
        <v>32</v>
      </c>
      <c r="CU189" s="8" t="s">
        <v>32</v>
      </c>
      <c r="CV189" s="7" t="s">
        <v>32</v>
      </c>
      <c r="CW189" s="9" t="s">
        <v>32</v>
      </c>
      <c r="CX189" s="8" t="s">
        <v>32</v>
      </c>
      <c r="CY189" s="7" t="s">
        <v>32</v>
      </c>
      <c r="CZ189" s="10" t="s">
        <v>32</v>
      </c>
      <c r="DA189" s="11" t="s">
        <v>32</v>
      </c>
      <c r="DB189" s="7" t="s">
        <v>32</v>
      </c>
      <c r="DC189" s="9" t="s">
        <v>32</v>
      </c>
      <c r="DD189" s="8" t="s">
        <v>32</v>
      </c>
      <c r="DE189" s="7" t="s">
        <v>32</v>
      </c>
      <c r="DF189" s="9" t="s">
        <v>32</v>
      </c>
      <c r="DG189" s="8" t="s">
        <v>32</v>
      </c>
      <c r="DH189" s="7" t="s">
        <v>32</v>
      </c>
      <c r="DI189" s="10" t="s">
        <v>32</v>
      </c>
    </row>
    <row r="190" spans="2:113" ht="15" customHeight="1" thickBot="1">
      <c r="B190" s="21" t="s">
        <v>32</v>
      </c>
      <c r="C190" s="22" t="s">
        <v>32</v>
      </c>
      <c r="D190" s="23" t="s">
        <v>32</v>
      </c>
      <c r="E190" s="24" t="s">
        <v>32</v>
      </c>
      <c r="F190" s="22" t="s">
        <v>32</v>
      </c>
      <c r="G190" s="23" t="s">
        <v>32</v>
      </c>
      <c r="H190" s="24" t="s">
        <v>32</v>
      </c>
      <c r="I190" s="22" t="s">
        <v>32</v>
      </c>
      <c r="J190" s="25" t="s">
        <v>32</v>
      </c>
      <c r="K190" s="21" t="s">
        <v>32</v>
      </c>
      <c r="L190" s="22" t="s">
        <v>32</v>
      </c>
      <c r="M190" s="23" t="s">
        <v>32</v>
      </c>
      <c r="N190" s="24" t="s">
        <v>32</v>
      </c>
      <c r="O190" s="22" t="s">
        <v>32</v>
      </c>
      <c r="P190" s="23" t="s">
        <v>32</v>
      </c>
      <c r="Q190" s="24" t="s">
        <v>32</v>
      </c>
      <c r="R190" s="22" t="s">
        <v>32</v>
      </c>
      <c r="S190" s="25" t="s">
        <v>32</v>
      </c>
      <c r="T190" s="21" t="s">
        <v>32</v>
      </c>
      <c r="U190" s="22" t="s">
        <v>32</v>
      </c>
      <c r="V190" s="23" t="s">
        <v>32</v>
      </c>
      <c r="W190" s="24" t="s">
        <v>32</v>
      </c>
      <c r="X190" s="22" t="s">
        <v>32</v>
      </c>
      <c r="Y190" s="23" t="s">
        <v>32</v>
      </c>
      <c r="Z190" s="24" t="s">
        <v>32</v>
      </c>
      <c r="AA190" s="22" t="s">
        <v>32</v>
      </c>
      <c r="AB190" s="25">
        <v>0</v>
      </c>
      <c r="AD190" s="21" t="s">
        <v>32</v>
      </c>
      <c r="AE190" s="22" t="s">
        <v>32</v>
      </c>
      <c r="AF190" s="23" t="s">
        <v>32</v>
      </c>
      <c r="AG190" s="24" t="s">
        <v>32</v>
      </c>
      <c r="AH190" s="22" t="s">
        <v>32</v>
      </c>
      <c r="AI190" s="23" t="s">
        <v>32</v>
      </c>
      <c r="AJ190" s="24" t="s">
        <v>32</v>
      </c>
      <c r="AK190" s="22" t="s">
        <v>32</v>
      </c>
      <c r="AL190" s="25" t="s">
        <v>32</v>
      </c>
      <c r="AM190" s="21" t="s">
        <v>32</v>
      </c>
      <c r="AN190" s="22" t="s">
        <v>32</v>
      </c>
      <c r="AO190" s="23" t="s">
        <v>32</v>
      </c>
      <c r="AP190" s="24" t="s">
        <v>32</v>
      </c>
      <c r="AQ190" s="22" t="s">
        <v>32</v>
      </c>
      <c r="AR190" s="23" t="s">
        <v>32</v>
      </c>
      <c r="AS190" s="24" t="s">
        <v>32</v>
      </c>
      <c r="AT190" s="22" t="s">
        <v>32</v>
      </c>
      <c r="AU190" s="25" t="s">
        <v>32</v>
      </c>
      <c r="AV190" s="21" t="s">
        <v>32</v>
      </c>
      <c r="AW190" s="22" t="s">
        <v>32</v>
      </c>
      <c r="AX190" s="23" t="s">
        <v>32</v>
      </c>
      <c r="AY190" s="24" t="s">
        <v>32</v>
      </c>
      <c r="AZ190" s="22" t="s">
        <v>32</v>
      </c>
      <c r="BA190" s="23" t="s">
        <v>32</v>
      </c>
      <c r="BB190" s="24" t="s">
        <v>32</v>
      </c>
      <c r="BC190" s="22" t="s">
        <v>32</v>
      </c>
      <c r="BD190" s="25">
        <v>8</v>
      </c>
      <c r="BG190" s="21" t="s">
        <v>32</v>
      </c>
      <c r="BH190" s="22">
        <v>0</v>
      </c>
      <c r="BI190" s="23" t="s">
        <v>32</v>
      </c>
      <c r="BJ190" s="24" t="s">
        <v>32</v>
      </c>
      <c r="BK190" s="22" t="s">
        <v>32</v>
      </c>
      <c r="BL190" s="23" t="s">
        <v>32</v>
      </c>
      <c r="BM190" s="24" t="s">
        <v>32</v>
      </c>
      <c r="BN190" s="22" t="s">
        <v>32</v>
      </c>
      <c r="BO190" s="25" t="s">
        <v>32</v>
      </c>
      <c r="BP190" s="21" t="s">
        <v>32</v>
      </c>
      <c r="BQ190" s="22" t="s">
        <v>32</v>
      </c>
      <c r="BR190" s="23" t="s">
        <v>32</v>
      </c>
      <c r="BS190" s="24" t="s">
        <v>32</v>
      </c>
      <c r="BT190" s="22" t="s">
        <v>32</v>
      </c>
      <c r="BU190" s="23" t="s">
        <v>32</v>
      </c>
      <c r="BV190" s="24" t="s">
        <v>32</v>
      </c>
      <c r="BW190" s="22" t="s">
        <v>32</v>
      </c>
      <c r="BX190" s="25" t="s">
        <v>32</v>
      </c>
      <c r="BY190" s="21" t="s">
        <v>32</v>
      </c>
      <c r="BZ190" s="22" t="s">
        <v>32</v>
      </c>
      <c r="CA190" s="23" t="s">
        <v>32</v>
      </c>
      <c r="CB190" s="24" t="s">
        <v>32</v>
      </c>
      <c r="CC190" s="22" t="s">
        <v>32</v>
      </c>
      <c r="CD190" s="23" t="s">
        <v>32</v>
      </c>
      <c r="CE190" s="24" t="s">
        <v>32</v>
      </c>
      <c r="CF190" s="22" t="s">
        <v>32</v>
      </c>
      <c r="CG190" s="25" t="s">
        <v>32</v>
      </c>
      <c r="CI190" s="21" t="s">
        <v>32</v>
      </c>
      <c r="CJ190" s="22">
        <v>1</v>
      </c>
      <c r="CK190" s="23" t="s">
        <v>32</v>
      </c>
      <c r="CL190" s="24" t="s">
        <v>32</v>
      </c>
      <c r="CM190" s="22" t="s">
        <v>32</v>
      </c>
      <c r="CN190" s="23" t="s">
        <v>32</v>
      </c>
      <c r="CO190" s="24" t="s">
        <v>32</v>
      </c>
      <c r="CP190" s="22" t="s">
        <v>32</v>
      </c>
      <c r="CQ190" s="25" t="s">
        <v>32</v>
      </c>
      <c r="CR190" s="21" t="s">
        <v>32</v>
      </c>
      <c r="CS190" s="22" t="s">
        <v>32</v>
      </c>
      <c r="CT190" s="23" t="s">
        <v>32</v>
      </c>
      <c r="CU190" s="24" t="s">
        <v>32</v>
      </c>
      <c r="CV190" s="22" t="s">
        <v>32</v>
      </c>
      <c r="CW190" s="23" t="s">
        <v>32</v>
      </c>
      <c r="CX190" s="24" t="s">
        <v>32</v>
      </c>
      <c r="CY190" s="22" t="s">
        <v>32</v>
      </c>
      <c r="CZ190" s="25" t="s">
        <v>32</v>
      </c>
      <c r="DA190" s="21" t="s">
        <v>32</v>
      </c>
      <c r="DB190" s="22" t="s">
        <v>32</v>
      </c>
      <c r="DC190" s="23" t="s">
        <v>32</v>
      </c>
      <c r="DD190" s="24" t="s">
        <v>32</v>
      </c>
      <c r="DE190" s="22" t="s">
        <v>32</v>
      </c>
      <c r="DF190" s="23" t="s">
        <v>32</v>
      </c>
      <c r="DG190" s="24" t="s">
        <v>32</v>
      </c>
      <c r="DH190" s="22" t="s">
        <v>32</v>
      </c>
      <c r="DI190" s="25" t="s">
        <v>32</v>
      </c>
    </row>
    <row r="191" spans="2:113" ht="15" customHeight="1">
      <c r="B191" s="2" t="s">
        <v>32</v>
      </c>
      <c r="C191" s="5" t="s">
        <v>32</v>
      </c>
      <c r="D191" s="3" t="s">
        <v>32</v>
      </c>
      <c r="E191" s="4" t="s">
        <v>32</v>
      </c>
      <c r="F191" s="5" t="s">
        <v>32</v>
      </c>
      <c r="G191" s="3" t="s">
        <v>32</v>
      </c>
      <c r="H191" s="4" t="s">
        <v>32</v>
      </c>
      <c r="I191" s="5" t="s">
        <v>32</v>
      </c>
      <c r="J191" s="6" t="s">
        <v>32</v>
      </c>
      <c r="K191" s="2" t="s">
        <v>32</v>
      </c>
      <c r="L191" s="5" t="s">
        <v>32</v>
      </c>
      <c r="M191" s="3" t="s">
        <v>32</v>
      </c>
      <c r="N191" s="4" t="s">
        <v>32</v>
      </c>
      <c r="O191" s="5" t="s">
        <v>32</v>
      </c>
      <c r="P191" s="3" t="s">
        <v>32</v>
      </c>
      <c r="Q191" s="4" t="s">
        <v>32</v>
      </c>
      <c r="R191" s="5" t="s">
        <v>32</v>
      </c>
      <c r="S191" s="6" t="s">
        <v>32</v>
      </c>
      <c r="T191" s="2" t="s">
        <v>32</v>
      </c>
      <c r="U191" s="5" t="s">
        <v>32</v>
      </c>
      <c r="V191" s="3" t="s">
        <v>32</v>
      </c>
      <c r="W191" s="4" t="s">
        <v>32</v>
      </c>
      <c r="X191" s="5" t="s">
        <v>32</v>
      </c>
      <c r="Y191" s="3" t="s">
        <v>32</v>
      </c>
      <c r="Z191" s="4" t="s">
        <v>32</v>
      </c>
      <c r="AA191" s="5" t="s">
        <v>32</v>
      </c>
      <c r="AB191" s="6" t="s">
        <v>32</v>
      </c>
      <c r="AD191" s="2" t="s">
        <v>32</v>
      </c>
      <c r="AE191" s="5" t="s">
        <v>32</v>
      </c>
      <c r="AF191" s="3" t="s">
        <v>32</v>
      </c>
      <c r="AG191" s="4" t="s">
        <v>32</v>
      </c>
      <c r="AH191" s="5" t="s">
        <v>32</v>
      </c>
      <c r="AI191" s="3" t="s">
        <v>32</v>
      </c>
      <c r="AJ191" s="4" t="s">
        <v>32</v>
      </c>
      <c r="AK191" s="5" t="s">
        <v>32</v>
      </c>
      <c r="AL191" s="6" t="s">
        <v>32</v>
      </c>
      <c r="AM191" s="2" t="s">
        <v>32</v>
      </c>
      <c r="AN191" s="5" t="s">
        <v>32</v>
      </c>
      <c r="AO191" s="3" t="s">
        <v>32</v>
      </c>
      <c r="AP191" s="4" t="s">
        <v>32</v>
      </c>
      <c r="AQ191" s="5" t="s">
        <v>32</v>
      </c>
      <c r="AR191" s="3" t="s">
        <v>32</v>
      </c>
      <c r="AS191" s="4" t="s">
        <v>32</v>
      </c>
      <c r="AT191" s="5" t="s">
        <v>32</v>
      </c>
      <c r="AU191" s="6" t="s">
        <v>32</v>
      </c>
      <c r="AV191" s="2" t="s">
        <v>32</v>
      </c>
      <c r="AW191" s="5" t="s">
        <v>32</v>
      </c>
      <c r="AX191" s="3" t="s">
        <v>32</v>
      </c>
      <c r="AY191" s="4" t="s">
        <v>32</v>
      </c>
      <c r="AZ191" s="5" t="s">
        <v>32</v>
      </c>
      <c r="BA191" s="3" t="s">
        <v>32</v>
      </c>
      <c r="BB191" s="4" t="s">
        <v>32</v>
      </c>
      <c r="BC191" s="5" t="s">
        <v>32</v>
      </c>
      <c r="BD191" s="6" t="s">
        <v>32</v>
      </c>
      <c r="BG191" s="2" t="s">
        <v>32</v>
      </c>
      <c r="BH191" s="5" t="s">
        <v>32</v>
      </c>
      <c r="BI191" s="3" t="s">
        <v>32</v>
      </c>
      <c r="BJ191" s="4" t="s">
        <v>32</v>
      </c>
      <c r="BK191" s="5" t="s">
        <v>32</v>
      </c>
      <c r="BL191" s="3" t="s">
        <v>32</v>
      </c>
      <c r="BM191" s="4" t="s">
        <v>32</v>
      </c>
      <c r="BN191" s="5" t="s">
        <v>32</v>
      </c>
      <c r="BO191" s="6" t="s">
        <v>32</v>
      </c>
      <c r="BP191" s="2" t="s">
        <v>32</v>
      </c>
      <c r="BQ191" s="5" t="s">
        <v>32</v>
      </c>
      <c r="BR191" s="3" t="s">
        <v>32</v>
      </c>
      <c r="BS191" s="4" t="s">
        <v>32</v>
      </c>
      <c r="BT191" s="5" t="s">
        <v>32</v>
      </c>
      <c r="BU191" s="3" t="s">
        <v>32</v>
      </c>
      <c r="BV191" s="4" t="s">
        <v>32</v>
      </c>
      <c r="BW191" s="5" t="s">
        <v>32</v>
      </c>
      <c r="BX191" s="6" t="s">
        <v>32</v>
      </c>
      <c r="BY191" s="2" t="s">
        <v>32</v>
      </c>
      <c r="BZ191" s="5" t="s">
        <v>32</v>
      </c>
      <c r="CA191" s="3" t="s">
        <v>32</v>
      </c>
      <c r="CB191" s="4" t="s">
        <v>32</v>
      </c>
      <c r="CC191" s="5" t="s">
        <v>32</v>
      </c>
      <c r="CD191" s="3" t="s">
        <v>32</v>
      </c>
      <c r="CE191" s="4" t="s">
        <v>32</v>
      </c>
      <c r="CF191" s="5" t="s">
        <v>32</v>
      </c>
      <c r="CG191" s="6" t="s">
        <v>32</v>
      </c>
      <c r="CI191" s="2" t="s">
        <v>32</v>
      </c>
      <c r="CJ191" s="5" t="s">
        <v>32</v>
      </c>
      <c r="CK191" s="3" t="s">
        <v>32</v>
      </c>
      <c r="CL191" s="4" t="s">
        <v>32</v>
      </c>
      <c r="CM191" s="5" t="s">
        <v>32</v>
      </c>
      <c r="CN191" s="3" t="s">
        <v>32</v>
      </c>
      <c r="CO191" s="4" t="s">
        <v>32</v>
      </c>
      <c r="CP191" s="5" t="s">
        <v>32</v>
      </c>
      <c r="CQ191" s="6" t="s">
        <v>32</v>
      </c>
      <c r="CR191" s="2" t="s">
        <v>32</v>
      </c>
      <c r="CS191" s="5" t="s">
        <v>32</v>
      </c>
      <c r="CT191" s="3" t="s">
        <v>32</v>
      </c>
      <c r="CU191" s="4" t="s">
        <v>32</v>
      </c>
      <c r="CV191" s="5" t="s">
        <v>32</v>
      </c>
      <c r="CW191" s="3" t="s">
        <v>32</v>
      </c>
      <c r="CX191" s="4" t="s">
        <v>32</v>
      </c>
      <c r="CY191" s="5" t="s">
        <v>32</v>
      </c>
      <c r="CZ191" s="6" t="s">
        <v>32</v>
      </c>
      <c r="DA191" s="2" t="s">
        <v>32</v>
      </c>
      <c r="DB191" s="5" t="s">
        <v>32</v>
      </c>
      <c r="DC191" s="3" t="s">
        <v>32</v>
      </c>
      <c r="DD191" s="4" t="s">
        <v>32</v>
      </c>
      <c r="DE191" s="5" t="s">
        <v>32</v>
      </c>
      <c r="DF191" s="3" t="s">
        <v>32</v>
      </c>
      <c r="DG191" s="4" t="s">
        <v>32</v>
      </c>
      <c r="DH191" s="5" t="s">
        <v>32</v>
      </c>
      <c r="DI191" s="6" t="s">
        <v>32</v>
      </c>
    </row>
    <row r="192" spans="2:113" ht="15" customHeight="1">
      <c r="B192" s="11" t="s">
        <v>32</v>
      </c>
      <c r="C192" s="7" t="s">
        <v>32</v>
      </c>
      <c r="D192" s="9" t="s">
        <v>32</v>
      </c>
      <c r="E192" s="8" t="s">
        <v>32</v>
      </c>
      <c r="F192" s="7" t="s">
        <v>32</v>
      </c>
      <c r="G192" s="9" t="s">
        <v>32</v>
      </c>
      <c r="H192" s="8" t="s">
        <v>32</v>
      </c>
      <c r="I192" s="7" t="s">
        <v>32</v>
      </c>
      <c r="J192" s="10" t="s">
        <v>32</v>
      </c>
      <c r="K192" s="11" t="s">
        <v>32</v>
      </c>
      <c r="L192" s="7" t="s">
        <v>32</v>
      </c>
      <c r="M192" s="9" t="s">
        <v>32</v>
      </c>
      <c r="N192" s="8" t="s">
        <v>32</v>
      </c>
      <c r="O192" s="7">
        <v>0</v>
      </c>
      <c r="P192" s="9" t="s">
        <v>32</v>
      </c>
      <c r="Q192" s="8" t="s">
        <v>32</v>
      </c>
      <c r="R192" s="7" t="s">
        <v>32</v>
      </c>
      <c r="S192" s="10" t="s">
        <v>32</v>
      </c>
      <c r="T192" s="11" t="s">
        <v>32</v>
      </c>
      <c r="U192" s="7" t="s">
        <v>32</v>
      </c>
      <c r="V192" s="9" t="s">
        <v>32</v>
      </c>
      <c r="W192" s="8" t="s">
        <v>32</v>
      </c>
      <c r="X192" s="7" t="s">
        <v>32</v>
      </c>
      <c r="Y192" s="9" t="s">
        <v>32</v>
      </c>
      <c r="Z192" s="8" t="s">
        <v>32</v>
      </c>
      <c r="AA192" s="7" t="s">
        <v>32</v>
      </c>
      <c r="AB192" s="10" t="s">
        <v>32</v>
      </c>
      <c r="AD192" s="11" t="s">
        <v>32</v>
      </c>
      <c r="AE192" s="7" t="s">
        <v>32</v>
      </c>
      <c r="AF192" s="9" t="s">
        <v>32</v>
      </c>
      <c r="AG192" s="8" t="s">
        <v>32</v>
      </c>
      <c r="AH192" s="7" t="s">
        <v>32</v>
      </c>
      <c r="AI192" s="9" t="s">
        <v>32</v>
      </c>
      <c r="AJ192" s="8" t="s">
        <v>32</v>
      </c>
      <c r="AK192" s="7" t="s">
        <v>32</v>
      </c>
      <c r="AL192" s="10" t="s">
        <v>32</v>
      </c>
      <c r="AM192" s="11" t="s">
        <v>32</v>
      </c>
      <c r="AN192" s="7" t="s">
        <v>32</v>
      </c>
      <c r="AO192" s="9" t="s">
        <v>32</v>
      </c>
      <c r="AP192" s="8" t="s">
        <v>32</v>
      </c>
      <c r="AQ192" s="7">
        <v>6</v>
      </c>
      <c r="AR192" s="9" t="s">
        <v>32</v>
      </c>
      <c r="AS192" s="8" t="s">
        <v>32</v>
      </c>
      <c r="AT192" s="7" t="s">
        <v>32</v>
      </c>
      <c r="AU192" s="10" t="s">
        <v>32</v>
      </c>
      <c r="AV192" s="11" t="s">
        <v>32</v>
      </c>
      <c r="AW192" s="7" t="s">
        <v>32</v>
      </c>
      <c r="AX192" s="9" t="s">
        <v>32</v>
      </c>
      <c r="AY192" s="8" t="s">
        <v>32</v>
      </c>
      <c r="AZ192" s="7" t="s">
        <v>32</v>
      </c>
      <c r="BA192" s="9" t="s">
        <v>32</v>
      </c>
      <c r="BB192" s="8" t="s">
        <v>32</v>
      </c>
      <c r="BC192" s="7" t="s">
        <v>32</v>
      </c>
      <c r="BD192" s="10" t="s">
        <v>32</v>
      </c>
      <c r="BG192" s="11" t="s">
        <v>32</v>
      </c>
      <c r="BH192" s="7" t="s">
        <v>32</v>
      </c>
      <c r="BI192" s="9" t="s">
        <v>32</v>
      </c>
      <c r="BJ192" s="8" t="s">
        <v>32</v>
      </c>
      <c r="BK192" s="7" t="s">
        <v>32</v>
      </c>
      <c r="BL192" s="9" t="s">
        <v>32</v>
      </c>
      <c r="BM192" s="8" t="s">
        <v>32</v>
      </c>
      <c r="BN192" s="7" t="s">
        <v>32</v>
      </c>
      <c r="BO192" s="10" t="s">
        <v>32</v>
      </c>
      <c r="BP192" s="11" t="s">
        <v>32</v>
      </c>
      <c r="BQ192" s="7" t="s">
        <v>32</v>
      </c>
      <c r="BR192" s="9" t="s">
        <v>32</v>
      </c>
      <c r="BS192" s="8" t="s">
        <v>32</v>
      </c>
      <c r="BT192" s="7" t="s">
        <v>32</v>
      </c>
      <c r="BU192" s="9" t="s">
        <v>32</v>
      </c>
      <c r="BV192" s="8" t="s">
        <v>32</v>
      </c>
      <c r="BW192" s="7" t="s">
        <v>32</v>
      </c>
      <c r="BX192" s="10" t="s">
        <v>32</v>
      </c>
      <c r="BY192" s="11" t="s">
        <v>32</v>
      </c>
      <c r="BZ192" s="7" t="s">
        <v>32</v>
      </c>
      <c r="CA192" s="9" t="s">
        <v>32</v>
      </c>
      <c r="CB192" s="8" t="s">
        <v>32</v>
      </c>
      <c r="CC192" s="7" t="s">
        <v>32</v>
      </c>
      <c r="CD192" s="9" t="s">
        <v>32</v>
      </c>
      <c r="CE192" s="8" t="s">
        <v>32</v>
      </c>
      <c r="CF192" s="7" t="s">
        <v>32</v>
      </c>
      <c r="CG192" s="10" t="s">
        <v>32</v>
      </c>
      <c r="CI192" s="11" t="s">
        <v>32</v>
      </c>
      <c r="CJ192" s="7" t="s">
        <v>32</v>
      </c>
      <c r="CK192" s="9" t="s">
        <v>32</v>
      </c>
      <c r="CL192" s="8" t="s">
        <v>32</v>
      </c>
      <c r="CM192" s="7" t="s">
        <v>32</v>
      </c>
      <c r="CN192" s="9" t="s">
        <v>32</v>
      </c>
      <c r="CO192" s="8" t="s">
        <v>32</v>
      </c>
      <c r="CP192" s="7" t="s">
        <v>32</v>
      </c>
      <c r="CQ192" s="10" t="s">
        <v>32</v>
      </c>
      <c r="CR192" s="11" t="s">
        <v>32</v>
      </c>
      <c r="CS192" s="7" t="s">
        <v>32</v>
      </c>
      <c r="CT192" s="9" t="s">
        <v>32</v>
      </c>
      <c r="CU192" s="8" t="s">
        <v>32</v>
      </c>
      <c r="CV192" s="7" t="s">
        <v>32</v>
      </c>
      <c r="CW192" s="9" t="s">
        <v>32</v>
      </c>
      <c r="CX192" s="8" t="s">
        <v>32</v>
      </c>
      <c r="CY192" s="7" t="s">
        <v>32</v>
      </c>
      <c r="CZ192" s="10" t="s">
        <v>32</v>
      </c>
      <c r="DA192" s="11" t="s">
        <v>32</v>
      </c>
      <c r="DB192" s="7" t="s">
        <v>32</v>
      </c>
      <c r="DC192" s="9" t="s">
        <v>32</v>
      </c>
      <c r="DD192" s="8" t="s">
        <v>32</v>
      </c>
      <c r="DE192" s="7" t="s">
        <v>32</v>
      </c>
      <c r="DF192" s="9" t="s">
        <v>32</v>
      </c>
      <c r="DG192" s="8" t="s">
        <v>32</v>
      </c>
      <c r="DH192" s="7" t="s">
        <v>32</v>
      </c>
      <c r="DI192" s="10" t="s">
        <v>32</v>
      </c>
    </row>
    <row r="193" spans="2:113" ht="15" customHeight="1">
      <c r="B193" s="12" t="s">
        <v>32</v>
      </c>
      <c r="C193" s="13" t="s">
        <v>32</v>
      </c>
      <c r="D193" s="15" t="s">
        <v>32</v>
      </c>
      <c r="E193" s="14" t="s">
        <v>32</v>
      </c>
      <c r="F193" s="13" t="s">
        <v>32</v>
      </c>
      <c r="G193" s="15" t="s">
        <v>32</v>
      </c>
      <c r="H193" s="14" t="s">
        <v>32</v>
      </c>
      <c r="I193" s="13" t="s">
        <v>32</v>
      </c>
      <c r="J193" s="1" t="s">
        <v>32</v>
      </c>
      <c r="K193" s="12" t="s">
        <v>32</v>
      </c>
      <c r="L193" s="13" t="s">
        <v>32</v>
      </c>
      <c r="M193" s="15" t="s">
        <v>32</v>
      </c>
      <c r="N193" s="14" t="s">
        <v>32</v>
      </c>
      <c r="O193" s="212">
        <v>4</v>
      </c>
      <c r="P193" s="15" t="s">
        <v>32</v>
      </c>
      <c r="Q193" s="14" t="s">
        <v>32</v>
      </c>
      <c r="R193" s="13" t="s">
        <v>32</v>
      </c>
      <c r="S193" s="1" t="s">
        <v>32</v>
      </c>
      <c r="T193" s="12" t="s">
        <v>32</v>
      </c>
      <c r="U193" s="13" t="s">
        <v>32</v>
      </c>
      <c r="V193" s="15" t="s">
        <v>32</v>
      </c>
      <c r="W193" s="14" t="s">
        <v>32</v>
      </c>
      <c r="X193" s="13" t="s">
        <v>32</v>
      </c>
      <c r="Y193" s="15" t="s">
        <v>32</v>
      </c>
      <c r="Z193" s="14" t="s">
        <v>32</v>
      </c>
      <c r="AA193" s="13" t="s">
        <v>32</v>
      </c>
      <c r="AB193" s="1" t="s">
        <v>32</v>
      </c>
      <c r="AD193" s="12" t="s">
        <v>32</v>
      </c>
      <c r="AE193" s="13" t="s">
        <v>32</v>
      </c>
      <c r="AF193" s="15" t="s">
        <v>32</v>
      </c>
      <c r="AG193" s="14" t="s">
        <v>32</v>
      </c>
      <c r="AH193" s="13" t="s">
        <v>32</v>
      </c>
      <c r="AI193" s="15" t="s">
        <v>32</v>
      </c>
      <c r="AJ193" s="14" t="s">
        <v>32</v>
      </c>
      <c r="AK193" s="13" t="s">
        <v>32</v>
      </c>
      <c r="AL193" s="1" t="s">
        <v>32</v>
      </c>
      <c r="AM193" s="12" t="s">
        <v>32</v>
      </c>
      <c r="AN193" s="13" t="s">
        <v>32</v>
      </c>
      <c r="AO193" s="15" t="s">
        <v>32</v>
      </c>
      <c r="AP193" s="14" t="s">
        <v>32</v>
      </c>
      <c r="AQ193" s="212">
        <v>4</v>
      </c>
      <c r="AR193" s="15" t="s">
        <v>32</v>
      </c>
      <c r="AS193" s="14" t="s">
        <v>32</v>
      </c>
      <c r="AT193" s="13" t="s">
        <v>32</v>
      </c>
      <c r="AU193" s="1" t="s">
        <v>32</v>
      </c>
      <c r="AV193" s="12" t="s">
        <v>32</v>
      </c>
      <c r="AW193" s="13" t="s">
        <v>32</v>
      </c>
      <c r="AX193" s="15" t="s">
        <v>32</v>
      </c>
      <c r="AY193" s="14" t="s">
        <v>32</v>
      </c>
      <c r="AZ193" s="13" t="s">
        <v>32</v>
      </c>
      <c r="BA193" s="15" t="s">
        <v>32</v>
      </c>
      <c r="BB193" s="14" t="s">
        <v>32</v>
      </c>
      <c r="BC193" s="13" t="s">
        <v>32</v>
      </c>
      <c r="BD193" s="1" t="s">
        <v>32</v>
      </c>
      <c r="BG193" s="12" t="s">
        <v>32</v>
      </c>
      <c r="BH193" s="13" t="s">
        <v>32</v>
      </c>
      <c r="BI193" s="15" t="s">
        <v>32</v>
      </c>
      <c r="BJ193" s="14" t="s">
        <v>32</v>
      </c>
      <c r="BK193" s="13" t="s">
        <v>32</v>
      </c>
      <c r="BL193" s="15" t="s">
        <v>32</v>
      </c>
      <c r="BM193" s="14" t="s">
        <v>32</v>
      </c>
      <c r="BN193" s="13" t="s">
        <v>32</v>
      </c>
      <c r="BO193" s="1" t="s">
        <v>32</v>
      </c>
      <c r="BP193" s="12" t="s">
        <v>32</v>
      </c>
      <c r="BQ193" s="13" t="s">
        <v>32</v>
      </c>
      <c r="BR193" s="15" t="s">
        <v>32</v>
      </c>
      <c r="BS193" s="14" t="s">
        <v>32</v>
      </c>
      <c r="BT193" s="13" t="s">
        <v>32</v>
      </c>
      <c r="BU193" s="15" t="s">
        <v>32</v>
      </c>
      <c r="BV193" s="14" t="s">
        <v>32</v>
      </c>
      <c r="BW193" s="13" t="s">
        <v>32</v>
      </c>
      <c r="BX193" s="1" t="s">
        <v>32</v>
      </c>
      <c r="BY193" s="12" t="s">
        <v>32</v>
      </c>
      <c r="BZ193" s="13" t="s">
        <v>32</v>
      </c>
      <c r="CA193" s="15" t="s">
        <v>32</v>
      </c>
      <c r="CB193" s="14" t="s">
        <v>32</v>
      </c>
      <c r="CC193" s="13" t="s">
        <v>32</v>
      </c>
      <c r="CD193" s="15" t="s">
        <v>32</v>
      </c>
      <c r="CE193" s="14" t="s">
        <v>32</v>
      </c>
      <c r="CF193" s="13" t="s">
        <v>32</v>
      </c>
      <c r="CG193" s="1" t="s">
        <v>32</v>
      </c>
      <c r="CI193" s="12" t="s">
        <v>32</v>
      </c>
      <c r="CJ193" s="13" t="s">
        <v>32</v>
      </c>
      <c r="CK193" s="15" t="s">
        <v>32</v>
      </c>
      <c r="CL193" s="14" t="s">
        <v>32</v>
      </c>
      <c r="CM193" s="13" t="s">
        <v>32</v>
      </c>
      <c r="CN193" s="15" t="s">
        <v>32</v>
      </c>
      <c r="CO193" s="14" t="s">
        <v>32</v>
      </c>
      <c r="CP193" s="13" t="s">
        <v>32</v>
      </c>
      <c r="CQ193" s="1" t="s">
        <v>32</v>
      </c>
      <c r="CR193" s="12" t="s">
        <v>32</v>
      </c>
      <c r="CS193" s="13" t="s">
        <v>32</v>
      </c>
      <c r="CT193" s="15" t="s">
        <v>32</v>
      </c>
      <c r="CU193" s="14" t="s">
        <v>32</v>
      </c>
      <c r="CV193" s="13" t="s">
        <v>32</v>
      </c>
      <c r="CW193" s="15" t="s">
        <v>32</v>
      </c>
      <c r="CX193" s="14" t="s">
        <v>32</v>
      </c>
      <c r="CY193" s="13" t="s">
        <v>32</v>
      </c>
      <c r="CZ193" s="1" t="s">
        <v>32</v>
      </c>
      <c r="DA193" s="12" t="s">
        <v>32</v>
      </c>
      <c r="DB193" s="13" t="s">
        <v>32</v>
      </c>
      <c r="DC193" s="15" t="s">
        <v>32</v>
      </c>
      <c r="DD193" s="14" t="s">
        <v>32</v>
      </c>
      <c r="DE193" s="13" t="s">
        <v>32</v>
      </c>
      <c r="DF193" s="15" t="s">
        <v>32</v>
      </c>
      <c r="DG193" s="14" t="s">
        <v>32</v>
      </c>
      <c r="DH193" s="13" t="s">
        <v>32</v>
      </c>
      <c r="DI193" s="1" t="s">
        <v>32</v>
      </c>
    </row>
    <row r="194" spans="2:113" ht="15" customHeight="1">
      <c r="B194" s="16" t="s">
        <v>32</v>
      </c>
      <c r="C194" s="17" t="s">
        <v>32</v>
      </c>
      <c r="D194" s="18" t="s">
        <v>32</v>
      </c>
      <c r="E194" s="19" t="s">
        <v>32</v>
      </c>
      <c r="F194" s="17" t="s">
        <v>32</v>
      </c>
      <c r="G194" s="18" t="s">
        <v>32</v>
      </c>
      <c r="H194" s="19" t="s">
        <v>32</v>
      </c>
      <c r="I194" s="17" t="s">
        <v>32</v>
      </c>
      <c r="J194" s="20" t="s">
        <v>32</v>
      </c>
      <c r="K194" s="16" t="s">
        <v>32</v>
      </c>
      <c r="L194" s="17" t="s">
        <v>32</v>
      </c>
      <c r="M194" s="18" t="s">
        <v>32</v>
      </c>
      <c r="N194" s="19" t="s">
        <v>32</v>
      </c>
      <c r="O194" s="17" t="s">
        <v>32</v>
      </c>
      <c r="P194" s="209">
        <v>5</v>
      </c>
      <c r="Q194" s="19" t="s">
        <v>32</v>
      </c>
      <c r="R194" s="17" t="s">
        <v>32</v>
      </c>
      <c r="S194" s="20" t="s">
        <v>32</v>
      </c>
      <c r="T194" s="16" t="s">
        <v>32</v>
      </c>
      <c r="U194" s="17" t="s">
        <v>32</v>
      </c>
      <c r="V194" s="18" t="s">
        <v>32</v>
      </c>
      <c r="W194" s="19" t="s">
        <v>32</v>
      </c>
      <c r="X194" s="17" t="s">
        <v>32</v>
      </c>
      <c r="Y194" s="18" t="s">
        <v>32</v>
      </c>
      <c r="Z194" s="19" t="s">
        <v>32</v>
      </c>
      <c r="AA194" s="17" t="s">
        <v>32</v>
      </c>
      <c r="AB194" s="20" t="s">
        <v>32</v>
      </c>
      <c r="AD194" s="16" t="s">
        <v>32</v>
      </c>
      <c r="AE194" s="17" t="s">
        <v>32</v>
      </c>
      <c r="AF194" s="18" t="s">
        <v>32</v>
      </c>
      <c r="AG194" s="19" t="s">
        <v>32</v>
      </c>
      <c r="AH194" s="17" t="s">
        <v>32</v>
      </c>
      <c r="AI194" s="18" t="s">
        <v>32</v>
      </c>
      <c r="AJ194" s="19" t="s">
        <v>32</v>
      </c>
      <c r="AK194" s="17" t="s">
        <v>32</v>
      </c>
      <c r="AL194" s="20" t="s">
        <v>32</v>
      </c>
      <c r="AM194" s="16" t="s">
        <v>32</v>
      </c>
      <c r="AN194" s="17" t="s">
        <v>32</v>
      </c>
      <c r="AO194" s="18" t="s">
        <v>32</v>
      </c>
      <c r="AP194" s="19" t="s">
        <v>32</v>
      </c>
      <c r="AQ194" s="17" t="s">
        <v>32</v>
      </c>
      <c r="AR194" s="209">
        <v>5</v>
      </c>
      <c r="AS194" s="19" t="s">
        <v>32</v>
      </c>
      <c r="AT194" s="17" t="s">
        <v>32</v>
      </c>
      <c r="AU194" s="20" t="s">
        <v>32</v>
      </c>
      <c r="AV194" s="16" t="s">
        <v>32</v>
      </c>
      <c r="AW194" s="17" t="s">
        <v>32</v>
      </c>
      <c r="AX194" s="18" t="s">
        <v>32</v>
      </c>
      <c r="AY194" s="19" t="s">
        <v>32</v>
      </c>
      <c r="AZ194" s="17" t="s">
        <v>32</v>
      </c>
      <c r="BA194" s="18" t="s">
        <v>32</v>
      </c>
      <c r="BB194" s="19" t="s">
        <v>32</v>
      </c>
      <c r="BC194" s="17" t="s">
        <v>32</v>
      </c>
      <c r="BD194" s="20" t="s">
        <v>32</v>
      </c>
      <c r="BG194" s="16" t="s">
        <v>32</v>
      </c>
      <c r="BH194" s="17" t="s">
        <v>32</v>
      </c>
      <c r="BI194" s="18" t="s">
        <v>32</v>
      </c>
      <c r="BJ194" s="19" t="s">
        <v>32</v>
      </c>
      <c r="BK194" s="17" t="s">
        <v>32</v>
      </c>
      <c r="BL194" s="18" t="s">
        <v>32</v>
      </c>
      <c r="BM194" s="19" t="s">
        <v>32</v>
      </c>
      <c r="BN194" s="17" t="s">
        <v>32</v>
      </c>
      <c r="BO194" s="20" t="s">
        <v>32</v>
      </c>
      <c r="BP194" s="16" t="s">
        <v>32</v>
      </c>
      <c r="BQ194" s="17" t="s">
        <v>32</v>
      </c>
      <c r="BR194" s="18" t="s">
        <v>32</v>
      </c>
      <c r="BS194" s="19" t="s">
        <v>32</v>
      </c>
      <c r="BT194" s="17" t="s">
        <v>32</v>
      </c>
      <c r="BU194" s="18" t="s">
        <v>32</v>
      </c>
      <c r="BV194" s="19" t="s">
        <v>32</v>
      </c>
      <c r="BW194" s="17" t="s">
        <v>32</v>
      </c>
      <c r="BX194" s="20" t="s">
        <v>32</v>
      </c>
      <c r="BY194" s="16" t="s">
        <v>32</v>
      </c>
      <c r="BZ194" s="17" t="s">
        <v>32</v>
      </c>
      <c r="CA194" s="18" t="s">
        <v>32</v>
      </c>
      <c r="CB194" s="19" t="s">
        <v>32</v>
      </c>
      <c r="CC194" s="17" t="s">
        <v>32</v>
      </c>
      <c r="CD194" s="18" t="s">
        <v>32</v>
      </c>
      <c r="CE194" s="19" t="s">
        <v>32</v>
      </c>
      <c r="CF194" s="17" t="s">
        <v>32</v>
      </c>
      <c r="CG194" s="20" t="s">
        <v>32</v>
      </c>
      <c r="CI194" s="16" t="s">
        <v>32</v>
      </c>
      <c r="CJ194" s="17" t="s">
        <v>32</v>
      </c>
      <c r="CK194" s="18" t="s">
        <v>32</v>
      </c>
      <c r="CL194" s="19" t="s">
        <v>32</v>
      </c>
      <c r="CM194" s="17" t="s">
        <v>32</v>
      </c>
      <c r="CN194" s="18" t="s">
        <v>32</v>
      </c>
      <c r="CO194" s="19" t="s">
        <v>32</v>
      </c>
      <c r="CP194" s="17" t="s">
        <v>32</v>
      </c>
      <c r="CQ194" s="20" t="s">
        <v>32</v>
      </c>
      <c r="CR194" s="16" t="s">
        <v>32</v>
      </c>
      <c r="CS194" s="17" t="s">
        <v>32</v>
      </c>
      <c r="CT194" s="18" t="s">
        <v>32</v>
      </c>
      <c r="CU194" s="19" t="s">
        <v>32</v>
      </c>
      <c r="CV194" s="17" t="s">
        <v>32</v>
      </c>
      <c r="CW194" s="18" t="s">
        <v>32</v>
      </c>
      <c r="CX194" s="19" t="s">
        <v>32</v>
      </c>
      <c r="CY194" s="17" t="s">
        <v>32</v>
      </c>
      <c r="CZ194" s="20" t="s">
        <v>32</v>
      </c>
      <c r="DA194" s="16" t="s">
        <v>32</v>
      </c>
      <c r="DB194" s="17" t="s">
        <v>32</v>
      </c>
      <c r="DC194" s="18" t="s">
        <v>32</v>
      </c>
      <c r="DD194" s="19" t="s">
        <v>32</v>
      </c>
      <c r="DE194" s="17" t="s">
        <v>32</v>
      </c>
      <c r="DF194" s="18" t="s">
        <v>32</v>
      </c>
      <c r="DG194" s="19" t="s">
        <v>32</v>
      </c>
      <c r="DH194" s="17" t="s">
        <v>32</v>
      </c>
      <c r="DI194" s="20" t="s">
        <v>32</v>
      </c>
    </row>
    <row r="195" spans="2:113" ht="15" customHeight="1">
      <c r="B195" s="11" t="s">
        <v>32</v>
      </c>
      <c r="C195" s="7" t="s">
        <v>32</v>
      </c>
      <c r="D195" s="9" t="s">
        <v>32</v>
      </c>
      <c r="E195" s="8" t="s">
        <v>32</v>
      </c>
      <c r="F195" s="7" t="s">
        <v>32</v>
      </c>
      <c r="G195" s="9" t="s">
        <v>32</v>
      </c>
      <c r="H195" s="8" t="s">
        <v>32</v>
      </c>
      <c r="I195" s="7" t="s">
        <v>32</v>
      </c>
      <c r="J195" s="10" t="s">
        <v>32</v>
      </c>
      <c r="K195" s="11" t="s">
        <v>32</v>
      </c>
      <c r="L195" s="7" t="s">
        <v>32</v>
      </c>
      <c r="M195" s="9" t="s">
        <v>32</v>
      </c>
      <c r="N195" s="8" t="s">
        <v>32</v>
      </c>
      <c r="O195" s="7" t="s">
        <v>32</v>
      </c>
      <c r="P195" s="9">
        <v>0</v>
      </c>
      <c r="Q195" s="8" t="s">
        <v>32</v>
      </c>
      <c r="R195" s="7" t="s">
        <v>32</v>
      </c>
      <c r="S195" s="10" t="s">
        <v>32</v>
      </c>
      <c r="T195" s="11" t="s">
        <v>32</v>
      </c>
      <c r="U195" s="7" t="s">
        <v>32</v>
      </c>
      <c r="V195" s="9" t="s">
        <v>32</v>
      </c>
      <c r="W195" s="8" t="s">
        <v>32</v>
      </c>
      <c r="X195" s="7" t="s">
        <v>32</v>
      </c>
      <c r="Y195" s="9" t="s">
        <v>32</v>
      </c>
      <c r="Z195" s="8" t="s">
        <v>32</v>
      </c>
      <c r="AA195" s="7" t="s">
        <v>32</v>
      </c>
      <c r="AB195" s="10" t="s">
        <v>32</v>
      </c>
      <c r="AD195" s="11" t="s">
        <v>32</v>
      </c>
      <c r="AE195" s="7" t="s">
        <v>32</v>
      </c>
      <c r="AF195" s="9" t="s">
        <v>32</v>
      </c>
      <c r="AG195" s="8" t="s">
        <v>32</v>
      </c>
      <c r="AH195" s="7" t="s">
        <v>32</v>
      </c>
      <c r="AI195" s="9" t="s">
        <v>32</v>
      </c>
      <c r="AJ195" s="8" t="s">
        <v>32</v>
      </c>
      <c r="AK195" s="7" t="s">
        <v>32</v>
      </c>
      <c r="AL195" s="10" t="s">
        <v>32</v>
      </c>
      <c r="AM195" s="11" t="s">
        <v>32</v>
      </c>
      <c r="AN195" s="7" t="s">
        <v>32</v>
      </c>
      <c r="AO195" s="9" t="s">
        <v>32</v>
      </c>
      <c r="AP195" s="8" t="s">
        <v>32</v>
      </c>
      <c r="AQ195" s="7" t="s">
        <v>32</v>
      </c>
      <c r="AR195" s="9">
        <v>8</v>
      </c>
      <c r="AS195" s="8" t="s">
        <v>32</v>
      </c>
      <c r="AT195" s="7" t="s">
        <v>32</v>
      </c>
      <c r="AU195" s="10" t="s">
        <v>32</v>
      </c>
      <c r="AV195" s="11" t="s">
        <v>32</v>
      </c>
      <c r="AW195" s="7" t="s">
        <v>32</v>
      </c>
      <c r="AX195" s="9" t="s">
        <v>32</v>
      </c>
      <c r="AY195" s="8" t="s">
        <v>32</v>
      </c>
      <c r="AZ195" s="7" t="s">
        <v>32</v>
      </c>
      <c r="BA195" s="9" t="s">
        <v>32</v>
      </c>
      <c r="BB195" s="8" t="s">
        <v>32</v>
      </c>
      <c r="BC195" s="7" t="s">
        <v>32</v>
      </c>
      <c r="BD195" s="10" t="s">
        <v>32</v>
      </c>
      <c r="BG195" s="11" t="s">
        <v>32</v>
      </c>
      <c r="BH195" s="204">
        <v>7</v>
      </c>
      <c r="BI195" s="9" t="s">
        <v>32</v>
      </c>
      <c r="BJ195" s="8" t="s">
        <v>32</v>
      </c>
      <c r="BK195" s="7" t="s">
        <v>32</v>
      </c>
      <c r="BL195" s="9" t="s">
        <v>32</v>
      </c>
      <c r="BM195" s="8" t="s">
        <v>32</v>
      </c>
      <c r="BN195" s="7" t="s">
        <v>32</v>
      </c>
      <c r="BO195" s="10" t="s">
        <v>32</v>
      </c>
      <c r="BP195" s="11" t="s">
        <v>32</v>
      </c>
      <c r="BQ195" s="7" t="s">
        <v>32</v>
      </c>
      <c r="BR195" s="9" t="s">
        <v>32</v>
      </c>
      <c r="BS195" s="8" t="s">
        <v>32</v>
      </c>
      <c r="BT195" s="7" t="s">
        <v>32</v>
      </c>
      <c r="BU195" s="9" t="s">
        <v>32</v>
      </c>
      <c r="BV195" s="8" t="s">
        <v>32</v>
      </c>
      <c r="BW195" s="7" t="s">
        <v>32</v>
      </c>
      <c r="BX195" s="10" t="s">
        <v>32</v>
      </c>
      <c r="BY195" s="11" t="s">
        <v>32</v>
      </c>
      <c r="BZ195" s="7" t="s">
        <v>32</v>
      </c>
      <c r="CA195" s="9" t="s">
        <v>32</v>
      </c>
      <c r="CB195" s="8" t="s">
        <v>32</v>
      </c>
      <c r="CC195" s="7" t="s">
        <v>32</v>
      </c>
      <c r="CD195" s="9" t="s">
        <v>32</v>
      </c>
      <c r="CE195" s="8" t="s">
        <v>32</v>
      </c>
      <c r="CF195" s="7" t="s">
        <v>32</v>
      </c>
      <c r="CG195" s="10" t="s">
        <v>32</v>
      </c>
      <c r="CI195" s="11" t="s">
        <v>32</v>
      </c>
      <c r="CJ195" s="204">
        <v>7</v>
      </c>
      <c r="CK195" s="9" t="s">
        <v>32</v>
      </c>
      <c r="CL195" s="8" t="s">
        <v>32</v>
      </c>
      <c r="CM195" s="7" t="s">
        <v>32</v>
      </c>
      <c r="CN195" s="9" t="s">
        <v>32</v>
      </c>
      <c r="CO195" s="8" t="s">
        <v>32</v>
      </c>
      <c r="CP195" s="7" t="s">
        <v>32</v>
      </c>
      <c r="CQ195" s="10" t="s">
        <v>32</v>
      </c>
      <c r="CR195" s="11" t="s">
        <v>32</v>
      </c>
      <c r="CS195" s="7" t="s">
        <v>32</v>
      </c>
      <c r="CT195" s="9" t="s">
        <v>32</v>
      </c>
      <c r="CU195" s="8" t="s">
        <v>32</v>
      </c>
      <c r="CV195" s="7" t="s">
        <v>32</v>
      </c>
      <c r="CW195" s="9" t="s">
        <v>32</v>
      </c>
      <c r="CX195" s="8" t="s">
        <v>32</v>
      </c>
      <c r="CY195" s="7" t="s">
        <v>32</v>
      </c>
      <c r="CZ195" s="10" t="s">
        <v>32</v>
      </c>
      <c r="DA195" s="11" t="s">
        <v>32</v>
      </c>
      <c r="DB195" s="7" t="s">
        <v>32</v>
      </c>
      <c r="DC195" s="9" t="s">
        <v>32</v>
      </c>
      <c r="DD195" s="8" t="s">
        <v>32</v>
      </c>
      <c r="DE195" s="7" t="s">
        <v>32</v>
      </c>
      <c r="DF195" s="9" t="s">
        <v>32</v>
      </c>
      <c r="DG195" s="8" t="s">
        <v>32</v>
      </c>
      <c r="DH195" s="7" t="s">
        <v>32</v>
      </c>
      <c r="DI195" s="10" t="s">
        <v>32</v>
      </c>
    </row>
    <row r="196" spans="2:113" ht="15" customHeight="1">
      <c r="B196" s="12" t="s">
        <v>32</v>
      </c>
      <c r="C196" s="13">
        <v>0</v>
      </c>
      <c r="D196" s="208">
        <v>7</v>
      </c>
      <c r="E196" s="14" t="s">
        <v>32</v>
      </c>
      <c r="F196" s="13" t="s">
        <v>32</v>
      </c>
      <c r="G196" s="15" t="s">
        <v>32</v>
      </c>
      <c r="H196" s="14" t="s">
        <v>32</v>
      </c>
      <c r="I196" s="13" t="s">
        <v>32</v>
      </c>
      <c r="J196" s="1" t="s">
        <v>32</v>
      </c>
      <c r="K196" s="12" t="s">
        <v>32</v>
      </c>
      <c r="L196" s="13" t="s">
        <v>32</v>
      </c>
      <c r="M196" s="15" t="s">
        <v>32</v>
      </c>
      <c r="N196" s="14" t="s">
        <v>32</v>
      </c>
      <c r="O196" s="13" t="s">
        <v>32</v>
      </c>
      <c r="P196" s="208">
        <v>9</v>
      </c>
      <c r="Q196" s="14" t="s">
        <v>32</v>
      </c>
      <c r="R196" s="13" t="s">
        <v>32</v>
      </c>
      <c r="S196" s="1" t="s">
        <v>32</v>
      </c>
      <c r="T196" s="12" t="s">
        <v>32</v>
      </c>
      <c r="U196" s="13" t="s">
        <v>32</v>
      </c>
      <c r="V196" s="15" t="s">
        <v>32</v>
      </c>
      <c r="W196" s="14" t="s">
        <v>32</v>
      </c>
      <c r="X196" s="13" t="s">
        <v>32</v>
      </c>
      <c r="Y196" s="15" t="s">
        <v>32</v>
      </c>
      <c r="Z196" s="14">
        <v>0</v>
      </c>
      <c r="AA196" s="13" t="s">
        <v>32</v>
      </c>
      <c r="AB196" s="1" t="s">
        <v>32</v>
      </c>
      <c r="AD196" s="12" t="s">
        <v>32</v>
      </c>
      <c r="AE196" s="13">
        <v>1</v>
      </c>
      <c r="AF196" s="208">
        <v>7</v>
      </c>
      <c r="AG196" s="14" t="s">
        <v>32</v>
      </c>
      <c r="AH196" s="13" t="s">
        <v>32</v>
      </c>
      <c r="AI196" s="15" t="s">
        <v>32</v>
      </c>
      <c r="AJ196" s="14" t="s">
        <v>32</v>
      </c>
      <c r="AK196" s="13" t="s">
        <v>32</v>
      </c>
      <c r="AL196" s="1" t="s">
        <v>32</v>
      </c>
      <c r="AM196" s="12" t="s">
        <v>32</v>
      </c>
      <c r="AN196" s="13" t="s">
        <v>32</v>
      </c>
      <c r="AO196" s="15" t="s">
        <v>32</v>
      </c>
      <c r="AP196" s="14" t="s">
        <v>32</v>
      </c>
      <c r="AQ196" s="13" t="s">
        <v>32</v>
      </c>
      <c r="AR196" s="208">
        <v>9</v>
      </c>
      <c r="AS196" s="14" t="s">
        <v>32</v>
      </c>
      <c r="AT196" s="13" t="s">
        <v>32</v>
      </c>
      <c r="AU196" s="1" t="s">
        <v>32</v>
      </c>
      <c r="AV196" s="12" t="s">
        <v>32</v>
      </c>
      <c r="AW196" s="13" t="s">
        <v>32</v>
      </c>
      <c r="AX196" s="15" t="s">
        <v>32</v>
      </c>
      <c r="AY196" s="14" t="s">
        <v>32</v>
      </c>
      <c r="AZ196" s="13" t="s">
        <v>32</v>
      </c>
      <c r="BA196" s="15" t="s">
        <v>32</v>
      </c>
      <c r="BB196" s="14">
        <v>8</v>
      </c>
      <c r="BC196" s="13" t="s">
        <v>32</v>
      </c>
      <c r="BD196" s="1" t="s">
        <v>32</v>
      </c>
      <c r="BG196" s="12">
        <v>0</v>
      </c>
      <c r="BH196" s="13">
        <v>0</v>
      </c>
      <c r="BI196" s="15" t="s">
        <v>32</v>
      </c>
      <c r="BJ196" s="14" t="s">
        <v>32</v>
      </c>
      <c r="BK196" s="13" t="s">
        <v>32</v>
      </c>
      <c r="BL196" s="15" t="s">
        <v>32</v>
      </c>
      <c r="BM196" s="14" t="s">
        <v>32</v>
      </c>
      <c r="BN196" s="13" t="s">
        <v>32</v>
      </c>
      <c r="BO196" s="1" t="s">
        <v>32</v>
      </c>
      <c r="BP196" s="12" t="s">
        <v>32</v>
      </c>
      <c r="BQ196" s="13" t="s">
        <v>32</v>
      </c>
      <c r="BR196" s="15" t="s">
        <v>32</v>
      </c>
      <c r="BS196" s="14" t="s">
        <v>32</v>
      </c>
      <c r="BT196" s="13" t="s">
        <v>32</v>
      </c>
      <c r="BU196" s="15">
        <v>0</v>
      </c>
      <c r="BV196" s="14">
        <v>0</v>
      </c>
      <c r="BW196" s="13" t="s">
        <v>32</v>
      </c>
      <c r="BX196" s="1" t="s">
        <v>32</v>
      </c>
      <c r="BY196" s="12" t="s">
        <v>32</v>
      </c>
      <c r="BZ196" s="13" t="s">
        <v>32</v>
      </c>
      <c r="CA196" s="15" t="s">
        <v>32</v>
      </c>
      <c r="CB196" s="14" t="s">
        <v>32</v>
      </c>
      <c r="CC196" s="13" t="s">
        <v>32</v>
      </c>
      <c r="CD196" s="15" t="s">
        <v>32</v>
      </c>
      <c r="CE196" s="14" t="s">
        <v>32</v>
      </c>
      <c r="CF196" s="13" t="s">
        <v>32</v>
      </c>
      <c r="CG196" s="1" t="s">
        <v>32</v>
      </c>
      <c r="CI196" s="12">
        <v>8</v>
      </c>
      <c r="CJ196" s="13">
        <v>4</v>
      </c>
      <c r="CK196" s="15" t="s">
        <v>32</v>
      </c>
      <c r="CL196" s="14" t="s">
        <v>32</v>
      </c>
      <c r="CM196" s="13" t="s">
        <v>32</v>
      </c>
      <c r="CN196" s="15" t="s">
        <v>32</v>
      </c>
      <c r="CO196" s="14" t="s">
        <v>32</v>
      </c>
      <c r="CP196" s="13" t="s">
        <v>32</v>
      </c>
      <c r="CQ196" s="1" t="s">
        <v>32</v>
      </c>
      <c r="CR196" s="12" t="s">
        <v>32</v>
      </c>
      <c r="CS196" s="13" t="s">
        <v>32</v>
      </c>
      <c r="CT196" s="15" t="s">
        <v>32</v>
      </c>
      <c r="CU196" s="14" t="s">
        <v>32</v>
      </c>
      <c r="CV196" s="13" t="s">
        <v>32</v>
      </c>
      <c r="CW196" s="15">
        <v>9</v>
      </c>
      <c r="CX196" s="14">
        <v>1</v>
      </c>
      <c r="CY196" s="13" t="s">
        <v>32</v>
      </c>
      <c r="CZ196" s="1" t="s">
        <v>32</v>
      </c>
      <c r="DA196" s="12" t="s">
        <v>32</v>
      </c>
      <c r="DB196" s="13" t="s">
        <v>32</v>
      </c>
      <c r="DC196" s="15" t="s">
        <v>32</v>
      </c>
      <c r="DD196" s="14" t="s">
        <v>32</v>
      </c>
      <c r="DE196" s="13" t="s">
        <v>32</v>
      </c>
      <c r="DF196" s="15" t="s">
        <v>32</v>
      </c>
      <c r="DG196" s="14" t="s">
        <v>32</v>
      </c>
      <c r="DH196" s="13" t="s">
        <v>32</v>
      </c>
      <c r="DI196" s="1" t="s">
        <v>32</v>
      </c>
    </row>
    <row r="197" spans="2:113" ht="15" customHeight="1">
      <c r="B197" s="16">
        <v>0</v>
      </c>
      <c r="C197" s="17" t="s">
        <v>32</v>
      </c>
      <c r="D197" s="18" t="s">
        <v>32</v>
      </c>
      <c r="E197" s="19" t="s">
        <v>32</v>
      </c>
      <c r="F197" s="17" t="s">
        <v>32</v>
      </c>
      <c r="G197" s="18" t="s">
        <v>32</v>
      </c>
      <c r="H197" s="19" t="s">
        <v>32</v>
      </c>
      <c r="I197" s="17" t="s">
        <v>32</v>
      </c>
      <c r="J197" s="20" t="s">
        <v>32</v>
      </c>
      <c r="K197" s="16" t="s">
        <v>32</v>
      </c>
      <c r="L197" s="17" t="s">
        <v>32</v>
      </c>
      <c r="M197" s="18" t="s">
        <v>32</v>
      </c>
      <c r="N197" s="19" t="s">
        <v>32</v>
      </c>
      <c r="O197" s="17" t="s">
        <v>32</v>
      </c>
      <c r="P197" s="209">
        <v>1</v>
      </c>
      <c r="Q197" s="19" t="s">
        <v>32</v>
      </c>
      <c r="R197" s="17" t="s">
        <v>32</v>
      </c>
      <c r="S197" s="20" t="s">
        <v>32</v>
      </c>
      <c r="T197" s="16" t="s">
        <v>32</v>
      </c>
      <c r="U197" s="17" t="s">
        <v>32</v>
      </c>
      <c r="V197" s="18" t="s">
        <v>32</v>
      </c>
      <c r="W197" s="19" t="s">
        <v>32</v>
      </c>
      <c r="X197" s="17" t="s">
        <v>32</v>
      </c>
      <c r="Y197" s="18" t="s">
        <v>32</v>
      </c>
      <c r="Z197" s="19">
        <v>0</v>
      </c>
      <c r="AA197" s="17">
        <v>0</v>
      </c>
      <c r="AB197" s="20" t="s">
        <v>32</v>
      </c>
      <c r="AD197" s="16">
        <v>2</v>
      </c>
      <c r="AE197" s="17" t="s">
        <v>32</v>
      </c>
      <c r="AF197" s="18" t="s">
        <v>32</v>
      </c>
      <c r="AG197" s="19" t="s">
        <v>32</v>
      </c>
      <c r="AH197" s="17" t="s">
        <v>32</v>
      </c>
      <c r="AI197" s="18" t="s">
        <v>32</v>
      </c>
      <c r="AJ197" s="19" t="s">
        <v>32</v>
      </c>
      <c r="AK197" s="17" t="s">
        <v>32</v>
      </c>
      <c r="AL197" s="20" t="s">
        <v>32</v>
      </c>
      <c r="AM197" s="16" t="s">
        <v>32</v>
      </c>
      <c r="AN197" s="17" t="s">
        <v>32</v>
      </c>
      <c r="AO197" s="18" t="s">
        <v>32</v>
      </c>
      <c r="AP197" s="19" t="s">
        <v>32</v>
      </c>
      <c r="AQ197" s="17" t="s">
        <v>32</v>
      </c>
      <c r="AR197" s="209">
        <v>1</v>
      </c>
      <c r="AS197" s="19" t="s">
        <v>32</v>
      </c>
      <c r="AT197" s="17" t="s">
        <v>32</v>
      </c>
      <c r="AU197" s="20" t="s">
        <v>32</v>
      </c>
      <c r="AV197" s="16" t="s">
        <v>32</v>
      </c>
      <c r="AW197" s="17" t="s">
        <v>32</v>
      </c>
      <c r="AX197" s="18" t="s">
        <v>32</v>
      </c>
      <c r="AY197" s="19" t="s">
        <v>32</v>
      </c>
      <c r="AZ197" s="17" t="s">
        <v>32</v>
      </c>
      <c r="BA197" s="18" t="s">
        <v>32</v>
      </c>
      <c r="BB197" s="19">
        <v>3</v>
      </c>
      <c r="BC197" s="17">
        <v>7</v>
      </c>
      <c r="BD197" s="20" t="s">
        <v>32</v>
      </c>
      <c r="BG197" s="16">
        <v>0</v>
      </c>
      <c r="BH197" s="211">
        <v>6</v>
      </c>
      <c r="BI197" s="18">
        <v>0</v>
      </c>
      <c r="BJ197" s="19" t="s">
        <v>32</v>
      </c>
      <c r="BK197" s="17" t="s">
        <v>32</v>
      </c>
      <c r="BL197" s="18" t="s">
        <v>32</v>
      </c>
      <c r="BM197" s="19" t="s">
        <v>32</v>
      </c>
      <c r="BN197" s="17" t="s">
        <v>32</v>
      </c>
      <c r="BO197" s="20" t="s">
        <v>32</v>
      </c>
      <c r="BP197" s="16" t="s">
        <v>32</v>
      </c>
      <c r="BQ197" s="17" t="s">
        <v>32</v>
      </c>
      <c r="BR197" s="18" t="s">
        <v>32</v>
      </c>
      <c r="BS197" s="19" t="s">
        <v>32</v>
      </c>
      <c r="BT197" s="211">
        <v>3</v>
      </c>
      <c r="BU197" s="18">
        <v>0</v>
      </c>
      <c r="BV197" s="19">
        <v>0</v>
      </c>
      <c r="BW197" s="17" t="s">
        <v>32</v>
      </c>
      <c r="BX197" s="20" t="s">
        <v>32</v>
      </c>
      <c r="BY197" s="16" t="s">
        <v>32</v>
      </c>
      <c r="BZ197" s="17" t="s">
        <v>32</v>
      </c>
      <c r="CA197" s="18" t="s">
        <v>32</v>
      </c>
      <c r="CB197" s="19" t="s">
        <v>32</v>
      </c>
      <c r="CC197" s="17" t="s">
        <v>32</v>
      </c>
      <c r="CD197" s="18" t="s">
        <v>32</v>
      </c>
      <c r="CE197" s="19" t="s">
        <v>32</v>
      </c>
      <c r="CF197" s="17" t="s">
        <v>32</v>
      </c>
      <c r="CG197" s="20" t="s">
        <v>32</v>
      </c>
      <c r="CI197" s="16">
        <v>9</v>
      </c>
      <c r="CJ197" s="211">
        <v>6</v>
      </c>
      <c r="CK197" s="18">
        <v>1</v>
      </c>
      <c r="CL197" s="19" t="s">
        <v>32</v>
      </c>
      <c r="CM197" s="17" t="s">
        <v>32</v>
      </c>
      <c r="CN197" s="18" t="s">
        <v>32</v>
      </c>
      <c r="CO197" s="19" t="s">
        <v>32</v>
      </c>
      <c r="CP197" s="17" t="s">
        <v>32</v>
      </c>
      <c r="CQ197" s="20" t="s">
        <v>32</v>
      </c>
      <c r="CR197" s="16" t="s">
        <v>32</v>
      </c>
      <c r="CS197" s="17" t="s">
        <v>32</v>
      </c>
      <c r="CT197" s="18" t="s">
        <v>32</v>
      </c>
      <c r="CU197" s="19" t="s">
        <v>32</v>
      </c>
      <c r="CV197" s="211">
        <v>3</v>
      </c>
      <c r="CW197" s="18">
        <v>5</v>
      </c>
      <c r="CX197" s="19">
        <v>2</v>
      </c>
      <c r="CY197" s="17" t="s">
        <v>32</v>
      </c>
      <c r="CZ197" s="20" t="s">
        <v>32</v>
      </c>
      <c r="DA197" s="16" t="s">
        <v>32</v>
      </c>
      <c r="DB197" s="17" t="s">
        <v>32</v>
      </c>
      <c r="DC197" s="18" t="s">
        <v>32</v>
      </c>
      <c r="DD197" s="19" t="s">
        <v>32</v>
      </c>
      <c r="DE197" s="17" t="s">
        <v>32</v>
      </c>
      <c r="DF197" s="18" t="s">
        <v>32</v>
      </c>
      <c r="DG197" s="19" t="s">
        <v>32</v>
      </c>
      <c r="DH197" s="17" t="s">
        <v>32</v>
      </c>
      <c r="DI197" s="20" t="s">
        <v>32</v>
      </c>
    </row>
    <row r="198" spans="2:113" ht="15" customHeight="1">
      <c r="B198" s="11">
        <v>0</v>
      </c>
      <c r="C198" s="7">
        <v>0</v>
      </c>
      <c r="D198" s="9">
        <v>0</v>
      </c>
      <c r="E198" s="8" t="s">
        <v>32</v>
      </c>
      <c r="F198" s="7" t="s">
        <v>32</v>
      </c>
      <c r="G198" s="9" t="s">
        <v>32</v>
      </c>
      <c r="H198" s="8" t="s">
        <v>32</v>
      </c>
      <c r="I198" s="7" t="s">
        <v>32</v>
      </c>
      <c r="J198" s="10" t="s">
        <v>32</v>
      </c>
      <c r="K198" s="11" t="s">
        <v>32</v>
      </c>
      <c r="L198" s="7" t="s">
        <v>32</v>
      </c>
      <c r="M198" s="9" t="s">
        <v>32</v>
      </c>
      <c r="N198" s="8" t="s">
        <v>32</v>
      </c>
      <c r="O198" s="7">
        <v>0</v>
      </c>
      <c r="P198" s="9" t="s">
        <v>32</v>
      </c>
      <c r="Q198" s="8" t="s">
        <v>32</v>
      </c>
      <c r="R198" s="7" t="s">
        <v>32</v>
      </c>
      <c r="S198" s="10" t="s">
        <v>32</v>
      </c>
      <c r="T198" s="11" t="s">
        <v>32</v>
      </c>
      <c r="U198" s="7" t="s">
        <v>32</v>
      </c>
      <c r="V198" s="9" t="s">
        <v>32</v>
      </c>
      <c r="W198" s="8" t="s">
        <v>32</v>
      </c>
      <c r="X198" s="7" t="s">
        <v>32</v>
      </c>
      <c r="Y198" s="9">
        <v>0</v>
      </c>
      <c r="Z198" s="8">
        <v>0</v>
      </c>
      <c r="AA198" s="7">
        <v>0</v>
      </c>
      <c r="AB198" s="10" t="s">
        <v>32</v>
      </c>
      <c r="AD198" s="11">
        <v>5</v>
      </c>
      <c r="AE198" s="7">
        <v>8</v>
      </c>
      <c r="AF198" s="9">
        <v>4</v>
      </c>
      <c r="AG198" s="8" t="s">
        <v>32</v>
      </c>
      <c r="AH198" s="7" t="s">
        <v>32</v>
      </c>
      <c r="AI198" s="9" t="s">
        <v>32</v>
      </c>
      <c r="AJ198" s="8" t="s">
        <v>32</v>
      </c>
      <c r="AK198" s="7" t="s">
        <v>32</v>
      </c>
      <c r="AL198" s="10" t="s">
        <v>32</v>
      </c>
      <c r="AM198" s="11" t="s">
        <v>32</v>
      </c>
      <c r="AN198" s="7" t="s">
        <v>32</v>
      </c>
      <c r="AO198" s="9" t="s">
        <v>32</v>
      </c>
      <c r="AP198" s="8" t="s">
        <v>32</v>
      </c>
      <c r="AQ198" s="7">
        <v>3</v>
      </c>
      <c r="AR198" s="9" t="s">
        <v>32</v>
      </c>
      <c r="AS198" s="8" t="s">
        <v>32</v>
      </c>
      <c r="AT198" s="7" t="s">
        <v>32</v>
      </c>
      <c r="AU198" s="10" t="s">
        <v>32</v>
      </c>
      <c r="AV198" s="11" t="s">
        <v>32</v>
      </c>
      <c r="AW198" s="7" t="s">
        <v>32</v>
      </c>
      <c r="AX198" s="9" t="s">
        <v>32</v>
      </c>
      <c r="AY198" s="8" t="s">
        <v>32</v>
      </c>
      <c r="AZ198" s="7" t="s">
        <v>32</v>
      </c>
      <c r="BA198" s="9">
        <v>2</v>
      </c>
      <c r="BB198" s="8">
        <v>9</v>
      </c>
      <c r="BC198" s="7">
        <v>6</v>
      </c>
      <c r="BD198" s="10" t="s">
        <v>32</v>
      </c>
      <c r="BG198" s="11">
        <v>0</v>
      </c>
      <c r="BH198" s="7">
        <v>0</v>
      </c>
      <c r="BI198" s="9" t="s">
        <v>32</v>
      </c>
      <c r="BJ198" s="8" t="s">
        <v>32</v>
      </c>
      <c r="BK198" s="7" t="s">
        <v>32</v>
      </c>
      <c r="BL198" s="9" t="s">
        <v>32</v>
      </c>
      <c r="BM198" s="8" t="s">
        <v>32</v>
      </c>
      <c r="BN198" s="7" t="s">
        <v>32</v>
      </c>
      <c r="BO198" s="10" t="s">
        <v>32</v>
      </c>
      <c r="BP198" s="11" t="s">
        <v>32</v>
      </c>
      <c r="BQ198" s="7" t="s">
        <v>32</v>
      </c>
      <c r="BR198" s="9" t="s">
        <v>32</v>
      </c>
      <c r="BS198" s="8" t="s">
        <v>32</v>
      </c>
      <c r="BT198" s="7" t="s">
        <v>32</v>
      </c>
      <c r="BU198" s="9">
        <v>0</v>
      </c>
      <c r="BV198" s="8" t="s">
        <v>32</v>
      </c>
      <c r="BW198" s="7" t="s">
        <v>32</v>
      </c>
      <c r="BX198" s="10" t="s">
        <v>32</v>
      </c>
      <c r="BY198" s="11" t="s">
        <v>32</v>
      </c>
      <c r="BZ198" s="7" t="s">
        <v>32</v>
      </c>
      <c r="CA198" s="9" t="s">
        <v>32</v>
      </c>
      <c r="CB198" s="8">
        <v>0</v>
      </c>
      <c r="CC198" s="204">
        <v>2</v>
      </c>
      <c r="CD198" s="9" t="s">
        <v>32</v>
      </c>
      <c r="CE198" s="206">
        <v>8</v>
      </c>
      <c r="CF198" s="7">
        <v>0</v>
      </c>
      <c r="CG198" s="10">
        <v>0</v>
      </c>
      <c r="CI198" s="11">
        <v>3</v>
      </c>
      <c r="CJ198" s="7">
        <v>5</v>
      </c>
      <c r="CK198" s="9" t="s">
        <v>32</v>
      </c>
      <c r="CL198" s="8" t="s">
        <v>32</v>
      </c>
      <c r="CM198" s="7" t="s">
        <v>32</v>
      </c>
      <c r="CN198" s="9" t="s">
        <v>32</v>
      </c>
      <c r="CO198" s="8" t="s">
        <v>32</v>
      </c>
      <c r="CP198" s="7" t="s">
        <v>32</v>
      </c>
      <c r="CQ198" s="10" t="s">
        <v>32</v>
      </c>
      <c r="CR198" s="11" t="s">
        <v>32</v>
      </c>
      <c r="CS198" s="7" t="s">
        <v>32</v>
      </c>
      <c r="CT198" s="9" t="s">
        <v>32</v>
      </c>
      <c r="CU198" s="8" t="s">
        <v>32</v>
      </c>
      <c r="CV198" s="7" t="s">
        <v>32</v>
      </c>
      <c r="CW198" s="9">
        <v>4</v>
      </c>
      <c r="CX198" s="8" t="s">
        <v>32</v>
      </c>
      <c r="CY198" s="7" t="s">
        <v>32</v>
      </c>
      <c r="CZ198" s="10" t="s">
        <v>32</v>
      </c>
      <c r="DA198" s="11" t="s">
        <v>32</v>
      </c>
      <c r="DB198" s="7" t="s">
        <v>32</v>
      </c>
      <c r="DC198" s="9" t="s">
        <v>32</v>
      </c>
      <c r="DD198" s="8">
        <v>1</v>
      </c>
      <c r="DE198" s="204">
        <v>2</v>
      </c>
      <c r="DF198" s="9" t="s">
        <v>32</v>
      </c>
      <c r="DG198" s="206">
        <v>8</v>
      </c>
      <c r="DH198" s="7">
        <v>7</v>
      </c>
      <c r="DI198" s="10">
        <v>6</v>
      </c>
    </row>
    <row r="199" spans="2:113" ht="15" customHeight="1" thickBot="1">
      <c r="B199" s="21">
        <v>0</v>
      </c>
      <c r="C199" s="219">
        <v>3</v>
      </c>
      <c r="D199" s="223">
        <v>6</v>
      </c>
      <c r="E199" s="24" t="s">
        <v>32</v>
      </c>
      <c r="F199" s="22" t="s">
        <v>32</v>
      </c>
      <c r="G199" s="23" t="s">
        <v>32</v>
      </c>
      <c r="H199" s="24" t="s">
        <v>32</v>
      </c>
      <c r="I199" s="22" t="s">
        <v>32</v>
      </c>
      <c r="J199" s="25" t="s">
        <v>32</v>
      </c>
      <c r="K199" s="21" t="s">
        <v>32</v>
      </c>
      <c r="L199" s="22" t="s">
        <v>32</v>
      </c>
      <c r="M199" s="23" t="s">
        <v>32</v>
      </c>
      <c r="N199" s="24">
        <v>0</v>
      </c>
      <c r="O199" s="22">
        <v>0</v>
      </c>
      <c r="P199" s="23" t="s">
        <v>32</v>
      </c>
      <c r="Q199" s="24" t="s">
        <v>32</v>
      </c>
      <c r="R199" s="22" t="s">
        <v>32</v>
      </c>
      <c r="S199" s="25" t="s">
        <v>32</v>
      </c>
      <c r="T199" s="21" t="s">
        <v>32</v>
      </c>
      <c r="U199" s="22" t="s">
        <v>32</v>
      </c>
      <c r="V199" s="23" t="s">
        <v>32</v>
      </c>
      <c r="W199" s="24" t="s">
        <v>32</v>
      </c>
      <c r="X199" s="22" t="s">
        <v>32</v>
      </c>
      <c r="Y199" s="23">
        <v>0</v>
      </c>
      <c r="Z199" s="225">
        <v>1</v>
      </c>
      <c r="AA199" s="219">
        <v>5</v>
      </c>
      <c r="AB199" s="25" t="s">
        <v>32</v>
      </c>
      <c r="AD199" s="21">
        <v>9</v>
      </c>
      <c r="AE199" s="219">
        <v>3</v>
      </c>
      <c r="AF199" s="223">
        <v>6</v>
      </c>
      <c r="AG199" s="24" t="s">
        <v>32</v>
      </c>
      <c r="AH199" s="22" t="s">
        <v>32</v>
      </c>
      <c r="AI199" s="23" t="s">
        <v>32</v>
      </c>
      <c r="AJ199" s="24" t="s">
        <v>32</v>
      </c>
      <c r="AK199" s="22" t="s">
        <v>32</v>
      </c>
      <c r="AL199" s="25" t="s">
        <v>32</v>
      </c>
      <c r="AM199" s="21" t="s">
        <v>32</v>
      </c>
      <c r="AN199" s="22" t="s">
        <v>32</v>
      </c>
      <c r="AO199" s="23" t="s">
        <v>32</v>
      </c>
      <c r="AP199" s="24">
        <v>2</v>
      </c>
      <c r="AQ199" s="22">
        <v>7</v>
      </c>
      <c r="AR199" s="23" t="s">
        <v>32</v>
      </c>
      <c r="AS199" s="24" t="s">
        <v>32</v>
      </c>
      <c r="AT199" s="22" t="s">
        <v>32</v>
      </c>
      <c r="AU199" s="25" t="s">
        <v>32</v>
      </c>
      <c r="AV199" s="21" t="s">
        <v>32</v>
      </c>
      <c r="AW199" s="22" t="s">
        <v>32</v>
      </c>
      <c r="AX199" s="23" t="s">
        <v>32</v>
      </c>
      <c r="AY199" s="24" t="s">
        <v>32</v>
      </c>
      <c r="AZ199" s="22" t="s">
        <v>32</v>
      </c>
      <c r="BA199" s="23">
        <v>4</v>
      </c>
      <c r="BB199" s="225">
        <v>1</v>
      </c>
      <c r="BC199" s="219">
        <v>5</v>
      </c>
      <c r="BD199" s="25" t="s">
        <v>32</v>
      </c>
      <c r="BG199" s="21">
        <v>0</v>
      </c>
      <c r="BH199" s="22" t="s">
        <v>32</v>
      </c>
      <c r="BI199" s="23" t="s">
        <v>32</v>
      </c>
      <c r="BJ199" s="24" t="s">
        <v>32</v>
      </c>
      <c r="BK199" s="22" t="s">
        <v>32</v>
      </c>
      <c r="BL199" s="23" t="s">
        <v>32</v>
      </c>
      <c r="BM199" s="24" t="s">
        <v>32</v>
      </c>
      <c r="BN199" s="22" t="s">
        <v>32</v>
      </c>
      <c r="BO199" s="25" t="s">
        <v>32</v>
      </c>
      <c r="BP199" s="21" t="s">
        <v>32</v>
      </c>
      <c r="BQ199" s="22" t="s">
        <v>32</v>
      </c>
      <c r="BR199" s="23">
        <v>0</v>
      </c>
      <c r="BS199" s="24">
        <v>0</v>
      </c>
      <c r="BT199" s="22">
        <v>0</v>
      </c>
      <c r="BU199" s="23" t="s">
        <v>32</v>
      </c>
      <c r="BV199" s="24" t="s">
        <v>32</v>
      </c>
      <c r="BW199" s="22" t="s">
        <v>32</v>
      </c>
      <c r="BX199" s="25" t="s">
        <v>32</v>
      </c>
      <c r="BY199" s="21" t="s">
        <v>32</v>
      </c>
      <c r="BZ199" s="22" t="s">
        <v>32</v>
      </c>
      <c r="CA199" s="23" t="s">
        <v>32</v>
      </c>
      <c r="CB199" s="24" t="s">
        <v>32</v>
      </c>
      <c r="CC199" s="22" t="s">
        <v>32</v>
      </c>
      <c r="CD199" s="23">
        <v>0</v>
      </c>
      <c r="CE199" s="24">
        <v>0</v>
      </c>
      <c r="CF199" s="22">
        <v>0</v>
      </c>
      <c r="CG199" s="25">
        <v>0</v>
      </c>
      <c r="CI199" s="21">
        <v>2</v>
      </c>
      <c r="CJ199" s="22" t="s">
        <v>32</v>
      </c>
      <c r="CK199" s="23" t="s">
        <v>32</v>
      </c>
      <c r="CL199" s="24" t="s">
        <v>32</v>
      </c>
      <c r="CM199" s="22" t="s">
        <v>32</v>
      </c>
      <c r="CN199" s="23" t="s">
        <v>32</v>
      </c>
      <c r="CO199" s="24" t="s">
        <v>32</v>
      </c>
      <c r="CP199" s="22" t="s">
        <v>32</v>
      </c>
      <c r="CQ199" s="25" t="s">
        <v>32</v>
      </c>
      <c r="CR199" s="21" t="s">
        <v>32</v>
      </c>
      <c r="CS199" s="22" t="s">
        <v>32</v>
      </c>
      <c r="CT199" s="23">
        <v>6</v>
      </c>
      <c r="CU199" s="24">
        <v>8</v>
      </c>
      <c r="CV199" s="22">
        <v>7</v>
      </c>
      <c r="CW199" s="23" t="s">
        <v>32</v>
      </c>
      <c r="CX199" s="24" t="s">
        <v>32</v>
      </c>
      <c r="CY199" s="22" t="s">
        <v>32</v>
      </c>
      <c r="CZ199" s="25" t="s">
        <v>32</v>
      </c>
      <c r="DA199" s="21" t="s">
        <v>32</v>
      </c>
      <c r="DB199" s="22" t="s">
        <v>32</v>
      </c>
      <c r="DC199" s="23" t="s">
        <v>32</v>
      </c>
      <c r="DD199" s="24" t="s">
        <v>32</v>
      </c>
      <c r="DE199" s="22" t="s">
        <v>32</v>
      </c>
      <c r="DF199" s="23">
        <v>3</v>
      </c>
      <c r="DG199" s="24">
        <v>4</v>
      </c>
      <c r="DH199" s="22">
        <v>5</v>
      </c>
      <c r="DI199" s="25">
        <v>9</v>
      </c>
    </row>
    <row r="201" spans="2:113" ht="15" customHeight="1" thickBot="1">
      <c r="B201" s="33" t="s">
        <v>79</v>
      </c>
      <c r="AD201" s="33" t="s">
        <v>76</v>
      </c>
      <c r="BG201" s="33" t="s">
        <v>82</v>
      </c>
      <c r="CI201" s="33" t="s">
        <v>76</v>
      </c>
    </row>
    <row r="202" spans="2:113" ht="15" customHeight="1">
      <c r="B202" s="215">
        <v>3</v>
      </c>
      <c r="C202" s="5" t="s">
        <v>32</v>
      </c>
      <c r="D202" s="3">
        <v>0</v>
      </c>
      <c r="E202" s="4">
        <v>0</v>
      </c>
      <c r="F202" s="5" t="s">
        <v>32</v>
      </c>
      <c r="G202" s="3" t="s">
        <v>32</v>
      </c>
      <c r="H202" s="4" t="s">
        <v>32</v>
      </c>
      <c r="I202" s="5" t="s">
        <v>32</v>
      </c>
      <c r="J202" s="6" t="s">
        <v>32</v>
      </c>
      <c r="K202" s="2" t="s">
        <v>32</v>
      </c>
      <c r="L202" s="5">
        <v>0</v>
      </c>
      <c r="M202" s="3" t="s">
        <v>32</v>
      </c>
      <c r="N202" s="4" t="s">
        <v>32</v>
      </c>
      <c r="O202" s="5">
        <v>0</v>
      </c>
      <c r="P202" s="3" t="s">
        <v>32</v>
      </c>
      <c r="Q202" s="4" t="s">
        <v>32</v>
      </c>
      <c r="R202" s="5" t="s">
        <v>32</v>
      </c>
      <c r="S202" s="6" t="s">
        <v>32</v>
      </c>
      <c r="T202" s="2" t="s">
        <v>32</v>
      </c>
      <c r="U202" s="5" t="s">
        <v>32</v>
      </c>
      <c r="V202" s="3" t="s">
        <v>32</v>
      </c>
      <c r="W202" s="4" t="s">
        <v>32</v>
      </c>
      <c r="X202" s="5" t="s">
        <v>32</v>
      </c>
      <c r="Y202" s="3">
        <v>0</v>
      </c>
      <c r="Z202" s="4">
        <v>0</v>
      </c>
      <c r="AA202" s="5">
        <v>0</v>
      </c>
      <c r="AB202" s="217">
        <v>6</v>
      </c>
      <c r="AD202" s="215">
        <v>3</v>
      </c>
      <c r="AE202" s="5" t="s">
        <v>32</v>
      </c>
      <c r="AF202" s="3">
        <v>7</v>
      </c>
      <c r="AG202" s="4">
        <v>4</v>
      </c>
      <c r="AH202" s="5" t="s">
        <v>32</v>
      </c>
      <c r="AI202" s="3" t="s">
        <v>32</v>
      </c>
      <c r="AJ202" s="4" t="s">
        <v>32</v>
      </c>
      <c r="AK202" s="5" t="s">
        <v>32</v>
      </c>
      <c r="AL202" s="6" t="s">
        <v>32</v>
      </c>
      <c r="AM202" s="2" t="s">
        <v>32</v>
      </c>
      <c r="AN202" s="5">
        <v>2</v>
      </c>
      <c r="AO202" s="3" t="s">
        <v>32</v>
      </c>
      <c r="AP202" s="4" t="s">
        <v>32</v>
      </c>
      <c r="AQ202" s="5">
        <v>1</v>
      </c>
      <c r="AR202" s="3" t="s">
        <v>32</v>
      </c>
      <c r="AS202" s="4" t="s">
        <v>32</v>
      </c>
      <c r="AT202" s="5" t="s">
        <v>32</v>
      </c>
      <c r="AU202" s="6" t="s">
        <v>32</v>
      </c>
      <c r="AV202" s="2" t="s">
        <v>32</v>
      </c>
      <c r="AW202" s="5" t="s">
        <v>32</v>
      </c>
      <c r="AX202" s="3" t="s">
        <v>32</v>
      </c>
      <c r="AY202" s="4" t="s">
        <v>32</v>
      </c>
      <c r="AZ202" s="5" t="s">
        <v>32</v>
      </c>
      <c r="BA202" s="3">
        <v>5</v>
      </c>
      <c r="BB202" s="4">
        <v>9</v>
      </c>
      <c r="BC202" s="5">
        <v>8</v>
      </c>
      <c r="BD202" s="217">
        <v>6</v>
      </c>
      <c r="BG202" s="215">
        <v>8</v>
      </c>
      <c r="BH202" s="5">
        <v>0</v>
      </c>
      <c r="BI202" s="3" t="s">
        <v>32</v>
      </c>
      <c r="BJ202" s="4" t="s">
        <v>32</v>
      </c>
      <c r="BK202" s="5" t="s">
        <v>32</v>
      </c>
      <c r="BL202" s="3" t="s">
        <v>32</v>
      </c>
      <c r="BM202" s="4" t="s">
        <v>32</v>
      </c>
      <c r="BN202" s="5" t="s">
        <v>32</v>
      </c>
      <c r="BO202" s="6" t="s">
        <v>32</v>
      </c>
      <c r="BP202" s="2" t="s">
        <v>32</v>
      </c>
      <c r="BQ202" s="5" t="s">
        <v>32</v>
      </c>
      <c r="BR202" s="3">
        <v>0</v>
      </c>
      <c r="BS202" s="4">
        <v>0</v>
      </c>
      <c r="BT202" s="5">
        <v>0</v>
      </c>
      <c r="BU202" s="3">
        <v>0</v>
      </c>
      <c r="BV202" s="4">
        <v>0</v>
      </c>
      <c r="BW202" s="5" t="s">
        <v>32</v>
      </c>
      <c r="BX202" s="6" t="s">
        <v>32</v>
      </c>
      <c r="BY202" s="2" t="s">
        <v>32</v>
      </c>
      <c r="BZ202" s="5" t="s">
        <v>32</v>
      </c>
      <c r="CA202" s="3" t="s">
        <v>32</v>
      </c>
      <c r="CB202" s="4" t="s">
        <v>32</v>
      </c>
      <c r="CC202" s="5" t="s">
        <v>32</v>
      </c>
      <c r="CD202" s="3" t="s">
        <v>32</v>
      </c>
      <c r="CE202" s="4" t="s">
        <v>32</v>
      </c>
      <c r="CF202" s="5">
        <v>0</v>
      </c>
      <c r="CG202" s="217">
        <v>6</v>
      </c>
      <c r="CI202" s="215">
        <v>8</v>
      </c>
      <c r="CJ202" s="5">
        <v>9</v>
      </c>
      <c r="CK202" s="3" t="s">
        <v>32</v>
      </c>
      <c r="CL202" s="4" t="s">
        <v>32</v>
      </c>
      <c r="CM202" s="5" t="s">
        <v>32</v>
      </c>
      <c r="CN202" s="3" t="s">
        <v>32</v>
      </c>
      <c r="CO202" s="4" t="s">
        <v>32</v>
      </c>
      <c r="CP202" s="5" t="s">
        <v>32</v>
      </c>
      <c r="CQ202" s="6" t="s">
        <v>32</v>
      </c>
      <c r="CR202" s="2" t="s">
        <v>32</v>
      </c>
      <c r="CS202" s="5" t="s">
        <v>32</v>
      </c>
      <c r="CT202" s="3">
        <v>7</v>
      </c>
      <c r="CU202" s="4">
        <v>1</v>
      </c>
      <c r="CV202" s="5">
        <v>4</v>
      </c>
      <c r="CW202" s="3">
        <v>3</v>
      </c>
      <c r="CX202" s="4">
        <v>5</v>
      </c>
      <c r="CY202" s="5" t="s">
        <v>32</v>
      </c>
      <c r="CZ202" s="6" t="s">
        <v>32</v>
      </c>
      <c r="DA202" s="2" t="s">
        <v>32</v>
      </c>
      <c r="DB202" s="5" t="s">
        <v>32</v>
      </c>
      <c r="DC202" s="3" t="s">
        <v>32</v>
      </c>
      <c r="DD202" s="4" t="s">
        <v>32</v>
      </c>
      <c r="DE202" s="5" t="s">
        <v>32</v>
      </c>
      <c r="DF202" s="3" t="s">
        <v>32</v>
      </c>
      <c r="DG202" s="4" t="s">
        <v>32</v>
      </c>
      <c r="DH202" s="5">
        <v>2</v>
      </c>
      <c r="DI202" s="217">
        <v>6</v>
      </c>
    </row>
    <row r="203" spans="2:113" ht="15" customHeight="1">
      <c r="B203" s="11">
        <v>0</v>
      </c>
      <c r="C203" s="7">
        <v>0</v>
      </c>
      <c r="D203" s="9" t="s">
        <v>32</v>
      </c>
      <c r="E203" s="8" t="s">
        <v>32</v>
      </c>
      <c r="F203" s="7" t="s">
        <v>32</v>
      </c>
      <c r="G203" s="9" t="s">
        <v>32</v>
      </c>
      <c r="H203" s="8" t="s">
        <v>32</v>
      </c>
      <c r="I203" s="7" t="s">
        <v>32</v>
      </c>
      <c r="J203" s="10" t="s">
        <v>32</v>
      </c>
      <c r="K203" s="11" t="s">
        <v>32</v>
      </c>
      <c r="L203" s="7" t="s">
        <v>32</v>
      </c>
      <c r="M203" s="205">
        <v>8</v>
      </c>
      <c r="N203" s="206">
        <v>7</v>
      </c>
      <c r="O203" s="7">
        <v>0</v>
      </c>
      <c r="P203" s="9" t="s">
        <v>32</v>
      </c>
      <c r="Q203" s="8" t="s">
        <v>32</v>
      </c>
      <c r="R203" s="7" t="s">
        <v>32</v>
      </c>
      <c r="S203" s="10" t="s">
        <v>32</v>
      </c>
      <c r="T203" s="11" t="s">
        <v>32</v>
      </c>
      <c r="U203" s="7" t="s">
        <v>32</v>
      </c>
      <c r="V203" s="9" t="s">
        <v>32</v>
      </c>
      <c r="W203" s="8" t="s">
        <v>32</v>
      </c>
      <c r="X203" s="7" t="s">
        <v>32</v>
      </c>
      <c r="Y203" s="9" t="s">
        <v>32</v>
      </c>
      <c r="Z203" s="206">
        <v>1</v>
      </c>
      <c r="AA203" s="7">
        <v>0</v>
      </c>
      <c r="AB203" s="10">
        <v>0</v>
      </c>
      <c r="AD203" s="11">
        <v>6</v>
      </c>
      <c r="AE203" s="7">
        <v>5</v>
      </c>
      <c r="AF203" s="9" t="s">
        <v>32</v>
      </c>
      <c r="AG203" s="8" t="s">
        <v>32</v>
      </c>
      <c r="AH203" s="7" t="s">
        <v>32</v>
      </c>
      <c r="AI203" s="9" t="s">
        <v>32</v>
      </c>
      <c r="AJ203" s="8" t="s">
        <v>32</v>
      </c>
      <c r="AK203" s="7" t="s">
        <v>32</v>
      </c>
      <c r="AL203" s="10" t="s">
        <v>32</v>
      </c>
      <c r="AM203" s="11" t="s">
        <v>32</v>
      </c>
      <c r="AN203" s="7" t="s">
        <v>32</v>
      </c>
      <c r="AO203" s="205">
        <v>8</v>
      </c>
      <c r="AP203" s="206">
        <v>7</v>
      </c>
      <c r="AQ203" s="7">
        <v>9</v>
      </c>
      <c r="AR203" s="9" t="s">
        <v>32</v>
      </c>
      <c r="AS203" s="8" t="s">
        <v>32</v>
      </c>
      <c r="AT203" s="7" t="s">
        <v>32</v>
      </c>
      <c r="AU203" s="10" t="s">
        <v>32</v>
      </c>
      <c r="AV203" s="11" t="s">
        <v>32</v>
      </c>
      <c r="AW203" s="7" t="s">
        <v>32</v>
      </c>
      <c r="AX203" s="9" t="s">
        <v>32</v>
      </c>
      <c r="AY203" s="8" t="s">
        <v>32</v>
      </c>
      <c r="AZ203" s="7" t="s">
        <v>32</v>
      </c>
      <c r="BA203" s="9" t="s">
        <v>32</v>
      </c>
      <c r="BB203" s="206">
        <v>1</v>
      </c>
      <c r="BC203" s="7">
        <v>3</v>
      </c>
      <c r="BD203" s="10">
        <v>4</v>
      </c>
      <c r="BG203" s="11">
        <v>0</v>
      </c>
      <c r="BH203" s="7" t="s">
        <v>32</v>
      </c>
      <c r="BI203" s="9" t="s">
        <v>32</v>
      </c>
      <c r="BJ203" s="8" t="s">
        <v>32</v>
      </c>
      <c r="BK203" s="7" t="s">
        <v>32</v>
      </c>
      <c r="BL203" s="9" t="s">
        <v>32</v>
      </c>
      <c r="BM203" s="8" t="s">
        <v>32</v>
      </c>
      <c r="BN203" s="7" t="s">
        <v>32</v>
      </c>
      <c r="BO203" s="10" t="s">
        <v>32</v>
      </c>
      <c r="BP203" s="11" t="s">
        <v>32</v>
      </c>
      <c r="BQ203" s="7" t="s">
        <v>32</v>
      </c>
      <c r="BR203" s="9" t="s">
        <v>32</v>
      </c>
      <c r="BS203" s="8">
        <v>0</v>
      </c>
      <c r="BT203" s="7" t="s">
        <v>32</v>
      </c>
      <c r="BU203" s="205">
        <v>9</v>
      </c>
      <c r="BV203" s="8" t="s">
        <v>32</v>
      </c>
      <c r="BW203" s="7" t="s">
        <v>32</v>
      </c>
      <c r="BX203" s="10" t="s">
        <v>32</v>
      </c>
      <c r="BY203" s="11" t="s">
        <v>32</v>
      </c>
      <c r="BZ203" s="7" t="s">
        <v>32</v>
      </c>
      <c r="CA203" s="9" t="s">
        <v>32</v>
      </c>
      <c r="CB203" s="8" t="s">
        <v>32</v>
      </c>
      <c r="CC203" s="7" t="s">
        <v>32</v>
      </c>
      <c r="CD203" s="9" t="s">
        <v>32</v>
      </c>
      <c r="CE203" s="8">
        <v>0</v>
      </c>
      <c r="CF203" s="7">
        <v>0</v>
      </c>
      <c r="CG203" s="10">
        <v>0</v>
      </c>
      <c r="CI203" s="11">
        <v>5</v>
      </c>
      <c r="CJ203" s="7" t="s">
        <v>32</v>
      </c>
      <c r="CK203" s="9" t="s">
        <v>32</v>
      </c>
      <c r="CL203" s="8" t="s">
        <v>32</v>
      </c>
      <c r="CM203" s="7" t="s">
        <v>32</v>
      </c>
      <c r="CN203" s="9" t="s">
        <v>32</v>
      </c>
      <c r="CO203" s="8" t="s">
        <v>32</v>
      </c>
      <c r="CP203" s="7" t="s">
        <v>32</v>
      </c>
      <c r="CQ203" s="10" t="s">
        <v>32</v>
      </c>
      <c r="CR203" s="11" t="s">
        <v>32</v>
      </c>
      <c r="CS203" s="7" t="s">
        <v>32</v>
      </c>
      <c r="CT203" s="9" t="s">
        <v>32</v>
      </c>
      <c r="CU203" s="8">
        <v>2</v>
      </c>
      <c r="CV203" s="7" t="s">
        <v>32</v>
      </c>
      <c r="CW203" s="205">
        <v>9</v>
      </c>
      <c r="CX203" s="8" t="s">
        <v>32</v>
      </c>
      <c r="CY203" s="7" t="s">
        <v>32</v>
      </c>
      <c r="CZ203" s="10" t="s">
        <v>32</v>
      </c>
      <c r="DA203" s="11" t="s">
        <v>32</v>
      </c>
      <c r="DB203" s="7" t="s">
        <v>32</v>
      </c>
      <c r="DC203" s="9" t="s">
        <v>32</v>
      </c>
      <c r="DD203" s="8" t="s">
        <v>32</v>
      </c>
      <c r="DE203" s="7" t="s">
        <v>32</v>
      </c>
      <c r="DF203" s="9" t="s">
        <v>32</v>
      </c>
      <c r="DG203" s="8">
        <v>4</v>
      </c>
      <c r="DH203" s="7">
        <v>3</v>
      </c>
      <c r="DI203" s="10">
        <v>8</v>
      </c>
    </row>
    <row r="204" spans="2:113" ht="15" customHeight="1">
      <c r="B204" s="12">
        <v>0</v>
      </c>
      <c r="C204" s="13" t="s">
        <v>32</v>
      </c>
      <c r="D204" s="15" t="s">
        <v>32</v>
      </c>
      <c r="E204" s="14" t="s">
        <v>32</v>
      </c>
      <c r="F204" s="13" t="s">
        <v>32</v>
      </c>
      <c r="G204" s="15" t="s">
        <v>32</v>
      </c>
      <c r="H204" s="14" t="s">
        <v>32</v>
      </c>
      <c r="I204" s="13" t="s">
        <v>32</v>
      </c>
      <c r="J204" s="1" t="s">
        <v>32</v>
      </c>
      <c r="K204" s="12" t="s">
        <v>32</v>
      </c>
      <c r="L204" s="13">
        <v>0</v>
      </c>
      <c r="M204" s="15">
        <v>0</v>
      </c>
      <c r="N204" s="14">
        <v>0</v>
      </c>
      <c r="O204" s="13" t="s">
        <v>32</v>
      </c>
      <c r="P204" s="15" t="s">
        <v>32</v>
      </c>
      <c r="Q204" s="14" t="s">
        <v>32</v>
      </c>
      <c r="R204" s="13" t="s">
        <v>32</v>
      </c>
      <c r="S204" s="1" t="s">
        <v>32</v>
      </c>
      <c r="T204" s="12" t="s">
        <v>32</v>
      </c>
      <c r="U204" s="13" t="s">
        <v>32</v>
      </c>
      <c r="V204" s="15" t="s">
        <v>32</v>
      </c>
      <c r="W204" s="14" t="s">
        <v>32</v>
      </c>
      <c r="X204" s="13" t="s">
        <v>32</v>
      </c>
      <c r="Y204" s="15" t="s">
        <v>32</v>
      </c>
      <c r="Z204" s="14">
        <v>0</v>
      </c>
      <c r="AA204" s="13">
        <v>0</v>
      </c>
      <c r="AB204" s="1" t="s">
        <v>32</v>
      </c>
      <c r="AD204" s="12">
        <v>8</v>
      </c>
      <c r="AE204" s="13" t="s">
        <v>32</v>
      </c>
      <c r="AF204" s="15" t="s">
        <v>32</v>
      </c>
      <c r="AG204" s="14" t="s">
        <v>32</v>
      </c>
      <c r="AH204" s="13" t="s">
        <v>32</v>
      </c>
      <c r="AI204" s="15" t="s">
        <v>32</v>
      </c>
      <c r="AJ204" s="14" t="s">
        <v>32</v>
      </c>
      <c r="AK204" s="13" t="s">
        <v>32</v>
      </c>
      <c r="AL204" s="1" t="s">
        <v>32</v>
      </c>
      <c r="AM204" s="12" t="s">
        <v>32</v>
      </c>
      <c r="AN204" s="13">
        <v>6</v>
      </c>
      <c r="AO204" s="15">
        <v>3</v>
      </c>
      <c r="AP204" s="14">
        <v>5</v>
      </c>
      <c r="AQ204" s="13" t="s">
        <v>32</v>
      </c>
      <c r="AR204" s="15" t="s">
        <v>32</v>
      </c>
      <c r="AS204" s="14" t="s">
        <v>32</v>
      </c>
      <c r="AT204" s="13" t="s">
        <v>32</v>
      </c>
      <c r="AU204" s="1" t="s">
        <v>32</v>
      </c>
      <c r="AV204" s="12" t="s">
        <v>32</v>
      </c>
      <c r="AW204" s="13" t="s">
        <v>32</v>
      </c>
      <c r="AX204" s="15" t="s">
        <v>32</v>
      </c>
      <c r="AY204" s="14" t="s">
        <v>32</v>
      </c>
      <c r="AZ204" s="13" t="s">
        <v>32</v>
      </c>
      <c r="BA204" s="15" t="s">
        <v>32</v>
      </c>
      <c r="BB204" s="14">
        <v>7</v>
      </c>
      <c r="BC204" s="13">
        <v>2</v>
      </c>
      <c r="BD204" s="1" t="s">
        <v>32</v>
      </c>
      <c r="BG204" s="424">
        <v>4</v>
      </c>
      <c r="BH204" s="13" t="s">
        <v>32</v>
      </c>
      <c r="BI204" s="15" t="s">
        <v>32</v>
      </c>
      <c r="BJ204" s="14" t="s">
        <v>32</v>
      </c>
      <c r="BK204" s="13" t="s">
        <v>32</v>
      </c>
      <c r="BL204" s="15" t="s">
        <v>32</v>
      </c>
      <c r="BM204" s="14" t="s">
        <v>32</v>
      </c>
      <c r="BN204" s="13" t="s">
        <v>32</v>
      </c>
      <c r="BO204" s="1" t="s">
        <v>32</v>
      </c>
      <c r="BP204" s="12" t="s">
        <v>32</v>
      </c>
      <c r="BQ204" s="13" t="s">
        <v>32</v>
      </c>
      <c r="BR204" s="15" t="s">
        <v>32</v>
      </c>
      <c r="BS204" s="14" t="s">
        <v>32</v>
      </c>
      <c r="BT204" s="13">
        <v>0</v>
      </c>
      <c r="BU204" s="15">
        <v>0</v>
      </c>
      <c r="BV204" s="14" t="s">
        <v>32</v>
      </c>
      <c r="BW204" s="13" t="s">
        <v>32</v>
      </c>
      <c r="BX204" s="1" t="s">
        <v>32</v>
      </c>
      <c r="BY204" s="12" t="s">
        <v>32</v>
      </c>
      <c r="BZ204" s="13" t="s">
        <v>32</v>
      </c>
      <c r="CA204" s="15" t="s">
        <v>32</v>
      </c>
      <c r="CB204" s="14" t="s">
        <v>32</v>
      </c>
      <c r="CC204" s="13" t="s">
        <v>32</v>
      </c>
      <c r="CD204" s="15" t="s">
        <v>32</v>
      </c>
      <c r="CE204" s="14">
        <v>0</v>
      </c>
      <c r="CF204" s="212">
        <v>1</v>
      </c>
      <c r="CG204" s="425">
        <v>9</v>
      </c>
      <c r="CI204" s="424">
        <v>4</v>
      </c>
      <c r="CJ204" s="13" t="s">
        <v>32</v>
      </c>
      <c r="CK204" s="15" t="s">
        <v>32</v>
      </c>
      <c r="CL204" s="14" t="s">
        <v>32</v>
      </c>
      <c r="CM204" s="13" t="s">
        <v>32</v>
      </c>
      <c r="CN204" s="15" t="s">
        <v>32</v>
      </c>
      <c r="CO204" s="14" t="s">
        <v>32</v>
      </c>
      <c r="CP204" s="13" t="s">
        <v>32</v>
      </c>
      <c r="CQ204" s="1" t="s">
        <v>32</v>
      </c>
      <c r="CR204" s="12" t="s">
        <v>32</v>
      </c>
      <c r="CS204" s="13" t="s">
        <v>32</v>
      </c>
      <c r="CT204" s="15" t="s">
        <v>32</v>
      </c>
      <c r="CU204" s="14" t="s">
        <v>32</v>
      </c>
      <c r="CV204" s="13">
        <v>6</v>
      </c>
      <c r="CW204" s="15">
        <v>8</v>
      </c>
      <c r="CX204" s="14" t="s">
        <v>32</v>
      </c>
      <c r="CY204" s="13" t="s">
        <v>32</v>
      </c>
      <c r="CZ204" s="1" t="s">
        <v>32</v>
      </c>
      <c r="DA204" s="12" t="s">
        <v>32</v>
      </c>
      <c r="DB204" s="13" t="s">
        <v>32</v>
      </c>
      <c r="DC204" s="15" t="s">
        <v>32</v>
      </c>
      <c r="DD204" s="14" t="s">
        <v>32</v>
      </c>
      <c r="DE204" s="13" t="s">
        <v>32</v>
      </c>
      <c r="DF204" s="15" t="s">
        <v>32</v>
      </c>
      <c r="DG204" s="14">
        <v>7</v>
      </c>
      <c r="DH204" s="212">
        <v>1</v>
      </c>
      <c r="DI204" s="425">
        <v>9</v>
      </c>
    </row>
    <row r="205" spans="2:113" ht="15" customHeight="1">
      <c r="B205" s="16" t="s">
        <v>32</v>
      </c>
      <c r="C205" s="211">
        <v>9</v>
      </c>
      <c r="D205" s="18" t="s">
        <v>32</v>
      </c>
      <c r="E205" s="19">
        <v>0</v>
      </c>
      <c r="F205" s="17" t="s">
        <v>32</v>
      </c>
      <c r="G205" s="18" t="s">
        <v>32</v>
      </c>
      <c r="H205" s="19" t="s">
        <v>32</v>
      </c>
      <c r="I205" s="17" t="s">
        <v>32</v>
      </c>
      <c r="J205" s="20" t="s">
        <v>32</v>
      </c>
      <c r="K205" s="16" t="s">
        <v>32</v>
      </c>
      <c r="L205" s="17" t="s">
        <v>32</v>
      </c>
      <c r="M205" s="18">
        <v>0</v>
      </c>
      <c r="N205" s="19" t="s">
        <v>32</v>
      </c>
      <c r="O205" s="17" t="s">
        <v>32</v>
      </c>
      <c r="P205" s="18" t="s">
        <v>32</v>
      </c>
      <c r="Q205" s="19" t="s">
        <v>32</v>
      </c>
      <c r="R205" s="17" t="s">
        <v>32</v>
      </c>
      <c r="S205" s="20" t="s">
        <v>32</v>
      </c>
      <c r="T205" s="16" t="s">
        <v>32</v>
      </c>
      <c r="U205" s="17" t="s">
        <v>32</v>
      </c>
      <c r="V205" s="18" t="s">
        <v>32</v>
      </c>
      <c r="W205" s="19" t="s">
        <v>32</v>
      </c>
      <c r="X205" s="17" t="s">
        <v>32</v>
      </c>
      <c r="Y205" s="18" t="s">
        <v>32</v>
      </c>
      <c r="Z205" s="19" t="s">
        <v>32</v>
      </c>
      <c r="AA205" s="17" t="s">
        <v>32</v>
      </c>
      <c r="AB205" s="20" t="s">
        <v>32</v>
      </c>
      <c r="AD205" s="16" t="s">
        <v>32</v>
      </c>
      <c r="AE205" s="211">
        <v>9</v>
      </c>
      <c r="AF205" s="18" t="s">
        <v>32</v>
      </c>
      <c r="AG205" s="19">
        <v>2</v>
      </c>
      <c r="AH205" s="17" t="s">
        <v>32</v>
      </c>
      <c r="AI205" s="18" t="s">
        <v>32</v>
      </c>
      <c r="AJ205" s="19" t="s">
        <v>32</v>
      </c>
      <c r="AK205" s="17" t="s">
        <v>32</v>
      </c>
      <c r="AL205" s="20" t="s">
        <v>32</v>
      </c>
      <c r="AM205" s="16" t="s">
        <v>32</v>
      </c>
      <c r="AN205" s="17" t="s">
        <v>32</v>
      </c>
      <c r="AO205" s="18">
        <v>4</v>
      </c>
      <c r="AP205" s="19" t="s">
        <v>32</v>
      </c>
      <c r="AQ205" s="17" t="s">
        <v>32</v>
      </c>
      <c r="AR205" s="18" t="s">
        <v>32</v>
      </c>
      <c r="AS205" s="19" t="s">
        <v>32</v>
      </c>
      <c r="AT205" s="17" t="s">
        <v>32</v>
      </c>
      <c r="AU205" s="20" t="s">
        <v>32</v>
      </c>
      <c r="AV205" s="16" t="s">
        <v>32</v>
      </c>
      <c r="AW205" s="17" t="s">
        <v>32</v>
      </c>
      <c r="AX205" s="18" t="s">
        <v>32</v>
      </c>
      <c r="AY205" s="19" t="s">
        <v>32</v>
      </c>
      <c r="AZ205" s="17" t="s">
        <v>32</v>
      </c>
      <c r="BA205" s="18" t="s">
        <v>32</v>
      </c>
      <c r="BB205" s="19" t="s">
        <v>32</v>
      </c>
      <c r="BC205" s="17" t="s">
        <v>32</v>
      </c>
      <c r="BD205" s="20" t="s">
        <v>32</v>
      </c>
      <c r="BG205" s="16">
        <v>0</v>
      </c>
      <c r="BH205" s="211">
        <v>7</v>
      </c>
      <c r="BI205" s="18" t="s">
        <v>32</v>
      </c>
      <c r="BJ205" s="19" t="s">
        <v>32</v>
      </c>
      <c r="BK205" s="17" t="s">
        <v>32</v>
      </c>
      <c r="BL205" s="18" t="s">
        <v>32</v>
      </c>
      <c r="BM205" s="19" t="s">
        <v>32</v>
      </c>
      <c r="BN205" s="17" t="s">
        <v>32</v>
      </c>
      <c r="BO205" s="20" t="s">
        <v>32</v>
      </c>
      <c r="BP205" s="16" t="s">
        <v>32</v>
      </c>
      <c r="BQ205" s="17" t="s">
        <v>32</v>
      </c>
      <c r="BR205" s="18" t="s">
        <v>32</v>
      </c>
      <c r="BS205" s="19" t="s">
        <v>32</v>
      </c>
      <c r="BT205" s="17" t="s">
        <v>32</v>
      </c>
      <c r="BU205" s="18" t="s">
        <v>32</v>
      </c>
      <c r="BV205" s="19" t="s">
        <v>32</v>
      </c>
      <c r="BW205" s="17" t="s">
        <v>32</v>
      </c>
      <c r="BX205" s="20" t="s">
        <v>32</v>
      </c>
      <c r="BY205" s="16" t="s">
        <v>32</v>
      </c>
      <c r="BZ205" s="17" t="s">
        <v>32</v>
      </c>
      <c r="CA205" s="18" t="s">
        <v>32</v>
      </c>
      <c r="CB205" s="19" t="s">
        <v>32</v>
      </c>
      <c r="CC205" s="17" t="s">
        <v>32</v>
      </c>
      <c r="CD205" s="18" t="s">
        <v>32</v>
      </c>
      <c r="CE205" s="19" t="s">
        <v>32</v>
      </c>
      <c r="CF205" s="17" t="s">
        <v>32</v>
      </c>
      <c r="CG205" s="20">
        <v>0</v>
      </c>
      <c r="CI205" s="16">
        <v>3</v>
      </c>
      <c r="CJ205" s="211">
        <v>7</v>
      </c>
      <c r="CK205" s="18" t="s">
        <v>32</v>
      </c>
      <c r="CL205" s="19" t="s">
        <v>32</v>
      </c>
      <c r="CM205" s="17" t="s">
        <v>32</v>
      </c>
      <c r="CN205" s="18" t="s">
        <v>32</v>
      </c>
      <c r="CO205" s="19" t="s">
        <v>32</v>
      </c>
      <c r="CP205" s="17" t="s">
        <v>32</v>
      </c>
      <c r="CQ205" s="20" t="s">
        <v>32</v>
      </c>
      <c r="CR205" s="16" t="s">
        <v>32</v>
      </c>
      <c r="CS205" s="17" t="s">
        <v>32</v>
      </c>
      <c r="CT205" s="18" t="s">
        <v>32</v>
      </c>
      <c r="CU205" s="19" t="s">
        <v>32</v>
      </c>
      <c r="CV205" s="17" t="s">
        <v>32</v>
      </c>
      <c r="CW205" s="18" t="s">
        <v>32</v>
      </c>
      <c r="CX205" s="19" t="s">
        <v>32</v>
      </c>
      <c r="CY205" s="17" t="s">
        <v>32</v>
      </c>
      <c r="CZ205" s="20" t="s">
        <v>32</v>
      </c>
      <c r="DA205" s="16" t="s">
        <v>32</v>
      </c>
      <c r="DB205" s="17" t="s">
        <v>32</v>
      </c>
      <c r="DC205" s="18" t="s">
        <v>32</v>
      </c>
      <c r="DD205" s="19" t="s">
        <v>32</v>
      </c>
      <c r="DE205" s="17" t="s">
        <v>32</v>
      </c>
      <c r="DF205" s="18" t="s">
        <v>32</v>
      </c>
      <c r="DG205" s="19" t="s">
        <v>32</v>
      </c>
      <c r="DH205" s="17" t="s">
        <v>32</v>
      </c>
      <c r="DI205" s="20">
        <v>5</v>
      </c>
    </row>
    <row r="206" spans="2:113" ht="15" customHeight="1">
      <c r="B206" s="11" t="s">
        <v>32</v>
      </c>
      <c r="C206" s="7" t="s">
        <v>32</v>
      </c>
      <c r="D206" s="9">
        <v>0</v>
      </c>
      <c r="E206" s="8" t="s">
        <v>32</v>
      </c>
      <c r="F206" s="7" t="s">
        <v>32</v>
      </c>
      <c r="G206" s="9" t="s">
        <v>32</v>
      </c>
      <c r="H206" s="8" t="s">
        <v>32</v>
      </c>
      <c r="I206" s="7" t="s">
        <v>32</v>
      </c>
      <c r="J206" s="10" t="s">
        <v>32</v>
      </c>
      <c r="K206" s="11" t="s">
        <v>32</v>
      </c>
      <c r="L206" s="7" t="s">
        <v>32</v>
      </c>
      <c r="M206" s="9" t="s">
        <v>32</v>
      </c>
      <c r="N206" s="8" t="s">
        <v>32</v>
      </c>
      <c r="O206" s="7" t="s">
        <v>32</v>
      </c>
      <c r="P206" s="9" t="s">
        <v>32</v>
      </c>
      <c r="Q206" s="8" t="s">
        <v>32</v>
      </c>
      <c r="R206" s="7" t="s">
        <v>32</v>
      </c>
      <c r="S206" s="10" t="s">
        <v>32</v>
      </c>
      <c r="T206" s="11" t="s">
        <v>32</v>
      </c>
      <c r="U206" s="7" t="s">
        <v>32</v>
      </c>
      <c r="V206" s="9" t="s">
        <v>32</v>
      </c>
      <c r="W206" s="8" t="s">
        <v>32</v>
      </c>
      <c r="X206" s="7" t="s">
        <v>32</v>
      </c>
      <c r="Y206" s="9" t="s">
        <v>32</v>
      </c>
      <c r="Z206" s="8" t="s">
        <v>32</v>
      </c>
      <c r="AA206" s="7" t="s">
        <v>32</v>
      </c>
      <c r="AB206" s="10" t="s">
        <v>32</v>
      </c>
      <c r="AD206" s="11" t="s">
        <v>32</v>
      </c>
      <c r="AE206" s="7" t="s">
        <v>32</v>
      </c>
      <c r="AF206" s="9">
        <v>1</v>
      </c>
      <c r="AG206" s="8" t="s">
        <v>32</v>
      </c>
      <c r="AH206" s="7" t="s">
        <v>32</v>
      </c>
      <c r="AI206" s="9" t="s">
        <v>32</v>
      </c>
      <c r="AJ206" s="8" t="s">
        <v>32</v>
      </c>
      <c r="AK206" s="7" t="s">
        <v>32</v>
      </c>
      <c r="AL206" s="10" t="s">
        <v>32</v>
      </c>
      <c r="AM206" s="11" t="s">
        <v>32</v>
      </c>
      <c r="AN206" s="7" t="s">
        <v>32</v>
      </c>
      <c r="AO206" s="9" t="s">
        <v>32</v>
      </c>
      <c r="AP206" s="8" t="s">
        <v>32</v>
      </c>
      <c r="AQ206" s="7" t="s">
        <v>32</v>
      </c>
      <c r="AR206" s="9" t="s">
        <v>32</v>
      </c>
      <c r="AS206" s="8" t="s">
        <v>32</v>
      </c>
      <c r="AT206" s="7" t="s">
        <v>32</v>
      </c>
      <c r="AU206" s="10" t="s">
        <v>32</v>
      </c>
      <c r="AV206" s="11" t="s">
        <v>32</v>
      </c>
      <c r="AW206" s="7" t="s">
        <v>32</v>
      </c>
      <c r="AX206" s="9" t="s">
        <v>32</v>
      </c>
      <c r="AY206" s="8" t="s">
        <v>32</v>
      </c>
      <c r="AZ206" s="7" t="s">
        <v>32</v>
      </c>
      <c r="BA206" s="9" t="s">
        <v>32</v>
      </c>
      <c r="BB206" s="8" t="s">
        <v>32</v>
      </c>
      <c r="BC206" s="7" t="s">
        <v>32</v>
      </c>
      <c r="BD206" s="10" t="s">
        <v>32</v>
      </c>
      <c r="BG206" s="11">
        <v>0</v>
      </c>
      <c r="BH206" s="7" t="s">
        <v>32</v>
      </c>
      <c r="BI206" s="9">
        <v>0</v>
      </c>
      <c r="BJ206" s="8" t="s">
        <v>32</v>
      </c>
      <c r="BK206" s="7" t="s">
        <v>32</v>
      </c>
      <c r="BL206" s="9" t="s">
        <v>32</v>
      </c>
      <c r="BM206" s="8" t="s">
        <v>32</v>
      </c>
      <c r="BN206" s="7" t="s">
        <v>32</v>
      </c>
      <c r="BO206" s="10" t="s">
        <v>32</v>
      </c>
      <c r="BP206" s="11" t="s">
        <v>32</v>
      </c>
      <c r="BQ206" s="7" t="s">
        <v>32</v>
      </c>
      <c r="BR206" s="9" t="s">
        <v>32</v>
      </c>
      <c r="BS206" s="8" t="s">
        <v>32</v>
      </c>
      <c r="BT206" s="7" t="s">
        <v>32</v>
      </c>
      <c r="BU206" s="9" t="s">
        <v>32</v>
      </c>
      <c r="BV206" s="8" t="s">
        <v>32</v>
      </c>
      <c r="BW206" s="7" t="s">
        <v>32</v>
      </c>
      <c r="BX206" s="10" t="s">
        <v>32</v>
      </c>
      <c r="BY206" s="11" t="s">
        <v>32</v>
      </c>
      <c r="BZ206" s="7" t="s">
        <v>32</v>
      </c>
      <c r="CA206" s="9" t="s">
        <v>32</v>
      </c>
      <c r="CB206" s="8" t="s">
        <v>32</v>
      </c>
      <c r="CC206" s="7" t="s">
        <v>32</v>
      </c>
      <c r="CD206" s="9" t="s">
        <v>32</v>
      </c>
      <c r="CE206" s="8" t="s">
        <v>32</v>
      </c>
      <c r="CF206" s="7" t="s">
        <v>32</v>
      </c>
      <c r="CG206" s="10" t="s">
        <v>32</v>
      </c>
      <c r="CI206" s="11">
        <v>1</v>
      </c>
      <c r="CJ206" s="7" t="s">
        <v>32</v>
      </c>
      <c r="CK206" s="9">
        <v>2</v>
      </c>
      <c r="CL206" s="8" t="s">
        <v>32</v>
      </c>
      <c r="CM206" s="7" t="s">
        <v>32</v>
      </c>
      <c r="CN206" s="9" t="s">
        <v>32</v>
      </c>
      <c r="CO206" s="8" t="s">
        <v>32</v>
      </c>
      <c r="CP206" s="7" t="s">
        <v>32</v>
      </c>
      <c r="CQ206" s="10" t="s">
        <v>32</v>
      </c>
      <c r="CR206" s="11" t="s">
        <v>32</v>
      </c>
      <c r="CS206" s="7" t="s">
        <v>32</v>
      </c>
      <c r="CT206" s="9" t="s">
        <v>32</v>
      </c>
      <c r="CU206" s="8" t="s">
        <v>32</v>
      </c>
      <c r="CV206" s="7" t="s">
        <v>32</v>
      </c>
      <c r="CW206" s="9" t="s">
        <v>32</v>
      </c>
      <c r="CX206" s="8" t="s">
        <v>32</v>
      </c>
      <c r="CY206" s="7" t="s">
        <v>32</v>
      </c>
      <c r="CZ206" s="10" t="s">
        <v>32</v>
      </c>
      <c r="DA206" s="11" t="s">
        <v>32</v>
      </c>
      <c r="DB206" s="7" t="s">
        <v>32</v>
      </c>
      <c r="DC206" s="9" t="s">
        <v>32</v>
      </c>
      <c r="DD206" s="8" t="s">
        <v>32</v>
      </c>
      <c r="DE206" s="7" t="s">
        <v>32</v>
      </c>
      <c r="DF206" s="9" t="s">
        <v>32</v>
      </c>
      <c r="DG206" s="8" t="s">
        <v>32</v>
      </c>
      <c r="DH206" s="7" t="s">
        <v>32</v>
      </c>
      <c r="DI206" s="10" t="s">
        <v>32</v>
      </c>
    </row>
    <row r="207" spans="2:113" ht="15" customHeight="1">
      <c r="B207" s="12" t="s">
        <v>32</v>
      </c>
      <c r="C207" s="13" t="s">
        <v>32</v>
      </c>
      <c r="D207" s="15" t="s">
        <v>32</v>
      </c>
      <c r="E207" s="14" t="s">
        <v>32</v>
      </c>
      <c r="F207" s="13" t="s">
        <v>32</v>
      </c>
      <c r="G207" s="15" t="s">
        <v>32</v>
      </c>
      <c r="H207" s="14" t="s">
        <v>32</v>
      </c>
      <c r="I207" s="13" t="s">
        <v>32</v>
      </c>
      <c r="J207" s="1" t="s">
        <v>32</v>
      </c>
      <c r="K207" s="12" t="s">
        <v>32</v>
      </c>
      <c r="L207" s="13" t="s">
        <v>32</v>
      </c>
      <c r="M207" s="15" t="s">
        <v>32</v>
      </c>
      <c r="N207" s="14" t="s">
        <v>32</v>
      </c>
      <c r="O207" s="13" t="s">
        <v>32</v>
      </c>
      <c r="P207" s="15" t="s">
        <v>32</v>
      </c>
      <c r="Q207" s="14" t="s">
        <v>32</v>
      </c>
      <c r="R207" s="13" t="s">
        <v>32</v>
      </c>
      <c r="S207" s="1" t="s">
        <v>32</v>
      </c>
      <c r="T207" s="12" t="s">
        <v>32</v>
      </c>
      <c r="U207" s="13" t="s">
        <v>32</v>
      </c>
      <c r="V207" s="15" t="s">
        <v>32</v>
      </c>
      <c r="W207" s="14" t="s">
        <v>32</v>
      </c>
      <c r="X207" s="13" t="s">
        <v>32</v>
      </c>
      <c r="Y207" s="15" t="s">
        <v>32</v>
      </c>
      <c r="Z207" s="14" t="s">
        <v>32</v>
      </c>
      <c r="AA207" s="13" t="s">
        <v>32</v>
      </c>
      <c r="AB207" s="1" t="s">
        <v>32</v>
      </c>
      <c r="AD207" s="12" t="s">
        <v>32</v>
      </c>
      <c r="AE207" s="13" t="s">
        <v>32</v>
      </c>
      <c r="AF207" s="15" t="s">
        <v>32</v>
      </c>
      <c r="AG207" s="14" t="s">
        <v>32</v>
      </c>
      <c r="AH207" s="13" t="s">
        <v>32</v>
      </c>
      <c r="AI207" s="15" t="s">
        <v>32</v>
      </c>
      <c r="AJ207" s="14" t="s">
        <v>32</v>
      </c>
      <c r="AK207" s="13" t="s">
        <v>32</v>
      </c>
      <c r="AL207" s="1" t="s">
        <v>32</v>
      </c>
      <c r="AM207" s="12" t="s">
        <v>32</v>
      </c>
      <c r="AN207" s="13" t="s">
        <v>32</v>
      </c>
      <c r="AO207" s="15" t="s">
        <v>32</v>
      </c>
      <c r="AP207" s="14" t="s">
        <v>32</v>
      </c>
      <c r="AQ207" s="13" t="s">
        <v>32</v>
      </c>
      <c r="AR207" s="15" t="s">
        <v>32</v>
      </c>
      <c r="AS207" s="14" t="s">
        <v>32</v>
      </c>
      <c r="AT207" s="13" t="s">
        <v>32</v>
      </c>
      <c r="AU207" s="1" t="s">
        <v>32</v>
      </c>
      <c r="AV207" s="12" t="s">
        <v>32</v>
      </c>
      <c r="AW207" s="13" t="s">
        <v>32</v>
      </c>
      <c r="AX207" s="15" t="s">
        <v>32</v>
      </c>
      <c r="AY207" s="14" t="s">
        <v>32</v>
      </c>
      <c r="AZ207" s="13" t="s">
        <v>32</v>
      </c>
      <c r="BA207" s="15" t="s">
        <v>32</v>
      </c>
      <c r="BB207" s="14" t="s">
        <v>32</v>
      </c>
      <c r="BC207" s="13" t="s">
        <v>32</v>
      </c>
      <c r="BD207" s="1" t="s">
        <v>32</v>
      </c>
      <c r="BG207" s="12">
        <v>0</v>
      </c>
      <c r="BH207" s="13" t="s">
        <v>32</v>
      </c>
      <c r="BI207" s="15" t="s">
        <v>32</v>
      </c>
      <c r="BJ207" s="14" t="s">
        <v>32</v>
      </c>
      <c r="BK207" s="13" t="s">
        <v>32</v>
      </c>
      <c r="BL207" s="15" t="s">
        <v>32</v>
      </c>
      <c r="BM207" s="14" t="s">
        <v>32</v>
      </c>
      <c r="BN207" s="13" t="s">
        <v>32</v>
      </c>
      <c r="BO207" s="1" t="s">
        <v>32</v>
      </c>
      <c r="BP207" s="12" t="s">
        <v>32</v>
      </c>
      <c r="BQ207" s="13" t="s">
        <v>32</v>
      </c>
      <c r="BR207" s="15" t="s">
        <v>32</v>
      </c>
      <c r="BS207" s="14" t="s">
        <v>32</v>
      </c>
      <c r="BT207" s="13" t="s">
        <v>32</v>
      </c>
      <c r="BU207" s="15" t="s">
        <v>32</v>
      </c>
      <c r="BV207" s="14" t="s">
        <v>32</v>
      </c>
      <c r="BW207" s="13" t="s">
        <v>32</v>
      </c>
      <c r="BX207" s="1" t="s">
        <v>32</v>
      </c>
      <c r="BY207" s="12" t="s">
        <v>32</v>
      </c>
      <c r="BZ207" s="13" t="s">
        <v>32</v>
      </c>
      <c r="CA207" s="15" t="s">
        <v>32</v>
      </c>
      <c r="CB207" s="14" t="s">
        <v>32</v>
      </c>
      <c r="CC207" s="13" t="s">
        <v>32</v>
      </c>
      <c r="CD207" s="15" t="s">
        <v>32</v>
      </c>
      <c r="CE207" s="14" t="s">
        <v>32</v>
      </c>
      <c r="CF207" s="13" t="s">
        <v>32</v>
      </c>
      <c r="CG207" s="1" t="s">
        <v>32</v>
      </c>
      <c r="CI207" s="12">
        <v>6</v>
      </c>
      <c r="CJ207" s="13" t="s">
        <v>32</v>
      </c>
      <c r="CK207" s="15" t="s">
        <v>32</v>
      </c>
      <c r="CL207" s="14" t="s">
        <v>32</v>
      </c>
      <c r="CM207" s="13" t="s">
        <v>32</v>
      </c>
      <c r="CN207" s="15" t="s">
        <v>32</v>
      </c>
      <c r="CO207" s="14" t="s">
        <v>32</v>
      </c>
      <c r="CP207" s="13" t="s">
        <v>32</v>
      </c>
      <c r="CQ207" s="1" t="s">
        <v>32</v>
      </c>
      <c r="CR207" s="12" t="s">
        <v>32</v>
      </c>
      <c r="CS207" s="13" t="s">
        <v>32</v>
      </c>
      <c r="CT207" s="15" t="s">
        <v>32</v>
      </c>
      <c r="CU207" s="14" t="s">
        <v>32</v>
      </c>
      <c r="CV207" s="13" t="s">
        <v>32</v>
      </c>
      <c r="CW207" s="15" t="s">
        <v>32</v>
      </c>
      <c r="CX207" s="14" t="s">
        <v>32</v>
      </c>
      <c r="CY207" s="13" t="s">
        <v>32</v>
      </c>
      <c r="CZ207" s="1" t="s">
        <v>32</v>
      </c>
      <c r="DA207" s="12" t="s">
        <v>32</v>
      </c>
      <c r="DB207" s="13" t="s">
        <v>32</v>
      </c>
      <c r="DC207" s="15" t="s">
        <v>32</v>
      </c>
      <c r="DD207" s="14" t="s">
        <v>32</v>
      </c>
      <c r="DE207" s="13" t="s">
        <v>32</v>
      </c>
      <c r="DF207" s="15" t="s">
        <v>32</v>
      </c>
      <c r="DG207" s="14" t="s">
        <v>32</v>
      </c>
      <c r="DH207" s="13" t="s">
        <v>32</v>
      </c>
      <c r="DI207" s="1" t="s">
        <v>32</v>
      </c>
    </row>
    <row r="208" spans="2:113" ht="15" customHeight="1">
      <c r="B208" s="16" t="s">
        <v>32</v>
      </c>
      <c r="C208" s="17" t="s">
        <v>32</v>
      </c>
      <c r="D208" s="18" t="s">
        <v>32</v>
      </c>
      <c r="E208" s="19" t="s">
        <v>32</v>
      </c>
      <c r="F208" s="17" t="s">
        <v>32</v>
      </c>
      <c r="G208" s="18" t="s">
        <v>32</v>
      </c>
      <c r="H208" s="19" t="s">
        <v>32</v>
      </c>
      <c r="I208" s="17" t="s">
        <v>32</v>
      </c>
      <c r="J208" s="20" t="s">
        <v>32</v>
      </c>
      <c r="K208" s="16" t="s">
        <v>32</v>
      </c>
      <c r="L208" s="17" t="s">
        <v>32</v>
      </c>
      <c r="M208" s="18" t="s">
        <v>32</v>
      </c>
      <c r="N208" s="19" t="s">
        <v>32</v>
      </c>
      <c r="O208" s="17" t="s">
        <v>32</v>
      </c>
      <c r="P208" s="18" t="s">
        <v>32</v>
      </c>
      <c r="Q208" s="19" t="s">
        <v>32</v>
      </c>
      <c r="R208" s="17" t="s">
        <v>32</v>
      </c>
      <c r="S208" s="20" t="s">
        <v>32</v>
      </c>
      <c r="T208" s="16" t="s">
        <v>32</v>
      </c>
      <c r="U208" s="17" t="s">
        <v>32</v>
      </c>
      <c r="V208" s="18" t="s">
        <v>32</v>
      </c>
      <c r="W208" s="19" t="s">
        <v>32</v>
      </c>
      <c r="X208" s="17" t="s">
        <v>32</v>
      </c>
      <c r="Y208" s="18" t="s">
        <v>32</v>
      </c>
      <c r="Z208" s="19" t="s">
        <v>32</v>
      </c>
      <c r="AA208" s="17" t="s">
        <v>32</v>
      </c>
      <c r="AB208" s="20" t="s">
        <v>32</v>
      </c>
      <c r="AD208" s="16" t="s">
        <v>32</v>
      </c>
      <c r="AE208" s="17" t="s">
        <v>32</v>
      </c>
      <c r="AF208" s="18" t="s">
        <v>32</v>
      </c>
      <c r="AG208" s="19" t="s">
        <v>32</v>
      </c>
      <c r="AH208" s="17" t="s">
        <v>32</v>
      </c>
      <c r="AI208" s="18" t="s">
        <v>32</v>
      </c>
      <c r="AJ208" s="19" t="s">
        <v>32</v>
      </c>
      <c r="AK208" s="17" t="s">
        <v>32</v>
      </c>
      <c r="AL208" s="20" t="s">
        <v>32</v>
      </c>
      <c r="AM208" s="16" t="s">
        <v>32</v>
      </c>
      <c r="AN208" s="17" t="s">
        <v>32</v>
      </c>
      <c r="AO208" s="18" t="s">
        <v>32</v>
      </c>
      <c r="AP208" s="19" t="s">
        <v>32</v>
      </c>
      <c r="AQ208" s="17" t="s">
        <v>32</v>
      </c>
      <c r="AR208" s="18" t="s">
        <v>32</v>
      </c>
      <c r="AS208" s="19" t="s">
        <v>32</v>
      </c>
      <c r="AT208" s="17" t="s">
        <v>32</v>
      </c>
      <c r="AU208" s="20" t="s">
        <v>32</v>
      </c>
      <c r="AV208" s="16" t="s">
        <v>32</v>
      </c>
      <c r="AW208" s="17" t="s">
        <v>32</v>
      </c>
      <c r="AX208" s="18" t="s">
        <v>32</v>
      </c>
      <c r="AY208" s="19" t="s">
        <v>32</v>
      </c>
      <c r="AZ208" s="17" t="s">
        <v>32</v>
      </c>
      <c r="BA208" s="18" t="s">
        <v>32</v>
      </c>
      <c r="BB208" s="19" t="s">
        <v>32</v>
      </c>
      <c r="BC208" s="17" t="s">
        <v>32</v>
      </c>
      <c r="BD208" s="20" t="s">
        <v>32</v>
      </c>
      <c r="BG208" s="16" t="s">
        <v>32</v>
      </c>
      <c r="BH208" s="17" t="s">
        <v>32</v>
      </c>
      <c r="BI208" s="18" t="s">
        <v>32</v>
      </c>
      <c r="BJ208" s="19" t="s">
        <v>32</v>
      </c>
      <c r="BK208" s="17" t="s">
        <v>32</v>
      </c>
      <c r="BL208" s="18" t="s">
        <v>32</v>
      </c>
      <c r="BM208" s="19" t="s">
        <v>32</v>
      </c>
      <c r="BN208" s="17" t="s">
        <v>32</v>
      </c>
      <c r="BO208" s="20" t="s">
        <v>32</v>
      </c>
      <c r="BP208" s="16" t="s">
        <v>32</v>
      </c>
      <c r="BQ208" s="17" t="s">
        <v>32</v>
      </c>
      <c r="BR208" s="18" t="s">
        <v>32</v>
      </c>
      <c r="BS208" s="19" t="s">
        <v>32</v>
      </c>
      <c r="BT208" s="17" t="s">
        <v>32</v>
      </c>
      <c r="BU208" s="18" t="s">
        <v>32</v>
      </c>
      <c r="BV208" s="19" t="s">
        <v>32</v>
      </c>
      <c r="BW208" s="17" t="s">
        <v>32</v>
      </c>
      <c r="BX208" s="20" t="s">
        <v>32</v>
      </c>
      <c r="BY208" s="16" t="s">
        <v>32</v>
      </c>
      <c r="BZ208" s="17" t="s">
        <v>32</v>
      </c>
      <c r="CA208" s="18" t="s">
        <v>32</v>
      </c>
      <c r="CB208" s="19" t="s">
        <v>32</v>
      </c>
      <c r="CC208" s="17" t="s">
        <v>32</v>
      </c>
      <c r="CD208" s="18" t="s">
        <v>32</v>
      </c>
      <c r="CE208" s="19" t="s">
        <v>32</v>
      </c>
      <c r="CF208" s="17" t="s">
        <v>32</v>
      </c>
      <c r="CG208" s="20" t="s">
        <v>32</v>
      </c>
      <c r="CI208" s="16" t="s">
        <v>32</v>
      </c>
      <c r="CJ208" s="17" t="s">
        <v>32</v>
      </c>
      <c r="CK208" s="18" t="s">
        <v>32</v>
      </c>
      <c r="CL208" s="19" t="s">
        <v>32</v>
      </c>
      <c r="CM208" s="17" t="s">
        <v>32</v>
      </c>
      <c r="CN208" s="18" t="s">
        <v>32</v>
      </c>
      <c r="CO208" s="19" t="s">
        <v>32</v>
      </c>
      <c r="CP208" s="17" t="s">
        <v>32</v>
      </c>
      <c r="CQ208" s="20" t="s">
        <v>32</v>
      </c>
      <c r="CR208" s="16" t="s">
        <v>32</v>
      </c>
      <c r="CS208" s="17" t="s">
        <v>32</v>
      </c>
      <c r="CT208" s="18" t="s">
        <v>32</v>
      </c>
      <c r="CU208" s="19" t="s">
        <v>32</v>
      </c>
      <c r="CV208" s="17" t="s">
        <v>32</v>
      </c>
      <c r="CW208" s="18" t="s">
        <v>32</v>
      </c>
      <c r="CX208" s="19" t="s">
        <v>32</v>
      </c>
      <c r="CY208" s="17" t="s">
        <v>32</v>
      </c>
      <c r="CZ208" s="20" t="s">
        <v>32</v>
      </c>
      <c r="DA208" s="16" t="s">
        <v>32</v>
      </c>
      <c r="DB208" s="17" t="s">
        <v>32</v>
      </c>
      <c r="DC208" s="18" t="s">
        <v>32</v>
      </c>
      <c r="DD208" s="19" t="s">
        <v>32</v>
      </c>
      <c r="DE208" s="17" t="s">
        <v>32</v>
      </c>
      <c r="DF208" s="18" t="s">
        <v>32</v>
      </c>
      <c r="DG208" s="19" t="s">
        <v>32</v>
      </c>
      <c r="DH208" s="17" t="s">
        <v>32</v>
      </c>
      <c r="DI208" s="20" t="s">
        <v>32</v>
      </c>
    </row>
    <row r="209" spans="2:113" ht="15" customHeight="1">
      <c r="B209" s="11" t="s">
        <v>32</v>
      </c>
      <c r="C209" s="7" t="s">
        <v>32</v>
      </c>
      <c r="D209" s="9" t="s">
        <v>32</v>
      </c>
      <c r="E209" s="8" t="s">
        <v>32</v>
      </c>
      <c r="F209" s="7" t="s">
        <v>32</v>
      </c>
      <c r="G209" s="9" t="s">
        <v>32</v>
      </c>
      <c r="H209" s="8" t="s">
        <v>32</v>
      </c>
      <c r="I209" s="7" t="s">
        <v>32</v>
      </c>
      <c r="J209" s="10" t="s">
        <v>32</v>
      </c>
      <c r="K209" s="11" t="s">
        <v>32</v>
      </c>
      <c r="L209" s="7" t="s">
        <v>32</v>
      </c>
      <c r="M209" s="9" t="s">
        <v>32</v>
      </c>
      <c r="N209" s="8" t="s">
        <v>32</v>
      </c>
      <c r="O209" s="7" t="s">
        <v>32</v>
      </c>
      <c r="P209" s="9" t="s">
        <v>32</v>
      </c>
      <c r="Q209" s="8" t="s">
        <v>32</v>
      </c>
      <c r="R209" s="7" t="s">
        <v>32</v>
      </c>
      <c r="S209" s="10" t="s">
        <v>32</v>
      </c>
      <c r="T209" s="11" t="s">
        <v>32</v>
      </c>
      <c r="U209" s="7" t="s">
        <v>32</v>
      </c>
      <c r="V209" s="9" t="s">
        <v>32</v>
      </c>
      <c r="W209" s="8" t="s">
        <v>32</v>
      </c>
      <c r="X209" s="7" t="s">
        <v>32</v>
      </c>
      <c r="Y209" s="9" t="s">
        <v>32</v>
      </c>
      <c r="Z209" s="8" t="s">
        <v>32</v>
      </c>
      <c r="AA209" s="7" t="s">
        <v>32</v>
      </c>
      <c r="AB209" s="10" t="s">
        <v>32</v>
      </c>
      <c r="AD209" s="11" t="s">
        <v>32</v>
      </c>
      <c r="AE209" s="7" t="s">
        <v>32</v>
      </c>
      <c r="AF209" s="9" t="s">
        <v>32</v>
      </c>
      <c r="AG209" s="8" t="s">
        <v>32</v>
      </c>
      <c r="AH209" s="7" t="s">
        <v>32</v>
      </c>
      <c r="AI209" s="9" t="s">
        <v>32</v>
      </c>
      <c r="AJ209" s="8" t="s">
        <v>32</v>
      </c>
      <c r="AK209" s="7" t="s">
        <v>32</v>
      </c>
      <c r="AL209" s="10" t="s">
        <v>32</v>
      </c>
      <c r="AM209" s="11" t="s">
        <v>32</v>
      </c>
      <c r="AN209" s="7" t="s">
        <v>32</v>
      </c>
      <c r="AO209" s="9" t="s">
        <v>32</v>
      </c>
      <c r="AP209" s="8" t="s">
        <v>32</v>
      </c>
      <c r="AQ209" s="7" t="s">
        <v>32</v>
      </c>
      <c r="AR209" s="9" t="s">
        <v>32</v>
      </c>
      <c r="AS209" s="8" t="s">
        <v>32</v>
      </c>
      <c r="AT209" s="7" t="s">
        <v>32</v>
      </c>
      <c r="AU209" s="10" t="s">
        <v>32</v>
      </c>
      <c r="AV209" s="11" t="s">
        <v>32</v>
      </c>
      <c r="AW209" s="7" t="s">
        <v>32</v>
      </c>
      <c r="AX209" s="9" t="s">
        <v>32</v>
      </c>
      <c r="AY209" s="8" t="s">
        <v>32</v>
      </c>
      <c r="AZ209" s="7" t="s">
        <v>32</v>
      </c>
      <c r="BA209" s="9" t="s">
        <v>32</v>
      </c>
      <c r="BB209" s="8" t="s">
        <v>32</v>
      </c>
      <c r="BC209" s="7" t="s">
        <v>32</v>
      </c>
      <c r="BD209" s="10" t="s">
        <v>32</v>
      </c>
      <c r="BG209" s="11" t="s">
        <v>32</v>
      </c>
      <c r="BH209" s="7" t="s">
        <v>32</v>
      </c>
      <c r="BI209" s="9" t="s">
        <v>32</v>
      </c>
      <c r="BJ209" s="8" t="s">
        <v>32</v>
      </c>
      <c r="BK209" s="7" t="s">
        <v>32</v>
      </c>
      <c r="BL209" s="9" t="s">
        <v>32</v>
      </c>
      <c r="BM209" s="8" t="s">
        <v>32</v>
      </c>
      <c r="BN209" s="7" t="s">
        <v>32</v>
      </c>
      <c r="BO209" s="10" t="s">
        <v>32</v>
      </c>
      <c r="BP209" s="11" t="s">
        <v>32</v>
      </c>
      <c r="BQ209" s="7" t="s">
        <v>32</v>
      </c>
      <c r="BR209" s="9" t="s">
        <v>32</v>
      </c>
      <c r="BS209" s="8" t="s">
        <v>32</v>
      </c>
      <c r="BT209" s="7" t="s">
        <v>32</v>
      </c>
      <c r="BU209" s="9" t="s">
        <v>32</v>
      </c>
      <c r="BV209" s="8" t="s">
        <v>32</v>
      </c>
      <c r="BW209" s="7" t="s">
        <v>32</v>
      </c>
      <c r="BX209" s="10" t="s">
        <v>32</v>
      </c>
      <c r="BY209" s="11" t="s">
        <v>32</v>
      </c>
      <c r="BZ209" s="7" t="s">
        <v>32</v>
      </c>
      <c r="CA209" s="9" t="s">
        <v>32</v>
      </c>
      <c r="CB209" s="8" t="s">
        <v>32</v>
      </c>
      <c r="CC209" s="7" t="s">
        <v>32</v>
      </c>
      <c r="CD209" s="9" t="s">
        <v>32</v>
      </c>
      <c r="CE209" s="8" t="s">
        <v>32</v>
      </c>
      <c r="CF209" s="7" t="s">
        <v>32</v>
      </c>
      <c r="CG209" s="10" t="s">
        <v>32</v>
      </c>
      <c r="CI209" s="11" t="s">
        <v>32</v>
      </c>
      <c r="CJ209" s="7" t="s">
        <v>32</v>
      </c>
      <c r="CK209" s="9" t="s">
        <v>32</v>
      </c>
      <c r="CL209" s="8" t="s">
        <v>32</v>
      </c>
      <c r="CM209" s="7" t="s">
        <v>32</v>
      </c>
      <c r="CN209" s="9" t="s">
        <v>32</v>
      </c>
      <c r="CO209" s="8" t="s">
        <v>32</v>
      </c>
      <c r="CP209" s="7" t="s">
        <v>32</v>
      </c>
      <c r="CQ209" s="10" t="s">
        <v>32</v>
      </c>
      <c r="CR209" s="11" t="s">
        <v>32</v>
      </c>
      <c r="CS209" s="7" t="s">
        <v>32</v>
      </c>
      <c r="CT209" s="9" t="s">
        <v>32</v>
      </c>
      <c r="CU209" s="8" t="s">
        <v>32</v>
      </c>
      <c r="CV209" s="7" t="s">
        <v>32</v>
      </c>
      <c r="CW209" s="9" t="s">
        <v>32</v>
      </c>
      <c r="CX209" s="8" t="s">
        <v>32</v>
      </c>
      <c r="CY209" s="7" t="s">
        <v>32</v>
      </c>
      <c r="CZ209" s="10" t="s">
        <v>32</v>
      </c>
      <c r="DA209" s="11" t="s">
        <v>32</v>
      </c>
      <c r="DB209" s="7" t="s">
        <v>32</v>
      </c>
      <c r="DC209" s="9" t="s">
        <v>32</v>
      </c>
      <c r="DD209" s="8" t="s">
        <v>32</v>
      </c>
      <c r="DE209" s="7" t="s">
        <v>32</v>
      </c>
      <c r="DF209" s="9" t="s">
        <v>32</v>
      </c>
      <c r="DG209" s="8" t="s">
        <v>32</v>
      </c>
      <c r="DH209" s="7" t="s">
        <v>32</v>
      </c>
      <c r="DI209" s="10" t="s">
        <v>32</v>
      </c>
    </row>
    <row r="210" spans="2:113" ht="15" customHeight="1" thickBot="1">
      <c r="B210" s="21" t="s">
        <v>32</v>
      </c>
      <c r="C210" s="22" t="s">
        <v>32</v>
      </c>
      <c r="D210" s="23" t="s">
        <v>32</v>
      </c>
      <c r="E210" s="24" t="s">
        <v>32</v>
      </c>
      <c r="F210" s="22" t="s">
        <v>32</v>
      </c>
      <c r="G210" s="23" t="s">
        <v>32</v>
      </c>
      <c r="H210" s="24" t="s">
        <v>32</v>
      </c>
      <c r="I210" s="22" t="s">
        <v>32</v>
      </c>
      <c r="J210" s="25" t="s">
        <v>32</v>
      </c>
      <c r="K210" s="21" t="s">
        <v>32</v>
      </c>
      <c r="L210" s="22" t="s">
        <v>32</v>
      </c>
      <c r="M210" s="23" t="s">
        <v>32</v>
      </c>
      <c r="N210" s="24" t="s">
        <v>32</v>
      </c>
      <c r="O210" s="22" t="s">
        <v>32</v>
      </c>
      <c r="P210" s="23" t="s">
        <v>32</v>
      </c>
      <c r="Q210" s="24" t="s">
        <v>32</v>
      </c>
      <c r="R210" s="22" t="s">
        <v>32</v>
      </c>
      <c r="S210" s="25" t="s">
        <v>32</v>
      </c>
      <c r="T210" s="21" t="s">
        <v>32</v>
      </c>
      <c r="U210" s="22" t="s">
        <v>32</v>
      </c>
      <c r="V210" s="23" t="s">
        <v>32</v>
      </c>
      <c r="W210" s="24" t="s">
        <v>32</v>
      </c>
      <c r="X210" s="22" t="s">
        <v>32</v>
      </c>
      <c r="Y210" s="23" t="s">
        <v>32</v>
      </c>
      <c r="Z210" s="24" t="s">
        <v>32</v>
      </c>
      <c r="AA210" s="22" t="s">
        <v>32</v>
      </c>
      <c r="AB210" s="25" t="s">
        <v>32</v>
      </c>
      <c r="AD210" s="21" t="s">
        <v>32</v>
      </c>
      <c r="AE210" s="22" t="s">
        <v>32</v>
      </c>
      <c r="AF210" s="23" t="s">
        <v>32</v>
      </c>
      <c r="AG210" s="24" t="s">
        <v>32</v>
      </c>
      <c r="AH210" s="22" t="s">
        <v>32</v>
      </c>
      <c r="AI210" s="23" t="s">
        <v>32</v>
      </c>
      <c r="AJ210" s="24" t="s">
        <v>32</v>
      </c>
      <c r="AK210" s="22" t="s">
        <v>32</v>
      </c>
      <c r="AL210" s="25" t="s">
        <v>32</v>
      </c>
      <c r="AM210" s="21" t="s">
        <v>32</v>
      </c>
      <c r="AN210" s="22" t="s">
        <v>32</v>
      </c>
      <c r="AO210" s="23" t="s">
        <v>32</v>
      </c>
      <c r="AP210" s="24" t="s">
        <v>32</v>
      </c>
      <c r="AQ210" s="22" t="s">
        <v>32</v>
      </c>
      <c r="AR210" s="23" t="s">
        <v>32</v>
      </c>
      <c r="AS210" s="24" t="s">
        <v>32</v>
      </c>
      <c r="AT210" s="22" t="s">
        <v>32</v>
      </c>
      <c r="AU210" s="25" t="s">
        <v>32</v>
      </c>
      <c r="AV210" s="21" t="s">
        <v>32</v>
      </c>
      <c r="AW210" s="22" t="s">
        <v>32</v>
      </c>
      <c r="AX210" s="23" t="s">
        <v>32</v>
      </c>
      <c r="AY210" s="24" t="s">
        <v>32</v>
      </c>
      <c r="AZ210" s="22" t="s">
        <v>32</v>
      </c>
      <c r="BA210" s="23" t="s">
        <v>32</v>
      </c>
      <c r="BB210" s="24" t="s">
        <v>32</v>
      </c>
      <c r="BC210" s="22" t="s">
        <v>32</v>
      </c>
      <c r="BD210" s="25" t="s">
        <v>32</v>
      </c>
      <c r="BG210" s="21" t="s">
        <v>32</v>
      </c>
      <c r="BH210" s="22" t="s">
        <v>32</v>
      </c>
      <c r="BI210" s="23" t="s">
        <v>32</v>
      </c>
      <c r="BJ210" s="24" t="s">
        <v>32</v>
      </c>
      <c r="BK210" s="22" t="s">
        <v>32</v>
      </c>
      <c r="BL210" s="23" t="s">
        <v>32</v>
      </c>
      <c r="BM210" s="24" t="s">
        <v>32</v>
      </c>
      <c r="BN210" s="22" t="s">
        <v>32</v>
      </c>
      <c r="BO210" s="25" t="s">
        <v>32</v>
      </c>
      <c r="BP210" s="21" t="s">
        <v>32</v>
      </c>
      <c r="BQ210" s="22" t="s">
        <v>32</v>
      </c>
      <c r="BR210" s="23" t="s">
        <v>32</v>
      </c>
      <c r="BS210" s="24" t="s">
        <v>32</v>
      </c>
      <c r="BT210" s="22" t="s">
        <v>32</v>
      </c>
      <c r="BU210" s="23" t="s">
        <v>32</v>
      </c>
      <c r="BV210" s="24" t="s">
        <v>32</v>
      </c>
      <c r="BW210" s="22" t="s">
        <v>32</v>
      </c>
      <c r="BX210" s="25" t="s">
        <v>32</v>
      </c>
      <c r="BY210" s="21" t="s">
        <v>32</v>
      </c>
      <c r="BZ210" s="22" t="s">
        <v>32</v>
      </c>
      <c r="CA210" s="23" t="s">
        <v>32</v>
      </c>
      <c r="CB210" s="24" t="s">
        <v>32</v>
      </c>
      <c r="CC210" s="22" t="s">
        <v>32</v>
      </c>
      <c r="CD210" s="23" t="s">
        <v>32</v>
      </c>
      <c r="CE210" s="24" t="s">
        <v>32</v>
      </c>
      <c r="CF210" s="22" t="s">
        <v>32</v>
      </c>
      <c r="CG210" s="25" t="s">
        <v>32</v>
      </c>
      <c r="CI210" s="21" t="s">
        <v>32</v>
      </c>
      <c r="CJ210" s="22" t="s">
        <v>32</v>
      </c>
      <c r="CK210" s="23" t="s">
        <v>32</v>
      </c>
      <c r="CL210" s="24" t="s">
        <v>32</v>
      </c>
      <c r="CM210" s="22" t="s">
        <v>32</v>
      </c>
      <c r="CN210" s="23" t="s">
        <v>32</v>
      </c>
      <c r="CO210" s="24" t="s">
        <v>32</v>
      </c>
      <c r="CP210" s="22" t="s">
        <v>32</v>
      </c>
      <c r="CQ210" s="25" t="s">
        <v>32</v>
      </c>
      <c r="CR210" s="21" t="s">
        <v>32</v>
      </c>
      <c r="CS210" s="22" t="s">
        <v>32</v>
      </c>
      <c r="CT210" s="23" t="s">
        <v>32</v>
      </c>
      <c r="CU210" s="24" t="s">
        <v>32</v>
      </c>
      <c r="CV210" s="22" t="s">
        <v>32</v>
      </c>
      <c r="CW210" s="23" t="s">
        <v>32</v>
      </c>
      <c r="CX210" s="24" t="s">
        <v>32</v>
      </c>
      <c r="CY210" s="22" t="s">
        <v>32</v>
      </c>
      <c r="CZ210" s="25" t="s">
        <v>32</v>
      </c>
      <c r="DA210" s="21" t="s">
        <v>32</v>
      </c>
      <c r="DB210" s="22" t="s">
        <v>32</v>
      </c>
      <c r="DC210" s="23" t="s">
        <v>32</v>
      </c>
      <c r="DD210" s="24" t="s">
        <v>32</v>
      </c>
      <c r="DE210" s="22" t="s">
        <v>32</v>
      </c>
      <c r="DF210" s="23" t="s">
        <v>32</v>
      </c>
      <c r="DG210" s="24" t="s">
        <v>32</v>
      </c>
      <c r="DH210" s="22" t="s">
        <v>32</v>
      </c>
      <c r="DI210" s="25" t="s">
        <v>32</v>
      </c>
    </row>
    <row r="211" spans="2:113" ht="15" customHeight="1">
      <c r="B211" s="2" t="s">
        <v>32</v>
      </c>
      <c r="C211" s="5" t="s">
        <v>32</v>
      </c>
      <c r="D211" s="3" t="s">
        <v>32</v>
      </c>
      <c r="E211" s="4" t="s">
        <v>32</v>
      </c>
      <c r="F211" s="5" t="s">
        <v>32</v>
      </c>
      <c r="G211" s="3" t="s">
        <v>32</v>
      </c>
      <c r="H211" s="4" t="s">
        <v>32</v>
      </c>
      <c r="I211" s="5" t="s">
        <v>32</v>
      </c>
      <c r="J211" s="6" t="s">
        <v>32</v>
      </c>
      <c r="K211" s="2" t="s">
        <v>32</v>
      </c>
      <c r="L211" s="5" t="s">
        <v>32</v>
      </c>
      <c r="M211" s="3" t="s">
        <v>32</v>
      </c>
      <c r="N211" s="4" t="s">
        <v>32</v>
      </c>
      <c r="O211" s="5" t="s">
        <v>32</v>
      </c>
      <c r="P211" s="3" t="s">
        <v>32</v>
      </c>
      <c r="Q211" s="4" t="s">
        <v>32</v>
      </c>
      <c r="R211" s="5" t="s">
        <v>32</v>
      </c>
      <c r="S211" s="6" t="s">
        <v>32</v>
      </c>
      <c r="T211" s="2" t="s">
        <v>32</v>
      </c>
      <c r="U211" s="5" t="s">
        <v>32</v>
      </c>
      <c r="V211" s="3" t="s">
        <v>32</v>
      </c>
      <c r="W211" s="4" t="s">
        <v>32</v>
      </c>
      <c r="X211" s="5" t="s">
        <v>32</v>
      </c>
      <c r="Y211" s="3" t="s">
        <v>32</v>
      </c>
      <c r="Z211" s="4" t="s">
        <v>32</v>
      </c>
      <c r="AA211" s="5" t="s">
        <v>32</v>
      </c>
      <c r="AB211" s="6" t="s">
        <v>32</v>
      </c>
      <c r="AD211" s="2" t="s">
        <v>32</v>
      </c>
      <c r="AE211" s="5" t="s">
        <v>32</v>
      </c>
      <c r="AF211" s="3" t="s">
        <v>32</v>
      </c>
      <c r="AG211" s="4" t="s">
        <v>32</v>
      </c>
      <c r="AH211" s="5" t="s">
        <v>32</v>
      </c>
      <c r="AI211" s="3" t="s">
        <v>32</v>
      </c>
      <c r="AJ211" s="4" t="s">
        <v>32</v>
      </c>
      <c r="AK211" s="5" t="s">
        <v>32</v>
      </c>
      <c r="AL211" s="6" t="s">
        <v>32</v>
      </c>
      <c r="AM211" s="2" t="s">
        <v>32</v>
      </c>
      <c r="AN211" s="5" t="s">
        <v>32</v>
      </c>
      <c r="AO211" s="3" t="s">
        <v>32</v>
      </c>
      <c r="AP211" s="4" t="s">
        <v>32</v>
      </c>
      <c r="AQ211" s="5" t="s">
        <v>32</v>
      </c>
      <c r="AR211" s="3" t="s">
        <v>32</v>
      </c>
      <c r="AS211" s="4" t="s">
        <v>32</v>
      </c>
      <c r="AT211" s="5" t="s">
        <v>32</v>
      </c>
      <c r="AU211" s="6" t="s">
        <v>32</v>
      </c>
      <c r="AV211" s="2" t="s">
        <v>32</v>
      </c>
      <c r="AW211" s="5" t="s">
        <v>32</v>
      </c>
      <c r="AX211" s="3" t="s">
        <v>32</v>
      </c>
      <c r="AY211" s="4" t="s">
        <v>32</v>
      </c>
      <c r="AZ211" s="5" t="s">
        <v>32</v>
      </c>
      <c r="BA211" s="3" t="s">
        <v>32</v>
      </c>
      <c r="BB211" s="4" t="s">
        <v>32</v>
      </c>
      <c r="BC211" s="5" t="s">
        <v>32</v>
      </c>
      <c r="BD211" s="6" t="s">
        <v>32</v>
      </c>
      <c r="BG211" s="2" t="s">
        <v>32</v>
      </c>
      <c r="BH211" s="5" t="s">
        <v>32</v>
      </c>
      <c r="BI211" s="3" t="s">
        <v>32</v>
      </c>
      <c r="BJ211" s="4" t="s">
        <v>32</v>
      </c>
      <c r="BK211" s="5" t="s">
        <v>32</v>
      </c>
      <c r="BL211" s="3" t="s">
        <v>32</v>
      </c>
      <c r="BM211" s="4" t="s">
        <v>32</v>
      </c>
      <c r="BN211" s="5" t="s">
        <v>32</v>
      </c>
      <c r="BO211" s="6" t="s">
        <v>32</v>
      </c>
      <c r="BP211" s="2" t="s">
        <v>32</v>
      </c>
      <c r="BQ211" s="5" t="s">
        <v>32</v>
      </c>
      <c r="BR211" s="3" t="s">
        <v>32</v>
      </c>
      <c r="BS211" s="4" t="s">
        <v>32</v>
      </c>
      <c r="BT211" s="5" t="s">
        <v>32</v>
      </c>
      <c r="BU211" s="3" t="s">
        <v>32</v>
      </c>
      <c r="BV211" s="4" t="s">
        <v>32</v>
      </c>
      <c r="BW211" s="5" t="s">
        <v>32</v>
      </c>
      <c r="BX211" s="6" t="s">
        <v>32</v>
      </c>
      <c r="BY211" s="2" t="s">
        <v>32</v>
      </c>
      <c r="BZ211" s="5" t="s">
        <v>32</v>
      </c>
      <c r="CA211" s="3" t="s">
        <v>32</v>
      </c>
      <c r="CB211" s="4" t="s">
        <v>32</v>
      </c>
      <c r="CC211" s="5" t="s">
        <v>32</v>
      </c>
      <c r="CD211" s="3" t="s">
        <v>32</v>
      </c>
      <c r="CE211" s="4" t="s">
        <v>32</v>
      </c>
      <c r="CF211" s="5" t="s">
        <v>32</v>
      </c>
      <c r="CG211" s="6" t="s">
        <v>32</v>
      </c>
      <c r="CI211" s="2" t="s">
        <v>32</v>
      </c>
      <c r="CJ211" s="5" t="s">
        <v>32</v>
      </c>
      <c r="CK211" s="3" t="s">
        <v>32</v>
      </c>
      <c r="CL211" s="4" t="s">
        <v>32</v>
      </c>
      <c r="CM211" s="5" t="s">
        <v>32</v>
      </c>
      <c r="CN211" s="3" t="s">
        <v>32</v>
      </c>
      <c r="CO211" s="4" t="s">
        <v>32</v>
      </c>
      <c r="CP211" s="5" t="s">
        <v>32</v>
      </c>
      <c r="CQ211" s="6" t="s">
        <v>32</v>
      </c>
      <c r="CR211" s="2" t="s">
        <v>32</v>
      </c>
      <c r="CS211" s="5" t="s">
        <v>32</v>
      </c>
      <c r="CT211" s="3" t="s">
        <v>32</v>
      </c>
      <c r="CU211" s="4" t="s">
        <v>32</v>
      </c>
      <c r="CV211" s="5" t="s">
        <v>32</v>
      </c>
      <c r="CW211" s="3" t="s">
        <v>32</v>
      </c>
      <c r="CX211" s="4" t="s">
        <v>32</v>
      </c>
      <c r="CY211" s="5" t="s">
        <v>32</v>
      </c>
      <c r="CZ211" s="6" t="s">
        <v>32</v>
      </c>
      <c r="DA211" s="2" t="s">
        <v>32</v>
      </c>
      <c r="DB211" s="5" t="s">
        <v>32</v>
      </c>
      <c r="DC211" s="3" t="s">
        <v>32</v>
      </c>
      <c r="DD211" s="4" t="s">
        <v>32</v>
      </c>
      <c r="DE211" s="5" t="s">
        <v>32</v>
      </c>
      <c r="DF211" s="3" t="s">
        <v>32</v>
      </c>
      <c r="DG211" s="4" t="s">
        <v>32</v>
      </c>
      <c r="DH211" s="5" t="s">
        <v>32</v>
      </c>
      <c r="DI211" s="6" t="s">
        <v>32</v>
      </c>
    </row>
    <row r="212" spans="2:113" ht="15" customHeight="1">
      <c r="B212" s="11" t="s">
        <v>32</v>
      </c>
      <c r="C212" s="7" t="s">
        <v>32</v>
      </c>
      <c r="D212" s="9" t="s">
        <v>32</v>
      </c>
      <c r="E212" s="8" t="s">
        <v>32</v>
      </c>
      <c r="F212" s="7" t="s">
        <v>32</v>
      </c>
      <c r="G212" s="9" t="s">
        <v>32</v>
      </c>
      <c r="H212" s="8" t="s">
        <v>32</v>
      </c>
      <c r="I212" s="7" t="s">
        <v>32</v>
      </c>
      <c r="J212" s="10" t="s">
        <v>32</v>
      </c>
      <c r="K212" s="11" t="s">
        <v>32</v>
      </c>
      <c r="L212" s="7" t="s">
        <v>32</v>
      </c>
      <c r="M212" s="9" t="s">
        <v>32</v>
      </c>
      <c r="N212" s="8" t="s">
        <v>32</v>
      </c>
      <c r="O212" s="7" t="s">
        <v>32</v>
      </c>
      <c r="P212" s="9" t="s">
        <v>32</v>
      </c>
      <c r="Q212" s="8" t="s">
        <v>32</v>
      </c>
      <c r="R212" s="7" t="s">
        <v>32</v>
      </c>
      <c r="S212" s="10" t="s">
        <v>32</v>
      </c>
      <c r="T212" s="11" t="s">
        <v>32</v>
      </c>
      <c r="U212" s="7" t="s">
        <v>32</v>
      </c>
      <c r="V212" s="9" t="s">
        <v>32</v>
      </c>
      <c r="W212" s="8" t="s">
        <v>32</v>
      </c>
      <c r="X212" s="7" t="s">
        <v>32</v>
      </c>
      <c r="Y212" s="9" t="s">
        <v>32</v>
      </c>
      <c r="Z212" s="8" t="s">
        <v>32</v>
      </c>
      <c r="AA212" s="7" t="s">
        <v>32</v>
      </c>
      <c r="AB212" s="10" t="s">
        <v>32</v>
      </c>
      <c r="AD212" s="11" t="s">
        <v>32</v>
      </c>
      <c r="AE212" s="7" t="s">
        <v>32</v>
      </c>
      <c r="AF212" s="9" t="s">
        <v>32</v>
      </c>
      <c r="AG212" s="8" t="s">
        <v>32</v>
      </c>
      <c r="AH212" s="7" t="s">
        <v>32</v>
      </c>
      <c r="AI212" s="9" t="s">
        <v>32</v>
      </c>
      <c r="AJ212" s="8" t="s">
        <v>32</v>
      </c>
      <c r="AK212" s="7" t="s">
        <v>32</v>
      </c>
      <c r="AL212" s="10" t="s">
        <v>32</v>
      </c>
      <c r="AM212" s="11" t="s">
        <v>32</v>
      </c>
      <c r="AN212" s="7" t="s">
        <v>32</v>
      </c>
      <c r="AO212" s="9" t="s">
        <v>32</v>
      </c>
      <c r="AP212" s="8" t="s">
        <v>32</v>
      </c>
      <c r="AQ212" s="7" t="s">
        <v>32</v>
      </c>
      <c r="AR212" s="9" t="s">
        <v>32</v>
      </c>
      <c r="AS212" s="8" t="s">
        <v>32</v>
      </c>
      <c r="AT212" s="7" t="s">
        <v>32</v>
      </c>
      <c r="AU212" s="10" t="s">
        <v>32</v>
      </c>
      <c r="AV212" s="11" t="s">
        <v>32</v>
      </c>
      <c r="AW212" s="7" t="s">
        <v>32</v>
      </c>
      <c r="AX212" s="9" t="s">
        <v>32</v>
      </c>
      <c r="AY212" s="8" t="s">
        <v>32</v>
      </c>
      <c r="AZ212" s="7" t="s">
        <v>32</v>
      </c>
      <c r="BA212" s="9" t="s">
        <v>32</v>
      </c>
      <c r="BB212" s="8" t="s">
        <v>32</v>
      </c>
      <c r="BC212" s="7" t="s">
        <v>32</v>
      </c>
      <c r="BD212" s="10" t="s">
        <v>32</v>
      </c>
      <c r="BG212" s="11" t="s">
        <v>32</v>
      </c>
      <c r="BH212" s="7" t="s">
        <v>32</v>
      </c>
      <c r="BI212" s="9" t="s">
        <v>32</v>
      </c>
      <c r="BJ212" s="8" t="s">
        <v>32</v>
      </c>
      <c r="BK212" s="7" t="s">
        <v>32</v>
      </c>
      <c r="BL212" s="9" t="s">
        <v>32</v>
      </c>
      <c r="BM212" s="8" t="s">
        <v>32</v>
      </c>
      <c r="BN212" s="7" t="s">
        <v>32</v>
      </c>
      <c r="BO212" s="10" t="s">
        <v>32</v>
      </c>
      <c r="BP212" s="11" t="s">
        <v>32</v>
      </c>
      <c r="BQ212" s="7">
        <v>0</v>
      </c>
      <c r="BR212" s="9">
        <v>0</v>
      </c>
      <c r="BS212" s="8" t="s">
        <v>32</v>
      </c>
      <c r="BT212" s="204">
        <v>7</v>
      </c>
      <c r="BU212" s="9" t="s">
        <v>32</v>
      </c>
      <c r="BV212" s="8" t="s">
        <v>32</v>
      </c>
      <c r="BW212" s="7" t="s">
        <v>32</v>
      </c>
      <c r="BX212" s="10" t="s">
        <v>32</v>
      </c>
      <c r="BY212" s="11" t="s">
        <v>32</v>
      </c>
      <c r="BZ212" s="7" t="s">
        <v>32</v>
      </c>
      <c r="CA212" s="9" t="s">
        <v>32</v>
      </c>
      <c r="CB212" s="8" t="s">
        <v>32</v>
      </c>
      <c r="CC212" s="7" t="s">
        <v>32</v>
      </c>
      <c r="CD212" s="9" t="s">
        <v>32</v>
      </c>
      <c r="CE212" s="8" t="s">
        <v>32</v>
      </c>
      <c r="CF212" s="7" t="s">
        <v>32</v>
      </c>
      <c r="CG212" s="10" t="s">
        <v>32</v>
      </c>
      <c r="CI212" s="11" t="s">
        <v>32</v>
      </c>
      <c r="CJ212" s="7" t="s">
        <v>32</v>
      </c>
      <c r="CK212" s="9" t="s">
        <v>32</v>
      </c>
      <c r="CL212" s="8" t="s">
        <v>32</v>
      </c>
      <c r="CM212" s="7" t="s">
        <v>32</v>
      </c>
      <c r="CN212" s="9" t="s">
        <v>32</v>
      </c>
      <c r="CO212" s="8" t="s">
        <v>32</v>
      </c>
      <c r="CP212" s="7" t="s">
        <v>32</v>
      </c>
      <c r="CQ212" s="10" t="s">
        <v>32</v>
      </c>
      <c r="CR212" s="11" t="s">
        <v>32</v>
      </c>
      <c r="CS212" s="7">
        <v>6</v>
      </c>
      <c r="CT212" s="9">
        <v>1</v>
      </c>
      <c r="CU212" s="8" t="s">
        <v>32</v>
      </c>
      <c r="CV212" s="204">
        <v>7</v>
      </c>
      <c r="CW212" s="9" t="s">
        <v>32</v>
      </c>
      <c r="CX212" s="8" t="s">
        <v>32</v>
      </c>
      <c r="CY212" s="7" t="s">
        <v>32</v>
      </c>
      <c r="CZ212" s="10" t="s">
        <v>32</v>
      </c>
      <c r="DA212" s="11" t="s">
        <v>32</v>
      </c>
      <c r="DB212" s="7" t="s">
        <v>32</v>
      </c>
      <c r="DC212" s="9" t="s">
        <v>32</v>
      </c>
      <c r="DD212" s="8" t="s">
        <v>32</v>
      </c>
      <c r="DE212" s="7" t="s">
        <v>32</v>
      </c>
      <c r="DF212" s="9" t="s">
        <v>32</v>
      </c>
      <c r="DG212" s="8" t="s">
        <v>32</v>
      </c>
      <c r="DH212" s="7" t="s">
        <v>32</v>
      </c>
      <c r="DI212" s="10" t="s">
        <v>32</v>
      </c>
    </row>
    <row r="213" spans="2:113" ht="15" customHeight="1">
      <c r="B213" s="12" t="s">
        <v>32</v>
      </c>
      <c r="C213" s="13" t="s">
        <v>32</v>
      </c>
      <c r="D213" s="15" t="s">
        <v>32</v>
      </c>
      <c r="E213" s="14" t="s">
        <v>32</v>
      </c>
      <c r="F213" s="13" t="s">
        <v>32</v>
      </c>
      <c r="G213" s="15" t="s">
        <v>32</v>
      </c>
      <c r="H213" s="14" t="s">
        <v>32</v>
      </c>
      <c r="I213" s="13" t="s">
        <v>32</v>
      </c>
      <c r="J213" s="1" t="s">
        <v>32</v>
      </c>
      <c r="K213" s="12" t="s">
        <v>32</v>
      </c>
      <c r="L213" s="13" t="s">
        <v>32</v>
      </c>
      <c r="M213" s="15" t="s">
        <v>32</v>
      </c>
      <c r="N213" s="14" t="s">
        <v>32</v>
      </c>
      <c r="O213" s="13" t="s">
        <v>32</v>
      </c>
      <c r="P213" s="15" t="s">
        <v>32</v>
      </c>
      <c r="Q213" s="14" t="s">
        <v>32</v>
      </c>
      <c r="R213" s="13" t="s">
        <v>32</v>
      </c>
      <c r="S213" s="1" t="s">
        <v>32</v>
      </c>
      <c r="T213" s="12" t="s">
        <v>32</v>
      </c>
      <c r="U213" s="13" t="s">
        <v>32</v>
      </c>
      <c r="V213" s="15" t="s">
        <v>32</v>
      </c>
      <c r="W213" s="14" t="s">
        <v>32</v>
      </c>
      <c r="X213" s="13" t="s">
        <v>32</v>
      </c>
      <c r="Y213" s="15" t="s">
        <v>32</v>
      </c>
      <c r="Z213" s="14" t="s">
        <v>32</v>
      </c>
      <c r="AA213" s="13" t="s">
        <v>32</v>
      </c>
      <c r="AB213" s="1">
        <v>0</v>
      </c>
      <c r="AD213" s="12" t="s">
        <v>32</v>
      </c>
      <c r="AE213" s="13" t="s">
        <v>32</v>
      </c>
      <c r="AF213" s="15" t="s">
        <v>32</v>
      </c>
      <c r="AG213" s="14" t="s">
        <v>32</v>
      </c>
      <c r="AH213" s="13" t="s">
        <v>32</v>
      </c>
      <c r="AI213" s="15" t="s">
        <v>32</v>
      </c>
      <c r="AJ213" s="14" t="s">
        <v>32</v>
      </c>
      <c r="AK213" s="13" t="s">
        <v>32</v>
      </c>
      <c r="AL213" s="1" t="s">
        <v>32</v>
      </c>
      <c r="AM213" s="12" t="s">
        <v>32</v>
      </c>
      <c r="AN213" s="13" t="s">
        <v>32</v>
      </c>
      <c r="AO213" s="15" t="s">
        <v>32</v>
      </c>
      <c r="AP213" s="14" t="s">
        <v>32</v>
      </c>
      <c r="AQ213" s="13" t="s">
        <v>32</v>
      </c>
      <c r="AR213" s="15" t="s">
        <v>32</v>
      </c>
      <c r="AS213" s="14" t="s">
        <v>32</v>
      </c>
      <c r="AT213" s="13" t="s">
        <v>32</v>
      </c>
      <c r="AU213" s="1" t="s">
        <v>32</v>
      </c>
      <c r="AV213" s="12" t="s">
        <v>32</v>
      </c>
      <c r="AW213" s="13" t="s">
        <v>32</v>
      </c>
      <c r="AX213" s="15" t="s">
        <v>32</v>
      </c>
      <c r="AY213" s="14" t="s">
        <v>32</v>
      </c>
      <c r="AZ213" s="13" t="s">
        <v>32</v>
      </c>
      <c r="BA213" s="15" t="s">
        <v>32</v>
      </c>
      <c r="BB213" s="14" t="s">
        <v>32</v>
      </c>
      <c r="BC213" s="13" t="s">
        <v>32</v>
      </c>
      <c r="BD213" s="1">
        <v>9</v>
      </c>
      <c r="BG213" s="12" t="s">
        <v>32</v>
      </c>
      <c r="BH213" s="13" t="s">
        <v>32</v>
      </c>
      <c r="BI213" s="15" t="s">
        <v>32</v>
      </c>
      <c r="BJ213" s="14" t="s">
        <v>32</v>
      </c>
      <c r="BK213" s="13" t="s">
        <v>32</v>
      </c>
      <c r="BL213" s="15" t="s">
        <v>32</v>
      </c>
      <c r="BM213" s="14" t="s">
        <v>32</v>
      </c>
      <c r="BN213" s="13" t="s">
        <v>32</v>
      </c>
      <c r="BO213" s="1" t="s">
        <v>32</v>
      </c>
      <c r="BP213" s="12" t="s">
        <v>32</v>
      </c>
      <c r="BQ213" s="212">
        <v>2</v>
      </c>
      <c r="BR213" s="15">
        <v>0</v>
      </c>
      <c r="BS213" s="14">
        <v>0</v>
      </c>
      <c r="BT213" s="13" t="s">
        <v>32</v>
      </c>
      <c r="BU213" s="15" t="s">
        <v>32</v>
      </c>
      <c r="BV213" s="14" t="s">
        <v>32</v>
      </c>
      <c r="BW213" s="13" t="s">
        <v>32</v>
      </c>
      <c r="BX213" s="1" t="s">
        <v>32</v>
      </c>
      <c r="BY213" s="12" t="s">
        <v>32</v>
      </c>
      <c r="BZ213" s="13" t="s">
        <v>32</v>
      </c>
      <c r="CA213" s="15" t="s">
        <v>32</v>
      </c>
      <c r="CB213" s="14" t="s">
        <v>32</v>
      </c>
      <c r="CC213" s="13" t="s">
        <v>32</v>
      </c>
      <c r="CD213" s="15" t="s">
        <v>32</v>
      </c>
      <c r="CE213" s="14" t="s">
        <v>32</v>
      </c>
      <c r="CF213" s="13" t="s">
        <v>32</v>
      </c>
      <c r="CG213" s="1" t="s">
        <v>32</v>
      </c>
      <c r="CI213" s="12" t="s">
        <v>32</v>
      </c>
      <c r="CJ213" s="13" t="s">
        <v>32</v>
      </c>
      <c r="CK213" s="15" t="s">
        <v>32</v>
      </c>
      <c r="CL213" s="14" t="s">
        <v>32</v>
      </c>
      <c r="CM213" s="13" t="s">
        <v>32</v>
      </c>
      <c r="CN213" s="15" t="s">
        <v>32</v>
      </c>
      <c r="CO213" s="14" t="s">
        <v>32</v>
      </c>
      <c r="CP213" s="13" t="s">
        <v>32</v>
      </c>
      <c r="CQ213" s="1" t="s">
        <v>32</v>
      </c>
      <c r="CR213" s="12" t="s">
        <v>32</v>
      </c>
      <c r="CS213" s="212">
        <v>2</v>
      </c>
      <c r="CT213" s="15">
        <v>3</v>
      </c>
      <c r="CU213" s="14">
        <v>5</v>
      </c>
      <c r="CV213" s="13" t="s">
        <v>32</v>
      </c>
      <c r="CW213" s="15" t="s">
        <v>32</v>
      </c>
      <c r="CX213" s="14" t="s">
        <v>32</v>
      </c>
      <c r="CY213" s="13" t="s">
        <v>32</v>
      </c>
      <c r="CZ213" s="1" t="s">
        <v>32</v>
      </c>
      <c r="DA213" s="12" t="s">
        <v>32</v>
      </c>
      <c r="DB213" s="13" t="s">
        <v>32</v>
      </c>
      <c r="DC213" s="15" t="s">
        <v>32</v>
      </c>
      <c r="DD213" s="14" t="s">
        <v>32</v>
      </c>
      <c r="DE213" s="13" t="s">
        <v>32</v>
      </c>
      <c r="DF213" s="15" t="s">
        <v>32</v>
      </c>
      <c r="DG213" s="14" t="s">
        <v>32</v>
      </c>
      <c r="DH213" s="13" t="s">
        <v>32</v>
      </c>
      <c r="DI213" s="1" t="s">
        <v>32</v>
      </c>
    </row>
    <row r="214" spans="2:113" ht="15" customHeight="1">
      <c r="B214" s="16">
        <v>0</v>
      </c>
      <c r="C214" s="17" t="s">
        <v>32</v>
      </c>
      <c r="D214" s="18" t="s">
        <v>32</v>
      </c>
      <c r="E214" s="19" t="s">
        <v>32</v>
      </c>
      <c r="F214" s="17" t="s">
        <v>32</v>
      </c>
      <c r="G214" s="18" t="s">
        <v>32</v>
      </c>
      <c r="H214" s="19" t="s">
        <v>32</v>
      </c>
      <c r="I214" s="17" t="s">
        <v>32</v>
      </c>
      <c r="J214" s="20" t="s">
        <v>32</v>
      </c>
      <c r="K214" s="16" t="s">
        <v>32</v>
      </c>
      <c r="L214" s="17" t="s">
        <v>32</v>
      </c>
      <c r="M214" s="18" t="s">
        <v>32</v>
      </c>
      <c r="N214" s="19" t="s">
        <v>32</v>
      </c>
      <c r="O214" s="17" t="s">
        <v>32</v>
      </c>
      <c r="P214" s="18">
        <v>0</v>
      </c>
      <c r="Q214" s="19">
        <v>0</v>
      </c>
      <c r="R214" s="211">
        <v>1</v>
      </c>
      <c r="S214" s="20" t="s">
        <v>32</v>
      </c>
      <c r="T214" s="16" t="s">
        <v>32</v>
      </c>
      <c r="U214" s="17" t="s">
        <v>32</v>
      </c>
      <c r="V214" s="18" t="s">
        <v>32</v>
      </c>
      <c r="W214" s="19" t="s">
        <v>32</v>
      </c>
      <c r="X214" s="17" t="s">
        <v>32</v>
      </c>
      <c r="Y214" s="18" t="s">
        <v>32</v>
      </c>
      <c r="Z214" s="19" t="s">
        <v>32</v>
      </c>
      <c r="AA214" s="17" t="s">
        <v>32</v>
      </c>
      <c r="AB214" s="20">
        <v>0</v>
      </c>
      <c r="AD214" s="16">
        <v>7</v>
      </c>
      <c r="AE214" s="17" t="s">
        <v>32</v>
      </c>
      <c r="AF214" s="18" t="s">
        <v>32</v>
      </c>
      <c r="AG214" s="19" t="s">
        <v>32</v>
      </c>
      <c r="AH214" s="17" t="s">
        <v>32</v>
      </c>
      <c r="AI214" s="18" t="s">
        <v>32</v>
      </c>
      <c r="AJ214" s="19" t="s">
        <v>32</v>
      </c>
      <c r="AK214" s="17" t="s">
        <v>32</v>
      </c>
      <c r="AL214" s="20" t="s">
        <v>32</v>
      </c>
      <c r="AM214" s="16" t="s">
        <v>32</v>
      </c>
      <c r="AN214" s="17" t="s">
        <v>32</v>
      </c>
      <c r="AO214" s="18" t="s">
        <v>32</v>
      </c>
      <c r="AP214" s="19" t="s">
        <v>32</v>
      </c>
      <c r="AQ214" s="17" t="s">
        <v>32</v>
      </c>
      <c r="AR214" s="18">
        <v>8</v>
      </c>
      <c r="AS214" s="19">
        <v>5</v>
      </c>
      <c r="AT214" s="211">
        <v>1</v>
      </c>
      <c r="AU214" s="20" t="s">
        <v>32</v>
      </c>
      <c r="AV214" s="16" t="s">
        <v>32</v>
      </c>
      <c r="AW214" s="17" t="s">
        <v>32</v>
      </c>
      <c r="AX214" s="18" t="s">
        <v>32</v>
      </c>
      <c r="AY214" s="19" t="s">
        <v>32</v>
      </c>
      <c r="AZ214" s="17" t="s">
        <v>32</v>
      </c>
      <c r="BA214" s="18" t="s">
        <v>32</v>
      </c>
      <c r="BB214" s="19" t="s">
        <v>32</v>
      </c>
      <c r="BC214" s="17" t="s">
        <v>32</v>
      </c>
      <c r="BD214" s="20">
        <v>3</v>
      </c>
      <c r="BG214" s="16" t="s">
        <v>32</v>
      </c>
      <c r="BH214" s="17" t="s">
        <v>32</v>
      </c>
      <c r="BI214" s="18" t="s">
        <v>32</v>
      </c>
      <c r="BJ214" s="19" t="s">
        <v>32</v>
      </c>
      <c r="BK214" s="17">
        <v>0</v>
      </c>
      <c r="BL214" s="18" t="s">
        <v>32</v>
      </c>
      <c r="BM214" s="19" t="s">
        <v>32</v>
      </c>
      <c r="BN214" s="17" t="s">
        <v>32</v>
      </c>
      <c r="BO214" s="20" t="s">
        <v>32</v>
      </c>
      <c r="BP214" s="16" t="s">
        <v>32</v>
      </c>
      <c r="BQ214" s="17" t="s">
        <v>32</v>
      </c>
      <c r="BR214" s="18">
        <v>0</v>
      </c>
      <c r="BS214" s="19">
        <v>0</v>
      </c>
      <c r="BT214" s="17" t="s">
        <v>32</v>
      </c>
      <c r="BU214" s="18" t="s">
        <v>32</v>
      </c>
      <c r="BV214" s="19" t="s">
        <v>32</v>
      </c>
      <c r="BW214" s="17" t="s">
        <v>32</v>
      </c>
      <c r="BX214" s="20" t="s">
        <v>32</v>
      </c>
      <c r="BY214" s="16" t="s">
        <v>32</v>
      </c>
      <c r="BZ214" s="17" t="s">
        <v>32</v>
      </c>
      <c r="CA214" s="18" t="s">
        <v>32</v>
      </c>
      <c r="CB214" s="19" t="s">
        <v>32</v>
      </c>
      <c r="CC214" s="17" t="s">
        <v>32</v>
      </c>
      <c r="CD214" s="18">
        <v>0</v>
      </c>
      <c r="CE214" s="19">
        <v>0</v>
      </c>
      <c r="CF214" s="17">
        <v>0</v>
      </c>
      <c r="CG214" s="20" t="s">
        <v>32</v>
      </c>
      <c r="CI214" s="16" t="s">
        <v>32</v>
      </c>
      <c r="CJ214" s="17" t="s">
        <v>32</v>
      </c>
      <c r="CK214" s="18" t="s">
        <v>32</v>
      </c>
      <c r="CL214" s="19" t="s">
        <v>32</v>
      </c>
      <c r="CM214" s="17">
        <v>1</v>
      </c>
      <c r="CN214" s="18" t="s">
        <v>32</v>
      </c>
      <c r="CO214" s="19" t="s">
        <v>32</v>
      </c>
      <c r="CP214" s="17" t="s">
        <v>32</v>
      </c>
      <c r="CQ214" s="20" t="s">
        <v>32</v>
      </c>
      <c r="CR214" s="16" t="s">
        <v>32</v>
      </c>
      <c r="CS214" s="17" t="s">
        <v>32</v>
      </c>
      <c r="CT214" s="18">
        <v>8</v>
      </c>
      <c r="CU214" s="19">
        <v>4</v>
      </c>
      <c r="CV214" s="17" t="s">
        <v>32</v>
      </c>
      <c r="CW214" s="18" t="s">
        <v>32</v>
      </c>
      <c r="CX214" s="19" t="s">
        <v>32</v>
      </c>
      <c r="CY214" s="17" t="s">
        <v>32</v>
      </c>
      <c r="CZ214" s="20" t="s">
        <v>32</v>
      </c>
      <c r="DA214" s="16" t="s">
        <v>32</v>
      </c>
      <c r="DB214" s="17" t="s">
        <v>32</v>
      </c>
      <c r="DC214" s="18" t="s">
        <v>32</v>
      </c>
      <c r="DD214" s="19" t="s">
        <v>32</v>
      </c>
      <c r="DE214" s="17" t="s">
        <v>32</v>
      </c>
      <c r="DF214" s="18">
        <v>2</v>
      </c>
      <c r="DG214" s="19">
        <v>9</v>
      </c>
      <c r="DH214" s="17">
        <v>6</v>
      </c>
      <c r="DI214" s="20" t="s">
        <v>32</v>
      </c>
    </row>
    <row r="215" spans="2:113" ht="15" customHeight="1">
      <c r="B215" s="11">
        <v>0</v>
      </c>
      <c r="C215" s="7">
        <v>0</v>
      </c>
      <c r="D215" s="9" t="s">
        <v>32</v>
      </c>
      <c r="E215" s="8" t="s">
        <v>32</v>
      </c>
      <c r="F215" s="7" t="s">
        <v>32</v>
      </c>
      <c r="G215" s="9" t="s">
        <v>32</v>
      </c>
      <c r="H215" s="8" t="s">
        <v>32</v>
      </c>
      <c r="I215" s="7" t="s">
        <v>32</v>
      </c>
      <c r="J215" s="10" t="s">
        <v>32</v>
      </c>
      <c r="K215" s="11" t="s">
        <v>32</v>
      </c>
      <c r="L215" s="7" t="s">
        <v>32</v>
      </c>
      <c r="M215" s="9" t="s">
        <v>32</v>
      </c>
      <c r="N215" s="8" t="s">
        <v>32</v>
      </c>
      <c r="O215" s="7" t="s">
        <v>32</v>
      </c>
      <c r="P215" s="205">
        <v>6</v>
      </c>
      <c r="Q215" s="8">
        <v>0</v>
      </c>
      <c r="R215" s="7">
        <v>0</v>
      </c>
      <c r="S215" s="10" t="s">
        <v>32</v>
      </c>
      <c r="T215" s="11" t="s">
        <v>32</v>
      </c>
      <c r="U215" s="7" t="s">
        <v>32</v>
      </c>
      <c r="V215" s="9" t="s">
        <v>32</v>
      </c>
      <c r="W215" s="8" t="s">
        <v>32</v>
      </c>
      <c r="X215" s="7" t="s">
        <v>32</v>
      </c>
      <c r="Y215" s="9" t="s">
        <v>32</v>
      </c>
      <c r="Z215" s="8" t="s">
        <v>32</v>
      </c>
      <c r="AA215" s="7" t="s">
        <v>32</v>
      </c>
      <c r="AB215" s="10">
        <v>0</v>
      </c>
      <c r="AD215" s="11">
        <v>5</v>
      </c>
      <c r="AE215" s="7">
        <v>4</v>
      </c>
      <c r="AF215" s="9" t="s">
        <v>32</v>
      </c>
      <c r="AG215" s="8" t="s">
        <v>32</v>
      </c>
      <c r="AH215" s="7" t="s">
        <v>32</v>
      </c>
      <c r="AI215" s="9" t="s">
        <v>32</v>
      </c>
      <c r="AJ215" s="8" t="s">
        <v>32</v>
      </c>
      <c r="AK215" s="7" t="s">
        <v>32</v>
      </c>
      <c r="AL215" s="10" t="s">
        <v>32</v>
      </c>
      <c r="AM215" s="11" t="s">
        <v>32</v>
      </c>
      <c r="AN215" s="7" t="s">
        <v>32</v>
      </c>
      <c r="AO215" s="9" t="s">
        <v>32</v>
      </c>
      <c r="AP215" s="8" t="s">
        <v>32</v>
      </c>
      <c r="AQ215" s="7" t="s">
        <v>32</v>
      </c>
      <c r="AR215" s="205">
        <v>6</v>
      </c>
      <c r="AS215" s="8">
        <v>3</v>
      </c>
      <c r="AT215" s="7">
        <v>7</v>
      </c>
      <c r="AU215" s="10" t="s">
        <v>32</v>
      </c>
      <c r="AV215" s="11" t="s">
        <v>32</v>
      </c>
      <c r="AW215" s="7" t="s">
        <v>32</v>
      </c>
      <c r="AX215" s="9" t="s">
        <v>32</v>
      </c>
      <c r="AY215" s="8" t="s">
        <v>32</v>
      </c>
      <c r="AZ215" s="7" t="s">
        <v>32</v>
      </c>
      <c r="BA215" s="9" t="s">
        <v>32</v>
      </c>
      <c r="BB215" s="8" t="s">
        <v>32</v>
      </c>
      <c r="BC215" s="7" t="s">
        <v>32</v>
      </c>
      <c r="BD215" s="10">
        <v>2</v>
      </c>
      <c r="BG215" s="11" t="s">
        <v>32</v>
      </c>
      <c r="BH215" s="204">
        <v>5</v>
      </c>
      <c r="BI215" s="9" t="s">
        <v>32</v>
      </c>
      <c r="BJ215" s="8">
        <v>0</v>
      </c>
      <c r="BK215" s="7" t="s">
        <v>32</v>
      </c>
      <c r="BL215" s="9" t="s">
        <v>32</v>
      </c>
      <c r="BM215" s="8" t="s">
        <v>32</v>
      </c>
      <c r="BN215" s="7" t="s">
        <v>32</v>
      </c>
      <c r="BO215" s="10" t="s">
        <v>32</v>
      </c>
      <c r="BP215" s="11" t="s">
        <v>32</v>
      </c>
      <c r="BQ215" s="7" t="s">
        <v>32</v>
      </c>
      <c r="BR215" s="9" t="s">
        <v>32</v>
      </c>
      <c r="BS215" s="8" t="s">
        <v>32</v>
      </c>
      <c r="BT215" s="204">
        <v>9</v>
      </c>
      <c r="BU215" s="9" t="s">
        <v>32</v>
      </c>
      <c r="BV215" s="8" t="s">
        <v>32</v>
      </c>
      <c r="BW215" s="7" t="s">
        <v>32</v>
      </c>
      <c r="BX215" s="10" t="s">
        <v>32</v>
      </c>
      <c r="BY215" s="11" t="s">
        <v>32</v>
      </c>
      <c r="BZ215" s="7" t="s">
        <v>32</v>
      </c>
      <c r="CA215" s="9" t="s">
        <v>32</v>
      </c>
      <c r="CB215" s="8" t="s">
        <v>32</v>
      </c>
      <c r="CC215" s="7" t="s">
        <v>32</v>
      </c>
      <c r="CD215" s="9">
        <v>0</v>
      </c>
      <c r="CE215" s="8" t="s">
        <v>32</v>
      </c>
      <c r="CF215" s="204">
        <v>4</v>
      </c>
      <c r="CG215" s="10" t="s">
        <v>32</v>
      </c>
      <c r="CI215" s="11" t="s">
        <v>32</v>
      </c>
      <c r="CJ215" s="204">
        <v>5</v>
      </c>
      <c r="CK215" s="9" t="s">
        <v>32</v>
      </c>
      <c r="CL215" s="8">
        <v>8</v>
      </c>
      <c r="CM215" s="7" t="s">
        <v>32</v>
      </c>
      <c r="CN215" s="9" t="s">
        <v>32</v>
      </c>
      <c r="CO215" s="8" t="s">
        <v>32</v>
      </c>
      <c r="CP215" s="7" t="s">
        <v>32</v>
      </c>
      <c r="CQ215" s="10" t="s">
        <v>32</v>
      </c>
      <c r="CR215" s="11" t="s">
        <v>32</v>
      </c>
      <c r="CS215" s="7" t="s">
        <v>32</v>
      </c>
      <c r="CT215" s="9" t="s">
        <v>32</v>
      </c>
      <c r="CU215" s="8" t="s">
        <v>32</v>
      </c>
      <c r="CV215" s="204">
        <v>9</v>
      </c>
      <c r="CW215" s="9" t="s">
        <v>32</v>
      </c>
      <c r="CX215" s="8" t="s">
        <v>32</v>
      </c>
      <c r="CY215" s="7" t="s">
        <v>32</v>
      </c>
      <c r="CZ215" s="10" t="s">
        <v>32</v>
      </c>
      <c r="DA215" s="11" t="s">
        <v>32</v>
      </c>
      <c r="DB215" s="7" t="s">
        <v>32</v>
      </c>
      <c r="DC215" s="9" t="s">
        <v>32</v>
      </c>
      <c r="DD215" s="8" t="s">
        <v>32</v>
      </c>
      <c r="DE215" s="7" t="s">
        <v>32</v>
      </c>
      <c r="DF215" s="9">
        <v>7</v>
      </c>
      <c r="DG215" s="8" t="s">
        <v>32</v>
      </c>
      <c r="DH215" s="204">
        <v>4</v>
      </c>
      <c r="DI215" s="10" t="s">
        <v>32</v>
      </c>
    </row>
    <row r="216" spans="2:113" ht="15" customHeight="1">
      <c r="B216" s="12">
        <v>0</v>
      </c>
      <c r="C216" s="212">
        <v>3</v>
      </c>
      <c r="D216" s="15" t="s">
        <v>32</v>
      </c>
      <c r="E216" s="14" t="s">
        <v>32</v>
      </c>
      <c r="F216" s="13" t="s">
        <v>32</v>
      </c>
      <c r="G216" s="15" t="s">
        <v>32</v>
      </c>
      <c r="H216" s="14" t="s">
        <v>32</v>
      </c>
      <c r="I216" s="13" t="s">
        <v>32</v>
      </c>
      <c r="J216" s="1" t="s">
        <v>32</v>
      </c>
      <c r="K216" s="12" t="s">
        <v>32</v>
      </c>
      <c r="L216" s="13" t="s">
        <v>32</v>
      </c>
      <c r="M216" s="15" t="s">
        <v>32</v>
      </c>
      <c r="N216" s="14" t="s">
        <v>32</v>
      </c>
      <c r="O216" s="13" t="s">
        <v>32</v>
      </c>
      <c r="P216" s="15">
        <v>0</v>
      </c>
      <c r="Q216" s="14">
        <v>0</v>
      </c>
      <c r="R216" s="13" t="s">
        <v>32</v>
      </c>
      <c r="S216" s="1" t="s">
        <v>32</v>
      </c>
      <c r="T216" s="12" t="s">
        <v>32</v>
      </c>
      <c r="U216" s="13" t="s">
        <v>32</v>
      </c>
      <c r="V216" s="15" t="s">
        <v>32</v>
      </c>
      <c r="W216" s="14" t="s">
        <v>32</v>
      </c>
      <c r="X216" s="13" t="s">
        <v>32</v>
      </c>
      <c r="Y216" s="15" t="s">
        <v>32</v>
      </c>
      <c r="Z216" s="14" t="s">
        <v>32</v>
      </c>
      <c r="AA216" s="212">
        <v>6</v>
      </c>
      <c r="AB216" s="1">
        <v>0</v>
      </c>
      <c r="AD216" s="12">
        <v>1</v>
      </c>
      <c r="AE216" s="212">
        <v>3</v>
      </c>
      <c r="AF216" s="15" t="s">
        <v>32</v>
      </c>
      <c r="AG216" s="14" t="s">
        <v>32</v>
      </c>
      <c r="AH216" s="13" t="s">
        <v>32</v>
      </c>
      <c r="AI216" s="15" t="s">
        <v>32</v>
      </c>
      <c r="AJ216" s="14" t="s">
        <v>32</v>
      </c>
      <c r="AK216" s="13" t="s">
        <v>32</v>
      </c>
      <c r="AL216" s="1" t="s">
        <v>32</v>
      </c>
      <c r="AM216" s="12" t="s">
        <v>32</v>
      </c>
      <c r="AN216" s="13" t="s">
        <v>32</v>
      </c>
      <c r="AO216" s="15" t="s">
        <v>32</v>
      </c>
      <c r="AP216" s="14" t="s">
        <v>32</v>
      </c>
      <c r="AQ216" s="13" t="s">
        <v>32</v>
      </c>
      <c r="AR216" s="15">
        <v>9</v>
      </c>
      <c r="AS216" s="14">
        <v>4</v>
      </c>
      <c r="AT216" s="13" t="s">
        <v>32</v>
      </c>
      <c r="AU216" s="1" t="s">
        <v>32</v>
      </c>
      <c r="AV216" s="12" t="s">
        <v>32</v>
      </c>
      <c r="AW216" s="13" t="s">
        <v>32</v>
      </c>
      <c r="AX216" s="15" t="s">
        <v>32</v>
      </c>
      <c r="AY216" s="14" t="s">
        <v>32</v>
      </c>
      <c r="AZ216" s="13" t="s">
        <v>32</v>
      </c>
      <c r="BA216" s="15" t="s">
        <v>32</v>
      </c>
      <c r="BB216" s="14" t="s">
        <v>32</v>
      </c>
      <c r="BC216" s="212">
        <v>6</v>
      </c>
      <c r="BD216" s="1">
        <v>7</v>
      </c>
      <c r="BG216" s="12" t="s">
        <v>32</v>
      </c>
      <c r="BH216" s="13">
        <v>0</v>
      </c>
      <c r="BI216" s="15">
        <v>0</v>
      </c>
      <c r="BJ216" s="14">
        <v>0</v>
      </c>
      <c r="BK216" s="13" t="s">
        <v>32</v>
      </c>
      <c r="BL216" s="15" t="s">
        <v>32</v>
      </c>
      <c r="BM216" s="14" t="s">
        <v>32</v>
      </c>
      <c r="BN216" s="13" t="s">
        <v>32</v>
      </c>
      <c r="BO216" s="1" t="s">
        <v>32</v>
      </c>
      <c r="BP216" s="12" t="s">
        <v>32</v>
      </c>
      <c r="BQ216" s="13" t="s">
        <v>32</v>
      </c>
      <c r="BR216" s="15" t="s">
        <v>32</v>
      </c>
      <c r="BS216" s="14" t="s">
        <v>32</v>
      </c>
      <c r="BT216" s="13" t="s">
        <v>32</v>
      </c>
      <c r="BU216" s="15" t="s">
        <v>32</v>
      </c>
      <c r="BV216" s="14" t="s">
        <v>32</v>
      </c>
      <c r="BW216" s="13" t="s">
        <v>32</v>
      </c>
      <c r="BX216" s="1" t="s">
        <v>32</v>
      </c>
      <c r="BY216" s="12" t="s">
        <v>32</v>
      </c>
      <c r="BZ216" s="13" t="s">
        <v>32</v>
      </c>
      <c r="CA216" s="15" t="s">
        <v>32</v>
      </c>
      <c r="CB216" s="14" t="s">
        <v>32</v>
      </c>
      <c r="CC216" s="13">
        <v>0</v>
      </c>
      <c r="CD216" s="15">
        <v>0</v>
      </c>
      <c r="CE216" s="14">
        <v>0</v>
      </c>
      <c r="CF216" s="13" t="s">
        <v>32</v>
      </c>
      <c r="CG216" s="1" t="s">
        <v>32</v>
      </c>
      <c r="CI216" s="12" t="s">
        <v>32</v>
      </c>
      <c r="CJ216" s="13">
        <v>4</v>
      </c>
      <c r="CK216" s="15">
        <v>9</v>
      </c>
      <c r="CL216" s="14">
        <v>7</v>
      </c>
      <c r="CM216" s="13" t="s">
        <v>32</v>
      </c>
      <c r="CN216" s="15" t="s">
        <v>32</v>
      </c>
      <c r="CO216" s="14" t="s">
        <v>32</v>
      </c>
      <c r="CP216" s="13" t="s">
        <v>32</v>
      </c>
      <c r="CQ216" s="1" t="s">
        <v>32</v>
      </c>
      <c r="CR216" s="12" t="s">
        <v>32</v>
      </c>
      <c r="CS216" s="13" t="s">
        <v>32</v>
      </c>
      <c r="CT216" s="15" t="s">
        <v>32</v>
      </c>
      <c r="CU216" s="14" t="s">
        <v>32</v>
      </c>
      <c r="CV216" s="13" t="s">
        <v>32</v>
      </c>
      <c r="CW216" s="15" t="s">
        <v>32</v>
      </c>
      <c r="CX216" s="14" t="s">
        <v>32</v>
      </c>
      <c r="CY216" s="13" t="s">
        <v>32</v>
      </c>
      <c r="CZ216" s="1" t="s">
        <v>32</v>
      </c>
      <c r="DA216" s="12" t="s">
        <v>32</v>
      </c>
      <c r="DB216" s="13" t="s">
        <v>32</v>
      </c>
      <c r="DC216" s="15" t="s">
        <v>32</v>
      </c>
      <c r="DD216" s="14" t="s">
        <v>32</v>
      </c>
      <c r="DE216" s="13">
        <v>3</v>
      </c>
      <c r="DF216" s="15">
        <v>1</v>
      </c>
      <c r="DG216" s="14">
        <v>8</v>
      </c>
      <c r="DH216" s="13" t="s">
        <v>32</v>
      </c>
      <c r="DI216" s="1" t="s">
        <v>32</v>
      </c>
    </row>
    <row r="217" spans="2:113" ht="15" customHeight="1">
      <c r="B217" s="16">
        <v>0</v>
      </c>
      <c r="C217" s="17" t="s">
        <v>32</v>
      </c>
      <c r="D217" s="18" t="s">
        <v>32</v>
      </c>
      <c r="E217" s="19" t="s">
        <v>32</v>
      </c>
      <c r="F217" s="17" t="s">
        <v>32</v>
      </c>
      <c r="G217" s="18" t="s">
        <v>32</v>
      </c>
      <c r="H217" s="19" t="s">
        <v>32</v>
      </c>
      <c r="I217" s="17" t="s">
        <v>32</v>
      </c>
      <c r="J217" s="20" t="s">
        <v>32</v>
      </c>
      <c r="K217" s="16" t="s">
        <v>32</v>
      </c>
      <c r="L217" s="17" t="s">
        <v>32</v>
      </c>
      <c r="M217" s="18" t="s">
        <v>32</v>
      </c>
      <c r="N217" s="19" t="s">
        <v>32</v>
      </c>
      <c r="O217" s="17">
        <v>0</v>
      </c>
      <c r="P217" s="18" t="s">
        <v>32</v>
      </c>
      <c r="Q217" s="19" t="s">
        <v>32</v>
      </c>
      <c r="R217" s="17" t="s">
        <v>32</v>
      </c>
      <c r="S217" s="20" t="s">
        <v>32</v>
      </c>
      <c r="T217" s="16" t="s">
        <v>32</v>
      </c>
      <c r="U217" s="17" t="s">
        <v>32</v>
      </c>
      <c r="V217" s="18" t="s">
        <v>32</v>
      </c>
      <c r="W217" s="19" t="s">
        <v>32</v>
      </c>
      <c r="X217" s="17" t="s">
        <v>32</v>
      </c>
      <c r="Y217" s="18" t="s">
        <v>32</v>
      </c>
      <c r="Z217" s="19">
        <v>0</v>
      </c>
      <c r="AA217" s="17">
        <v>0</v>
      </c>
      <c r="AB217" s="20">
        <v>0</v>
      </c>
      <c r="AD217" s="16">
        <v>9</v>
      </c>
      <c r="AE217" s="17" t="s">
        <v>32</v>
      </c>
      <c r="AF217" s="18" t="s">
        <v>32</v>
      </c>
      <c r="AG217" s="19" t="s">
        <v>32</v>
      </c>
      <c r="AH217" s="17" t="s">
        <v>32</v>
      </c>
      <c r="AI217" s="18" t="s">
        <v>32</v>
      </c>
      <c r="AJ217" s="19" t="s">
        <v>32</v>
      </c>
      <c r="AK217" s="17" t="s">
        <v>32</v>
      </c>
      <c r="AL217" s="20" t="s">
        <v>32</v>
      </c>
      <c r="AM217" s="16" t="s">
        <v>32</v>
      </c>
      <c r="AN217" s="17" t="s">
        <v>32</v>
      </c>
      <c r="AO217" s="18" t="s">
        <v>32</v>
      </c>
      <c r="AP217" s="19" t="s">
        <v>32</v>
      </c>
      <c r="AQ217" s="17">
        <v>2</v>
      </c>
      <c r="AR217" s="18" t="s">
        <v>32</v>
      </c>
      <c r="AS217" s="19" t="s">
        <v>32</v>
      </c>
      <c r="AT217" s="17" t="s">
        <v>32</v>
      </c>
      <c r="AU217" s="20" t="s">
        <v>32</v>
      </c>
      <c r="AV217" s="16" t="s">
        <v>32</v>
      </c>
      <c r="AW217" s="17" t="s">
        <v>32</v>
      </c>
      <c r="AX217" s="18" t="s">
        <v>32</v>
      </c>
      <c r="AY217" s="19" t="s">
        <v>32</v>
      </c>
      <c r="AZ217" s="17" t="s">
        <v>32</v>
      </c>
      <c r="BA217" s="18" t="s">
        <v>32</v>
      </c>
      <c r="BB217" s="19">
        <v>8</v>
      </c>
      <c r="BC217" s="17">
        <v>4</v>
      </c>
      <c r="BD217" s="20">
        <v>1</v>
      </c>
      <c r="BG217" s="426">
        <v>2</v>
      </c>
      <c r="BH217" s="17" t="s">
        <v>32</v>
      </c>
      <c r="BI217" s="18" t="s">
        <v>32</v>
      </c>
      <c r="BJ217" s="19" t="s">
        <v>32</v>
      </c>
      <c r="BK217" s="17" t="s">
        <v>32</v>
      </c>
      <c r="BL217" s="18" t="s">
        <v>32</v>
      </c>
      <c r="BM217" s="19" t="s">
        <v>32</v>
      </c>
      <c r="BN217" s="17" t="s">
        <v>32</v>
      </c>
      <c r="BO217" s="20" t="s">
        <v>32</v>
      </c>
      <c r="BP217" s="16" t="s">
        <v>32</v>
      </c>
      <c r="BQ217" s="17" t="s">
        <v>32</v>
      </c>
      <c r="BR217" s="18" t="s">
        <v>32</v>
      </c>
      <c r="BS217" s="19" t="s">
        <v>32</v>
      </c>
      <c r="BT217" s="17" t="s">
        <v>32</v>
      </c>
      <c r="BU217" s="18" t="s">
        <v>32</v>
      </c>
      <c r="BV217" s="19" t="s">
        <v>32</v>
      </c>
      <c r="BW217" s="17" t="s">
        <v>32</v>
      </c>
      <c r="BX217" s="20" t="s">
        <v>32</v>
      </c>
      <c r="BY217" s="16" t="s">
        <v>32</v>
      </c>
      <c r="BZ217" s="17" t="s">
        <v>32</v>
      </c>
      <c r="CA217" s="18" t="s">
        <v>32</v>
      </c>
      <c r="CB217" s="19" t="s">
        <v>32</v>
      </c>
      <c r="CC217" s="17">
        <v>0</v>
      </c>
      <c r="CD217" s="18" t="s">
        <v>32</v>
      </c>
      <c r="CE217" s="19" t="s">
        <v>32</v>
      </c>
      <c r="CF217" s="17" t="s">
        <v>32</v>
      </c>
      <c r="CG217" s="20" t="s">
        <v>32</v>
      </c>
      <c r="CI217" s="426">
        <v>2</v>
      </c>
      <c r="CJ217" s="17" t="s">
        <v>32</v>
      </c>
      <c r="CK217" s="18" t="s">
        <v>32</v>
      </c>
      <c r="CL217" s="19" t="s">
        <v>32</v>
      </c>
      <c r="CM217" s="17" t="s">
        <v>32</v>
      </c>
      <c r="CN217" s="18" t="s">
        <v>32</v>
      </c>
      <c r="CO217" s="19" t="s">
        <v>32</v>
      </c>
      <c r="CP217" s="17" t="s">
        <v>32</v>
      </c>
      <c r="CQ217" s="20" t="s">
        <v>32</v>
      </c>
      <c r="CR217" s="16" t="s">
        <v>32</v>
      </c>
      <c r="CS217" s="17" t="s">
        <v>32</v>
      </c>
      <c r="CT217" s="18" t="s">
        <v>32</v>
      </c>
      <c r="CU217" s="19" t="s">
        <v>32</v>
      </c>
      <c r="CV217" s="17" t="s">
        <v>32</v>
      </c>
      <c r="CW217" s="18" t="s">
        <v>32</v>
      </c>
      <c r="CX217" s="19" t="s">
        <v>32</v>
      </c>
      <c r="CY217" s="17" t="s">
        <v>32</v>
      </c>
      <c r="CZ217" s="20" t="s">
        <v>32</v>
      </c>
      <c r="DA217" s="16" t="s">
        <v>32</v>
      </c>
      <c r="DB217" s="17" t="s">
        <v>32</v>
      </c>
      <c r="DC217" s="18" t="s">
        <v>32</v>
      </c>
      <c r="DD217" s="19" t="s">
        <v>32</v>
      </c>
      <c r="DE217" s="17">
        <v>5</v>
      </c>
      <c r="DF217" s="18" t="s">
        <v>32</v>
      </c>
      <c r="DG217" s="19" t="s">
        <v>32</v>
      </c>
      <c r="DH217" s="17" t="s">
        <v>32</v>
      </c>
      <c r="DI217" s="20" t="s">
        <v>32</v>
      </c>
    </row>
    <row r="218" spans="2:113" ht="15" customHeight="1">
      <c r="B218" s="11">
        <v>0</v>
      </c>
      <c r="C218" s="7" t="s">
        <v>32</v>
      </c>
      <c r="D218" s="9" t="s">
        <v>32</v>
      </c>
      <c r="E218" s="8" t="s">
        <v>32</v>
      </c>
      <c r="F218" s="7" t="s">
        <v>32</v>
      </c>
      <c r="G218" s="9" t="s">
        <v>32</v>
      </c>
      <c r="H218" s="8" t="s">
        <v>32</v>
      </c>
      <c r="I218" s="7" t="s">
        <v>32</v>
      </c>
      <c r="J218" s="10" t="s">
        <v>32</v>
      </c>
      <c r="K218" s="11" t="s">
        <v>32</v>
      </c>
      <c r="L218" s="7" t="s">
        <v>32</v>
      </c>
      <c r="M218" s="9" t="s">
        <v>32</v>
      </c>
      <c r="N218" s="8" t="s">
        <v>32</v>
      </c>
      <c r="O218" s="7" t="s">
        <v>32</v>
      </c>
      <c r="P218" s="9" t="s">
        <v>32</v>
      </c>
      <c r="Q218" s="8" t="s">
        <v>32</v>
      </c>
      <c r="R218" s="7" t="s">
        <v>32</v>
      </c>
      <c r="S218" s="10" t="s">
        <v>32</v>
      </c>
      <c r="T218" s="11" t="s">
        <v>32</v>
      </c>
      <c r="U218" s="7" t="s">
        <v>32</v>
      </c>
      <c r="V218" s="9" t="s">
        <v>32</v>
      </c>
      <c r="W218" s="8" t="s">
        <v>32</v>
      </c>
      <c r="X218" s="7" t="s">
        <v>32</v>
      </c>
      <c r="Y218" s="9" t="s">
        <v>32</v>
      </c>
      <c r="Z218" s="8" t="s">
        <v>32</v>
      </c>
      <c r="AA218" s="7">
        <v>0</v>
      </c>
      <c r="AB218" s="10" t="s">
        <v>32</v>
      </c>
      <c r="AD218" s="11">
        <v>2</v>
      </c>
      <c r="AE218" s="7" t="s">
        <v>32</v>
      </c>
      <c r="AF218" s="9" t="s">
        <v>32</v>
      </c>
      <c r="AG218" s="8" t="s">
        <v>32</v>
      </c>
      <c r="AH218" s="7" t="s">
        <v>32</v>
      </c>
      <c r="AI218" s="9" t="s">
        <v>32</v>
      </c>
      <c r="AJ218" s="8" t="s">
        <v>32</v>
      </c>
      <c r="AK218" s="7" t="s">
        <v>32</v>
      </c>
      <c r="AL218" s="10" t="s">
        <v>32</v>
      </c>
      <c r="AM218" s="11" t="s">
        <v>32</v>
      </c>
      <c r="AN218" s="7" t="s">
        <v>32</v>
      </c>
      <c r="AO218" s="9" t="s">
        <v>32</v>
      </c>
      <c r="AP218" s="8" t="s">
        <v>32</v>
      </c>
      <c r="AQ218" s="7" t="s">
        <v>32</v>
      </c>
      <c r="AR218" s="9" t="s">
        <v>32</v>
      </c>
      <c r="AS218" s="8" t="s">
        <v>32</v>
      </c>
      <c r="AT218" s="7" t="s">
        <v>32</v>
      </c>
      <c r="AU218" s="10" t="s">
        <v>32</v>
      </c>
      <c r="AV218" s="11" t="s">
        <v>32</v>
      </c>
      <c r="AW218" s="7" t="s">
        <v>32</v>
      </c>
      <c r="AX218" s="9" t="s">
        <v>32</v>
      </c>
      <c r="AY218" s="8" t="s">
        <v>32</v>
      </c>
      <c r="AZ218" s="7" t="s">
        <v>32</v>
      </c>
      <c r="BA218" s="9" t="s">
        <v>32</v>
      </c>
      <c r="BB218" s="8" t="s">
        <v>32</v>
      </c>
      <c r="BC218" s="7">
        <v>5</v>
      </c>
      <c r="BD218" s="10" t="s">
        <v>32</v>
      </c>
      <c r="BG218" s="11" t="s">
        <v>32</v>
      </c>
      <c r="BH218" s="7">
        <v>0</v>
      </c>
      <c r="BI218" s="9" t="s">
        <v>32</v>
      </c>
      <c r="BJ218" s="8" t="s">
        <v>32</v>
      </c>
      <c r="BK218" s="7" t="s">
        <v>32</v>
      </c>
      <c r="BL218" s="9" t="s">
        <v>32</v>
      </c>
      <c r="BM218" s="8" t="s">
        <v>32</v>
      </c>
      <c r="BN218" s="7" t="s">
        <v>32</v>
      </c>
      <c r="BO218" s="10" t="s">
        <v>32</v>
      </c>
      <c r="BP218" s="11" t="s">
        <v>32</v>
      </c>
      <c r="BQ218" s="7" t="s">
        <v>32</v>
      </c>
      <c r="BR218" s="9" t="s">
        <v>32</v>
      </c>
      <c r="BS218" s="8" t="s">
        <v>32</v>
      </c>
      <c r="BT218" s="7" t="s">
        <v>32</v>
      </c>
      <c r="BU218" s="9" t="s">
        <v>32</v>
      </c>
      <c r="BV218" s="8" t="s">
        <v>32</v>
      </c>
      <c r="BW218" s="7" t="s">
        <v>32</v>
      </c>
      <c r="BX218" s="10" t="s">
        <v>32</v>
      </c>
      <c r="BY218" s="11" t="s">
        <v>32</v>
      </c>
      <c r="BZ218" s="7" t="s">
        <v>32</v>
      </c>
      <c r="CA218" s="9" t="s">
        <v>32</v>
      </c>
      <c r="CB218" s="8" t="s">
        <v>32</v>
      </c>
      <c r="CC218" s="7" t="s">
        <v>32</v>
      </c>
      <c r="CD218" s="9" t="s">
        <v>32</v>
      </c>
      <c r="CE218" s="8" t="s">
        <v>32</v>
      </c>
      <c r="CF218" s="7" t="s">
        <v>32</v>
      </c>
      <c r="CG218" s="10" t="s">
        <v>32</v>
      </c>
      <c r="CI218" s="11" t="s">
        <v>32</v>
      </c>
      <c r="CJ218" s="7">
        <v>3</v>
      </c>
      <c r="CK218" s="9" t="s">
        <v>32</v>
      </c>
      <c r="CL218" s="8" t="s">
        <v>32</v>
      </c>
      <c r="CM218" s="7" t="s">
        <v>32</v>
      </c>
      <c r="CN218" s="9" t="s">
        <v>32</v>
      </c>
      <c r="CO218" s="8" t="s">
        <v>32</v>
      </c>
      <c r="CP218" s="7" t="s">
        <v>32</v>
      </c>
      <c r="CQ218" s="10" t="s">
        <v>32</v>
      </c>
      <c r="CR218" s="11" t="s">
        <v>32</v>
      </c>
      <c r="CS218" s="7" t="s">
        <v>32</v>
      </c>
      <c r="CT218" s="9" t="s">
        <v>32</v>
      </c>
      <c r="CU218" s="8" t="s">
        <v>32</v>
      </c>
      <c r="CV218" s="7" t="s">
        <v>32</v>
      </c>
      <c r="CW218" s="9" t="s">
        <v>32</v>
      </c>
      <c r="CX218" s="8" t="s">
        <v>32</v>
      </c>
      <c r="CY218" s="7" t="s">
        <v>32</v>
      </c>
      <c r="CZ218" s="10" t="s">
        <v>32</v>
      </c>
      <c r="DA218" s="11" t="s">
        <v>32</v>
      </c>
      <c r="DB218" s="7" t="s">
        <v>32</v>
      </c>
      <c r="DC218" s="9" t="s">
        <v>32</v>
      </c>
      <c r="DD218" s="8" t="s">
        <v>32</v>
      </c>
      <c r="DE218" s="7" t="s">
        <v>32</v>
      </c>
      <c r="DF218" s="9" t="s">
        <v>32</v>
      </c>
      <c r="DG218" s="8" t="s">
        <v>32</v>
      </c>
      <c r="DH218" s="7" t="s">
        <v>32</v>
      </c>
      <c r="DI218" s="10" t="s">
        <v>32</v>
      </c>
    </row>
    <row r="219" spans="2:113" ht="15" customHeight="1" thickBot="1">
      <c r="B219" s="21" t="s">
        <v>32</v>
      </c>
      <c r="C219" s="22">
        <v>0</v>
      </c>
      <c r="D219" s="23">
        <v>0</v>
      </c>
      <c r="E219" s="24" t="s">
        <v>32</v>
      </c>
      <c r="F219" s="22" t="s">
        <v>32</v>
      </c>
      <c r="G219" s="23" t="s">
        <v>32</v>
      </c>
      <c r="H219" s="24" t="s">
        <v>32</v>
      </c>
      <c r="I219" s="22" t="s">
        <v>32</v>
      </c>
      <c r="J219" s="25" t="s">
        <v>32</v>
      </c>
      <c r="K219" s="21" t="s">
        <v>32</v>
      </c>
      <c r="L219" s="22" t="s">
        <v>32</v>
      </c>
      <c r="M219" s="23" t="s">
        <v>32</v>
      </c>
      <c r="N219" s="24" t="s">
        <v>32</v>
      </c>
      <c r="O219" s="22" t="s">
        <v>32</v>
      </c>
      <c r="P219" s="23" t="s">
        <v>32</v>
      </c>
      <c r="Q219" s="24" t="s">
        <v>32</v>
      </c>
      <c r="R219" s="22" t="s">
        <v>32</v>
      </c>
      <c r="S219" s="25" t="s">
        <v>32</v>
      </c>
      <c r="T219" s="21" t="s">
        <v>32</v>
      </c>
      <c r="U219" s="22" t="s">
        <v>32</v>
      </c>
      <c r="V219" s="23" t="s">
        <v>32</v>
      </c>
      <c r="W219" s="24" t="s">
        <v>32</v>
      </c>
      <c r="X219" s="22" t="s">
        <v>32</v>
      </c>
      <c r="Y219" s="23" t="s">
        <v>32</v>
      </c>
      <c r="Z219" s="24" t="s">
        <v>32</v>
      </c>
      <c r="AA219" s="22" t="s">
        <v>32</v>
      </c>
      <c r="AB219" s="25" t="s">
        <v>32</v>
      </c>
      <c r="AD219" s="21" t="s">
        <v>32</v>
      </c>
      <c r="AE219" s="22">
        <v>8</v>
      </c>
      <c r="AF219" s="23">
        <v>6</v>
      </c>
      <c r="AG219" s="24" t="s">
        <v>32</v>
      </c>
      <c r="AH219" s="22" t="s">
        <v>32</v>
      </c>
      <c r="AI219" s="23" t="s">
        <v>32</v>
      </c>
      <c r="AJ219" s="24" t="s">
        <v>32</v>
      </c>
      <c r="AK219" s="22" t="s">
        <v>32</v>
      </c>
      <c r="AL219" s="25" t="s">
        <v>32</v>
      </c>
      <c r="AM219" s="21" t="s">
        <v>32</v>
      </c>
      <c r="AN219" s="22" t="s">
        <v>32</v>
      </c>
      <c r="AO219" s="23" t="s">
        <v>32</v>
      </c>
      <c r="AP219" s="24" t="s">
        <v>32</v>
      </c>
      <c r="AQ219" s="22" t="s">
        <v>32</v>
      </c>
      <c r="AR219" s="23" t="s">
        <v>32</v>
      </c>
      <c r="AS219" s="24" t="s">
        <v>32</v>
      </c>
      <c r="AT219" s="22" t="s">
        <v>32</v>
      </c>
      <c r="AU219" s="25" t="s">
        <v>32</v>
      </c>
      <c r="AV219" s="21" t="s">
        <v>32</v>
      </c>
      <c r="AW219" s="22" t="s">
        <v>32</v>
      </c>
      <c r="AX219" s="23" t="s">
        <v>32</v>
      </c>
      <c r="AY219" s="24" t="s">
        <v>32</v>
      </c>
      <c r="AZ219" s="22" t="s">
        <v>32</v>
      </c>
      <c r="BA219" s="23" t="s">
        <v>32</v>
      </c>
      <c r="BB219" s="24" t="s">
        <v>32</v>
      </c>
      <c r="BC219" s="22" t="s">
        <v>32</v>
      </c>
      <c r="BD219" s="25" t="s">
        <v>32</v>
      </c>
      <c r="BG219" s="21" t="s">
        <v>32</v>
      </c>
      <c r="BH219" s="22" t="s">
        <v>32</v>
      </c>
      <c r="BI219" s="23">
        <v>0</v>
      </c>
      <c r="BJ219" s="24" t="s">
        <v>32</v>
      </c>
      <c r="BK219" s="22" t="s">
        <v>32</v>
      </c>
      <c r="BL219" s="23" t="s">
        <v>32</v>
      </c>
      <c r="BM219" s="24" t="s">
        <v>32</v>
      </c>
      <c r="BN219" s="22" t="s">
        <v>32</v>
      </c>
      <c r="BO219" s="25" t="s">
        <v>32</v>
      </c>
      <c r="BP219" s="21" t="s">
        <v>32</v>
      </c>
      <c r="BQ219" s="22" t="s">
        <v>32</v>
      </c>
      <c r="BR219" s="23" t="s">
        <v>32</v>
      </c>
      <c r="BS219" s="24" t="s">
        <v>32</v>
      </c>
      <c r="BT219" s="22" t="s">
        <v>32</v>
      </c>
      <c r="BU219" s="23" t="s">
        <v>32</v>
      </c>
      <c r="BV219" s="24" t="s">
        <v>32</v>
      </c>
      <c r="BW219" s="22" t="s">
        <v>32</v>
      </c>
      <c r="BX219" s="25" t="s">
        <v>32</v>
      </c>
      <c r="BY219" s="21" t="s">
        <v>32</v>
      </c>
      <c r="BZ219" s="22" t="s">
        <v>32</v>
      </c>
      <c r="CA219" s="23" t="s">
        <v>32</v>
      </c>
      <c r="CB219" s="24" t="s">
        <v>32</v>
      </c>
      <c r="CC219" s="22" t="s">
        <v>32</v>
      </c>
      <c r="CD219" s="23" t="s">
        <v>32</v>
      </c>
      <c r="CE219" s="24" t="s">
        <v>32</v>
      </c>
      <c r="CF219" s="22" t="s">
        <v>32</v>
      </c>
      <c r="CG219" s="25" t="s">
        <v>32</v>
      </c>
      <c r="CI219" s="21" t="s">
        <v>32</v>
      </c>
      <c r="CJ219" s="22" t="s">
        <v>32</v>
      </c>
      <c r="CK219" s="23">
        <v>6</v>
      </c>
      <c r="CL219" s="24" t="s">
        <v>32</v>
      </c>
      <c r="CM219" s="22" t="s">
        <v>32</v>
      </c>
      <c r="CN219" s="23" t="s">
        <v>32</v>
      </c>
      <c r="CO219" s="24" t="s">
        <v>32</v>
      </c>
      <c r="CP219" s="22" t="s">
        <v>32</v>
      </c>
      <c r="CQ219" s="25" t="s">
        <v>32</v>
      </c>
      <c r="CR219" s="21" t="s">
        <v>32</v>
      </c>
      <c r="CS219" s="22" t="s">
        <v>32</v>
      </c>
      <c r="CT219" s="23" t="s">
        <v>32</v>
      </c>
      <c r="CU219" s="24" t="s">
        <v>32</v>
      </c>
      <c r="CV219" s="22" t="s">
        <v>32</v>
      </c>
      <c r="CW219" s="23" t="s">
        <v>32</v>
      </c>
      <c r="CX219" s="24" t="s">
        <v>32</v>
      </c>
      <c r="CY219" s="22" t="s">
        <v>32</v>
      </c>
      <c r="CZ219" s="25" t="s">
        <v>32</v>
      </c>
      <c r="DA219" s="21" t="s">
        <v>32</v>
      </c>
      <c r="DB219" s="22" t="s">
        <v>32</v>
      </c>
      <c r="DC219" s="23" t="s">
        <v>32</v>
      </c>
      <c r="DD219" s="24" t="s">
        <v>32</v>
      </c>
      <c r="DE219" s="22" t="s">
        <v>32</v>
      </c>
      <c r="DF219" s="23" t="s">
        <v>32</v>
      </c>
      <c r="DG219" s="24" t="s">
        <v>32</v>
      </c>
      <c r="DH219" s="22" t="s">
        <v>32</v>
      </c>
      <c r="DI219" s="25" t="s">
        <v>32</v>
      </c>
    </row>
    <row r="220" spans="2:113" ht="15" customHeight="1">
      <c r="B220" s="2" t="s">
        <v>32</v>
      </c>
      <c r="C220" s="5" t="s">
        <v>32</v>
      </c>
      <c r="D220" s="3" t="s">
        <v>32</v>
      </c>
      <c r="E220" s="4" t="s">
        <v>32</v>
      </c>
      <c r="F220" s="5" t="s">
        <v>32</v>
      </c>
      <c r="G220" s="3" t="s">
        <v>32</v>
      </c>
      <c r="H220" s="4" t="s">
        <v>32</v>
      </c>
      <c r="I220" s="5" t="s">
        <v>32</v>
      </c>
      <c r="J220" s="6" t="s">
        <v>32</v>
      </c>
      <c r="K220" s="2" t="s">
        <v>32</v>
      </c>
      <c r="L220" s="5" t="s">
        <v>32</v>
      </c>
      <c r="M220" s="3" t="s">
        <v>32</v>
      </c>
      <c r="N220" s="4" t="s">
        <v>32</v>
      </c>
      <c r="O220" s="5" t="s">
        <v>32</v>
      </c>
      <c r="P220" s="3" t="s">
        <v>32</v>
      </c>
      <c r="Q220" s="4" t="s">
        <v>32</v>
      </c>
      <c r="R220" s="5" t="s">
        <v>32</v>
      </c>
      <c r="S220" s="6" t="s">
        <v>32</v>
      </c>
      <c r="T220" s="2" t="s">
        <v>32</v>
      </c>
      <c r="U220" s="5" t="s">
        <v>32</v>
      </c>
      <c r="V220" s="3" t="s">
        <v>32</v>
      </c>
      <c r="W220" s="4" t="s">
        <v>32</v>
      </c>
      <c r="X220" s="5" t="s">
        <v>32</v>
      </c>
      <c r="Y220" s="3" t="s">
        <v>32</v>
      </c>
      <c r="Z220" s="4" t="s">
        <v>32</v>
      </c>
      <c r="AA220" s="5" t="s">
        <v>32</v>
      </c>
      <c r="AB220" s="6" t="s">
        <v>32</v>
      </c>
      <c r="AD220" s="2" t="s">
        <v>32</v>
      </c>
      <c r="AE220" s="5" t="s">
        <v>32</v>
      </c>
      <c r="AF220" s="3" t="s">
        <v>32</v>
      </c>
      <c r="AG220" s="4" t="s">
        <v>32</v>
      </c>
      <c r="AH220" s="5" t="s">
        <v>32</v>
      </c>
      <c r="AI220" s="3" t="s">
        <v>32</v>
      </c>
      <c r="AJ220" s="4" t="s">
        <v>32</v>
      </c>
      <c r="AK220" s="5" t="s">
        <v>32</v>
      </c>
      <c r="AL220" s="6" t="s">
        <v>32</v>
      </c>
      <c r="AM220" s="2" t="s">
        <v>32</v>
      </c>
      <c r="AN220" s="5" t="s">
        <v>32</v>
      </c>
      <c r="AO220" s="3" t="s">
        <v>32</v>
      </c>
      <c r="AP220" s="4" t="s">
        <v>32</v>
      </c>
      <c r="AQ220" s="5" t="s">
        <v>32</v>
      </c>
      <c r="AR220" s="3" t="s">
        <v>32</v>
      </c>
      <c r="AS220" s="4" t="s">
        <v>32</v>
      </c>
      <c r="AT220" s="5" t="s">
        <v>32</v>
      </c>
      <c r="AU220" s="6" t="s">
        <v>32</v>
      </c>
      <c r="AV220" s="2" t="s">
        <v>32</v>
      </c>
      <c r="AW220" s="5" t="s">
        <v>32</v>
      </c>
      <c r="AX220" s="3" t="s">
        <v>32</v>
      </c>
      <c r="AY220" s="4" t="s">
        <v>32</v>
      </c>
      <c r="AZ220" s="5" t="s">
        <v>32</v>
      </c>
      <c r="BA220" s="3" t="s">
        <v>32</v>
      </c>
      <c r="BB220" s="4" t="s">
        <v>32</v>
      </c>
      <c r="BC220" s="5" t="s">
        <v>32</v>
      </c>
      <c r="BD220" s="6" t="s">
        <v>32</v>
      </c>
      <c r="BG220" s="2" t="s">
        <v>32</v>
      </c>
      <c r="BH220" s="5" t="s">
        <v>32</v>
      </c>
      <c r="BI220" s="3" t="s">
        <v>32</v>
      </c>
      <c r="BJ220" s="4" t="s">
        <v>32</v>
      </c>
      <c r="BK220" s="5" t="s">
        <v>32</v>
      </c>
      <c r="BL220" s="3" t="s">
        <v>32</v>
      </c>
      <c r="BM220" s="4" t="s">
        <v>32</v>
      </c>
      <c r="BN220" s="5" t="s">
        <v>32</v>
      </c>
      <c r="BO220" s="6" t="s">
        <v>32</v>
      </c>
      <c r="BP220" s="2" t="s">
        <v>32</v>
      </c>
      <c r="BQ220" s="5" t="s">
        <v>32</v>
      </c>
      <c r="BR220" s="3" t="s">
        <v>32</v>
      </c>
      <c r="BS220" s="4" t="s">
        <v>32</v>
      </c>
      <c r="BT220" s="5" t="s">
        <v>32</v>
      </c>
      <c r="BU220" s="3" t="s">
        <v>32</v>
      </c>
      <c r="BV220" s="4" t="s">
        <v>32</v>
      </c>
      <c r="BW220" s="5" t="s">
        <v>32</v>
      </c>
      <c r="BX220" s="6" t="s">
        <v>32</v>
      </c>
      <c r="BY220" s="2" t="s">
        <v>32</v>
      </c>
      <c r="BZ220" s="5" t="s">
        <v>32</v>
      </c>
      <c r="CA220" s="3" t="s">
        <v>32</v>
      </c>
      <c r="CB220" s="4" t="s">
        <v>32</v>
      </c>
      <c r="CC220" s="5" t="s">
        <v>32</v>
      </c>
      <c r="CD220" s="3" t="s">
        <v>32</v>
      </c>
      <c r="CE220" s="4" t="s">
        <v>32</v>
      </c>
      <c r="CF220" s="5" t="s">
        <v>32</v>
      </c>
      <c r="CG220" s="6" t="s">
        <v>32</v>
      </c>
      <c r="CI220" s="2" t="s">
        <v>32</v>
      </c>
      <c r="CJ220" s="5" t="s">
        <v>32</v>
      </c>
      <c r="CK220" s="3" t="s">
        <v>32</v>
      </c>
      <c r="CL220" s="4" t="s">
        <v>32</v>
      </c>
      <c r="CM220" s="5" t="s">
        <v>32</v>
      </c>
      <c r="CN220" s="3" t="s">
        <v>32</v>
      </c>
      <c r="CO220" s="4" t="s">
        <v>32</v>
      </c>
      <c r="CP220" s="5" t="s">
        <v>32</v>
      </c>
      <c r="CQ220" s="6" t="s">
        <v>32</v>
      </c>
      <c r="CR220" s="2" t="s">
        <v>32</v>
      </c>
      <c r="CS220" s="5" t="s">
        <v>32</v>
      </c>
      <c r="CT220" s="3" t="s">
        <v>32</v>
      </c>
      <c r="CU220" s="4" t="s">
        <v>32</v>
      </c>
      <c r="CV220" s="5" t="s">
        <v>32</v>
      </c>
      <c r="CW220" s="3" t="s">
        <v>32</v>
      </c>
      <c r="CX220" s="4" t="s">
        <v>32</v>
      </c>
      <c r="CY220" s="5" t="s">
        <v>32</v>
      </c>
      <c r="CZ220" s="6" t="s">
        <v>32</v>
      </c>
      <c r="DA220" s="2" t="s">
        <v>32</v>
      </c>
      <c r="DB220" s="5" t="s">
        <v>32</v>
      </c>
      <c r="DC220" s="3" t="s">
        <v>32</v>
      </c>
      <c r="DD220" s="4" t="s">
        <v>32</v>
      </c>
      <c r="DE220" s="5" t="s">
        <v>32</v>
      </c>
      <c r="DF220" s="3" t="s">
        <v>32</v>
      </c>
      <c r="DG220" s="4" t="s">
        <v>32</v>
      </c>
      <c r="DH220" s="5" t="s">
        <v>32</v>
      </c>
      <c r="DI220" s="6" t="s">
        <v>32</v>
      </c>
    </row>
    <row r="221" spans="2:113" ht="15" customHeight="1">
      <c r="B221" s="11" t="s">
        <v>32</v>
      </c>
      <c r="C221" s="7" t="s">
        <v>32</v>
      </c>
      <c r="D221" s="9" t="s">
        <v>32</v>
      </c>
      <c r="E221" s="8" t="s">
        <v>32</v>
      </c>
      <c r="F221" s="7" t="s">
        <v>32</v>
      </c>
      <c r="G221" s="9" t="s">
        <v>32</v>
      </c>
      <c r="H221" s="8" t="s">
        <v>32</v>
      </c>
      <c r="I221" s="7" t="s">
        <v>32</v>
      </c>
      <c r="J221" s="10" t="s">
        <v>32</v>
      </c>
      <c r="K221" s="11" t="s">
        <v>32</v>
      </c>
      <c r="L221" s="7" t="s">
        <v>32</v>
      </c>
      <c r="M221" s="9" t="s">
        <v>32</v>
      </c>
      <c r="N221" s="8" t="s">
        <v>32</v>
      </c>
      <c r="O221" s="7" t="s">
        <v>32</v>
      </c>
      <c r="P221" s="205">
        <v>2</v>
      </c>
      <c r="Q221" s="8" t="s">
        <v>32</v>
      </c>
      <c r="R221" s="7" t="s">
        <v>32</v>
      </c>
      <c r="S221" s="10" t="s">
        <v>32</v>
      </c>
      <c r="T221" s="11" t="s">
        <v>32</v>
      </c>
      <c r="U221" s="7" t="s">
        <v>32</v>
      </c>
      <c r="V221" s="9" t="s">
        <v>32</v>
      </c>
      <c r="W221" s="8" t="s">
        <v>32</v>
      </c>
      <c r="X221" s="7" t="s">
        <v>32</v>
      </c>
      <c r="Y221" s="9" t="s">
        <v>32</v>
      </c>
      <c r="Z221" s="8" t="s">
        <v>32</v>
      </c>
      <c r="AA221" s="7" t="s">
        <v>32</v>
      </c>
      <c r="AB221" s="10" t="s">
        <v>32</v>
      </c>
      <c r="AD221" s="11" t="s">
        <v>32</v>
      </c>
      <c r="AE221" s="7" t="s">
        <v>32</v>
      </c>
      <c r="AF221" s="9" t="s">
        <v>32</v>
      </c>
      <c r="AG221" s="8" t="s">
        <v>32</v>
      </c>
      <c r="AH221" s="7" t="s">
        <v>32</v>
      </c>
      <c r="AI221" s="9" t="s">
        <v>32</v>
      </c>
      <c r="AJ221" s="8" t="s">
        <v>32</v>
      </c>
      <c r="AK221" s="7" t="s">
        <v>32</v>
      </c>
      <c r="AL221" s="10" t="s">
        <v>32</v>
      </c>
      <c r="AM221" s="11" t="s">
        <v>32</v>
      </c>
      <c r="AN221" s="7" t="s">
        <v>32</v>
      </c>
      <c r="AO221" s="9" t="s">
        <v>32</v>
      </c>
      <c r="AP221" s="8" t="s">
        <v>32</v>
      </c>
      <c r="AQ221" s="7" t="s">
        <v>32</v>
      </c>
      <c r="AR221" s="205">
        <v>2</v>
      </c>
      <c r="AS221" s="8" t="s">
        <v>32</v>
      </c>
      <c r="AT221" s="7" t="s">
        <v>32</v>
      </c>
      <c r="AU221" s="10" t="s">
        <v>32</v>
      </c>
      <c r="AV221" s="11" t="s">
        <v>32</v>
      </c>
      <c r="AW221" s="7" t="s">
        <v>32</v>
      </c>
      <c r="AX221" s="9" t="s">
        <v>32</v>
      </c>
      <c r="AY221" s="8" t="s">
        <v>32</v>
      </c>
      <c r="AZ221" s="7" t="s">
        <v>32</v>
      </c>
      <c r="BA221" s="9" t="s">
        <v>32</v>
      </c>
      <c r="BB221" s="8" t="s">
        <v>32</v>
      </c>
      <c r="BC221" s="7" t="s">
        <v>32</v>
      </c>
      <c r="BD221" s="10" t="s">
        <v>32</v>
      </c>
      <c r="BG221" s="11" t="s">
        <v>32</v>
      </c>
      <c r="BH221" s="7" t="s">
        <v>32</v>
      </c>
      <c r="BI221" s="9" t="s">
        <v>32</v>
      </c>
      <c r="BJ221" s="8" t="s">
        <v>32</v>
      </c>
      <c r="BK221" s="7" t="s">
        <v>32</v>
      </c>
      <c r="BL221" s="9" t="s">
        <v>32</v>
      </c>
      <c r="BM221" s="8" t="s">
        <v>32</v>
      </c>
      <c r="BN221" s="7" t="s">
        <v>32</v>
      </c>
      <c r="BO221" s="10" t="s">
        <v>32</v>
      </c>
      <c r="BP221" s="11" t="s">
        <v>32</v>
      </c>
      <c r="BQ221" s="7" t="s">
        <v>32</v>
      </c>
      <c r="BR221" s="9" t="s">
        <v>32</v>
      </c>
      <c r="BS221" s="8" t="s">
        <v>32</v>
      </c>
      <c r="BT221" s="7" t="s">
        <v>32</v>
      </c>
      <c r="BU221" s="9" t="s">
        <v>32</v>
      </c>
      <c r="BV221" s="8" t="s">
        <v>32</v>
      </c>
      <c r="BW221" s="7" t="s">
        <v>32</v>
      </c>
      <c r="BX221" s="10" t="s">
        <v>32</v>
      </c>
      <c r="BY221" s="11" t="s">
        <v>32</v>
      </c>
      <c r="BZ221" s="7" t="s">
        <v>32</v>
      </c>
      <c r="CA221" s="9" t="s">
        <v>32</v>
      </c>
      <c r="CB221" s="8" t="s">
        <v>32</v>
      </c>
      <c r="CC221" s="7" t="s">
        <v>32</v>
      </c>
      <c r="CD221" s="9" t="s">
        <v>32</v>
      </c>
      <c r="CE221" s="8" t="s">
        <v>32</v>
      </c>
      <c r="CF221" s="7" t="s">
        <v>32</v>
      </c>
      <c r="CG221" s="10" t="s">
        <v>32</v>
      </c>
      <c r="CI221" s="11" t="s">
        <v>32</v>
      </c>
      <c r="CJ221" s="7" t="s">
        <v>32</v>
      </c>
      <c r="CK221" s="9" t="s">
        <v>32</v>
      </c>
      <c r="CL221" s="8" t="s">
        <v>32</v>
      </c>
      <c r="CM221" s="7" t="s">
        <v>32</v>
      </c>
      <c r="CN221" s="9" t="s">
        <v>32</v>
      </c>
      <c r="CO221" s="8" t="s">
        <v>32</v>
      </c>
      <c r="CP221" s="7" t="s">
        <v>32</v>
      </c>
      <c r="CQ221" s="10" t="s">
        <v>32</v>
      </c>
      <c r="CR221" s="11" t="s">
        <v>32</v>
      </c>
      <c r="CS221" s="7" t="s">
        <v>32</v>
      </c>
      <c r="CT221" s="9" t="s">
        <v>32</v>
      </c>
      <c r="CU221" s="8" t="s">
        <v>32</v>
      </c>
      <c r="CV221" s="7" t="s">
        <v>32</v>
      </c>
      <c r="CW221" s="9" t="s">
        <v>32</v>
      </c>
      <c r="CX221" s="8" t="s">
        <v>32</v>
      </c>
      <c r="CY221" s="7" t="s">
        <v>32</v>
      </c>
      <c r="CZ221" s="10" t="s">
        <v>32</v>
      </c>
      <c r="DA221" s="11" t="s">
        <v>32</v>
      </c>
      <c r="DB221" s="7" t="s">
        <v>32</v>
      </c>
      <c r="DC221" s="9" t="s">
        <v>32</v>
      </c>
      <c r="DD221" s="8" t="s">
        <v>32</v>
      </c>
      <c r="DE221" s="7" t="s">
        <v>32</v>
      </c>
      <c r="DF221" s="9" t="s">
        <v>32</v>
      </c>
      <c r="DG221" s="8" t="s">
        <v>32</v>
      </c>
      <c r="DH221" s="7" t="s">
        <v>32</v>
      </c>
      <c r="DI221" s="10" t="s">
        <v>32</v>
      </c>
    </row>
    <row r="222" spans="2:113" ht="15" customHeight="1">
      <c r="B222" s="12" t="s">
        <v>32</v>
      </c>
      <c r="C222" s="13" t="s">
        <v>32</v>
      </c>
      <c r="D222" s="15" t="s">
        <v>32</v>
      </c>
      <c r="E222" s="14" t="s">
        <v>32</v>
      </c>
      <c r="F222" s="13" t="s">
        <v>32</v>
      </c>
      <c r="G222" s="15" t="s">
        <v>32</v>
      </c>
      <c r="H222" s="14" t="s">
        <v>32</v>
      </c>
      <c r="I222" s="13" t="s">
        <v>32</v>
      </c>
      <c r="J222" s="1" t="s">
        <v>32</v>
      </c>
      <c r="K222" s="12" t="s">
        <v>32</v>
      </c>
      <c r="L222" s="13" t="s">
        <v>32</v>
      </c>
      <c r="M222" s="15" t="s">
        <v>32</v>
      </c>
      <c r="N222" s="14" t="s">
        <v>32</v>
      </c>
      <c r="O222" s="13">
        <v>0</v>
      </c>
      <c r="P222" s="15">
        <v>0</v>
      </c>
      <c r="Q222" s="14" t="s">
        <v>32</v>
      </c>
      <c r="R222" s="13" t="s">
        <v>32</v>
      </c>
      <c r="S222" s="1" t="s">
        <v>32</v>
      </c>
      <c r="T222" s="12" t="s">
        <v>32</v>
      </c>
      <c r="U222" s="13" t="s">
        <v>32</v>
      </c>
      <c r="V222" s="15" t="s">
        <v>32</v>
      </c>
      <c r="W222" s="14" t="s">
        <v>32</v>
      </c>
      <c r="X222" s="13" t="s">
        <v>32</v>
      </c>
      <c r="Y222" s="15" t="s">
        <v>32</v>
      </c>
      <c r="Z222" s="14" t="s">
        <v>32</v>
      </c>
      <c r="AA222" s="13" t="s">
        <v>32</v>
      </c>
      <c r="AB222" s="1" t="s">
        <v>32</v>
      </c>
      <c r="AD222" s="12" t="s">
        <v>32</v>
      </c>
      <c r="AE222" s="13" t="s">
        <v>32</v>
      </c>
      <c r="AF222" s="15" t="s">
        <v>32</v>
      </c>
      <c r="AG222" s="14" t="s">
        <v>32</v>
      </c>
      <c r="AH222" s="13" t="s">
        <v>32</v>
      </c>
      <c r="AI222" s="15" t="s">
        <v>32</v>
      </c>
      <c r="AJ222" s="14" t="s">
        <v>32</v>
      </c>
      <c r="AK222" s="13" t="s">
        <v>32</v>
      </c>
      <c r="AL222" s="1" t="s">
        <v>32</v>
      </c>
      <c r="AM222" s="12" t="s">
        <v>32</v>
      </c>
      <c r="AN222" s="13" t="s">
        <v>32</v>
      </c>
      <c r="AO222" s="15" t="s">
        <v>32</v>
      </c>
      <c r="AP222" s="14" t="s">
        <v>32</v>
      </c>
      <c r="AQ222" s="13">
        <v>4</v>
      </c>
      <c r="AR222" s="15">
        <v>1</v>
      </c>
      <c r="AS222" s="14" t="s">
        <v>32</v>
      </c>
      <c r="AT222" s="13" t="s">
        <v>32</v>
      </c>
      <c r="AU222" s="1" t="s">
        <v>32</v>
      </c>
      <c r="AV222" s="12" t="s">
        <v>32</v>
      </c>
      <c r="AW222" s="13" t="s">
        <v>32</v>
      </c>
      <c r="AX222" s="15" t="s">
        <v>32</v>
      </c>
      <c r="AY222" s="14" t="s">
        <v>32</v>
      </c>
      <c r="AZ222" s="13" t="s">
        <v>32</v>
      </c>
      <c r="BA222" s="15" t="s">
        <v>32</v>
      </c>
      <c r="BB222" s="14" t="s">
        <v>32</v>
      </c>
      <c r="BC222" s="13" t="s">
        <v>32</v>
      </c>
      <c r="BD222" s="1" t="s">
        <v>32</v>
      </c>
      <c r="BG222" s="12" t="s">
        <v>32</v>
      </c>
      <c r="BH222" s="13" t="s">
        <v>32</v>
      </c>
      <c r="BI222" s="15" t="s">
        <v>32</v>
      </c>
      <c r="BJ222" s="14" t="s">
        <v>32</v>
      </c>
      <c r="BK222" s="13" t="s">
        <v>32</v>
      </c>
      <c r="BL222" s="15" t="s">
        <v>32</v>
      </c>
      <c r="BM222" s="14" t="s">
        <v>32</v>
      </c>
      <c r="BN222" s="13" t="s">
        <v>32</v>
      </c>
      <c r="BO222" s="1" t="s">
        <v>32</v>
      </c>
      <c r="BP222" s="12" t="s">
        <v>32</v>
      </c>
      <c r="BQ222" s="13" t="s">
        <v>32</v>
      </c>
      <c r="BR222" s="15" t="s">
        <v>32</v>
      </c>
      <c r="BS222" s="14" t="s">
        <v>32</v>
      </c>
      <c r="BT222" s="13" t="s">
        <v>32</v>
      </c>
      <c r="BU222" s="15" t="s">
        <v>32</v>
      </c>
      <c r="BV222" s="14" t="s">
        <v>32</v>
      </c>
      <c r="BW222" s="13" t="s">
        <v>32</v>
      </c>
      <c r="BX222" s="1" t="s">
        <v>32</v>
      </c>
      <c r="BY222" s="12" t="s">
        <v>32</v>
      </c>
      <c r="BZ222" s="13" t="s">
        <v>32</v>
      </c>
      <c r="CA222" s="15" t="s">
        <v>32</v>
      </c>
      <c r="CB222" s="14" t="s">
        <v>32</v>
      </c>
      <c r="CC222" s="13" t="s">
        <v>32</v>
      </c>
      <c r="CD222" s="15" t="s">
        <v>32</v>
      </c>
      <c r="CE222" s="14" t="s">
        <v>32</v>
      </c>
      <c r="CF222" s="13" t="s">
        <v>32</v>
      </c>
      <c r="CG222" s="1" t="s">
        <v>32</v>
      </c>
      <c r="CI222" s="12" t="s">
        <v>32</v>
      </c>
      <c r="CJ222" s="13" t="s">
        <v>32</v>
      </c>
      <c r="CK222" s="15" t="s">
        <v>32</v>
      </c>
      <c r="CL222" s="14" t="s">
        <v>32</v>
      </c>
      <c r="CM222" s="13" t="s">
        <v>32</v>
      </c>
      <c r="CN222" s="15" t="s">
        <v>32</v>
      </c>
      <c r="CO222" s="14" t="s">
        <v>32</v>
      </c>
      <c r="CP222" s="13" t="s">
        <v>32</v>
      </c>
      <c r="CQ222" s="1" t="s">
        <v>32</v>
      </c>
      <c r="CR222" s="12" t="s">
        <v>32</v>
      </c>
      <c r="CS222" s="13" t="s">
        <v>32</v>
      </c>
      <c r="CT222" s="15" t="s">
        <v>32</v>
      </c>
      <c r="CU222" s="14" t="s">
        <v>32</v>
      </c>
      <c r="CV222" s="13" t="s">
        <v>32</v>
      </c>
      <c r="CW222" s="15" t="s">
        <v>32</v>
      </c>
      <c r="CX222" s="14" t="s">
        <v>32</v>
      </c>
      <c r="CY222" s="13" t="s">
        <v>32</v>
      </c>
      <c r="CZ222" s="1" t="s">
        <v>32</v>
      </c>
      <c r="DA222" s="12" t="s">
        <v>32</v>
      </c>
      <c r="DB222" s="13" t="s">
        <v>32</v>
      </c>
      <c r="DC222" s="15" t="s">
        <v>32</v>
      </c>
      <c r="DD222" s="14" t="s">
        <v>32</v>
      </c>
      <c r="DE222" s="13" t="s">
        <v>32</v>
      </c>
      <c r="DF222" s="15" t="s">
        <v>32</v>
      </c>
      <c r="DG222" s="14" t="s">
        <v>32</v>
      </c>
      <c r="DH222" s="13" t="s">
        <v>32</v>
      </c>
      <c r="DI222" s="1" t="s">
        <v>32</v>
      </c>
    </row>
    <row r="223" spans="2:113" ht="15" customHeight="1">
      <c r="B223" s="16" t="s">
        <v>32</v>
      </c>
      <c r="C223" s="17" t="s">
        <v>32</v>
      </c>
      <c r="D223" s="18" t="s">
        <v>32</v>
      </c>
      <c r="E223" s="19" t="s">
        <v>32</v>
      </c>
      <c r="F223" s="17" t="s">
        <v>32</v>
      </c>
      <c r="G223" s="18" t="s">
        <v>32</v>
      </c>
      <c r="H223" s="19" t="s">
        <v>32</v>
      </c>
      <c r="I223" s="17" t="s">
        <v>32</v>
      </c>
      <c r="J223" s="20" t="s">
        <v>32</v>
      </c>
      <c r="K223" s="16" t="s">
        <v>32</v>
      </c>
      <c r="L223" s="17" t="s">
        <v>32</v>
      </c>
      <c r="M223" s="18" t="s">
        <v>32</v>
      </c>
      <c r="N223" s="19" t="s">
        <v>32</v>
      </c>
      <c r="O223" s="211">
        <v>6</v>
      </c>
      <c r="P223" s="18" t="s">
        <v>32</v>
      </c>
      <c r="Q223" s="19" t="s">
        <v>32</v>
      </c>
      <c r="R223" s="17" t="s">
        <v>32</v>
      </c>
      <c r="S223" s="20" t="s">
        <v>32</v>
      </c>
      <c r="T223" s="16" t="s">
        <v>32</v>
      </c>
      <c r="U223" s="17" t="s">
        <v>32</v>
      </c>
      <c r="V223" s="18" t="s">
        <v>32</v>
      </c>
      <c r="W223" s="19" t="s">
        <v>32</v>
      </c>
      <c r="X223" s="17" t="s">
        <v>32</v>
      </c>
      <c r="Y223" s="18" t="s">
        <v>32</v>
      </c>
      <c r="Z223" s="19" t="s">
        <v>32</v>
      </c>
      <c r="AA223" s="17" t="s">
        <v>32</v>
      </c>
      <c r="AB223" s="20" t="s">
        <v>32</v>
      </c>
      <c r="AD223" s="16" t="s">
        <v>32</v>
      </c>
      <c r="AE223" s="17" t="s">
        <v>32</v>
      </c>
      <c r="AF223" s="18" t="s">
        <v>32</v>
      </c>
      <c r="AG223" s="19" t="s">
        <v>32</v>
      </c>
      <c r="AH223" s="17" t="s">
        <v>32</v>
      </c>
      <c r="AI223" s="18" t="s">
        <v>32</v>
      </c>
      <c r="AJ223" s="19" t="s">
        <v>32</v>
      </c>
      <c r="AK223" s="17" t="s">
        <v>32</v>
      </c>
      <c r="AL223" s="20" t="s">
        <v>32</v>
      </c>
      <c r="AM223" s="16" t="s">
        <v>32</v>
      </c>
      <c r="AN223" s="17" t="s">
        <v>32</v>
      </c>
      <c r="AO223" s="18" t="s">
        <v>32</v>
      </c>
      <c r="AP223" s="19" t="s">
        <v>32</v>
      </c>
      <c r="AQ223" s="211">
        <v>6</v>
      </c>
      <c r="AR223" s="18" t="s">
        <v>32</v>
      </c>
      <c r="AS223" s="19" t="s">
        <v>32</v>
      </c>
      <c r="AT223" s="17" t="s">
        <v>32</v>
      </c>
      <c r="AU223" s="20" t="s">
        <v>32</v>
      </c>
      <c r="AV223" s="16" t="s">
        <v>32</v>
      </c>
      <c r="AW223" s="17" t="s">
        <v>32</v>
      </c>
      <c r="AX223" s="18" t="s">
        <v>32</v>
      </c>
      <c r="AY223" s="19" t="s">
        <v>32</v>
      </c>
      <c r="AZ223" s="17" t="s">
        <v>32</v>
      </c>
      <c r="BA223" s="18" t="s">
        <v>32</v>
      </c>
      <c r="BB223" s="19" t="s">
        <v>32</v>
      </c>
      <c r="BC223" s="17" t="s">
        <v>32</v>
      </c>
      <c r="BD223" s="20" t="s">
        <v>32</v>
      </c>
      <c r="BG223" s="16" t="s">
        <v>32</v>
      </c>
      <c r="BH223" s="17" t="s">
        <v>32</v>
      </c>
      <c r="BI223" s="18" t="s">
        <v>32</v>
      </c>
      <c r="BJ223" s="19" t="s">
        <v>32</v>
      </c>
      <c r="BK223" s="17" t="s">
        <v>32</v>
      </c>
      <c r="BL223" s="18" t="s">
        <v>32</v>
      </c>
      <c r="BM223" s="19" t="s">
        <v>32</v>
      </c>
      <c r="BN223" s="17" t="s">
        <v>32</v>
      </c>
      <c r="BO223" s="20" t="s">
        <v>32</v>
      </c>
      <c r="BP223" s="16" t="s">
        <v>32</v>
      </c>
      <c r="BQ223" s="17" t="s">
        <v>32</v>
      </c>
      <c r="BR223" s="18" t="s">
        <v>32</v>
      </c>
      <c r="BS223" s="19" t="s">
        <v>32</v>
      </c>
      <c r="BT223" s="17" t="s">
        <v>32</v>
      </c>
      <c r="BU223" s="18" t="s">
        <v>32</v>
      </c>
      <c r="BV223" s="19" t="s">
        <v>32</v>
      </c>
      <c r="BW223" s="17" t="s">
        <v>32</v>
      </c>
      <c r="BX223" s="20" t="s">
        <v>32</v>
      </c>
      <c r="BY223" s="16" t="s">
        <v>32</v>
      </c>
      <c r="BZ223" s="17" t="s">
        <v>32</v>
      </c>
      <c r="CA223" s="18" t="s">
        <v>32</v>
      </c>
      <c r="CB223" s="19" t="s">
        <v>32</v>
      </c>
      <c r="CC223" s="17" t="s">
        <v>32</v>
      </c>
      <c r="CD223" s="18" t="s">
        <v>32</v>
      </c>
      <c r="CE223" s="19" t="s">
        <v>32</v>
      </c>
      <c r="CF223" s="17" t="s">
        <v>32</v>
      </c>
      <c r="CG223" s="20" t="s">
        <v>32</v>
      </c>
      <c r="CI223" s="16" t="s">
        <v>32</v>
      </c>
      <c r="CJ223" s="17" t="s">
        <v>32</v>
      </c>
      <c r="CK223" s="18" t="s">
        <v>32</v>
      </c>
      <c r="CL223" s="19" t="s">
        <v>32</v>
      </c>
      <c r="CM223" s="17" t="s">
        <v>32</v>
      </c>
      <c r="CN223" s="18" t="s">
        <v>32</v>
      </c>
      <c r="CO223" s="19" t="s">
        <v>32</v>
      </c>
      <c r="CP223" s="17" t="s">
        <v>32</v>
      </c>
      <c r="CQ223" s="20" t="s">
        <v>32</v>
      </c>
      <c r="CR223" s="16" t="s">
        <v>32</v>
      </c>
      <c r="CS223" s="17" t="s">
        <v>32</v>
      </c>
      <c r="CT223" s="18" t="s">
        <v>32</v>
      </c>
      <c r="CU223" s="19" t="s">
        <v>32</v>
      </c>
      <c r="CV223" s="17" t="s">
        <v>32</v>
      </c>
      <c r="CW223" s="18" t="s">
        <v>32</v>
      </c>
      <c r="CX223" s="19" t="s">
        <v>32</v>
      </c>
      <c r="CY223" s="17" t="s">
        <v>32</v>
      </c>
      <c r="CZ223" s="20" t="s">
        <v>32</v>
      </c>
      <c r="DA223" s="16" t="s">
        <v>32</v>
      </c>
      <c r="DB223" s="17" t="s">
        <v>32</v>
      </c>
      <c r="DC223" s="18" t="s">
        <v>32</v>
      </c>
      <c r="DD223" s="19" t="s">
        <v>32</v>
      </c>
      <c r="DE223" s="17" t="s">
        <v>32</v>
      </c>
      <c r="DF223" s="18" t="s">
        <v>32</v>
      </c>
      <c r="DG223" s="19" t="s">
        <v>32</v>
      </c>
      <c r="DH223" s="17" t="s">
        <v>32</v>
      </c>
      <c r="DI223" s="20" t="s">
        <v>32</v>
      </c>
    </row>
    <row r="224" spans="2:113" ht="15" customHeight="1">
      <c r="B224" s="11" t="s">
        <v>32</v>
      </c>
      <c r="C224" s="7" t="s">
        <v>32</v>
      </c>
      <c r="D224" s="9" t="s">
        <v>32</v>
      </c>
      <c r="E224" s="8" t="s">
        <v>32</v>
      </c>
      <c r="F224" s="7" t="s">
        <v>32</v>
      </c>
      <c r="G224" s="9" t="s">
        <v>32</v>
      </c>
      <c r="H224" s="8" t="s">
        <v>32</v>
      </c>
      <c r="I224" s="7" t="s">
        <v>32</v>
      </c>
      <c r="J224" s="10" t="s">
        <v>32</v>
      </c>
      <c r="K224" s="11" t="s">
        <v>32</v>
      </c>
      <c r="L224" s="7" t="s">
        <v>32</v>
      </c>
      <c r="M224" s="9" t="s">
        <v>32</v>
      </c>
      <c r="N224" s="206">
        <v>9</v>
      </c>
      <c r="O224" s="204">
        <v>8</v>
      </c>
      <c r="P224" s="9" t="s">
        <v>32</v>
      </c>
      <c r="Q224" s="8" t="s">
        <v>32</v>
      </c>
      <c r="R224" s="7" t="s">
        <v>32</v>
      </c>
      <c r="S224" s="10" t="s">
        <v>32</v>
      </c>
      <c r="T224" s="11" t="s">
        <v>32</v>
      </c>
      <c r="U224" s="7" t="s">
        <v>32</v>
      </c>
      <c r="V224" s="9" t="s">
        <v>32</v>
      </c>
      <c r="W224" s="8" t="s">
        <v>32</v>
      </c>
      <c r="X224" s="7" t="s">
        <v>32</v>
      </c>
      <c r="Y224" s="9" t="s">
        <v>32</v>
      </c>
      <c r="Z224" s="8" t="s">
        <v>32</v>
      </c>
      <c r="AA224" s="7" t="s">
        <v>32</v>
      </c>
      <c r="AB224" s="10" t="s">
        <v>32</v>
      </c>
      <c r="AD224" s="11" t="s">
        <v>32</v>
      </c>
      <c r="AE224" s="7" t="s">
        <v>32</v>
      </c>
      <c r="AF224" s="9" t="s">
        <v>32</v>
      </c>
      <c r="AG224" s="8" t="s">
        <v>32</v>
      </c>
      <c r="AH224" s="7" t="s">
        <v>32</v>
      </c>
      <c r="AI224" s="9" t="s">
        <v>32</v>
      </c>
      <c r="AJ224" s="8" t="s">
        <v>32</v>
      </c>
      <c r="AK224" s="7" t="s">
        <v>32</v>
      </c>
      <c r="AL224" s="10" t="s">
        <v>32</v>
      </c>
      <c r="AM224" s="11" t="s">
        <v>32</v>
      </c>
      <c r="AN224" s="7" t="s">
        <v>32</v>
      </c>
      <c r="AO224" s="9" t="s">
        <v>32</v>
      </c>
      <c r="AP224" s="206">
        <v>9</v>
      </c>
      <c r="AQ224" s="204">
        <v>8</v>
      </c>
      <c r="AR224" s="9" t="s">
        <v>32</v>
      </c>
      <c r="AS224" s="8" t="s">
        <v>32</v>
      </c>
      <c r="AT224" s="7" t="s">
        <v>32</v>
      </c>
      <c r="AU224" s="10" t="s">
        <v>32</v>
      </c>
      <c r="AV224" s="11" t="s">
        <v>32</v>
      </c>
      <c r="AW224" s="7" t="s">
        <v>32</v>
      </c>
      <c r="AX224" s="9" t="s">
        <v>32</v>
      </c>
      <c r="AY224" s="8" t="s">
        <v>32</v>
      </c>
      <c r="AZ224" s="7" t="s">
        <v>32</v>
      </c>
      <c r="BA224" s="9" t="s">
        <v>32</v>
      </c>
      <c r="BB224" s="8" t="s">
        <v>32</v>
      </c>
      <c r="BC224" s="7" t="s">
        <v>32</v>
      </c>
      <c r="BD224" s="10" t="s">
        <v>32</v>
      </c>
      <c r="BG224" s="11" t="s">
        <v>32</v>
      </c>
      <c r="BH224" s="7" t="s">
        <v>32</v>
      </c>
      <c r="BI224" s="9" t="s">
        <v>32</v>
      </c>
      <c r="BJ224" s="8" t="s">
        <v>32</v>
      </c>
      <c r="BK224" s="7" t="s">
        <v>32</v>
      </c>
      <c r="BL224" s="9" t="s">
        <v>32</v>
      </c>
      <c r="BM224" s="8" t="s">
        <v>32</v>
      </c>
      <c r="BN224" s="7" t="s">
        <v>32</v>
      </c>
      <c r="BO224" s="10" t="s">
        <v>32</v>
      </c>
      <c r="BP224" s="11" t="s">
        <v>32</v>
      </c>
      <c r="BQ224" s="7" t="s">
        <v>32</v>
      </c>
      <c r="BR224" s="9" t="s">
        <v>32</v>
      </c>
      <c r="BS224" s="8" t="s">
        <v>32</v>
      </c>
      <c r="BT224" s="7" t="s">
        <v>32</v>
      </c>
      <c r="BU224" s="9" t="s">
        <v>32</v>
      </c>
      <c r="BV224" s="8" t="s">
        <v>32</v>
      </c>
      <c r="BW224" s="7" t="s">
        <v>32</v>
      </c>
      <c r="BX224" s="10" t="s">
        <v>32</v>
      </c>
      <c r="BY224" s="11" t="s">
        <v>32</v>
      </c>
      <c r="BZ224" s="7" t="s">
        <v>32</v>
      </c>
      <c r="CA224" s="9" t="s">
        <v>32</v>
      </c>
      <c r="CB224" s="8" t="s">
        <v>32</v>
      </c>
      <c r="CC224" s="7" t="s">
        <v>32</v>
      </c>
      <c r="CD224" s="9" t="s">
        <v>32</v>
      </c>
      <c r="CE224" s="8">
        <v>0</v>
      </c>
      <c r="CF224" s="7" t="s">
        <v>32</v>
      </c>
      <c r="CG224" s="10">
        <v>0</v>
      </c>
      <c r="CI224" s="11" t="s">
        <v>32</v>
      </c>
      <c r="CJ224" s="7" t="s">
        <v>32</v>
      </c>
      <c r="CK224" s="9" t="s">
        <v>32</v>
      </c>
      <c r="CL224" s="8" t="s">
        <v>32</v>
      </c>
      <c r="CM224" s="7" t="s">
        <v>32</v>
      </c>
      <c r="CN224" s="9" t="s">
        <v>32</v>
      </c>
      <c r="CO224" s="8" t="s">
        <v>32</v>
      </c>
      <c r="CP224" s="7" t="s">
        <v>32</v>
      </c>
      <c r="CQ224" s="10" t="s">
        <v>32</v>
      </c>
      <c r="CR224" s="11" t="s">
        <v>32</v>
      </c>
      <c r="CS224" s="7" t="s">
        <v>32</v>
      </c>
      <c r="CT224" s="9" t="s">
        <v>32</v>
      </c>
      <c r="CU224" s="8" t="s">
        <v>32</v>
      </c>
      <c r="CV224" s="7" t="s">
        <v>32</v>
      </c>
      <c r="CW224" s="9" t="s">
        <v>32</v>
      </c>
      <c r="CX224" s="8" t="s">
        <v>32</v>
      </c>
      <c r="CY224" s="7" t="s">
        <v>32</v>
      </c>
      <c r="CZ224" s="10" t="s">
        <v>32</v>
      </c>
      <c r="DA224" s="11" t="s">
        <v>32</v>
      </c>
      <c r="DB224" s="7" t="s">
        <v>32</v>
      </c>
      <c r="DC224" s="9" t="s">
        <v>32</v>
      </c>
      <c r="DD224" s="8" t="s">
        <v>32</v>
      </c>
      <c r="DE224" s="7" t="s">
        <v>32</v>
      </c>
      <c r="DF224" s="9" t="s">
        <v>32</v>
      </c>
      <c r="DG224" s="8">
        <v>6</v>
      </c>
      <c r="DH224" s="7" t="s">
        <v>32</v>
      </c>
      <c r="DI224" s="10">
        <v>3</v>
      </c>
    </row>
    <row r="225" spans="2:114" ht="15" customHeight="1">
      <c r="B225" s="12" t="s">
        <v>32</v>
      </c>
      <c r="C225" s="13" t="s">
        <v>32</v>
      </c>
      <c r="D225" s="15">
        <v>0</v>
      </c>
      <c r="E225" s="14">
        <v>0</v>
      </c>
      <c r="F225" s="13" t="s">
        <v>32</v>
      </c>
      <c r="G225" s="15" t="s">
        <v>32</v>
      </c>
      <c r="H225" s="14" t="s">
        <v>32</v>
      </c>
      <c r="I225" s="13" t="s">
        <v>32</v>
      </c>
      <c r="J225" s="1" t="s">
        <v>32</v>
      </c>
      <c r="K225" s="12" t="s">
        <v>32</v>
      </c>
      <c r="L225" s="13" t="s">
        <v>32</v>
      </c>
      <c r="M225" s="15" t="s">
        <v>32</v>
      </c>
      <c r="N225" s="14" t="s">
        <v>32</v>
      </c>
      <c r="O225" s="212">
        <v>5</v>
      </c>
      <c r="P225" s="15" t="s">
        <v>32</v>
      </c>
      <c r="Q225" s="14" t="s">
        <v>32</v>
      </c>
      <c r="R225" s="13" t="s">
        <v>32</v>
      </c>
      <c r="S225" s="1" t="s">
        <v>32</v>
      </c>
      <c r="T225" s="12" t="s">
        <v>32</v>
      </c>
      <c r="U225" s="13" t="s">
        <v>32</v>
      </c>
      <c r="V225" s="15" t="s">
        <v>32</v>
      </c>
      <c r="W225" s="14" t="s">
        <v>32</v>
      </c>
      <c r="X225" s="13" t="s">
        <v>32</v>
      </c>
      <c r="Y225" s="15" t="s">
        <v>32</v>
      </c>
      <c r="Z225" s="14" t="s">
        <v>32</v>
      </c>
      <c r="AA225" s="13" t="s">
        <v>32</v>
      </c>
      <c r="AB225" s="1" t="s">
        <v>32</v>
      </c>
      <c r="AD225" s="12" t="s">
        <v>32</v>
      </c>
      <c r="AE225" s="13" t="s">
        <v>32</v>
      </c>
      <c r="AF225" s="15">
        <v>2</v>
      </c>
      <c r="AG225" s="14">
        <v>8</v>
      </c>
      <c r="AH225" s="13" t="s">
        <v>32</v>
      </c>
      <c r="AI225" s="15" t="s">
        <v>32</v>
      </c>
      <c r="AJ225" s="14" t="s">
        <v>32</v>
      </c>
      <c r="AK225" s="13" t="s">
        <v>32</v>
      </c>
      <c r="AL225" s="1" t="s">
        <v>32</v>
      </c>
      <c r="AM225" s="12" t="s">
        <v>32</v>
      </c>
      <c r="AN225" s="13" t="s">
        <v>32</v>
      </c>
      <c r="AO225" s="15" t="s">
        <v>32</v>
      </c>
      <c r="AP225" s="14" t="s">
        <v>32</v>
      </c>
      <c r="AQ225" s="212">
        <v>5</v>
      </c>
      <c r="AR225" s="15" t="s">
        <v>32</v>
      </c>
      <c r="AS225" s="14" t="s">
        <v>32</v>
      </c>
      <c r="AT225" s="13" t="s">
        <v>32</v>
      </c>
      <c r="AU225" s="1" t="s">
        <v>32</v>
      </c>
      <c r="AV225" s="12" t="s">
        <v>32</v>
      </c>
      <c r="AW225" s="13" t="s">
        <v>32</v>
      </c>
      <c r="AX225" s="15" t="s">
        <v>32</v>
      </c>
      <c r="AY225" s="14" t="s">
        <v>32</v>
      </c>
      <c r="AZ225" s="13" t="s">
        <v>32</v>
      </c>
      <c r="BA225" s="15" t="s">
        <v>32</v>
      </c>
      <c r="BB225" s="14" t="s">
        <v>32</v>
      </c>
      <c r="BC225" s="13" t="s">
        <v>32</v>
      </c>
      <c r="BD225" s="1" t="s">
        <v>32</v>
      </c>
      <c r="BG225" s="12" t="s">
        <v>32</v>
      </c>
      <c r="BH225" s="13" t="s">
        <v>32</v>
      </c>
      <c r="BI225" s="15" t="s">
        <v>32</v>
      </c>
      <c r="BJ225" s="14" t="s">
        <v>32</v>
      </c>
      <c r="BK225" s="13" t="s">
        <v>32</v>
      </c>
      <c r="BL225" s="15" t="s">
        <v>32</v>
      </c>
      <c r="BM225" s="14" t="s">
        <v>32</v>
      </c>
      <c r="BN225" s="13" t="s">
        <v>32</v>
      </c>
      <c r="BO225" s="1" t="s">
        <v>32</v>
      </c>
      <c r="BP225" s="12" t="s">
        <v>32</v>
      </c>
      <c r="BQ225" s="13" t="s">
        <v>32</v>
      </c>
      <c r="BR225" s="15" t="s">
        <v>32</v>
      </c>
      <c r="BS225" s="14" t="s">
        <v>32</v>
      </c>
      <c r="BT225" s="13" t="s">
        <v>32</v>
      </c>
      <c r="BU225" s="15" t="s">
        <v>32</v>
      </c>
      <c r="BV225" s="14" t="s">
        <v>32</v>
      </c>
      <c r="BW225" s="13" t="s">
        <v>32</v>
      </c>
      <c r="BX225" s="1" t="s">
        <v>32</v>
      </c>
      <c r="BY225" s="12" t="s">
        <v>32</v>
      </c>
      <c r="BZ225" s="13" t="s">
        <v>32</v>
      </c>
      <c r="CA225" s="15" t="s">
        <v>32</v>
      </c>
      <c r="CB225" s="14" t="s">
        <v>32</v>
      </c>
      <c r="CC225" s="13" t="s">
        <v>32</v>
      </c>
      <c r="CD225" s="15" t="s">
        <v>32</v>
      </c>
      <c r="CE225" s="14" t="s">
        <v>32</v>
      </c>
      <c r="CF225" s="212">
        <v>5</v>
      </c>
      <c r="CG225" s="1">
        <v>0</v>
      </c>
      <c r="CI225" s="12" t="s">
        <v>32</v>
      </c>
      <c r="CJ225" s="13" t="s">
        <v>32</v>
      </c>
      <c r="CK225" s="15" t="s">
        <v>32</v>
      </c>
      <c r="CL225" s="14" t="s">
        <v>32</v>
      </c>
      <c r="CM225" s="13" t="s">
        <v>32</v>
      </c>
      <c r="CN225" s="15" t="s">
        <v>32</v>
      </c>
      <c r="CO225" s="14" t="s">
        <v>32</v>
      </c>
      <c r="CP225" s="13" t="s">
        <v>32</v>
      </c>
      <c r="CQ225" s="1" t="s">
        <v>32</v>
      </c>
      <c r="CR225" s="12" t="s">
        <v>32</v>
      </c>
      <c r="CS225" s="13" t="s">
        <v>32</v>
      </c>
      <c r="CT225" s="15" t="s">
        <v>32</v>
      </c>
      <c r="CU225" s="14" t="s">
        <v>32</v>
      </c>
      <c r="CV225" s="13" t="s">
        <v>32</v>
      </c>
      <c r="CW225" s="15" t="s">
        <v>32</v>
      </c>
      <c r="CX225" s="14" t="s">
        <v>32</v>
      </c>
      <c r="CY225" s="13" t="s">
        <v>32</v>
      </c>
      <c r="CZ225" s="1" t="s">
        <v>32</v>
      </c>
      <c r="DA225" s="12" t="s">
        <v>32</v>
      </c>
      <c r="DB225" s="13" t="s">
        <v>32</v>
      </c>
      <c r="DC225" s="15" t="s">
        <v>32</v>
      </c>
      <c r="DD225" s="14" t="s">
        <v>32</v>
      </c>
      <c r="DE225" s="13" t="s">
        <v>32</v>
      </c>
      <c r="DF225" s="15" t="s">
        <v>32</v>
      </c>
      <c r="DG225" s="14" t="s">
        <v>32</v>
      </c>
      <c r="DH225" s="212">
        <v>5</v>
      </c>
      <c r="DI225" s="1">
        <v>2</v>
      </c>
    </row>
    <row r="226" spans="2:114" ht="15" customHeight="1">
      <c r="B226" s="16" t="s">
        <v>32</v>
      </c>
      <c r="C226" s="17">
        <v>0</v>
      </c>
      <c r="D226" s="18">
        <v>0</v>
      </c>
      <c r="E226" s="19">
        <v>0</v>
      </c>
      <c r="F226" s="17" t="s">
        <v>32</v>
      </c>
      <c r="G226" s="18" t="s">
        <v>32</v>
      </c>
      <c r="H226" s="19" t="s">
        <v>32</v>
      </c>
      <c r="I226" s="17" t="s">
        <v>32</v>
      </c>
      <c r="J226" s="20" t="s">
        <v>32</v>
      </c>
      <c r="K226" s="16" t="s">
        <v>32</v>
      </c>
      <c r="L226" s="17" t="s">
        <v>32</v>
      </c>
      <c r="M226" s="18" t="s">
        <v>32</v>
      </c>
      <c r="N226" s="19" t="s">
        <v>32</v>
      </c>
      <c r="O226" s="17" t="s">
        <v>32</v>
      </c>
      <c r="P226" s="18">
        <v>0</v>
      </c>
      <c r="Q226" s="19" t="s">
        <v>32</v>
      </c>
      <c r="R226" s="17" t="s">
        <v>32</v>
      </c>
      <c r="S226" s="20" t="s">
        <v>32</v>
      </c>
      <c r="T226" s="16" t="s">
        <v>32</v>
      </c>
      <c r="U226" s="17" t="s">
        <v>32</v>
      </c>
      <c r="V226" s="18" t="s">
        <v>32</v>
      </c>
      <c r="W226" s="19" t="s">
        <v>32</v>
      </c>
      <c r="X226" s="17" t="s">
        <v>32</v>
      </c>
      <c r="Y226" s="18" t="s">
        <v>32</v>
      </c>
      <c r="Z226" s="19" t="s">
        <v>32</v>
      </c>
      <c r="AA226" s="17" t="s">
        <v>32</v>
      </c>
      <c r="AB226" s="20" t="s">
        <v>32</v>
      </c>
      <c r="AD226" s="16" t="s">
        <v>32</v>
      </c>
      <c r="AE226" s="17">
        <v>7</v>
      </c>
      <c r="AF226" s="18">
        <v>5</v>
      </c>
      <c r="AG226" s="19">
        <v>6</v>
      </c>
      <c r="AH226" s="17" t="s">
        <v>32</v>
      </c>
      <c r="AI226" s="18" t="s">
        <v>32</v>
      </c>
      <c r="AJ226" s="19" t="s">
        <v>32</v>
      </c>
      <c r="AK226" s="17" t="s">
        <v>32</v>
      </c>
      <c r="AL226" s="20" t="s">
        <v>32</v>
      </c>
      <c r="AM226" s="16" t="s">
        <v>32</v>
      </c>
      <c r="AN226" s="17" t="s">
        <v>32</v>
      </c>
      <c r="AO226" s="18" t="s">
        <v>32</v>
      </c>
      <c r="AP226" s="19" t="s">
        <v>32</v>
      </c>
      <c r="AQ226" s="17" t="s">
        <v>32</v>
      </c>
      <c r="AR226" s="18">
        <v>3</v>
      </c>
      <c r="AS226" s="19" t="s">
        <v>32</v>
      </c>
      <c r="AT226" s="17" t="s">
        <v>32</v>
      </c>
      <c r="AU226" s="20" t="s">
        <v>32</v>
      </c>
      <c r="AV226" s="16" t="s">
        <v>32</v>
      </c>
      <c r="AW226" s="17" t="s">
        <v>32</v>
      </c>
      <c r="AX226" s="18" t="s">
        <v>32</v>
      </c>
      <c r="AY226" s="19" t="s">
        <v>32</v>
      </c>
      <c r="AZ226" s="17" t="s">
        <v>32</v>
      </c>
      <c r="BA226" s="18" t="s">
        <v>32</v>
      </c>
      <c r="BB226" s="19" t="s">
        <v>32</v>
      </c>
      <c r="BC226" s="17" t="s">
        <v>32</v>
      </c>
      <c r="BD226" s="20" t="s">
        <v>32</v>
      </c>
      <c r="BG226" s="16" t="s">
        <v>32</v>
      </c>
      <c r="BH226" s="211">
        <v>1</v>
      </c>
      <c r="BI226" s="18">
        <v>0</v>
      </c>
      <c r="BJ226" s="19" t="s">
        <v>32</v>
      </c>
      <c r="BK226" s="17" t="s">
        <v>32</v>
      </c>
      <c r="BL226" s="18" t="s">
        <v>32</v>
      </c>
      <c r="BM226" s="19" t="s">
        <v>32</v>
      </c>
      <c r="BN226" s="17" t="s">
        <v>32</v>
      </c>
      <c r="BO226" s="20" t="s">
        <v>32</v>
      </c>
      <c r="BP226" s="16" t="s">
        <v>32</v>
      </c>
      <c r="BQ226" s="17" t="s">
        <v>32</v>
      </c>
      <c r="BR226" s="18" t="s">
        <v>32</v>
      </c>
      <c r="BS226" s="19">
        <v>0</v>
      </c>
      <c r="BT226" s="17" t="s">
        <v>32</v>
      </c>
      <c r="BU226" s="18">
        <v>0</v>
      </c>
      <c r="BV226" s="19">
        <v>0</v>
      </c>
      <c r="BW226" s="17" t="s">
        <v>32</v>
      </c>
      <c r="BX226" s="20" t="s">
        <v>32</v>
      </c>
      <c r="BY226" s="16" t="s">
        <v>32</v>
      </c>
      <c r="BZ226" s="17" t="s">
        <v>32</v>
      </c>
      <c r="CA226" s="18" t="s">
        <v>32</v>
      </c>
      <c r="CB226" s="19" t="s">
        <v>32</v>
      </c>
      <c r="CC226" s="17" t="s">
        <v>32</v>
      </c>
      <c r="CD226" s="18" t="s">
        <v>32</v>
      </c>
      <c r="CE226" s="19" t="s">
        <v>32</v>
      </c>
      <c r="CF226" s="211">
        <v>8</v>
      </c>
      <c r="CG226" s="427">
        <v>7</v>
      </c>
      <c r="CI226" s="16" t="s">
        <v>32</v>
      </c>
      <c r="CJ226" s="211">
        <v>1</v>
      </c>
      <c r="CK226" s="18">
        <v>4</v>
      </c>
      <c r="CL226" s="19" t="s">
        <v>32</v>
      </c>
      <c r="CM226" s="17" t="s">
        <v>32</v>
      </c>
      <c r="CN226" s="18" t="s">
        <v>32</v>
      </c>
      <c r="CO226" s="19" t="s">
        <v>32</v>
      </c>
      <c r="CP226" s="17" t="s">
        <v>32</v>
      </c>
      <c r="CQ226" s="20" t="s">
        <v>32</v>
      </c>
      <c r="CR226" s="16" t="s">
        <v>32</v>
      </c>
      <c r="CS226" s="17" t="s">
        <v>32</v>
      </c>
      <c r="CT226" s="18" t="s">
        <v>32</v>
      </c>
      <c r="CU226" s="19">
        <v>9</v>
      </c>
      <c r="CV226" s="17" t="s">
        <v>32</v>
      </c>
      <c r="CW226" s="18">
        <v>6</v>
      </c>
      <c r="CX226" s="19">
        <v>3</v>
      </c>
      <c r="CY226" s="17" t="s">
        <v>32</v>
      </c>
      <c r="CZ226" s="20" t="s">
        <v>32</v>
      </c>
      <c r="DA226" s="16" t="s">
        <v>32</v>
      </c>
      <c r="DB226" s="17" t="s">
        <v>32</v>
      </c>
      <c r="DC226" s="18" t="s">
        <v>32</v>
      </c>
      <c r="DD226" s="19" t="s">
        <v>32</v>
      </c>
      <c r="DE226" s="17" t="s">
        <v>32</v>
      </c>
      <c r="DF226" s="18" t="s">
        <v>32</v>
      </c>
      <c r="DG226" s="19" t="s">
        <v>32</v>
      </c>
      <c r="DH226" s="211">
        <v>8</v>
      </c>
      <c r="DI226" s="427">
        <v>7</v>
      </c>
    </row>
    <row r="227" spans="2:114" ht="15" customHeight="1">
      <c r="B227" s="11" t="s">
        <v>32</v>
      </c>
      <c r="C227" s="7">
        <v>0</v>
      </c>
      <c r="D227" s="205">
        <v>9</v>
      </c>
      <c r="E227" s="206">
        <v>3</v>
      </c>
      <c r="F227" s="7" t="s">
        <v>32</v>
      </c>
      <c r="G227" s="9" t="s">
        <v>32</v>
      </c>
      <c r="H227" s="8" t="s">
        <v>32</v>
      </c>
      <c r="I227" s="7" t="s">
        <v>32</v>
      </c>
      <c r="J227" s="10" t="s">
        <v>32</v>
      </c>
      <c r="K227" s="11" t="s">
        <v>32</v>
      </c>
      <c r="L227" s="7" t="s">
        <v>32</v>
      </c>
      <c r="M227" s="9" t="s">
        <v>32</v>
      </c>
      <c r="N227" s="8" t="s">
        <v>32</v>
      </c>
      <c r="O227" s="7">
        <v>0</v>
      </c>
      <c r="P227" s="9" t="s">
        <v>32</v>
      </c>
      <c r="Q227" s="8" t="s">
        <v>32</v>
      </c>
      <c r="R227" s="7" t="s">
        <v>32</v>
      </c>
      <c r="S227" s="10" t="s">
        <v>32</v>
      </c>
      <c r="T227" s="11" t="s">
        <v>32</v>
      </c>
      <c r="U227" s="7" t="s">
        <v>32</v>
      </c>
      <c r="V227" s="9" t="s">
        <v>32</v>
      </c>
      <c r="W227" s="8" t="s">
        <v>32</v>
      </c>
      <c r="X227" s="7" t="s">
        <v>32</v>
      </c>
      <c r="Y227" s="205">
        <v>4</v>
      </c>
      <c r="Z227" s="206">
        <v>6</v>
      </c>
      <c r="AA227" s="7" t="s">
        <v>32</v>
      </c>
      <c r="AB227" s="10">
        <v>0</v>
      </c>
      <c r="AD227" s="11" t="s">
        <v>32</v>
      </c>
      <c r="AE227" s="7">
        <v>1</v>
      </c>
      <c r="AF227" s="205">
        <v>9</v>
      </c>
      <c r="AG227" s="206">
        <v>3</v>
      </c>
      <c r="AH227" s="7" t="s">
        <v>32</v>
      </c>
      <c r="AI227" s="9" t="s">
        <v>32</v>
      </c>
      <c r="AJ227" s="8" t="s">
        <v>32</v>
      </c>
      <c r="AK227" s="7" t="s">
        <v>32</v>
      </c>
      <c r="AL227" s="10" t="s">
        <v>32</v>
      </c>
      <c r="AM227" s="11" t="s">
        <v>32</v>
      </c>
      <c r="AN227" s="7" t="s">
        <v>32</v>
      </c>
      <c r="AO227" s="9" t="s">
        <v>32</v>
      </c>
      <c r="AP227" s="8" t="s">
        <v>32</v>
      </c>
      <c r="AQ227" s="7">
        <v>7</v>
      </c>
      <c r="AR227" s="9" t="s">
        <v>32</v>
      </c>
      <c r="AS227" s="8" t="s">
        <v>32</v>
      </c>
      <c r="AT227" s="7" t="s">
        <v>32</v>
      </c>
      <c r="AU227" s="10" t="s">
        <v>32</v>
      </c>
      <c r="AV227" s="11" t="s">
        <v>32</v>
      </c>
      <c r="AW227" s="7" t="s">
        <v>32</v>
      </c>
      <c r="AX227" s="9" t="s">
        <v>32</v>
      </c>
      <c r="AY227" s="8" t="s">
        <v>32</v>
      </c>
      <c r="AZ227" s="7" t="s">
        <v>32</v>
      </c>
      <c r="BA227" s="205">
        <v>4</v>
      </c>
      <c r="BB227" s="206">
        <v>6</v>
      </c>
      <c r="BC227" s="7" t="s">
        <v>32</v>
      </c>
      <c r="BD227" s="10">
        <v>8</v>
      </c>
      <c r="BG227" s="11">
        <v>0</v>
      </c>
      <c r="BH227" s="7" t="s">
        <v>32</v>
      </c>
      <c r="BI227" s="9">
        <v>0</v>
      </c>
      <c r="BJ227" s="206">
        <v>6</v>
      </c>
      <c r="BK227" s="7" t="s">
        <v>32</v>
      </c>
      <c r="BL227" s="9" t="s">
        <v>32</v>
      </c>
      <c r="BM227" s="8" t="s">
        <v>32</v>
      </c>
      <c r="BN227" s="7" t="s">
        <v>32</v>
      </c>
      <c r="BO227" s="10" t="s">
        <v>32</v>
      </c>
      <c r="BP227" s="11" t="s">
        <v>32</v>
      </c>
      <c r="BQ227" s="7" t="s">
        <v>32</v>
      </c>
      <c r="BR227" s="9" t="s">
        <v>32</v>
      </c>
      <c r="BS227" s="8" t="s">
        <v>32</v>
      </c>
      <c r="BT227" s="204">
        <v>8</v>
      </c>
      <c r="BU227" s="9">
        <v>0</v>
      </c>
      <c r="BV227" s="8">
        <v>0</v>
      </c>
      <c r="BW227" s="7" t="s">
        <v>32</v>
      </c>
      <c r="BX227" s="10" t="s">
        <v>32</v>
      </c>
      <c r="BY227" s="11" t="s">
        <v>32</v>
      </c>
      <c r="BZ227" s="7" t="s">
        <v>32</v>
      </c>
      <c r="CA227" s="9" t="s">
        <v>32</v>
      </c>
      <c r="CB227" s="8" t="s">
        <v>32</v>
      </c>
      <c r="CC227" s="7" t="s">
        <v>32</v>
      </c>
      <c r="CD227" s="9" t="s">
        <v>32</v>
      </c>
      <c r="CE227" s="8" t="s">
        <v>32</v>
      </c>
      <c r="CF227" s="7">
        <v>0</v>
      </c>
      <c r="CG227" s="10">
        <v>0</v>
      </c>
      <c r="CI227" s="11">
        <v>7</v>
      </c>
      <c r="CJ227" s="7" t="s">
        <v>32</v>
      </c>
      <c r="CK227" s="9">
        <v>5</v>
      </c>
      <c r="CL227" s="206">
        <v>6</v>
      </c>
      <c r="CM227" s="7" t="s">
        <v>32</v>
      </c>
      <c r="CN227" s="9" t="s">
        <v>32</v>
      </c>
      <c r="CO227" s="8" t="s">
        <v>32</v>
      </c>
      <c r="CP227" s="7" t="s">
        <v>32</v>
      </c>
      <c r="CQ227" s="10" t="s">
        <v>32</v>
      </c>
      <c r="CR227" s="11" t="s">
        <v>32</v>
      </c>
      <c r="CS227" s="7" t="s">
        <v>32</v>
      </c>
      <c r="CT227" s="9" t="s">
        <v>32</v>
      </c>
      <c r="CU227" s="8" t="s">
        <v>32</v>
      </c>
      <c r="CV227" s="204">
        <v>8</v>
      </c>
      <c r="CW227" s="9">
        <v>4</v>
      </c>
      <c r="CX227" s="8">
        <v>2</v>
      </c>
      <c r="CY227" s="7" t="s">
        <v>32</v>
      </c>
      <c r="CZ227" s="10" t="s">
        <v>32</v>
      </c>
      <c r="DA227" s="11" t="s">
        <v>32</v>
      </c>
      <c r="DB227" s="7" t="s">
        <v>32</v>
      </c>
      <c r="DC227" s="9" t="s">
        <v>32</v>
      </c>
      <c r="DD227" s="8" t="s">
        <v>32</v>
      </c>
      <c r="DE227" s="7" t="s">
        <v>32</v>
      </c>
      <c r="DF227" s="9" t="s">
        <v>32</v>
      </c>
      <c r="DG227" s="8" t="s">
        <v>32</v>
      </c>
      <c r="DH227" s="7">
        <v>9</v>
      </c>
      <c r="DI227" s="10">
        <v>1</v>
      </c>
    </row>
    <row r="228" spans="2:114" ht="15" customHeight="1" thickBot="1">
      <c r="B228" s="218">
        <v>4</v>
      </c>
      <c r="C228" s="22" t="s">
        <v>32</v>
      </c>
      <c r="D228" s="23" t="s">
        <v>32</v>
      </c>
      <c r="E228" s="24" t="s">
        <v>32</v>
      </c>
      <c r="F228" s="22" t="s">
        <v>32</v>
      </c>
      <c r="G228" s="23" t="s">
        <v>32</v>
      </c>
      <c r="H228" s="24" t="s">
        <v>32</v>
      </c>
      <c r="I228" s="22" t="s">
        <v>32</v>
      </c>
      <c r="J228" s="25" t="s">
        <v>32</v>
      </c>
      <c r="K228" s="21" t="s">
        <v>32</v>
      </c>
      <c r="L228" s="22" t="s">
        <v>32</v>
      </c>
      <c r="M228" s="23" t="s">
        <v>32</v>
      </c>
      <c r="N228" s="24" t="s">
        <v>32</v>
      </c>
      <c r="O228" s="22" t="s">
        <v>32</v>
      </c>
      <c r="P228" s="23" t="s">
        <v>32</v>
      </c>
      <c r="Q228" s="24" t="s">
        <v>32</v>
      </c>
      <c r="R228" s="22" t="s">
        <v>32</v>
      </c>
      <c r="S228" s="25" t="s">
        <v>32</v>
      </c>
      <c r="T228" s="21" t="s">
        <v>32</v>
      </c>
      <c r="U228" s="22" t="s">
        <v>32</v>
      </c>
      <c r="V228" s="23" t="s">
        <v>32</v>
      </c>
      <c r="W228" s="24">
        <v>0</v>
      </c>
      <c r="X228" s="22">
        <v>0</v>
      </c>
      <c r="Y228" s="23">
        <v>0</v>
      </c>
      <c r="Z228" s="24">
        <v>0</v>
      </c>
      <c r="AA228" s="22">
        <v>0</v>
      </c>
      <c r="AB228" s="220">
        <v>5</v>
      </c>
      <c r="AD228" s="218">
        <v>4</v>
      </c>
      <c r="AE228" s="22" t="s">
        <v>32</v>
      </c>
      <c r="AF228" s="23" t="s">
        <v>32</v>
      </c>
      <c r="AG228" s="24" t="s">
        <v>32</v>
      </c>
      <c r="AH228" s="22" t="s">
        <v>32</v>
      </c>
      <c r="AI228" s="23" t="s">
        <v>32</v>
      </c>
      <c r="AJ228" s="24" t="s">
        <v>32</v>
      </c>
      <c r="AK228" s="22" t="s">
        <v>32</v>
      </c>
      <c r="AL228" s="25" t="s">
        <v>32</v>
      </c>
      <c r="AM228" s="21" t="s">
        <v>32</v>
      </c>
      <c r="AN228" s="22" t="s">
        <v>32</v>
      </c>
      <c r="AO228" s="23" t="s">
        <v>32</v>
      </c>
      <c r="AP228" s="24" t="s">
        <v>32</v>
      </c>
      <c r="AQ228" s="22" t="s">
        <v>32</v>
      </c>
      <c r="AR228" s="23" t="s">
        <v>32</v>
      </c>
      <c r="AS228" s="24" t="s">
        <v>32</v>
      </c>
      <c r="AT228" s="22" t="s">
        <v>32</v>
      </c>
      <c r="AU228" s="25" t="s">
        <v>32</v>
      </c>
      <c r="AV228" s="21" t="s">
        <v>32</v>
      </c>
      <c r="AW228" s="22" t="s">
        <v>32</v>
      </c>
      <c r="AX228" s="23" t="s">
        <v>32</v>
      </c>
      <c r="AY228" s="24">
        <v>1</v>
      </c>
      <c r="AZ228" s="22">
        <v>3</v>
      </c>
      <c r="BA228" s="23">
        <v>7</v>
      </c>
      <c r="BB228" s="24">
        <v>2</v>
      </c>
      <c r="BC228" s="22">
        <v>9</v>
      </c>
      <c r="BD228" s="220">
        <v>5</v>
      </c>
      <c r="BG228" s="218">
        <v>9</v>
      </c>
      <c r="BH228" s="22">
        <v>0</v>
      </c>
      <c r="BI228" s="23" t="s">
        <v>32</v>
      </c>
      <c r="BJ228" s="24">
        <v>0</v>
      </c>
      <c r="BK228" s="22">
        <v>0</v>
      </c>
      <c r="BL228" s="23" t="s">
        <v>32</v>
      </c>
      <c r="BM228" s="24" t="s">
        <v>32</v>
      </c>
      <c r="BN228" s="22" t="s">
        <v>32</v>
      </c>
      <c r="BO228" s="25" t="s">
        <v>32</v>
      </c>
      <c r="BP228" s="21" t="s">
        <v>32</v>
      </c>
      <c r="BQ228" s="22" t="s">
        <v>32</v>
      </c>
      <c r="BR228" s="23" t="s">
        <v>32</v>
      </c>
      <c r="BS228" s="24" t="s">
        <v>32</v>
      </c>
      <c r="BT228" s="22" t="s">
        <v>32</v>
      </c>
      <c r="BU228" s="23">
        <v>0</v>
      </c>
      <c r="BV228" s="24">
        <v>0</v>
      </c>
      <c r="BW228" s="22">
        <v>0</v>
      </c>
      <c r="BX228" s="25" t="s">
        <v>32</v>
      </c>
      <c r="BY228" s="21" t="s">
        <v>32</v>
      </c>
      <c r="BZ228" s="22" t="s">
        <v>32</v>
      </c>
      <c r="CA228" s="23" t="s">
        <v>32</v>
      </c>
      <c r="CB228" s="24" t="s">
        <v>32</v>
      </c>
      <c r="CC228" s="22" t="s">
        <v>32</v>
      </c>
      <c r="CD228" s="23" t="s">
        <v>32</v>
      </c>
      <c r="CE228" s="24" t="s">
        <v>32</v>
      </c>
      <c r="CF228" s="22" t="s">
        <v>32</v>
      </c>
      <c r="CG228" s="220">
        <v>4</v>
      </c>
      <c r="CI228" s="218">
        <v>9</v>
      </c>
      <c r="CJ228" s="22">
        <v>8</v>
      </c>
      <c r="CK228" s="23" t="s">
        <v>32</v>
      </c>
      <c r="CL228" s="24">
        <v>3</v>
      </c>
      <c r="CM228" s="22">
        <v>2</v>
      </c>
      <c r="CN228" s="23" t="s">
        <v>32</v>
      </c>
      <c r="CO228" s="24" t="s">
        <v>32</v>
      </c>
      <c r="CP228" s="22" t="s">
        <v>32</v>
      </c>
      <c r="CQ228" s="25" t="s">
        <v>32</v>
      </c>
      <c r="CR228" s="21" t="s">
        <v>32</v>
      </c>
      <c r="CS228" s="22" t="s">
        <v>32</v>
      </c>
      <c r="CT228" s="23" t="s">
        <v>32</v>
      </c>
      <c r="CU228" s="24" t="s">
        <v>32</v>
      </c>
      <c r="CV228" s="22" t="s">
        <v>32</v>
      </c>
      <c r="CW228" s="23">
        <v>5</v>
      </c>
      <c r="CX228" s="24">
        <v>1</v>
      </c>
      <c r="CY228" s="22">
        <v>7</v>
      </c>
      <c r="CZ228" s="25" t="s">
        <v>32</v>
      </c>
      <c r="DA228" s="21" t="s">
        <v>32</v>
      </c>
      <c r="DB228" s="22" t="s">
        <v>32</v>
      </c>
      <c r="DC228" s="23" t="s">
        <v>32</v>
      </c>
      <c r="DD228" s="24" t="s">
        <v>32</v>
      </c>
      <c r="DE228" s="22" t="s">
        <v>32</v>
      </c>
      <c r="DF228" s="23" t="s">
        <v>32</v>
      </c>
      <c r="DG228" s="24" t="s">
        <v>32</v>
      </c>
      <c r="DH228" s="22" t="s">
        <v>32</v>
      </c>
      <c r="DI228" s="220">
        <v>4</v>
      </c>
    </row>
    <row r="230" spans="2:114" ht="15" customHeight="1" thickBot="1">
      <c r="B230" s="33" t="s">
        <v>83</v>
      </c>
      <c r="AD230" s="33" t="s">
        <v>86</v>
      </c>
      <c r="BG230" t="s">
        <v>88</v>
      </c>
      <c r="BH230"/>
      <c r="BI230"/>
      <c r="BJ230"/>
      <c r="BK230"/>
      <c r="BL230"/>
      <c r="BM230"/>
      <c r="BN230"/>
      <c r="BO230"/>
      <c r="BP230"/>
      <c r="BQ230"/>
      <c r="BR230"/>
      <c r="BS230"/>
      <c r="BT230"/>
      <c r="BU230"/>
      <c r="BV230"/>
      <c r="BW230"/>
      <c r="BX230"/>
      <c r="BY230"/>
      <c r="BZ230"/>
      <c r="CA230"/>
      <c r="CB230"/>
      <c r="CC230"/>
      <c r="CD230"/>
      <c r="CE230"/>
      <c r="CF230"/>
      <c r="CG230"/>
      <c r="CI230" t="s">
        <v>86</v>
      </c>
      <c r="CJ230"/>
      <c r="CK230"/>
      <c r="CL230"/>
      <c r="CM230"/>
      <c r="CN230"/>
      <c r="CO230"/>
      <c r="CP230"/>
      <c r="CQ230"/>
      <c r="CR230"/>
      <c r="CS230"/>
      <c r="CT230"/>
      <c r="CU230"/>
      <c r="CV230"/>
      <c r="CW230"/>
      <c r="CX230"/>
      <c r="CY230"/>
      <c r="CZ230"/>
      <c r="DA230"/>
      <c r="DB230"/>
      <c r="DC230"/>
      <c r="DD230"/>
      <c r="DE230"/>
      <c r="DF230"/>
      <c r="DG230"/>
      <c r="DH230"/>
      <c r="DI230"/>
      <c r="DJ230"/>
    </row>
    <row r="231" spans="2:114" ht="15" customHeight="1">
      <c r="B231" s="215">
        <v>1</v>
      </c>
      <c r="C231" s="216">
        <v>2</v>
      </c>
      <c r="D231" s="3" t="s">
        <v>32</v>
      </c>
      <c r="E231" s="4">
        <v>0</v>
      </c>
      <c r="F231" s="5" t="s">
        <v>32</v>
      </c>
      <c r="G231" s="3" t="s">
        <v>32</v>
      </c>
      <c r="H231" s="4" t="s">
        <v>32</v>
      </c>
      <c r="I231" s="5" t="s">
        <v>32</v>
      </c>
      <c r="J231" s="6" t="s">
        <v>32</v>
      </c>
      <c r="K231" s="2" t="s">
        <v>32</v>
      </c>
      <c r="L231" s="5" t="s">
        <v>32</v>
      </c>
      <c r="M231" s="3">
        <v>0</v>
      </c>
      <c r="N231" s="4" t="s">
        <v>32</v>
      </c>
      <c r="O231" s="5">
        <v>0</v>
      </c>
      <c r="P231" s="3">
        <v>0</v>
      </c>
      <c r="Q231" s="4">
        <v>0</v>
      </c>
      <c r="R231" s="216">
        <v>5</v>
      </c>
      <c r="S231" s="6" t="s">
        <v>32</v>
      </c>
      <c r="T231" s="2" t="s">
        <v>32</v>
      </c>
      <c r="U231" s="5" t="s">
        <v>32</v>
      </c>
      <c r="V231" s="3" t="s">
        <v>32</v>
      </c>
      <c r="W231" s="4" t="s">
        <v>32</v>
      </c>
      <c r="X231" s="5" t="s">
        <v>32</v>
      </c>
      <c r="Y231" s="3" t="s">
        <v>32</v>
      </c>
      <c r="Z231" s="4" t="s">
        <v>32</v>
      </c>
      <c r="AA231" s="5" t="s">
        <v>32</v>
      </c>
      <c r="AB231" s="217">
        <v>4</v>
      </c>
      <c r="AD231" s="215">
        <v>1</v>
      </c>
      <c r="AE231" s="216">
        <v>2</v>
      </c>
      <c r="AF231" s="3" t="s">
        <v>32</v>
      </c>
      <c r="AG231" s="4">
        <v>8</v>
      </c>
      <c r="AH231" s="5" t="s">
        <v>32</v>
      </c>
      <c r="AI231" s="3" t="s">
        <v>32</v>
      </c>
      <c r="AJ231" s="4" t="s">
        <v>32</v>
      </c>
      <c r="AK231" s="5" t="s">
        <v>32</v>
      </c>
      <c r="AL231" s="6" t="s">
        <v>32</v>
      </c>
      <c r="AM231" s="2" t="s">
        <v>32</v>
      </c>
      <c r="AN231" s="5" t="s">
        <v>32</v>
      </c>
      <c r="AO231" s="3">
        <v>9</v>
      </c>
      <c r="AP231" s="4" t="s">
        <v>32</v>
      </c>
      <c r="AQ231" s="5">
        <v>6</v>
      </c>
      <c r="AR231" s="3">
        <v>7</v>
      </c>
      <c r="AS231" s="4">
        <v>3</v>
      </c>
      <c r="AT231" s="216">
        <v>5</v>
      </c>
      <c r="AU231" s="6" t="s">
        <v>32</v>
      </c>
      <c r="AV231" s="2" t="s">
        <v>32</v>
      </c>
      <c r="AW231" s="5" t="s">
        <v>32</v>
      </c>
      <c r="AX231" s="3" t="s">
        <v>32</v>
      </c>
      <c r="AY231" s="4" t="s">
        <v>32</v>
      </c>
      <c r="AZ231" s="5" t="s">
        <v>32</v>
      </c>
      <c r="BA231" s="3" t="s">
        <v>32</v>
      </c>
      <c r="BB231" s="4" t="s">
        <v>32</v>
      </c>
      <c r="BC231" s="5" t="s">
        <v>32</v>
      </c>
      <c r="BD231" s="217">
        <v>4</v>
      </c>
      <c r="BG231" s="2">
        <v>0</v>
      </c>
      <c r="BH231" s="5">
        <v>0</v>
      </c>
      <c r="BI231" s="3">
        <v>8</v>
      </c>
      <c r="BJ231" s="4">
        <v>4</v>
      </c>
      <c r="BK231" s="5" t="s">
        <v>32</v>
      </c>
      <c r="BL231" s="3" t="s">
        <v>32</v>
      </c>
      <c r="BM231" s="4" t="s">
        <v>32</v>
      </c>
      <c r="BN231" s="5" t="s">
        <v>32</v>
      </c>
      <c r="BO231" s="6" t="s">
        <v>32</v>
      </c>
      <c r="BP231" s="2" t="s">
        <v>32</v>
      </c>
      <c r="BQ231" s="5" t="s">
        <v>32</v>
      </c>
      <c r="BR231" s="3" t="s">
        <v>32</v>
      </c>
      <c r="BS231" s="4" t="s">
        <v>32</v>
      </c>
      <c r="BT231" s="5">
        <v>7</v>
      </c>
      <c r="BU231" s="3">
        <v>3</v>
      </c>
      <c r="BV231" s="4" t="s">
        <v>32</v>
      </c>
      <c r="BW231" s="5" t="s">
        <v>32</v>
      </c>
      <c r="BX231" s="6" t="s">
        <v>32</v>
      </c>
      <c r="BY231" s="2" t="s">
        <v>32</v>
      </c>
      <c r="BZ231" s="5" t="s">
        <v>32</v>
      </c>
      <c r="CA231" s="3" t="s">
        <v>32</v>
      </c>
      <c r="CB231" s="4" t="s">
        <v>32</v>
      </c>
      <c r="CC231" s="5" t="s">
        <v>32</v>
      </c>
      <c r="CD231" s="3" t="s">
        <v>32</v>
      </c>
      <c r="CE231" s="4">
        <v>9</v>
      </c>
      <c r="CF231" s="5">
        <v>0</v>
      </c>
      <c r="CG231" s="6">
        <v>0</v>
      </c>
      <c r="CI231" s="2">
        <v>2</v>
      </c>
      <c r="CJ231" s="5">
        <v>6</v>
      </c>
      <c r="CK231" s="224">
        <v>8</v>
      </c>
      <c r="CL231" s="222">
        <v>4</v>
      </c>
      <c r="CM231" s="5" t="s">
        <v>32</v>
      </c>
      <c r="CN231" s="3" t="s">
        <v>32</v>
      </c>
      <c r="CO231" s="4" t="s">
        <v>32</v>
      </c>
      <c r="CP231" s="5" t="s">
        <v>32</v>
      </c>
      <c r="CQ231" s="6" t="s">
        <v>32</v>
      </c>
      <c r="CR231" s="2" t="s">
        <v>32</v>
      </c>
      <c r="CS231" s="5" t="s">
        <v>32</v>
      </c>
      <c r="CT231" s="3" t="s">
        <v>32</v>
      </c>
      <c r="CU231" s="4" t="s">
        <v>32</v>
      </c>
      <c r="CV231" s="216">
        <v>7</v>
      </c>
      <c r="CW231" s="224">
        <v>3</v>
      </c>
      <c r="CX231" s="4" t="s">
        <v>32</v>
      </c>
      <c r="CY231" s="5" t="s">
        <v>32</v>
      </c>
      <c r="CZ231" s="6" t="s">
        <v>32</v>
      </c>
      <c r="DA231" s="2" t="s">
        <v>32</v>
      </c>
      <c r="DB231" s="5" t="s">
        <v>32</v>
      </c>
      <c r="DC231" s="3" t="s">
        <v>32</v>
      </c>
      <c r="DD231" s="4" t="s">
        <v>32</v>
      </c>
      <c r="DE231" s="5" t="s">
        <v>32</v>
      </c>
      <c r="DF231" s="3" t="s">
        <v>32</v>
      </c>
      <c r="DG231" s="222">
        <v>9</v>
      </c>
      <c r="DH231" s="5">
        <v>1</v>
      </c>
      <c r="DI231" s="6">
        <v>5</v>
      </c>
      <c r="DJ231"/>
    </row>
    <row r="232" spans="2:114" ht="15" customHeight="1">
      <c r="B232" s="213">
        <v>3</v>
      </c>
      <c r="C232" s="7" t="s">
        <v>32</v>
      </c>
      <c r="D232" s="205">
        <v>6</v>
      </c>
      <c r="E232" s="8" t="s">
        <v>32</v>
      </c>
      <c r="F232" s="7" t="s">
        <v>32</v>
      </c>
      <c r="G232" s="9" t="s">
        <v>32</v>
      </c>
      <c r="H232" s="8" t="s">
        <v>32</v>
      </c>
      <c r="I232" s="7" t="s">
        <v>32</v>
      </c>
      <c r="J232" s="10" t="s">
        <v>32</v>
      </c>
      <c r="K232" s="11" t="s">
        <v>32</v>
      </c>
      <c r="L232" s="7" t="s">
        <v>32</v>
      </c>
      <c r="M232" s="9" t="s">
        <v>32</v>
      </c>
      <c r="N232" s="8">
        <v>0</v>
      </c>
      <c r="O232" s="7">
        <v>0</v>
      </c>
      <c r="P232" s="9" t="s">
        <v>32</v>
      </c>
      <c r="Q232" s="206">
        <v>8</v>
      </c>
      <c r="R232" s="7" t="s">
        <v>32</v>
      </c>
      <c r="S232" s="10" t="s">
        <v>32</v>
      </c>
      <c r="T232" s="11" t="s">
        <v>32</v>
      </c>
      <c r="U232" s="7" t="s">
        <v>32</v>
      </c>
      <c r="V232" s="9" t="s">
        <v>32</v>
      </c>
      <c r="W232" s="8" t="s">
        <v>32</v>
      </c>
      <c r="X232" s="7" t="s">
        <v>32</v>
      </c>
      <c r="Y232" s="9">
        <v>0</v>
      </c>
      <c r="Z232" s="8" t="s">
        <v>32</v>
      </c>
      <c r="AA232" s="7">
        <v>0</v>
      </c>
      <c r="AB232" s="10" t="s">
        <v>32</v>
      </c>
      <c r="AD232" s="213">
        <v>3</v>
      </c>
      <c r="AE232" s="7" t="s">
        <v>32</v>
      </c>
      <c r="AF232" s="205">
        <v>6</v>
      </c>
      <c r="AG232" s="8" t="s">
        <v>32</v>
      </c>
      <c r="AH232" s="7" t="s">
        <v>32</v>
      </c>
      <c r="AI232" s="9" t="s">
        <v>32</v>
      </c>
      <c r="AJ232" s="8" t="s">
        <v>32</v>
      </c>
      <c r="AK232" s="7" t="s">
        <v>32</v>
      </c>
      <c r="AL232" s="10" t="s">
        <v>32</v>
      </c>
      <c r="AM232" s="11" t="s">
        <v>32</v>
      </c>
      <c r="AN232" s="7" t="s">
        <v>32</v>
      </c>
      <c r="AO232" s="9" t="s">
        <v>32</v>
      </c>
      <c r="AP232" s="8">
        <v>2</v>
      </c>
      <c r="AQ232" s="7">
        <v>4</v>
      </c>
      <c r="AR232" s="9" t="s">
        <v>32</v>
      </c>
      <c r="AS232" s="206">
        <v>8</v>
      </c>
      <c r="AT232" s="7" t="s">
        <v>32</v>
      </c>
      <c r="AU232" s="10" t="s">
        <v>32</v>
      </c>
      <c r="AV232" s="11" t="s">
        <v>32</v>
      </c>
      <c r="AW232" s="7" t="s">
        <v>32</v>
      </c>
      <c r="AX232" s="9" t="s">
        <v>32</v>
      </c>
      <c r="AY232" s="8" t="s">
        <v>32</v>
      </c>
      <c r="AZ232" s="7" t="s">
        <v>32</v>
      </c>
      <c r="BA232" s="9">
        <v>9</v>
      </c>
      <c r="BB232" s="8" t="s">
        <v>32</v>
      </c>
      <c r="BC232" s="7">
        <v>7</v>
      </c>
      <c r="BD232" s="10" t="s">
        <v>32</v>
      </c>
      <c r="BG232" s="11" t="s">
        <v>32</v>
      </c>
      <c r="BH232" s="7">
        <v>0</v>
      </c>
      <c r="BI232" s="9">
        <v>0</v>
      </c>
      <c r="BJ232" s="8">
        <v>0</v>
      </c>
      <c r="BK232" s="7">
        <v>0</v>
      </c>
      <c r="BL232" s="9" t="s">
        <v>32</v>
      </c>
      <c r="BM232" s="8" t="s">
        <v>32</v>
      </c>
      <c r="BN232" s="7" t="s">
        <v>32</v>
      </c>
      <c r="BO232" s="10" t="s">
        <v>32</v>
      </c>
      <c r="BP232" s="11" t="s">
        <v>32</v>
      </c>
      <c r="BQ232" s="7" t="s">
        <v>32</v>
      </c>
      <c r="BR232" s="9" t="s">
        <v>32</v>
      </c>
      <c r="BS232" s="8" t="s">
        <v>32</v>
      </c>
      <c r="BT232" s="7" t="s">
        <v>32</v>
      </c>
      <c r="BU232" s="9" t="s">
        <v>32</v>
      </c>
      <c r="BV232" s="8">
        <v>0</v>
      </c>
      <c r="BW232" s="7" t="s">
        <v>32</v>
      </c>
      <c r="BX232" s="10" t="s">
        <v>32</v>
      </c>
      <c r="BY232" s="11" t="s">
        <v>32</v>
      </c>
      <c r="BZ232" s="7" t="s">
        <v>32</v>
      </c>
      <c r="CA232" s="9" t="s">
        <v>32</v>
      </c>
      <c r="CB232" s="8" t="s">
        <v>32</v>
      </c>
      <c r="CC232" s="7" t="s">
        <v>32</v>
      </c>
      <c r="CD232" s="9">
        <v>0</v>
      </c>
      <c r="CE232" s="8" t="s">
        <v>32</v>
      </c>
      <c r="CF232" s="7">
        <v>0</v>
      </c>
      <c r="CG232" s="10">
        <v>2</v>
      </c>
      <c r="CI232" s="11" t="s">
        <v>32</v>
      </c>
      <c r="CJ232" s="7">
        <v>9</v>
      </c>
      <c r="CK232" s="9">
        <v>5</v>
      </c>
      <c r="CL232" s="8">
        <v>3</v>
      </c>
      <c r="CM232" s="7">
        <v>1</v>
      </c>
      <c r="CN232" s="9" t="s">
        <v>32</v>
      </c>
      <c r="CO232" s="8" t="s">
        <v>32</v>
      </c>
      <c r="CP232" s="7" t="s">
        <v>32</v>
      </c>
      <c r="CQ232" s="10" t="s">
        <v>32</v>
      </c>
      <c r="CR232" s="11" t="s">
        <v>32</v>
      </c>
      <c r="CS232" s="7" t="s">
        <v>32</v>
      </c>
      <c r="CT232" s="9" t="s">
        <v>32</v>
      </c>
      <c r="CU232" s="8" t="s">
        <v>32</v>
      </c>
      <c r="CV232" s="7" t="s">
        <v>32</v>
      </c>
      <c r="CW232" s="9" t="s">
        <v>32</v>
      </c>
      <c r="CX232" s="8">
        <v>6</v>
      </c>
      <c r="CY232" s="7" t="s">
        <v>32</v>
      </c>
      <c r="CZ232" s="10" t="s">
        <v>32</v>
      </c>
      <c r="DA232" s="11" t="s">
        <v>32</v>
      </c>
      <c r="DB232" s="7" t="s">
        <v>32</v>
      </c>
      <c r="DC232" s="9" t="s">
        <v>32</v>
      </c>
      <c r="DD232" s="8" t="s">
        <v>32</v>
      </c>
      <c r="DE232" s="7" t="s">
        <v>32</v>
      </c>
      <c r="DF232" s="9">
        <v>8</v>
      </c>
      <c r="DG232" s="8" t="s">
        <v>32</v>
      </c>
      <c r="DH232" s="7">
        <v>4</v>
      </c>
      <c r="DI232" s="214">
        <v>2</v>
      </c>
      <c r="DJ232"/>
    </row>
    <row r="233" spans="2:114" ht="15" customHeight="1">
      <c r="B233" s="12" t="s">
        <v>32</v>
      </c>
      <c r="C233" s="212">
        <v>7</v>
      </c>
      <c r="D233" s="15">
        <v>0</v>
      </c>
      <c r="E233" s="14">
        <v>0</v>
      </c>
      <c r="F233" s="13" t="s">
        <v>32</v>
      </c>
      <c r="G233" s="15" t="s">
        <v>32</v>
      </c>
      <c r="H233" s="14" t="s">
        <v>32</v>
      </c>
      <c r="I233" s="13" t="s">
        <v>32</v>
      </c>
      <c r="J233" s="1" t="s">
        <v>32</v>
      </c>
      <c r="K233" s="12" t="s">
        <v>32</v>
      </c>
      <c r="L233" s="13" t="s">
        <v>32</v>
      </c>
      <c r="M233" s="15" t="s">
        <v>32</v>
      </c>
      <c r="N233" s="14" t="s">
        <v>32</v>
      </c>
      <c r="O233" s="13" t="s">
        <v>32</v>
      </c>
      <c r="P233" s="15">
        <v>0</v>
      </c>
      <c r="Q233" s="14" t="s">
        <v>32</v>
      </c>
      <c r="R233" s="13" t="s">
        <v>32</v>
      </c>
      <c r="S233" s="1" t="s">
        <v>32</v>
      </c>
      <c r="T233" s="12" t="s">
        <v>32</v>
      </c>
      <c r="U233" s="13" t="s">
        <v>32</v>
      </c>
      <c r="V233" s="15" t="s">
        <v>32</v>
      </c>
      <c r="W233" s="14" t="s">
        <v>32</v>
      </c>
      <c r="X233" s="13" t="s">
        <v>32</v>
      </c>
      <c r="Y233" s="15" t="s">
        <v>32</v>
      </c>
      <c r="Z233" s="14">
        <v>0</v>
      </c>
      <c r="AA233" s="13" t="s">
        <v>32</v>
      </c>
      <c r="AB233" s="1">
        <v>0</v>
      </c>
      <c r="AD233" s="12" t="s">
        <v>32</v>
      </c>
      <c r="AE233" s="212">
        <v>7</v>
      </c>
      <c r="AF233" s="15">
        <v>5</v>
      </c>
      <c r="AG233" s="14">
        <v>9</v>
      </c>
      <c r="AH233" s="13" t="s">
        <v>32</v>
      </c>
      <c r="AI233" s="15" t="s">
        <v>32</v>
      </c>
      <c r="AJ233" s="14" t="s">
        <v>32</v>
      </c>
      <c r="AK233" s="13" t="s">
        <v>32</v>
      </c>
      <c r="AL233" s="1" t="s">
        <v>32</v>
      </c>
      <c r="AM233" s="12" t="s">
        <v>32</v>
      </c>
      <c r="AN233" s="13" t="s">
        <v>32</v>
      </c>
      <c r="AO233" s="15" t="s">
        <v>32</v>
      </c>
      <c r="AP233" s="14" t="s">
        <v>32</v>
      </c>
      <c r="AQ233" s="13" t="s">
        <v>32</v>
      </c>
      <c r="AR233" s="15">
        <v>1</v>
      </c>
      <c r="AS233" s="14" t="s">
        <v>32</v>
      </c>
      <c r="AT233" s="13" t="s">
        <v>32</v>
      </c>
      <c r="AU233" s="1" t="s">
        <v>32</v>
      </c>
      <c r="AV233" s="12" t="s">
        <v>32</v>
      </c>
      <c r="AW233" s="13" t="s">
        <v>32</v>
      </c>
      <c r="AX233" s="15" t="s">
        <v>32</v>
      </c>
      <c r="AY233" s="14" t="s">
        <v>32</v>
      </c>
      <c r="AZ233" s="13" t="s">
        <v>32</v>
      </c>
      <c r="BA233" s="15" t="s">
        <v>32</v>
      </c>
      <c r="BB233" s="14">
        <v>2</v>
      </c>
      <c r="BC233" s="13" t="s">
        <v>32</v>
      </c>
      <c r="BD233" s="1">
        <v>6</v>
      </c>
      <c r="BG233" s="12" t="s">
        <v>32</v>
      </c>
      <c r="BH233" s="13" t="s">
        <v>32</v>
      </c>
      <c r="BI233" s="15" t="s">
        <v>32</v>
      </c>
      <c r="BJ233" s="14">
        <v>0</v>
      </c>
      <c r="BK233" s="13" t="s">
        <v>32</v>
      </c>
      <c r="BL233" s="15" t="s">
        <v>32</v>
      </c>
      <c r="BM233" s="14" t="s">
        <v>32</v>
      </c>
      <c r="BN233" s="13" t="s">
        <v>32</v>
      </c>
      <c r="BO233" s="1" t="s">
        <v>32</v>
      </c>
      <c r="BP233" s="12" t="s">
        <v>32</v>
      </c>
      <c r="BQ233" s="13" t="s">
        <v>32</v>
      </c>
      <c r="BR233" s="15" t="s">
        <v>32</v>
      </c>
      <c r="BS233" s="14" t="s">
        <v>32</v>
      </c>
      <c r="BT233" s="13" t="s">
        <v>32</v>
      </c>
      <c r="BU233" s="15">
        <v>0</v>
      </c>
      <c r="BV233" s="14">
        <v>0</v>
      </c>
      <c r="BW233" s="13" t="s">
        <v>32</v>
      </c>
      <c r="BX233" s="1" t="s">
        <v>32</v>
      </c>
      <c r="BY233" s="12" t="s">
        <v>32</v>
      </c>
      <c r="BZ233" s="13" t="s">
        <v>32</v>
      </c>
      <c r="CA233" s="15" t="s">
        <v>32</v>
      </c>
      <c r="CB233" s="14" t="s">
        <v>32</v>
      </c>
      <c r="CC233" s="13" t="s">
        <v>32</v>
      </c>
      <c r="CD233" s="15" t="s">
        <v>32</v>
      </c>
      <c r="CE233" s="14" t="s">
        <v>32</v>
      </c>
      <c r="CF233" s="13">
        <v>0</v>
      </c>
      <c r="CG233" s="1">
        <v>0</v>
      </c>
      <c r="CI233" s="12" t="s">
        <v>32</v>
      </c>
      <c r="CJ233" s="13" t="s">
        <v>32</v>
      </c>
      <c r="CK233" s="15" t="s">
        <v>32</v>
      </c>
      <c r="CL233" s="14">
        <v>7</v>
      </c>
      <c r="CM233" s="13" t="s">
        <v>32</v>
      </c>
      <c r="CN233" s="15" t="s">
        <v>32</v>
      </c>
      <c r="CO233" s="14" t="s">
        <v>32</v>
      </c>
      <c r="CP233" s="13" t="s">
        <v>32</v>
      </c>
      <c r="CQ233" s="1" t="s">
        <v>32</v>
      </c>
      <c r="CR233" s="12" t="s">
        <v>32</v>
      </c>
      <c r="CS233" s="13" t="s">
        <v>32</v>
      </c>
      <c r="CT233" s="15" t="s">
        <v>32</v>
      </c>
      <c r="CU233" s="14" t="s">
        <v>32</v>
      </c>
      <c r="CV233" s="13" t="s">
        <v>32</v>
      </c>
      <c r="CW233" s="15">
        <v>1</v>
      </c>
      <c r="CX233" s="14">
        <v>8</v>
      </c>
      <c r="CY233" s="13" t="s">
        <v>32</v>
      </c>
      <c r="CZ233" s="1" t="s">
        <v>32</v>
      </c>
      <c r="DA233" s="12" t="s">
        <v>32</v>
      </c>
      <c r="DB233" s="13" t="s">
        <v>32</v>
      </c>
      <c r="DC233" s="15" t="s">
        <v>32</v>
      </c>
      <c r="DD233" s="14" t="s">
        <v>32</v>
      </c>
      <c r="DE233" s="13" t="s">
        <v>32</v>
      </c>
      <c r="DF233" s="15" t="s">
        <v>32</v>
      </c>
      <c r="DG233" s="14" t="s">
        <v>32</v>
      </c>
      <c r="DH233" s="13">
        <v>3</v>
      </c>
      <c r="DI233" s="1">
        <v>6</v>
      </c>
      <c r="DJ233"/>
    </row>
    <row r="234" spans="2:114" ht="15" customHeight="1">
      <c r="B234" s="16" t="s">
        <v>32</v>
      </c>
      <c r="C234" s="17">
        <v>0</v>
      </c>
      <c r="D234" s="18" t="s">
        <v>32</v>
      </c>
      <c r="E234" s="19" t="s">
        <v>32</v>
      </c>
      <c r="F234" s="17" t="s">
        <v>32</v>
      </c>
      <c r="G234" s="18" t="s">
        <v>32</v>
      </c>
      <c r="H234" s="19" t="s">
        <v>32</v>
      </c>
      <c r="I234" s="17" t="s">
        <v>32</v>
      </c>
      <c r="J234" s="20" t="s">
        <v>32</v>
      </c>
      <c r="K234" s="16" t="s">
        <v>32</v>
      </c>
      <c r="L234" s="17" t="s">
        <v>32</v>
      </c>
      <c r="M234" s="18" t="s">
        <v>32</v>
      </c>
      <c r="N234" s="19" t="s">
        <v>32</v>
      </c>
      <c r="O234" s="17" t="s">
        <v>32</v>
      </c>
      <c r="P234" s="18" t="s">
        <v>32</v>
      </c>
      <c r="Q234" s="19" t="s">
        <v>32</v>
      </c>
      <c r="R234" s="17" t="s">
        <v>32</v>
      </c>
      <c r="S234" s="20" t="s">
        <v>32</v>
      </c>
      <c r="T234" s="16" t="s">
        <v>32</v>
      </c>
      <c r="U234" s="17" t="s">
        <v>32</v>
      </c>
      <c r="V234" s="18" t="s">
        <v>32</v>
      </c>
      <c r="W234" s="19" t="s">
        <v>32</v>
      </c>
      <c r="X234" s="17" t="s">
        <v>32</v>
      </c>
      <c r="Y234" s="18" t="s">
        <v>32</v>
      </c>
      <c r="Z234" s="19" t="s">
        <v>32</v>
      </c>
      <c r="AA234" s="17">
        <v>0</v>
      </c>
      <c r="AB234" s="20" t="s">
        <v>32</v>
      </c>
      <c r="AD234" s="16" t="s">
        <v>32</v>
      </c>
      <c r="AE234" s="17">
        <v>4</v>
      </c>
      <c r="AF234" s="18" t="s">
        <v>32</v>
      </c>
      <c r="AG234" s="19" t="s">
        <v>32</v>
      </c>
      <c r="AH234" s="17" t="s">
        <v>32</v>
      </c>
      <c r="AI234" s="18" t="s">
        <v>32</v>
      </c>
      <c r="AJ234" s="19" t="s">
        <v>32</v>
      </c>
      <c r="AK234" s="17" t="s">
        <v>32</v>
      </c>
      <c r="AL234" s="20" t="s">
        <v>32</v>
      </c>
      <c r="AM234" s="16" t="s">
        <v>32</v>
      </c>
      <c r="AN234" s="17" t="s">
        <v>32</v>
      </c>
      <c r="AO234" s="18" t="s">
        <v>32</v>
      </c>
      <c r="AP234" s="19" t="s">
        <v>32</v>
      </c>
      <c r="AQ234" s="17" t="s">
        <v>32</v>
      </c>
      <c r="AR234" s="18" t="s">
        <v>32</v>
      </c>
      <c r="AS234" s="19" t="s">
        <v>32</v>
      </c>
      <c r="AT234" s="17" t="s">
        <v>32</v>
      </c>
      <c r="AU234" s="20" t="s">
        <v>32</v>
      </c>
      <c r="AV234" s="16" t="s">
        <v>32</v>
      </c>
      <c r="AW234" s="17" t="s">
        <v>32</v>
      </c>
      <c r="AX234" s="18" t="s">
        <v>32</v>
      </c>
      <c r="AY234" s="19" t="s">
        <v>32</v>
      </c>
      <c r="AZ234" s="17" t="s">
        <v>32</v>
      </c>
      <c r="BA234" s="18" t="s">
        <v>32</v>
      </c>
      <c r="BB234" s="19" t="s">
        <v>32</v>
      </c>
      <c r="BC234" s="17">
        <v>1</v>
      </c>
      <c r="BD234" s="20" t="s">
        <v>32</v>
      </c>
      <c r="BG234" s="16" t="s">
        <v>32</v>
      </c>
      <c r="BH234" s="17" t="s">
        <v>32</v>
      </c>
      <c r="BI234" s="18" t="s">
        <v>32</v>
      </c>
      <c r="BJ234" s="19" t="s">
        <v>32</v>
      </c>
      <c r="BK234" s="17" t="s">
        <v>32</v>
      </c>
      <c r="BL234" s="18" t="s">
        <v>32</v>
      </c>
      <c r="BM234" s="19" t="s">
        <v>32</v>
      </c>
      <c r="BN234" s="17" t="s">
        <v>32</v>
      </c>
      <c r="BO234" s="20" t="s">
        <v>32</v>
      </c>
      <c r="BP234" s="16" t="s">
        <v>32</v>
      </c>
      <c r="BQ234" s="17" t="s">
        <v>32</v>
      </c>
      <c r="BR234" s="18" t="s">
        <v>32</v>
      </c>
      <c r="BS234" s="19" t="s">
        <v>32</v>
      </c>
      <c r="BT234" s="17">
        <v>0</v>
      </c>
      <c r="BU234" s="18">
        <v>0</v>
      </c>
      <c r="BV234" s="19">
        <v>0</v>
      </c>
      <c r="BW234" s="17" t="s">
        <v>32</v>
      </c>
      <c r="BX234" s="20" t="s">
        <v>32</v>
      </c>
      <c r="BY234" s="16" t="s">
        <v>32</v>
      </c>
      <c r="BZ234" s="17" t="s">
        <v>32</v>
      </c>
      <c r="CA234" s="18" t="s">
        <v>32</v>
      </c>
      <c r="CB234" s="19" t="s">
        <v>32</v>
      </c>
      <c r="CC234" s="17" t="s">
        <v>32</v>
      </c>
      <c r="CD234" s="18" t="s">
        <v>32</v>
      </c>
      <c r="CE234" s="19" t="s">
        <v>32</v>
      </c>
      <c r="CF234" s="17" t="s">
        <v>32</v>
      </c>
      <c r="CG234" s="20">
        <v>0</v>
      </c>
      <c r="CI234" s="16" t="s">
        <v>32</v>
      </c>
      <c r="CJ234" s="17" t="s">
        <v>32</v>
      </c>
      <c r="CK234" s="18" t="s">
        <v>32</v>
      </c>
      <c r="CL234" s="19" t="s">
        <v>32</v>
      </c>
      <c r="CM234" s="17" t="s">
        <v>32</v>
      </c>
      <c r="CN234" s="18" t="s">
        <v>32</v>
      </c>
      <c r="CO234" s="19" t="s">
        <v>32</v>
      </c>
      <c r="CP234" s="17" t="s">
        <v>32</v>
      </c>
      <c r="CQ234" s="20" t="s">
        <v>32</v>
      </c>
      <c r="CR234" s="16" t="s">
        <v>32</v>
      </c>
      <c r="CS234" s="17" t="s">
        <v>32</v>
      </c>
      <c r="CT234" s="18" t="s">
        <v>32</v>
      </c>
      <c r="CU234" s="19" t="s">
        <v>32</v>
      </c>
      <c r="CV234" s="17">
        <v>5</v>
      </c>
      <c r="CW234" s="18">
        <v>2</v>
      </c>
      <c r="CX234" s="19">
        <v>4</v>
      </c>
      <c r="CY234" s="17" t="s">
        <v>32</v>
      </c>
      <c r="CZ234" s="20" t="s">
        <v>32</v>
      </c>
      <c r="DA234" s="16" t="s">
        <v>32</v>
      </c>
      <c r="DB234" s="17" t="s">
        <v>32</v>
      </c>
      <c r="DC234" s="18" t="s">
        <v>32</v>
      </c>
      <c r="DD234" s="19" t="s">
        <v>32</v>
      </c>
      <c r="DE234" s="17" t="s">
        <v>32</v>
      </c>
      <c r="DF234" s="18" t="s">
        <v>32</v>
      </c>
      <c r="DG234" s="19" t="s">
        <v>32</v>
      </c>
      <c r="DH234" s="17" t="s">
        <v>32</v>
      </c>
      <c r="DI234" s="20">
        <v>7</v>
      </c>
      <c r="DJ234"/>
    </row>
    <row r="235" spans="2:114" ht="15" customHeight="1">
      <c r="B235" s="11" t="s">
        <v>32</v>
      </c>
      <c r="C235" s="7" t="s">
        <v>32</v>
      </c>
      <c r="D235" s="9" t="s">
        <v>32</v>
      </c>
      <c r="E235" s="8" t="s">
        <v>32</v>
      </c>
      <c r="F235" s="7" t="s">
        <v>32</v>
      </c>
      <c r="G235" s="9" t="s">
        <v>32</v>
      </c>
      <c r="H235" s="8" t="s">
        <v>32</v>
      </c>
      <c r="I235" s="7" t="s">
        <v>32</v>
      </c>
      <c r="J235" s="10" t="s">
        <v>32</v>
      </c>
      <c r="K235" s="11" t="s">
        <v>32</v>
      </c>
      <c r="L235" s="7" t="s">
        <v>32</v>
      </c>
      <c r="M235" s="9" t="s">
        <v>32</v>
      </c>
      <c r="N235" s="8" t="s">
        <v>32</v>
      </c>
      <c r="O235" s="7" t="s">
        <v>32</v>
      </c>
      <c r="P235" s="9" t="s">
        <v>32</v>
      </c>
      <c r="Q235" s="8" t="s">
        <v>32</v>
      </c>
      <c r="R235" s="7" t="s">
        <v>32</v>
      </c>
      <c r="S235" s="10" t="s">
        <v>32</v>
      </c>
      <c r="T235" s="11" t="s">
        <v>32</v>
      </c>
      <c r="U235" s="7" t="s">
        <v>32</v>
      </c>
      <c r="V235" s="9" t="s">
        <v>32</v>
      </c>
      <c r="W235" s="8" t="s">
        <v>32</v>
      </c>
      <c r="X235" s="7" t="s">
        <v>32</v>
      </c>
      <c r="Y235" s="9" t="s">
        <v>32</v>
      </c>
      <c r="Z235" s="8">
        <v>0</v>
      </c>
      <c r="AA235" s="7" t="s">
        <v>32</v>
      </c>
      <c r="AB235" s="10" t="s">
        <v>32</v>
      </c>
      <c r="AD235" s="11" t="s">
        <v>32</v>
      </c>
      <c r="AE235" s="7" t="s">
        <v>32</v>
      </c>
      <c r="AF235" s="9" t="s">
        <v>32</v>
      </c>
      <c r="AG235" s="8" t="s">
        <v>32</v>
      </c>
      <c r="AH235" s="7" t="s">
        <v>32</v>
      </c>
      <c r="AI235" s="9" t="s">
        <v>32</v>
      </c>
      <c r="AJ235" s="8" t="s">
        <v>32</v>
      </c>
      <c r="AK235" s="7" t="s">
        <v>32</v>
      </c>
      <c r="AL235" s="10" t="s">
        <v>32</v>
      </c>
      <c r="AM235" s="11" t="s">
        <v>32</v>
      </c>
      <c r="AN235" s="7" t="s">
        <v>32</v>
      </c>
      <c r="AO235" s="9" t="s">
        <v>32</v>
      </c>
      <c r="AP235" s="8" t="s">
        <v>32</v>
      </c>
      <c r="AQ235" s="7" t="s">
        <v>32</v>
      </c>
      <c r="AR235" s="9" t="s">
        <v>32</v>
      </c>
      <c r="AS235" s="8" t="s">
        <v>32</v>
      </c>
      <c r="AT235" s="7" t="s">
        <v>32</v>
      </c>
      <c r="AU235" s="10" t="s">
        <v>32</v>
      </c>
      <c r="AV235" s="11" t="s">
        <v>32</v>
      </c>
      <c r="AW235" s="7" t="s">
        <v>32</v>
      </c>
      <c r="AX235" s="9" t="s">
        <v>32</v>
      </c>
      <c r="AY235" s="8" t="s">
        <v>32</v>
      </c>
      <c r="AZ235" s="7" t="s">
        <v>32</v>
      </c>
      <c r="BA235" s="9" t="s">
        <v>32</v>
      </c>
      <c r="BB235" s="8">
        <v>5</v>
      </c>
      <c r="BC235" s="7" t="s">
        <v>32</v>
      </c>
      <c r="BD235" s="10" t="s">
        <v>32</v>
      </c>
      <c r="BG235" s="11" t="s">
        <v>32</v>
      </c>
      <c r="BH235" s="7" t="s">
        <v>32</v>
      </c>
      <c r="BI235" s="9" t="s">
        <v>32</v>
      </c>
      <c r="BJ235" s="8" t="s">
        <v>32</v>
      </c>
      <c r="BK235" s="7" t="s">
        <v>32</v>
      </c>
      <c r="BL235" s="9" t="s">
        <v>32</v>
      </c>
      <c r="BM235" s="8" t="s">
        <v>32</v>
      </c>
      <c r="BN235" s="7" t="s">
        <v>32</v>
      </c>
      <c r="BO235" s="10" t="s">
        <v>32</v>
      </c>
      <c r="BP235" s="11" t="s">
        <v>32</v>
      </c>
      <c r="BQ235" s="7" t="s">
        <v>32</v>
      </c>
      <c r="BR235" s="9" t="s">
        <v>32</v>
      </c>
      <c r="BS235" s="8" t="s">
        <v>32</v>
      </c>
      <c r="BT235" s="7" t="s">
        <v>32</v>
      </c>
      <c r="BU235" s="9">
        <v>0</v>
      </c>
      <c r="BV235" s="8" t="s">
        <v>32</v>
      </c>
      <c r="BW235" s="7" t="s">
        <v>32</v>
      </c>
      <c r="BX235" s="10" t="s">
        <v>32</v>
      </c>
      <c r="BY235" s="11" t="s">
        <v>32</v>
      </c>
      <c r="BZ235" s="7" t="s">
        <v>32</v>
      </c>
      <c r="CA235" s="9" t="s">
        <v>32</v>
      </c>
      <c r="CB235" s="8" t="s">
        <v>32</v>
      </c>
      <c r="CC235" s="7" t="s">
        <v>32</v>
      </c>
      <c r="CD235" s="9" t="s">
        <v>32</v>
      </c>
      <c r="CE235" s="8" t="s">
        <v>32</v>
      </c>
      <c r="CF235" s="7" t="s">
        <v>32</v>
      </c>
      <c r="CG235" s="10" t="s">
        <v>32</v>
      </c>
      <c r="CI235" s="11" t="s">
        <v>32</v>
      </c>
      <c r="CJ235" s="7" t="s">
        <v>32</v>
      </c>
      <c r="CK235" s="9" t="s">
        <v>32</v>
      </c>
      <c r="CL235" s="8" t="s">
        <v>32</v>
      </c>
      <c r="CM235" s="7" t="s">
        <v>32</v>
      </c>
      <c r="CN235" s="9" t="s">
        <v>32</v>
      </c>
      <c r="CO235" s="8" t="s">
        <v>32</v>
      </c>
      <c r="CP235" s="7" t="s">
        <v>32</v>
      </c>
      <c r="CQ235" s="10" t="s">
        <v>32</v>
      </c>
      <c r="CR235" s="11" t="s">
        <v>32</v>
      </c>
      <c r="CS235" s="7" t="s">
        <v>32</v>
      </c>
      <c r="CT235" s="9" t="s">
        <v>32</v>
      </c>
      <c r="CU235" s="8" t="s">
        <v>32</v>
      </c>
      <c r="CV235" s="7" t="s">
        <v>32</v>
      </c>
      <c r="CW235" s="9">
        <v>9</v>
      </c>
      <c r="CX235" s="8" t="s">
        <v>32</v>
      </c>
      <c r="CY235" s="7" t="s">
        <v>32</v>
      </c>
      <c r="CZ235" s="10" t="s">
        <v>32</v>
      </c>
      <c r="DA235" s="11" t="s">
        <v>32</v>
      </c>
      <c r="DB235" s="7" t="s">
        <v>32</v>
      </c>
      <c r="DC235" s="9" t="s">
        <v>32</v>
      </c>
      <c r="DD235" s="8" t="s">
        <v>32</v>
      </c>
      <c r="DE235" s="7" t="s">
        <v>32</v>
      </c>
      <c r="DF235" s="9" t="s">
        <v>32</v>
      </c>
      <c r="DG235" s="8" t="s">
        <v>32</v>
      </c>
      <c r="DH235" s="7" t="s">
        <v>32</v>
      </c>
      <c r="DI235" s="10" t="s">
        <v>32</v>
      </c>
      <c r="DJ235"/>
    </row>
    <row r="236" spans="2:114" ht="15" customHeight="1">
      <c r="B236" s="12" t="s">
        <v>32</v>
      </c>
      <c r="C236" s="13" t="s">
        <v>32</v>
      </c>
      <c r="D236" s="15" t="s">
        <v>32</v>
      </c>
      <c r="E236" s="14" t="s">
        <v>32</v>
      </c>
      <c r="F236" s="13" t="s">
        <v>32</v>
      </c>
      <c r="G236" s="15" t="s">
        <v>32</v>
      </c>
      <c r="H236" s="14" t="s">
        <v>32</v>
      </c>
      <c r="I236" s="13" t="s">
        <v>32</v>
      </c>
      <c r="J236" s="1" t="s">
        <v>32</v>
      </c>
      <c r="K236" s="12" t="s">
        <v>32</v>
      </c>
      <c r="L236" s="13" t="s">
        <v>32</v>
      </c>
      <c r="M236" s="15" t="s">
        <v>32</v>
      </c>
      <c r="N236" s="14" t="s">
        <v>32</v>
      </c>
      <c r="O236" s="13" t="s">
        <v>32</v>
      </c>
      <c r="P236" s="15" t="s">
        <v>32</v>
      </c>
      <c r="Q236" s="14" t="s">
        <v>32</v>
      </c>
      <c r="R236" s="13" t="s">
        <v>32</v>
      </c>
      <c r="S236" s="1" t="s">
        <v>32</v>
      </c>
      <c r="T236" s="12" t="s">
        <v>32</v>
      </c>
      <c r="U236" s="13" t="s">
        <v>32</v>
      </c>
      <c r="V236" s="15" t="s">
        <v>32</v>
      </c>
      <c r="W236" s="14" t="s">
        <v>32</v>
      </c>
      <c r="X236" s="13" t="s">
        <v>32</v>
      </c>
      <c r="Y236" s="15" t="s">
        <v>32</v>
      </c>
      <c r="Z236" s="14" t="s">
        <v>32</v>
      </c>
      <c r="AA236" s="13">
        <v>0</v>
      </c>
      <c r="AB236" s="1" t="s">
        <v>32</v>
      </c>
      <c r="AD236" s="12" t="s">
        <v>32</v>
      </c>
      <c r="AE236" s="13" t="s">
        <v>32</v>
      </c>
      <c r="AF236" s="15" t="s">
        <v>32</v>
      </c>
      <c r="AG236" s="14" t="s">
        <v>32</v>
      </c>
      <c r="AH236" s="13" t="s">
        <v>32</v>
      </c>
      <c r="AI236" s="15" t="s">
        <v>32</v>
      </c>
      <c r="AJ236" s="14" t="s">
        <v>32</v>
      </c>
      <c r="AK236" s="13" t="s">
        <v>32</v>
      </c>
      <c r="AL236" s="1" t="s">
        <v>32</v>
      </c>
      <c r="AM236" s="12" t="s">
        <v>32</v>
      </c>
      <c r="AN236" s="13" t="s">
        <v>32</v>
      </c>
      <c r="AO236" s="15" t="s">
        <v>32</v>
      </c>
      <c r="AP236" s="14" t="s">
        <v>32</v>
      </c>
      <c r="AQ236" s="13" t="s">
        <v>32</v>
      </c>
      <c r="AR236" s="15" t="s">
        <v>32</v>
      </c>
      <c r="AS236" s="14" t="s">
        <v>32</v>
      </c>
      <c r="AT236" s="13" t="s">
        <v>32</v>
      </c>
      <c r="AU236" s="1" t="s">
        <v>32</v>
      </c>
      <c r="AV236" s="12" t="s">
        <v>32</v>
      </c>
      <c r="AW236" s="13" t="s">
        <v>32</v>
      </c>
      <c r="AX236" s="15" t="s">
        <v>32</v>
      </c>
      <c r="AY236" s="14" t="s">
        <v>32</v>
      </c>
      <c r="AZ236" s="13" t="s">
        <v>32</v>
      </c>
      <c r="BA236" s="15" t="s">
        <v>32</v>
      </c>
      <c r="BB236" s="14" t="s">
        <v>32</v>
      </c>
      <c r="BC236" s="13">
        <v>3</v>
      </c>
      <c r="BD236" s="1" t="s">
        <v>32</v>
      </c>
      <c r="BG236" s="12" t="s">
        <v>32</v>
      </c>
      <c r="BH236" s="13" t="s">
        <v>32</v>
      </c>
      <c r="BI236" s="15" t="s">
        <v>32</v>
      </c>
      <c r="BJ236" s="14" t="s">
        <v>32</v>
      </c>
      <c r="BK236" s="13" t="s">
        <v>32</v>
      </c>
      <c r="BL236" s="15" t="s">
        <v>32</v>
      </c>
      <c r="BM236" s="14" t="s">
        <v>32</v>
      </c>
      <c r="BN236" s="13" t="s">
        <v>32</v>
      </c>
      <c r="BO236" s="1" t="s">
        <v>32</v>
      </c>
      <c r="BP236" s="12" t="s">
        <v>32</v>
      </c>
      <c r="BQ236" s="13" t="s">
        <v>32</v>
      </c>
      <c r="BR236" s="15" t="s">
        <v>32</v>
      </c>
      <c r="BS236" s="14" t="s">
        <v>32</v>
      </c>
      <c r="BT236" s="13" t="s">
        <v>32</v>
      </c>
      <c r="BU236" s="15" t="s">
        <v>32</v>
      </c>
      <c r="BV236" s="14" t="s">
        <v>32</v>
      </c>
      <c r="BW236" s="13" t="s">
        <v>32</v>
      </c>
      <c r="BX236" s="1" t="s">
        <v>32</v>
      </c>
      <c r="BY236" s="12" t="s">
        <v>32</v>
      </c>
      <c r="BZ236" s="13" t="s">
        <v>32</v>
      </c>
      <c r="CA236" s="15" t="s">
        <v>32</v>
      </c>
      <c r="CB236" s="14" t="s">
        <v>32</v>
      </c>
      <c r="CC236" s="13" t="s">
        <v>32</v>
      </c>
      <c r="CD236" s="15" t="s">
        <v>32</v>
      </c>
      <c r="CE236" s="14" t="s">
        <v>32</v>
      </c>
      <c r="CF236" s="13" t="s">
        <v>32</v>
      </c>
      <c r="CG236" s="1" t="s">
        <v>32</v>
      </c>
      <c r="CI236" s="12" t="s">
        <v>32</v>
      </c>
      <c r="CJ236" s="13" t="s">
        <v>32</v>
      </c>
      <c r="CK236" s="15" t="s">
        <v>32</v>
      </c>
      <c r="CL236" s="14" t="s">
        <v>32</v>
      </c>
      <c r="CM236" s="13" t="s">
        <v>32</v>
      </c>
      <c r="CN236" s="15" t="s">
        <v>32</v>
      </c>
      <c r="CO236" s="14" t="s">
        <v>32</v>
      </c>
      <c r="CP236" s="13" t="s">
        <v>32</v>
      </c>
      <c r="CQ236" s="1" t="s">
        <v>32</v>
      </c>
      <c r="CR236" s="12" t="s">
        <v>32</v>
      </c>
      <c r="CS236" s="13" t="s">
        <v>32</v>
      </c>
      <c r="CT236" s="15" t="s">
        <v>32</v>
      </c>
      <c r="CU236" s="14" t="s">
        <v>32</v>
      </c>
      <c r="CV236" s="13" t="s">
        <v>32</v>
      </c>
      <c r="CW236" s="15" t="s">
        <v>32</v>
      </c>
      <c r="CX236" s="14" t="s">
        <v>32</v>
      </c>
      <c r="CY236" s="13" t="s">
        <v>32</v>
      </c>
      <c r="CZ236" s="1" t="s">
        <v>32</v>
      </c>
      <c r="DA236" s="12" t="s">
        <v>32</v>
      </c>
      <c r="DB236" s="13" t="s">
        <v>32</v>
      </c>
      <c r="DC236" s="15" t="s">
        <v>32</v>
      </c>
      <c r="DD236" s="14" t="s">
        <v>32</v>
      </c>
      <c r="DE236" s="13" t="s">
        <v>32</v>
      </c>
      <c r="DF236" s="15" t="s">
        <v>32</v>
      </c>
      <c r="DG236" s="14" t="s">
        <v>32</v>
      </c>
      <c r="DH236" s="13" t="s">
        <v>32</v>
      </c>
      <c r="DI236" s="1" t="s">
        <v>32</v>
      </c>
      <c r="DJ236"/>
    </row>
    <row r="237" spans="2:114" ht="15" customHeight="1">
      <c r="B237" s="16" t="s">
        <v>32</v>
      </c>
      <c r="C237" s="17" t="s">
        <v>32</v>
      </c>
      <c r="D237" s="18" t="s">
        <v>32</v>
      </c>
      <c r="E237" s="19" t="s">
        <v>32</v>
      </c>
      <c r="F237" s="17" t="s">
        <v>32</v>
      </c>
      <c r="G237" s="18" t="s">
        <v>32</v>
      </c>
      <c r="H237" s="19" t="s">
        <v>32</v>
      </c>
      <c r="I237" s="17" t="s">
        <v>32</v>
      </c>
      <c r="J237" s="20" t="s">
        <v>32</v>
      </c>
      <c r="K237" s="16" t="s">
        <v>32</v>
      </c>
      <c r="L237" s="17" t="s">
        <v>32</v>
      </c>
      <c r="M237" s="18" t="s">
        <v>32</v>
      </c>
      <c r="N237" s="19" t="s">
        <v>32</v>
      </c>
      <c r="O237" s="17" t="s">
        <v>32</v>
      </c>
      <c r="P237" s="18" t="s">
        <v>32</v>
      </c>
      <c r="Q237" s="19" t="s">
        <v>32</v>
      </c>
      <c r="R237" s="17" t="s">
        <v>32</v>
      </c>
      <c r="S237" s="20" t="s">
        <v>32</v>
      </c>
      <c r="T237" s="16" t="s">
        <v>32</v>
      </c>
      <c r="U237" s="17" t="s">
        <v>32</v>
      </c>
      <c r="V237" s="18" t="s">
        <v>32</v>
      </c>
      <c r="W237" s="19" t="s">
        <v>32</v>
      </c>
      <c r="X237" s="17" t="s">
        <v>32</v>
      </c>
      <c r="Y237" s="18" t="s">
        <v>32</v>
      </c>
      <c r="Z237" s="19" t="s">
        <v>32</v>
      </c>
      <c r="AA237" s="17" t="s">
        <v>32</v>
      </c>
      <c r="AB237" s="20">
        <v>0</v>
      </c>
      <c r="AD237" s="16" t="s">
        <v>32</v>
      </c>
      <c r="AE237" s="17" t="s">
        <v>32</v>
      </c>
      <c r="AF237" s="18" t="s">
        <v>32</v>
      </c>
      <c r="AG237" s="19" t="s">
        <v>32</v>
      </c>
      <c r="AH237" s="17" t="s">
        <v>32</v>
      </c>
      <c r="AI237" s="18" t="s">
        <v>32</v>
      </c>
      <c r="AJ237" s="19" t="s">
        <v>32</v>
      </c>
      <c r="AK237" s="17" t="s">
        <v>32</v>
      </c>
      <c r="AL237" s="20" t="s">
        <v>32</v>
      </c>
      <c r="AM237" s="16" t="s">
        <v>32</v>
      </c>
      <c r="AN237" s="17" t="s">
        <v>32</v>
      </c>
      <c r="AO237" s="18" t="s">
        <v>32</v>
      </c>
      <c r="AP237" s="19" t="s">
        <v>32</v>
      </c>
      <c r="AQ237" s="17" t="s">
        <v>32</v>
      </c>
      <c r="AR237" s="18" t="s">
        <v>32</v>
      </c>
      <c r="AS237" s="19" t="s">
        <v>32</v>
      </c>
      <c r="AT237" s="17" t="s">
        <v>32</v>
      </c>
      <c r="AU237" s="20" t="s">
        <v>32</v>
      </c>
      <c r="AV237" s="16" t="s">
        <v>32</v>
      </c>
      <c r="AW237" s="17" t="s">
        <v>32</v>
      </c>
      <c r="AX237" s="18" t="s">
        <v>32</v>
      </c>
      <c r="AY237" s="19" t="s">
        <v>32</v>
      </c>
      <c r="AZ237" s="17" t="s">
        <v>32</v>
      </c>
      <c r="BA237" s="18" t="s">
        <v>32</v>
      </c>
      <c r="BB237" s="19" t="s">
        <v>32</v>
      </c>
      <c r="BC237" s="17" t="s">
        <v>32</v>
      </c>
      <c r="BD237" s="20">
        <v>8</v>
      </c>
      <c r="BG237" s="16" t="s">
        <v>32</v>
      </c>
      <c r="BH237" s="17" t="s">
        <v>32</v>
      </c>
      <c r="BI237" s="18" t="s">
        <v>32</v>
      </c>
      <c r="BJ237" s="19" t="s">
        <v>32</v>
      </c>
      <c r="BK237" s="17" t="s">
        <v>32</v>
      </c>
      <c r="BL237" s="18" t="s">
        <v>32</v>
      </c>
      <c r="BM237" s="19" t="s">
        <v>32</v>
      </c>
      <c r="BN237" s="17" t="s">
        <v>32</v>
      </c>
      <c r="BO237" s="20" t="s">
        <v>32</v>
      </c>
      <c r="BP237" s="16" t="s">
        <v>32</v>
      </c>
      <c r="BQ237" s="17" t="s">
        <v>32</v>
      </c>
      <c r="BR237" s="18" t="s">
        <v>32</v>
      </c>
      <c r="BS237" s="19" t="s">
        <v>32</v>
      </c>
      <c r="BT237" s="17" t="s">
        <v>32</v>
      </c>
      <c r="BU237" s="18" t="s">
        <v>32</v>
      </c>
      <c r="BV237" s="19" t="s">
        <v>32</v>
      </c>
      <c r="BW237" s="17" t="s">
        <v>32</v>
      </c>
      <c r="BX237" s="20" t="s">
        <v>32</v>
      </c>
      <c r="BY237" s="16" t="s">
        <v>32</v>
      </c>
      <c r="BZ237" s="17" t="s">
        <v>32</v>
      </c>
      <c r="CA237" s="18" t="s">
        <v>32</v>
      </c>
      <c r="CB237" s="19" t="s">
        <v>32</v>
      </c>
      <c r="CC237" s="17" t="s">
        <v>32</v>
      </c>
      <c r="CD237" s="18" t="s">
        <v>32</v>
      </c>
      <c r="CE237" s="19" t="s">
        <v>32</v>
      </c>
      <c r="CF237" s="17" t="s">
        <v>32</v>
      </c>
      <c r="CG237" s="20" t="s">
        <v>32</v>
      </c>
      <c r="CI237" s="16" t="s">
        <v>32</v>
      </c>
      <c r="CJ237" s="17" t="s">
        <v>32</v>
      </c>
      <c r="CK237" s="18" t="s">
        <v>32</v>
      </c>
      <c r="CL237" s="19" t="s">
        <v>32</v>
      </c>
      <c r="CM237" s="17" t="s">
        <v>32</v>
      </c>
      <c r="CN237" s="18" t="s">
        <v>32</v>
      </c>
      <c r="CO237" s="19" t="s">
        <v>32</v>
      </c>
      <c r="CP237" s="17" t="s">
        <v>32</v>
      </c>
      <c r="CQ237" s="20" t="s">
        <v>32</v>
      </c>
      <c r="CR237" s="16" t="s">
        <v>32</v>
      </c>
      <c r="CS237" s="17" t="s">
        <v>32</v>
      </c>
      <c r="CT237" s="18" t="s">
        <v>32</v>
      </c>
      <c r="CU237" s="19" t="s">
        <v>32</v>
      </c>
      <c r="CV237" s="17" t="s">
        <v>32</v>
      </c>
      <c r="CW237" s="18" t="s">
        <v>32</v>
      </c>
      <c r="CX237" s="19" t="s">
        <v>32</v>
      </c>
      <c r="CY237" s="17" t="s">
        <v>32</v>
      </c>
      <c r="CZ237" s="20" t="s">
        <v>32</v>
      </c>
      <c r="DA237" s="16" t="s">
        <v>32</v>
      </c>
      <c r="DB237" s="17" t="s">
        <v>32</v>
      </c>
      <c r="DC237" s="18" t="s">
        <v>32</v>
      </c>
      <c r="DD237" s="19" t="s">
        <v>32</v>
      </c>
      <c r="DE237" s="17" t="s">
        <v>32</v>
      </c>
      <c r="DF237" s="18" t="s">
        <v>32</v>
      </c>
      <c r="DG237" s="19" t="s">
        <v>32</v>
      </c>
      <c r="DH237" s="17" t="s">
        <v>32</v>
      </c>
      <c r="DI237" s="20" t="s">
        <v>32</v>
      </c>
      <c r="DJ237"/>
    </row>
    <row r="238" spans="2:114" ht="15" customHeight="1">
      <c r="B238" s="11" t="s">
        <v>32</v>
      </c>
      <c r="C238" s="7" t="s">
        <v>32</v>
      </c>
      <c r="D238" s="9" t="s">
        <v>32</v>
      </c>
      <c r="E238" s="8" t="s">
        <v>32</v>
      </c>
      <c r="F238" s="7" t="s">
        <v>32</v>
      </c>
      <c r="G238" s="9" t="s">
        <v>32</v>
      </c>
      <c r="H238" s="8" t="s">
        <v>32</v>
      </c>
      <c r="I238" s="7" t="s">
        <v>32</v>
      </c>
      <c r="J238" s="10" t="s">
        <v>32</v>
      </c>
      <c r="K238" s="11" t="s">
        <v>32</v>
      </c>
      <c r="L238" s="7" t="s">
        <v>32</v>
      </c>
      <c r="M238" s="9" t="s">
        <v>32</v>
      </c>
      <c r="N238" s="8" t="s">
        <v>32</v>
      </c>
      <c r="O238" s="7" t="s">
        <v>32</v>
      </c>
      <c r="P238" s="9" t="s">
        <v>32</v>
      </c>
      <c r="Q238" s="8" t="s">
        <v>32</v>
      </c>
      <c r="R238" s="7" t="s">
        <v>32</v>
      </c>
      <c r="S238" s="10" t="s">
        <v>32</v>
      </c>
      <c r="T238" s="11" t="s">
        <v>32</v>
      </c>
      <c r="U238" s="7" t="s">
        <v>32</v>
      </c>
      <c r="V238" s="9" t="s">
        <v>32</v>
      </c>
      <c r="W238" s="8" t="s">
        <v>32</v>
      </c>
      <c r="X238" s="7" t="s">
        <v>32</v>
      </c>
      <c r="Y238" s="9" t="s">
        <v>32</v>
      </c>
      <c r="Z238" s="8" t="s">
        <v>32</v>
      </c>
      <c r="AA238" s="7" t="s">
        <v>32</v>
      </c>
      <c r="AB238" s="10" t="s">
        <v>32</v>
      </c>
      <c r="AD238" s="11" t="s">
        <v>32</v>
      </c>
      <c r="AE238" s="7" t="s">
        <v>32</v>
      </c>
      <c r="AF238" s="9" t="s">
        <v>32</v>
      </c>
      <c r="AG238" s="8" t="s">
        <v>32</v>
      </c>
      <c r="AH238" s="7" t="s">
        <v>32</v>
      </c>
      <c r="AI238" s="9" t="s">
        <v>32</v>
      </c>
      <c r="AJ238" s="8" t="s">
        <v>32</v>
      </c>
      <c r="AK238" s="7" t="s">
        <v>32</v>
      </c>
      <c r="AL238" s="10" t="s">
        <v>32</v>
      </c>
      <c r="AM238" s="11" t="s">
        <v>32</v>
      </c>
      <c r="AN238" s="7" t="s">
        <v>32</v>
      </c>
      <c r="AO238" s="9" t="s">
        <v>32</v>
      </c>
      <c r="AP238" s="8" t="s">
        <v>32</v>
      </c>
      <c r="AQ238" s="7" t="s">
        <v>32</v>
      </c>
      <c r="AR238" s="9" t="s">
        <v>32</v>
      </c>
      <c r="AS238" s="8" t="s">
        <v>32</v>
      </c>
      <c r="AT238" s="7" t="s">
        <v>32</v>
      </c>
      <c r="AU238" s="10" t="s">
        <v>32</v>
      </c>
      <c r="AV238" s="11" t="s">
        <v>32</v>
      </c>
      <c r="AW238" s="7" t="s">
        <v>32</v>
      </c>
      <c r="AX238" s="9" t="s">
        <v>32</v>
      </c>
      <c r="AY238" s="8" t="s">
        <v>32</v>
      </c>
      <c r="AZ238" s="7" t="s">
        <v>32</v>
      </c>
      <c r="BA238" s="9" t="s">
        <v>32</v>
      </c>
      <c r="BB238" s="8" t="s">
        <v>32</v>
      </c>
      <c r="BC238" s="7" t="s">
        <v>32</v>
      </c>
      <c r="BD238" s="10" t="s">
        <v>32</v>
      </c>
      <c r="BG238" s="11" t="s">
        <v>32</v>
      </c>
      <c r="BH238" s="7" t="s">
        <v>32</v>
      </c>
      <c r="BI238" s="9" t="s">
        <v>32</v>
      </c>
      <c r="BJ238" s="8" t="s">
        <v>32</v>
      </c>
      <c r="BK238" s="7" t="s">
        <v>32</v>
      </c>
      <c r="BL238" s="9" t="s">
        <v>32</v>
      </c>
      <c r="BM238" s="8" t="s">
        <v>32</v>
      </c>
      <c r="BN238" s="7" t="s">
        <v>32</v>
      </c>
      <c r="BO238" s="10" t="s">
        <v>32</v>
      </c>
      <c r="BP238" s="11" t="s">
        <v>32</v>
      </c>
      <c r="BQ238" s="7" t="s">
        <v>32</v>
      </c>
      <c r="BR238" s="9" t="s">
        <v>32</v>
      </c>
      <c r="BS238" s="8" t="s">
        <v>32</v>
      </c>
      <c r="BT238" s="7" t="s">
        <v>32</v>
      </c>
      <c r="BU238" s="9" t="s">
        <v>32</v>
      </c>
      <c r="BV238" s="8" t="s">
        <v>32</v>
      </c>
      <c r="BW238" s="7" t="s">
        <v>32</v>
      </c>
      <c r="BX238" s="10" t="s">
        <v>32</v>
      </c>
      <c r="BY238" s="11" t="s">
        <v>32</v>
      </c>
      <c r="BZ238" s="7" t="s">
        <v>32</v>
      </c>
      <c r="CA238" s="9" t="s">
        <v>32</v>
      </c>
      <c r="CB238" s="8" t="s">
        <v>32</v>
      </c>
      <c r="CC238" s="7" t="s">
        <v>32</v>
      </c>
      <c r="CD238" s="9" t="s">
        <v>32</v>
      </c>
      <c r="CE238" s="8" t="s">
        <v>32</v>
      </c>
      <c r="CF238" s="7" t="s">
        <v>32</v>
      </c>
      <c r="CG238" s="10" t="s">
        <v>32</v>
      </c>
      <c r="CI238" s="11" t="s">
        <v>32</v>
      </c>
      <c r="CJ238" s="7" t="s">
        <v>32</v>
      </c>
      <c r="CK238" s="9" t="s">
        <v>32</v>
      </c>
      <c r="CL238" s="8" t="s">
        <v>32</v>
      </c>
      <c r="CM238" s="7" t="s">
        <v>32</v>
      </c>
      <c r="CN238" s="9" t="s">
        <v>32</v>
      </c>
      <c r="CO238" s="8" t="s">
        <v>32</v>
      </c>
      <c r="CP238" s="7" t="s">
        <v>32</v>
      </c>
      <c r="CQ238" s="10" t="s">
        <v>32</v>
      </c>
      <c r="CR238" s="11" t="s">
        <v>32</v>
      </c>
      <c r="CS238" s="7" t="s">
        <v>32</v>
      </c>
      <c r="CT238" s="9" t="s">
        <v>32</v>
      </c>
      <c r="CU238" s="8" t="s">
        <v>32</v>
      </c>
      <c r="CV238" s="7" t="s">
        <v>32</v>
      </c>
      <c r="CW238" s="9" t="s">
        <v>32</v>
      </c>
      <c r="CX238" s="8" t="s">
        <v>32</v>
      </c>
      <c r="CY238" s="7" t="s">
        <v>32</v>
      </c>
      <c r="CZ238" s="10" t="s">
        <v>32</v>
      </c>
      <c r="DA238" s="11" t="s">
        <v>32</v>
      </c>
      <c r="DB238" s="7" t="s">
        <v>32</v>
      </c>
      <c r="DC238" s="9" t="s">
        <v>32</v>
      </c>
      <c r="DD238" s="8" t="s">
        <v>32</v>
      </c>
      <c r="DE238" s="7" t="s">
        <v>32</v>
      </c>
      <c r="DF238" s="9" t="s">
        <v>32</v>
      </c>
      <c r="DG238" s="8" t="s">
        <v>32</v>
      </c>
      <c r="DH238" s="7" t="s">
        <v>32</v>
      </c>
      <c r="DI238" s="10" t="s">
        <v>32</v>
      </c>
      <c r="DJ238"/>
    </row>
    <row r="239" spans="2:114" ht="15" customHeight="1" thickBot="1">
      <c r="B239" s="21" t="s">
        <v>32</v>
      </c>
      <c r="C239" s="22" t="s">
        <v>32</v>
      </c>
      <c r="D239" s="23" t="s">
        <v>32</v>
      </c>
      <c r="E239" s="24" t="s">
        <v>32</v>
      </c>
      <c r="F239" s="22" t="s">
        <v>32</v>
      </c>
      <c r="G239" s="23" t="s">
        <v>32</v>
      </c>
      <c r="H239" s="24" t="s">
        <v>32</v>
      </c>
      <c r="I239" s="22" t="s">
        <v>32</v>
      </c>
      <c r="J239" s="25" t="s">
        <v>32</v>
      </c>
      <c r="K239" s="21" t="s">
        <v>32</v>
      </c>
      <c r="L239" s="22" t="s">
        <v>32</v>
      </c>
      <c r="M239" s="23" t="s">
        <v>32</v>
      </c>
      <c r="N239" s="24" t="s">
        <v>32</v>
      </c>
      <c r="O239" s="22" t="s">
        <v>32</v>
      </c>
      <c r="P239" s="23" t="s">
        <v>32</v>
      </c>
      <c r="Q239" s="24" t="s">
        <v>32</v>
      </c>
      <c r="R239" s="22" t="s">
        <v>32</v>
      </c>
      <c r="S239" s="25" t="s">
        <v>32</v>
      </c>
      <c r="T239" s="21" t="s">
        <v>32</v>
      </c>
      <c r="U239" s="22" t="s">
        <v>32</v>
      </c>
      <c r="V239" s="23" t="s">
        <v>32</v>
      </c>
      <c r="W239" s="24" t="s">
        <v>32</v>
      </c>
      <c r="X239" s="22" t="s">
        <v>32</v>
      </c>
      <c r="Y239" s="23" t="s">
        <v>32</v>
      </c>
      <c r="Z239" s="24" t="s">
        <v>32</v>
      </c>
      <c r="AA239" s="22" t="s">
        <v>32</v>
      </c>
      <c r="AB239" s="25" t="s">
        <v>32</v>
      </c>
      <c r="AD239" s="21" t="s">
        <v>32</v>
      </c>
      <c r="AE239" s="22" t="s">
        <v>32</v>
      </c>
      <c r="AF239" s="23" t="s">
        <v>32</v>
      </c>
      <c r="AG239" s="24" t="s">
        <v>32</v>
      </c>
      <c r="AH239" s="22" t="s">
        <v>32</v>
      </c>
      <c r="AI239" s="23" t="s">
        <v>32</v>
      </c>
      <c r="AJ239" s="24" t="s">
        <v>32</v>
      </c>
      <c r="AK239" s="22" t="s">
        <v>32</v>
      </c>
      <c r="AL239" s="25" t="s">
        <v>32</v>
      </c>
      <c r="AM239" s="21" t="s">
        <v>32</v>
      </c>
      <c r="AN239" s="22" t="s">
        <v>32</v>
      </c>
      <c r="AO239" s="23" t="s">
        <v>32</v>
      </c>
      <c r="AP239" s="24" t="s">
        <v>32</v>
      </c>
      <c r="AQ239" s="22" t="s">
        <v>32</v>
      </c>
      <c r="AR239" s="23" t="s">
        <v>32</v>
      </c>
      <c r="AS239" s="24" t="s">
        <v>32</v>
      </c>
      <c r="AT239" s="22" t="s">
        <v>32</v>
      </c>
      <c r="AU239" s="25" t="s">
        <v>32</v>
      </c>
      <c r="AV239" s="21" t="s">
        <v>32</v>
      </c>
      <c r="AW239" s="22" t="s">
        <v>32</v>
      </c>
      <c r="AX239" s="23" t="s">
        <v>32</v>
      </c>
      <c r="AY239" s="24" t="s">
        <v>32</v>
      </c>
      <c r="AZ239" s="22" t="s">
        <v>32</v>
      </c>
      <c r="BA239" s="23" t="s">
        <v>32</v>
      </c>
      <c r="BB239" s="24" t="s">
        <v>32</v>
      </c>
      <c r="BC239" s="22" t="s">
        <v>32</v>
      </c>
      <c r="BD239" s="25" t="s">
        <v>32</v>
      </c>
      <c r="BG239" s="21" t="s">
        <v>32</v>
      </c>
      <c r="BH239" s="22" t="s">
        <v>32</v>
      </c>
      <c r="BI239" s="23" t="s">
        <v>32</v>
      </c>
      <c r="BJ239" s="24" t="s">
        <v>32</v>
      </c>
      <c r="BK239" s="22" t="s">
        <v>32</v>
      </c>
      <c r="BL239" s="23" t="s">
        <v>32</v>
      </c>
      <c r="BM239" s="24" t="s">
        <v>32</v>
      </c>
      <c r="BN239" s="22" t="s">
        <v>32</v>
      </c>
      <c r="BO239" s="25" t="s">
        <v>32</v>
      </c>
      <c r="BP239" s="21" t="s">
        <v>32</v>
      </c>
      <c r="BQ239" s="22" t="s">
        <v>32</v>
      </c>
      <c r="BR239" s="23" t="s">
        <v>32</v>
      </c>
      <c r="BS239" s="24" t="s">
        <v>32</v>
      </c>
      <c r="BT239" s="22" t="s">
        <v>32</v>
      </c>
      <c r="BU239" s="23" t="s">
        <v>32</v>
      </c>
      <c r="BV239" s="24" t="s">
        <v>32</v>
      </c>
      <c r="BW239" s="22" t="s">
        <v>32</v>
      </c>
      <c r="BX239" s="25" t="s">
        <v>32</v>
      </c>
      <c r="BY239" s="21" t="s">
        <v>32</v>
      </c>
      <c r="BZ239" s="22" t="s">
        <v>32</v>
      </c>
      <c r="CA239" s="23" t="s">
        <v>32</v>
      </c>
      <c r="CB239" s="24" t="s">
        <v>32</v>
      </c>
      <c r="CC239" s="22" t="s">
        <v>32</v>
      </c>
      <c r="CD239" s="23" t="s">
        <v>32</v>
      </c>
      <c r="CE239" s="24" t="s">
        <v>32</v>
      </c>
      <c r="CF239" s="22" t="s">
        <v>32</v>
      </c>
      <c r="CG239" s="25" t="s">
        <v>32</v>
      </c>
      <c r="CI239" s="21" t="s">
        <v>32</v>
      </c>
      <c r="CJ239" s="22" t="s">
        <v>32</v>
      </c>
      <c r="CK239" s="23" t="s">
        <v>32</v>
      </c>
      <c r="CL239" s="24" t="s">
        <v>32</v>
      </c>
      <c r="CM239" s="22" t="s">
        <v>32</v>
      </c>
      <c r="CN239" s="23" t="s">
        <v>32</v>
      </c>
      <c r="CO239" s="24" t="s">
        <v>32</v>
      </c>
      <c r="CP239" s="22" t="s">
        <v>32</v>
      </c>
      <c r="CQ239" s="25" t="s">
        <v>32</v>
      </c>
      <c r="CR239" s="21" t="s">
        <v>32</v>
      </c>
      <c r="CS239" s="22" t="s">
        <v>32</v>
      </c>
      <c r="CT239" s="23" t="s">
        <v>32</v>
      </c>
      <c r="CU239" s="24" t="s">
        <v>32</v>
      </c>
      <c r="CV239" s="22" t="s">
        <v>32</v>
      </c>
      <c r="CW239" s="23" t="s">
        <v>32</v>
      </c>
      <c r="CX239" s="24" t="s">
        <v>32</v>
      </c>
      <c r="CY239" s="22" t="s">
        <v>32</v>
      </c>
      <c r="CZ239" s="25" t="s">
        <v>32</v>
      </c>
      <c r="DA239" s="21" t="s">
        <v>32</v>
      </c>
      <c r="DB239" s="22" t="s">
        <v>32</v>
      </c>
      <c r="DC239" s="23" t="s">
        <v>32</v>
      </c>
      <c r="DD239" s="24" t="s">
        <v>32</v>
      </c>
      <c r="DE239" s="22" t="s">
        <v>32</v>
      </c>
      <c r="DF239" s="23" t="s">
        <v>32</v>
      </c>
      <c r="DG239" s="24" t="s">
        <v>32</v>
      </c>
      <c r="DH239" s="22" t="s">
        <v>32</v>
      </c>
      <c r="DI239" s="25" t="s">
        <v>32</v>
      </c>
      <c r="DJ239"/>
    </row>
    <row r="240" spans="2:114" ht="15" customHeight="1">
      <c r="B240" s="2" t="s">
        <v>32</v>
      </c>
      <c r="C240" s="5" t="s">
        <v>32</v>
      </c>
      <c r="D240" s="3" t="s">
        <v>32</v>
      </c>
      <c r="E240" s="4" t="s">
        <v>32</v>
      </c>
      <c r="F240" s="5" t="s">
        <v>32</v>
      </c>
      <c r="G240" s="3" t="s">
        <v>32</v>
      </c>
      <c r="H240" s="4" t="s">
        <v>32</v>
      </c>
      <c r="I240" s="5" t="s">
        <v>32</v>
      </c>
      <c r="J240" s="6" t="s">
        <v>32</v>
      </c>
      <c r="K240" s="2" t="s">
        <v>32</v>
      </c>
      <c r="L240" s="5" t="s">
        <v>32</v>
      </c>
      <c r="M240" s="3" t="s">
        <v>32</v>
      </c>
      <c r="N240" s="4" t="s">
        <v>32</v>
      </c>
      <c r="O240" s="5" t="s">
        <v>32</v>
      </c>
      <c r="P240" s="3" t="s">
        <v>32</v>
      </c>
      <c r="Q240" s="4" t="s">
        <v>32</v>
      </c>
      <c r="R240" s="5" t="s">
        <v>32</v>
      </c>
      <c r="S240" s="6" t="s">
        <v>32</v>
      </c>
      <c r="T240" s="2" t="s">
        <v>32</v>
      </c>
      <c r="U240" s="5" t="s">
        <v>32</v>
      </c>
      <c r="V240" s="3" t="s">
        <v>32</v>
      </c>
      <c r="W240" s="4" t="s">
        <v>32</v>
      </c>
      <c r="X240" s="5" t="s">
        <v>32</v>
      </c>
      <c r="Y240" s="3" t="s">
        <v>32</v>
      </c>
      <c r="Z240" s="4" t="s">
        <v>32</v>
      </c>
      <c r="AA240" s="5" t="s">
        <v>32</v>
      </c>
      <c r="AB240" s="6" t="s">
        <v>32</v>
      </c>
      <c r="AD240" s="2" t="s">
        <v>32</v>
      </c>
      <c r="AE240" s="5" t="s">
        <v>32</v>
      </c>
      <c r="AF240" s="3" t="s">
        <v>32</v>
      </c>
      <c r="AG240" s="4" t="s">
        <v>32</v>
      </c>
      <c r="AH240" s="5" t="s">
        <v>32</v>
      </c>
      <c r="AI240" s="3" t="s">
        <v>32</v>
      </c>
      <c r="AJ240" s="4" t="s">
        <v>32</v>
      </c>
      <c r="AK240" s="5" t="s">
        <v>32</v>
      </c>
      <c r="AL240" s="6" t="s">
        <v>32</v>
      </c>
      <c r="AM240" s="2" t="s">
        <v>32</v>
      </c>
      <c r="AN240" s="5" t="s">
        <v>32</v>
      </c>
      <c r="AO240" s="3" t="s">
        <v>32</v>
      </c>
      <c r="AP240" s="4" t="s">
        <v>32</v>
      </c>
      <c r="AQ240" s="5" t="s">
        <v>32</v>
      </c>
      <c r="AR240" s="3" t="s">
        <v>32</v>
      </c>
      <c r="AS240" s="4" t="s">
        <v>32</v>
      </c>
      <c r="AT240" s="5" t="s">
        <v>32</v>
      </c>
      <c r="AU240" s="6" t="s">
        <v>32</v>
      </c>
      <c r="AV240" s="2" t="s">
        <v>32</v>
      </c>
      <c r="AW240" s="5" t="s">
        <v>32</v>
      </c>
      <c r="AX240" s="3" t="s">
        <v>32</v>
      </c>
      <c r="AY240" s="4" t="s">
        <v>32</v>
      </c>
      <c r="AZ240" s="5" t="s">
        <v>32</v>
      </c>
      <c r="BA240" s="3" t="s">
        <v>32</v>
      </c>
      <c r="BB240" s="4" t="s">
        <v>32</v>
      </c>
      <c r="BC240" s="5" t="s">
        <v>32</v>
      </c>
      <c r="BD240" s="6" t="s">
        <v>32</v>
      </c>
      <c r="BG240" s="2" t="s">
        <v>32</v>
      </c>
      <c r="BH240" s="5" t="s">
        <v>32</v>
      </c>
      <c r="BI240" s="3" t="s">
        <v>32</v>
      </c>
      <c r="BJ240" s="4" t="s">
        <v>32</v>
      </c>
      <c r="BK240" s="5" t="s">
        <v>32</v>
      </c>
      <c r="BL240" s="3" t="s">
        <v>32</v>
      </c>
      <c r="BM240" s="4" t="s">
        <v>32</v>
      </c>
      <c r="BN240" s="5" t="s">
        <v>32</v>
      </c>
      <c r="BO240" s="6" t="s">
        <v>32</v>
      </c>
      <c r="BP240" s="2" t="s">
        <v>32</v>
      </c>
      <c r="BQ240" s="5" t="s">
        <v>32</v>
      </c>
      <c r="BR240" s="3" t="s">
        <v>32</v>
      </c>
      <c r="BS240" s="4" t="s">
        <v>32</v>
      </c>
      <c r="BT240" s="5" t="s">
        <v>32</v>
      </c>
      <c r="BU240" s="3" t="s">
        <v>32</v>
      </c>
      <c r="BV240" s="4" t="s">
        <v>32</v>
      </c>
      <c r="BW240" s="5" t="s">
        <v>32</v>
      </c>
      <c r="BX240" s="6" t="s">
        <v>32</v>
      </c>
      <c r="BY240" s="2" t="s">
        <v>32</v>
      </c>
      <c r="BZ240" s="5" t="s">
        <v>32</v>
      </c>
      <c r="CA240" s="3" t="s">
        <v>32</v>
      </c>
      <c r="CB240" s="4" t="s">
        <v>32</v>
      </c>
      <c r="CC240" s="5" t="s">
        <v>32</v>
      </c>
      <c r="CD240" s="3" t="s">
        <v>32</v>
      </c>
      <c r="CE240" s="4" t="s">
        <v>32</v>
      </c>
      <c r="CF240" s="5" t="s">
        <v>32</v>
      </c>
      <c r="CG240" s="6" t="s">
        <v>32</v>
      </c>
      <c r="CI240" s="2" t="s">
        <v>32</v>
      </c>
      <c r="CJ240" s="5" t="s">
        <v>32</v>
      </c>
      <c r="CK240" s="3" t="s">
        <v>32</v>
      </c>
      <c r="CL240" s="4" t="s">
        <v>32</v>
      </c>
      <c r="CM240" s="5" t="s">
        <v>32</v>
      </c>
      <c r="CN240" s="3" t="s">
        <v>32</v>
      </c>
      <c r="CO240" s="4" t="s">
        <v>32</v>
      </c>
      <c r="CP240" s="5" t="s">
        <v>32</v>
      </c>
      <c r="CQ240" s="6" t="s">
        <v>32</v>
      </c>
      <c r="CR240" s="2" t="s">
        <v>32</v>
      </c>
      <c r="CS240" s="5" t="s">
        <v>32</v>
      </c>
      <c r="CT240" s="3" t="s">
        <v>32</v>
      </c>
      <c r="CU240" s="4" t="s">
        <v>32</v>
      </c>
      <c r="CV240" s="5" t="s">
        <v>32</v>
      </c>
      <c r="CW240" s="3" t="s">
        <v>32</v>
      </c>
      <c r="CX240" s="4" t="s">
        <v>32</v>
      </c>
      <c r="CY240" s="5" t="s">
        <v>32</v>
      </c>
      <c r="CZ240" s="6" t="s">
        <v>32</v>
      </c>
      <c r="DA240" s="2" t="s">
        <v>32</v>
      </c>
      <c r="DB240" s="5" t="s">
        <v>32</v>
      </c>
      <c r="DC240" s="3" t="s">
        <v>32</v>
      </c>
      <c r="DD240" s="4" t="s">
        <v>32</v>
      </c>
      <c r="DE240" s="5" t="s">
        <v>32</v>
      </c>
      <c r="DF240" s="3" t="s">
        <v>32</v>
      </c>
      <c r="DG240" s="4" t="s">
        <v>32</v>
      </c>
      <c r="DH240" s="5" t="s">
        <v>32</v>
      </c>
      <c r="DI240" s="6" t="s">
        <v>32</v>
      </c>
      <c r="DJ240"/>
    </row>
    <row r="241" spans="2:114" ht="15" customHeight="1">
      <c r="B241" s="11" t="s">
        <v>32</v>
      </c>
      <c r="C241" s="7" t="s">
        <v>32</v>
      </c>
      <c r="D241" s="9" t="s">
        <v>32</v>
      </c>
      <c r="E241" s="8" t="s">
        <v>32</v>
      </c>
      <c r="F241" s="7" t="s">
        <v>32</v>
      </c>
      <c r="G241" s="9" t="s">
        <v>32</v>
      </c>
      <c r="H241" s="8" t="s">
        <v>32</v>
      </c>
      <c r="I241" s="7" t="s">
        <v>32</v>
      </c>
      <c r="J241" s="10" t="s">
        <v>32</v>
      </c>
      <c r="K241" s="11" t="s">
        <v>32</v>
      </c>
      <c r="L241" s="7" t="s">
        <v>32</v>
      </c>
      <c r="M241" s="9" t="s">
        <v>32</v>
      </c>
      <c r="N241" s="8" t="s">
        <v>32</v>
      </c>
      <c r="O241" s="7" t="s">
        <v>32</v>
      </c>
      <c r="P241" s="9" t="s">
        <v>32</v>
      </c>
      <c r="Q241" s="8" t="s">
        <v>32</v>
      </c>
      <c r="R241" s="7" t="s">
        <v>32</v>
      </c>
      <c r="S241" s="10" t="s">
        <v>32</v>
      </c>
      <c r="T241" s="11" t="s">
        <v>32</v>
      </c>
      <c r="U241" s="7" t="s">
        <v>32</v>
      </c>
      <c r="V241" s="9" t="s">
        <v>32</v>
      </c>
      <c r="W241" s="8" t="s">
        <v>32</v>
      </c>
      <c r="X241" s="7" t="s">
        <v>32</v>
      </c>
      <c r="Y241" s="9" t="s">
        <v>32</v>
      </c>
      <c r="Z241" s="8" t="s">
        <v>32</v>
      </c>
      <c r="AA241" s="7" t="s">
        <v>32</v>
      </c>
      <c r="AB241" s="214">
        <v>5</v>
      </c>
      <c r="AD241" s="11" t="s">
        <v>32</v>
      </c>
      <c r="AE241" s="7" t="s">
        <v>32</v>
      </c>
      <c r="AF241" s="9" t="s">
        <v>32</v>
      </c>
      <c r="AG241" s="8" t="s">
        <v>32</v>
      </c>
      <c r="AH241" s="7" t="s">
        <v>32</v>
      </c>
      <c r="AI241" s="9" t="s">
        <v>32</v>
      </c>
      <c r="AJ241" s="8" t="s">
        <v>32</v>
      </c>
      <c r="AK241" s="7" t="s">
        <v>32</v>
      </c>
      <c r="AL241" s="10" t="s">
        <v>32</v>
      </c>
      <c r="AM241" s="11" t="s">
        <v>32</v>
      </c>
      <c r="AN241" s="7" t="s">
        <v>32</v>
      </c>
      <c r="AO241" s="9" t="s">
        <v>32</v>
      </c>
      <c r="AP241" s="8" t="s">
        <v>32</v>
      </c>
      <c r="AQ241" s="7" t="s">
        <v>32</v>
      </c>
      <c r="AR241" s="9" t="s">
        <v>32</v>
      </c>
      <c r="AS241" s="8" t="s">
        <v>32</v>
      </c>
      <c r="AT241" s="7" t="s">
        <v>32</v>
      </c>
      <c r="AU241" s="10" t="s">
        <v>32</v>
      </c>
      <c r="AV241" s="11" t="s">
        <v>32</v>
      </c>
      <c r="AW241" s="7" t="s">
        <v>32</v>
      </c>
      <c r="AX241" s="9" t="s">
        <v>32</v>
      </c>
      <c r="AY241" s="8" t="s">
        <v>32</v>
      </c>
      <c r="AZ241" s="7" t="s">
        <v>32</v>
      </c>
      <c r="BA241" s="9" t="s">
        <v>32</v>
      </c>
      <c r="BB241" s="8" t="s">
        <v>32</v>
      </c>
      <c r="BC241" s="7" t="s">
        <v>32</v>
      </c>
      <c r="BD241" s="214">
        <v>5</v>
      </c>
      <c r="BG241" s="11">
        <v>7</v>
      </c>
      <c r="BH241" s="7" t="s">
        <v>32</v>
      </c>
      <c r="BI241" s="9" t="s">
        <v>32</v>
      </c>
      <c r="BJ241" s="8" t="s">
        <v>32</v>
      </c>
      <c r="BK241" s="7" t="s">
        <v>32</v>
      </c>
      <c r="BL241" s="9" t="s">
        <v>32</v>
      </c>
      <c r="BM241" s="8" t="s">
        <v>32</v>
      </c>
      <c r="BN241" s="7" t="s">
        <v>32</v>
      </c>
      <c r="BO241" s="10" t="s">
        <v>32</v>
      </c>
      <c r="BP241" s="11" t="s">
        <v>32</v>
      </c>
      <c r="BQ241" s="7" t="s">
        <v>32</v>
      </c>
      <c r="BR241" s="9" t="s">
        <v>32</v>
      </c>
      <c r="BS241" s="8" t="s">
        <v>32</v>
      </c>
      <c r="BT241" s="7" t="s">
        <v>32</v>
      </c>
      <c r="BU241" s="9" t="s">
        <v>32</v>
      </c>
      <c r="BV241" s="8" t="s">
        <v>32</v>
      </c>
      <c r="BW241" s="7" t="s">
        <v>32</v>
      </c>
      <c r="BX241" s="10" t="s">
        <v>32</v>
      </c>
      <c r="BY241" s="11" t="s">
        <v>32</v>
      </c>
      <c r="BZ241" s="7" t="s">
        <v>32</v>
      </c>
      <c r="CA241" s="9" t="s">
        <v>32</v>
      </c>
      <c r="CB241" s="8" t="s">
        <v>32</v>
      </c>
      <c r="CC241" s="7" t="s">
        <v>32</v>
      </c>
      <c r="CD241" s="9" t="s">
        <v>32</v>
      </c>
      <c r="CE241" s="8" t="s">
        <v>32</v>
      </c>
      <c r="CF241" s="7" t="s">
        <v>32</v>
      </c>
      <c r="CG241" s="10" t="s">
        <v>32</v>
      </c>
      <c r="CI241" s="213">
        <v>7</v>
      </c>
      <c r="CJ241" s="7" t="s">
        <v>32</v>
      </c>
      <c r="CK241" s="9" t="s">
        <v>32</v>
      </c>
      <c r="CL241" s="8" t="s">
        <v>32</v>
      </c>
      <c r="CM241" s="7" t="s">
        <v>32</v>
      </c>
      <c r="CN241" s="9" t="s">
        <v>32</v>
      </c>
      <c r="CO241" s="8" t="s">
        <v>32</v>
      </c>
      <c r="CP241" s="7" t="s">
        <v>32</v>
      </c>
      <c r="CQ241" s="10" t="s">
        <v>32</v>
      </c>
      <c r="CR241" s="11" t="s">
        <v>32</v>
      </c>
      <c r="CS241" s="7" t="s">
        <v>32</v>
      </c>
      <c r="CT241" s="9" t="s">
        <v>32</v>
      </c>
      <c r="CU241" s="8" t="s">
        <v>32</v>
      </c>
      <c r="CV241" s="7" t="s">
        <v>32</v>
      </c>
      <c r="CW241" s="9" t="s">
        <v>32</v>
      </c>
      <c r="CX241" s="8" t="s">
        <v>32</v>
      </c>
      <c r="CY241" s="7" t="s">
        <v>32</v>
      </c>
      <c r="CZ241" s="10" t="s">
        <v>32</v>
      </c>
      <c r="DA241" s="11" t="s">
        <v>32</v>
      </c>
      <c r="DB241" s="7" t="s">
        <v>32</v>
      </c>
      <c r="DC241" s="9" t="s">
        <v>32</v>
      </c>
      <c r="DD241" s="8" t="s">
        <v>32</v>
      </c>
      <c r="DE241" s="7" t="s">
        <v>32</v>
      </c>
      <c r="DF241" s="9" t="s">
        <v>32</v>
      </c>
      <c r="DG241" s="8" t="s">
        <v>32</v>
      </c>
      <c r="DH241" s="7" t="s">
        <v>32</v>
      </c>
      <c r="DI241" s="10" t="s">
        <v>32</v>
      </c>
      <c r="DJ241"/>
    </row>
    <row r="242" spans="2:114" ht="15" customHeight="1">
      <c r="B242" s="12" t="s">
        <v>32</v>
      </c>
      <c r="C242" s="13" t="s">
        <v>32</v>
      </c>
      <c r="D242" s="15" t="s">
        <v>32</v>
      </c>
      <c r="E242" s="14" t="s">
        <v>32</v>
      </c>
      <c r="F242" s="13" t="s">
        <v>32</v>
      </c>
      <c r="G242" s="15" t="s">
        <v>32</v>
      </c>
      <c r="H242" s="14" t="s">
        <v>32</v>
      </c>
      <c r="I242" s="13" t="s">
        <v>32</v>
      </c>
      <c r="J242" s="1" t="s">
        <v>32</v>
      </c>
      <c r="K242" s="12" t="s">
        <v>32</v>
      </c>
      <c r="L242" s="13" t="s">
        <v>32</v>
      </c>
      <c r="M242" s="15" t="s">
        <v>32</v>
      </c>
      <c r="N242" s="14" t="s">
        <v>32</v>
      </c>
      <c r="O242" s="13">
        <v>0</v>
      </c>
      <c r="P242" s="15" t="s">
        <v>32</v>
      </c>
      <c r="Q242" s="14" t="s">
        <v>32</v>
      </c>
      <c r="R242" s="13" t="s">
        <v>32</v>
      </c>
      <c r="S242" s="1" t="s">
        <v>32</v>
      </c>
      <c r="T242" s="12" t="s">
        <v>32</v>
      </c>
      <c r="U242" s="13" t="s">
        <v>32</v>
      </c>
      <c r="V242" s="15" t="s">
        <v>32</v>
      </c>
      <c r="W242" s="14" t="s">
        <v>32</v>
      </c>
      <c r="X242" s="13" t="s">
        <v>32</v>
      </c>
      <c r="Y242" s="15" t="s">
        <v>32</v>
      </c>
      <c r="Z242" s="14" t="s">
        <v>32</v>
      </c>
      <c r="AA242" s="212">
        <v>4</v>
      </c>
      <c r="AB242" s="1" t="s">
        <v>32</v>
      </c>
      <c r="AD242" s="12" t="s">
        <v>32</v>
      </c>
      <c r="AE242" s="13" t="s">
        <v>32</v>
      </c>
      <c r="AF242" s="15" t="s">
        <v>32</v>
      </c>
      <c r="AG242" s="14" t="s">
        <v>32</v>
      </c>
      <c r="AH242" s="13" t="s">
        <v>32</v>
      </c>
      <c r="AI242" s="15" t="s">
        <v>32</v>
      </c>
      <c r="AJ242" s="14" t="s">
        <v>32</v>
      </c>
      <c r="AK242" s="13" t="s">
        <v>32</v>
      </c>
      <c r="AL242" s="1" t="s">
        <v>32</v>
      </c>
      <c r="AM242" s="12" t="s">
        <v>32</v>
      </c>
      <c r="AN242" s="13" t="s">
        <v>32</v>
      </c>
      <c r="AO242" s="15" t="s">
        <v>32</v>
      </c>
      <c r="AP242" s="14" t="s">
        <v>32</v>
      </c>
      <c r="AQ242" s="13">
        <v>3</v>
      </c>
      <c r="AR242" s="15" t="s">
        <v>32</v>
      </c>
      <c r="AS242" s="14" t="s">
        <v>32</v>
      </c>
      <c r="AT242" s="13" t="s">
        <v>32</v>
      </c>
      <c r="AU242" s="1" t="s">
        <v>32</v>
      </c>
      <c r="AV242" s="12" t="s">
        <v>32</v>
      </c>
      <c r="AW242" s="13" t="s">
        <v>32</v>
      </c>
      <c r="AX242" s="15" t="s">
        <v>32</v>
      </c>
      <c r="AY242" s="14" t="s">
        <v>32</v>
      </c>
      <c r="AZ242" s="13" t="s">
        <v>32</v>
      </c>
      <c r="BA242" s="15" t="s">
        <v>32</v>
      </c>
      <c r="BB242" s="14" t="s">
        <v>32</v>
      </c>
      <c r="BC242" s="212">
        <v>4</v>
      </c>
      <c r="BD242" s="1" t="s">
        <v>32</v>
      </c>
      <c r="BG242" s="12">
        <v>0</v>
      </c>
      <c r="BH242" s="13">
        <v>0</v>
      </c>
      <c r="BI242" s="15">
        <v>0</v>
      </c>
      <c r="BJ242" s="14" t="s">
        <v>32</v>
      </c>
      <c r="BK242" s="13" t="s">
        <v>32</v>
      </c>
      <c r="BL242" s="15" t="s">
        <v>32</v>
      </c>
      <c r="BM242" s="14" t="s">
        <v>32</v>
      </c>
      <c r="BN242" s="13" t="s">
        <v>32</v>
      </c>
      <c r="BO242" s="1" t="s">
        <v>32</v>
      </c>
      <c r="BP242" s="12" t="s">
        <v>32</v>
      </c>
      <c r="BQ242" s="13" t="s">
        <v>32</v>
      </c>
      <c r="BR242" s="15" t="s">
        <v>32</v>
      </c>
      <c r="BS242" s="14" t="s">
        <v>32</v>
      </c>
      <c r="BT242" s="13" t="s">
        <v>32</v>
      </c>
      <c r="BU242" s="15" t="s">
        <v>32</v>
      </c>
      <c r="BV242" s="14" t="s">
        <v>32</v>
      </c>
      <c r="BW242" s="13" t="s">
        <v>32</v>
      </c>
      <c r="BX242" s="1" t="s">
        <v>32</v>
      </c>
      <c r="BY242" s="12" t="s">
        <v>32</v>
      </c>
      <c r="BZ242" s="13" t="s">
        <v>32</v>
      </c>
      <c r="CA242" s="15" t="s">
        <v>32</v>
      </c>
      <c r="CB242" s="14" t="s">
        <v>32</v>
      </c>
      <c r="CC242" s="13">
        <v>0</v>
      </c>
      <c r="CD242" s="15" t="s">
        <v>32</v>
      </c>
      <c r="CE242" s="14" t="s">
        <v>32</v>
      </c>
      <c r="CF242" s="13" t="s">
        <v>32</v>
      </c>
      <c r="CG242" s="1" t="s">
        <v>32</v>
      </c>
      <c r="CI242" s="12">
        <v>5</v>
      </c>
      <c r="CJ242" s="13">
        <v>4</v>
      </c>
      <c r="CK242" s="15">
        <v>2</v>
      </c>
      <c r="CL242" s="14" t="s">
        <v>32</v>
      </c>
      <c r="CM242" s="13" t="s">
        <v>32</v>
      </c>
      <c r="CN242" s="15" t="s">
        <v>32</v>
      </c>
      <c r="CO242" s="14" t="s">
        <v>32</v>
      </c>
      <c r="CP242" s="13" t="s">
        <v>32</v>
      </c>
      <c r="CQ242" s="1" t="s">
        <v>32</v>
      </c>
      <c r="CR242" s="12" t="s">
        <v>32</v>
      </c>
      <c r="CS242" s="13" t="s">
        <v>32</v>
      </c>
      <c r="CT242" s="15" t="s">
        <v>32</v>
      </c>
      <c r="CU242" s="14" t="s">
        <v>32</v>
      </c>
      <c r="CV242" s="13" t="s">
        <v>32</v>
      </c>
      <c r="CW242" s="15" t="s">
        <v>32</v>
      </c>
      <c r="CX242" s="14" t="s">
        <v>32</v>
      </c>
      <c r="CY242" s="13" t="s">
        <v>32</v>
      </c>
      <c r="CZ242" s="1" t="s">
        <v>32</v>
      </c>
      <c r="DA242" s="12" t="s">
        <v>32</v>
      </c>
      <c r="DB242" s="13" t="s">
        <v>32</v>
      </c>
      <c r="DC242" s="15" t="s">
        <v>32</v>
      </c>
      <c r="DD242" s="14" t="s">
        <v>32</v>
      </c>
      <c r="DE242" s="13">
        <v>9</v>
      </c>
      <c r="DF242" s="15" t="s">
        <v>32</v>
      </c>
      <c r="DG242" s="14" t="s">
        <v>32</v>
      </c>
      <c r="DH242" s="13" t="s">
        <v>32</v>
      </c>
      <c r="DI242" s="1" t="s">
        <v>32</v>
      </c>
      <c r="DJ242"/>
    </row>
    <row r="243" spans="2:114" ht="15" customHeight="1">
      <c r="B243" s="16" t="s">
        <v>32</v>
      </c>
      <c r="C243" s="17" t="s">
        <v>32</v>
      </c>
      <c r="D243" s="18" t="s">
        <v>32</v>
      </c>
      <c r="E243" s="19" t="s">
        <v>32</v>
      </c>
      <c r="F243" s="17" t="s">
        <v>32</v>
      </c>
      <c r="G243" s="18" t="s">
        <v>32</v>
      </c>
      <c r="H243" s="19" t="s">
        <v>32</v>
      </c>
      <c r="I243" s="17" t="s">
        <v>32</v>
      </c>
      <c r="J243" s="20" t="s">
        <v>32</v>
      </c>
      <c r="K243" s="16" t="s">
        <v>32</v>
      </c>
      <c r="L243" s="17" t="s">
        <v>32</v>
      </c>
      <c r="M243" s="18" t="s">
        <v>32</v>
      </c>
      <c r="N243" s="19">
        <v>0</v>
      </c>
      <c r="O243" s="17">
        <v>0</v>
      </c>
      <c r="P243" s="18">
        <v>0</v>
      </c>
      <c r="Q243" s="19">
        <v>0</v>
      </c>
      <c r="R243" s="17" t="s">
        <v>32</v>
      </c>
      <c r="S243" s="20" t="s">
        <v>32</v>
      </c>
      <c r="T243" s="16" t="s">
        <v>32</v>
      </c>
      <c r="U243" s="17" t="s">
        <v>32</v>
      </c>
      <c r="V243" s="18" t="s">
        <v>32</v>
      </c>
      <c r="W243" s="19" t="s">
        <v>32</v>
      </c>
      <c r="X243" s="17" t="s">
        <v>32</v>
      </c>
      <c r="Y243" s="18" t="s">
        <v>32</v>
      </c>
      <c r="Z243" s="19" t="s">
        <v>32</v>
      </c>
      <c r="AA243" s="17" t="s">
        <v>32</v>
      </c>
      <c r="AB243" s="20">
        <v>0</v>
      </c>
      <c r="AD243" s="16" t="s">
        <v>32</v>
      </c>
      <c r="AE243" s="17" t="s">
        <v>32</v>
      </c>
      <c r="AF243" s="18" t="s">
        <v>32</v>
      </c>
      <c r="AG243" s="19" t="s">
        <v>32</v>
      </c>
      <c r="AH243" s="17" t="s">
        <v>32</v>
      </c>
      <c r="AI243" s="18" t="s">
        <v>32</v>
      </c>
      <c r="AJ243" s="19" t="s">
        <v>32</v>
      </c>
      <c r="AK243" s="17" t="s">
        <v>32</v>
      </c>
      <c r="AL243" s="20" t="s">
        <v>32</v>
      </c>
      <c r="AM243" s="16" t="s">
        <v>32</v>
      </c>
      <c r="AN243" s="17" t="s">
        <v>32</v>
      </c>
      <c r="AO243" s="18" t="s">
        <v>32</v>
      </c>
      <c r="AP243" s="19">
        <v>6</v>
      </c>
      <c r="AQ243" s="17">
        <v>5</v>
      </c>
      <c r="AR243" s="18">
        <v>8</v>
      </c>
      <c r="AS243" s="19">
        <v>9</v>
      </c>
      <c r="AT243" s="17" t="s">
        <v>32</v>
      </c>
      <c r="AU243" s="20" t="s">
        <v>32</v>
      </c>
      <c r="AV243" s="16" t="s">
        <v>32</v>
      </c>
      <c r="AW243" s="17" t="s">
        <v>32</v>
      </c>
      <c r="AX243" s="18" t="s">
        <v>32</v>
      </c>
      <c r="AY243" s="19" t="s">
        <v>32</v>
      </c>
      <c r="AZ243" s="17" t="s">
        <v>32</v>
      </c>
      <c r="BA243" s="18" t="s">
        <v>32</v>
      </c>
      <c r="BB243" s="19" t="s">
        <v>32</v>
      </c>
      <c r="BC243" s="17" t="s">
        <v>32</v>
      </c>
      <c r="BD243" s="20">
        <v>3</v>
      </c>
      <c r="BG243" s="16">
        <v>0</v>
      </c>
      <c r="BH243" s="17">
        <v>0</v>
      </c>
      <c r="BI243" s="18" t="s">
        <v>32</v>
      </c>
      <c r="BJ243" s="19" t="s">
        <v>32</v>
      </c>
      <c r="BK243" s="17" t="s">
        <v>32</v>
      </c>
      <c r="BL243" s="18" t="s">
        <v>32</v>
      </c>
      <c r="BM243" s="19" t="s">
        <v>32</v>
      </c>
      <c r="BN243" s="17" t="s">
        <v>32</v>
      </c>
      <c r="BO243" s="20" t="s">
        <v>32</v>
      </c>
      <c r="BP243" s="16" t="s">
        <v>32</v>
      </c>
      <c r="BQ243" s="17" t="s">
        <v>32</v>
      </c>
      <c r="BR243" s="18">
        <v>0</v>
      </c>
      <c r="BS243" s="19" t="s">
        <v>32</v>
      </c>
      <c r="BT243" s="17" t="s">
        <v>32</v>
      </c>
      <c r="BU243" s="18" t="s">
        <v>32</v>
      </c>
      <c r="BV243" s="19" t="s">
        <v>32</v>
      </c>
      <c r="BW243" s="17" t="s">
        <v>32</v>
      </c>
      <c r="BX243" s="20" t="s">
        <v>32</v>
      </c>
      <c r="BY243" s="16" t="s">
        <v>32</v>
      </c>
      <c r="BZ243" s="17" t="s">
        <v>32</v>
      </c>
      <c r="CA243" s="18" t="s">
        <v>32</v>
      </c>
      <c r="CB243" s="19">
        <v>0</v>
      </c>
      <c r="CC243" s="17" t="s">
        <v>32</v>
      </c>
      <c r="CD243" s="18" t="s">
        <v>32</v>
      </c>
      <c r="CE243" s="19" t="s">
        <v>32</v>
      </c>
      <c r="CF243" s="17">
        <v>0</v>
      </c>
      <c r="CG243" s="20" t="s">
        <v>32</v>
      </c>
      <c r="CI243" s="16">
        <v>1</v>
      </c>
      <c r="CJ243" s="17">
        <v>3</v>
      </c>
      <c r="CK243" s="18" t="s">
        <v>32</v>
      </c>
      <c r="CL243" s="19" t="s">
        <v>32</v>
      </c>
      <c r="CM243" s="17" t="s">
        <v>32</v>
      </c>
      <c r="CN243" s="18" t="s">
        <v>32</v>
      </c>
      <c r="CO243" s="19" t="s">
        <v>32</v>
      </c>
      <c r="CP243" s="17" t="s">
        <v>32</v>
      </c>
      <c r="CQ243" s="20" t="s">
        <v>32</v>
      </c>
      <c r="CR243" s="16" t="s">
        <v>32</v>
      </c>
      <c r="CS243" s="17" t="s">
        <v>32</v>
      </c>
      <c r="CT243" s="18">
        <v>9</v>
      </c>
      <c r="CU243" s="19" t="s">
        <v>32</v>
      </c>
      <c r="CV243" s="17" t="s">
        <v>32</v>
      </c>
      <c r="CW243" s="18" t="s">
        <v>32</v>
      </c>
      <c r="CX243" s="19" t="s">
        <v>32</v>
      </c>
      <c r="CY243" s="17" t="s">
        <v>32</v>
      </c>
      <c r="CZ243" s="20" t="s">
        <v>32</v>
      </c>
      <c r="DA243" s="16" t="s">
        <v>32</v>
      </c>
      <c r="DB243" s="17" t="s">
        <v>32</v>
      </c>
      <c r="DC243" s="18" t="s">
        <v>32</v>
      </c>
      <c r="DD243" s="19">
        <v>8</v>
      </c>
      <c r="DE243" s="17" t="s">
        <v>32</v>
      </c>
      <c r="DF243" s="18" t="s">
        <v>32</v>
      </c>
      <c r="DG243" s="19" t="s">
        <v>32</v>
      </c>
      <c r="DH243" s="17">
        <v>6</v>
      </c>
      <c r="DI243" s="20" t="s">
        <v>32</v>
      </c>
      <c r="DJ243"/>
    </row>
    <row r="244" spans="2:114" ht="15" customHeight="1">
      <c r="B244" s="11" t="s">
        <v>32</v>
      </c>
      <c r="C244" s="7" t="s">
        <v>32</v>
      </c>
      <c r="D244" s="9" t="s">
        <v>32</v>
      </c>
      <c r="E244" s="8">
        <v>0</v>
      </c>
      <c r="F244" s="7" t="s">
        <v>32</v>
      </c>
      <c r="G244" s="9" t="s">
        <v>32</v>
      </c>
      <c r="H244" s="8" t="s">
        <v>32</v>
      </c>
      <c r="I244" s="7" t="s">
        <v>32</v>
      </c>
      <c r="J244" s="10" t="s">
        <v>32</v>
      </c>
      <c r="K244" s="11" t="s">
        <v>32</v>
      </c>
      <c r="L244" s="7" t="s">
        <v>32</v>
      </c>
      <c r="M244" s="9">
        <v>0</v>
      </c>
      <c r="N244" s="8" t="s">
        <v>32</v>
      </c>
      <c r="O244" s="7">
        <v>0</v>
      </c>
      <c r="P244" s="9">
        <v>0</v>
      </c>
      <c r="Q244" s="8" t="s">
        <v>32</v>
      </c>
      <c r="R244" s="7" t="s">
        <v>32</v>
      </c>
      <c r="S244" s="10" t="s">
        <v>32</v>
      </c>
      <c r="T244" s="11" t="s">
        <v>32</v>
      </c>
      <c r="U244" s="7" t="s">
        <v>32</v>
      </c>
      <c r="V244" s="9" t="s">
        <v>32</v>
      </c>
      <c r="W244" s="8" t="s">
        <v>32</v>
      </c>
      <c r="X244" s="7" t="s">
        <v>32</v>
      </c>
      <c r="Y244" s="9" t="s">
        <v>32</v>
      </c>
      <c r="Z244" s="8" t="s">
        <v>32</v>
      </c>
      <c r="AA244" s="7">
        <v>0</v>
      </c>
      <c r="AB244" s="10">
        <v>0</v>
      </c>
      <c r="AD244" s="11" t="s">
        <v>32</v>
      </c>
      <c r="AE244" s="7" t="s">
        <v>32</v>
      </c>
      <c r="AF244" s="9" t="s">
        <v>32</v>
      </c>
      <c r="AG244" s="8">
        <v>3</v>
      </c>
      <c r="AH244" s="7" t="s">
        <v>32</v>
      </c>
      <c r="AI244" s="9" t="s">
        <v>32</v>
      </c>
      <c r="AJ244" s="8" t="s">
        <v>32</v>
      </c>
      <c r="AK244" s="7" t="s">
        <v>32</v>
      </c>
      <c r="AL244" s="10" t="s">
        <v>32</v>
      </c>
      <c r="AM244" s="11" t="s">
        <v>32</v>
      </c>
      <c r="AN244" s="7" t="s">
        <v>32</v>
      </c>
      <c r="AO244" s="9">
        <v>1</v>
      </c>
      <c r="AP244" s="8" t="s">
        <v>32</v>
      </c>
      <c r="AQ244" s="7">
        <v>2</v>
      </c>
      <c r="AR244" s="9">
        <v>4</v>
      </c>
      <c r="AS244" s="8" t="s">
        <v>32</v>
      </c>
      <c r="AT244" s="7" t="s">
        <v>32</v>
      </c>
      <c r="AU244" s="10" t="s">
        <v>32</v>
      </c>
      <c r="AV244" s="11" t="s">
        <v>32</v>
      </c>
      <c r="AW244" s="7" t="s">
        <v>32</v>
      </c>
      <c r="AX244" s="9" t="s">
        <v>32</v>
      </c>
      <c r="AY244" s="8" t="s">
        <v>32</v>
      </c>
      <c r="AZ244" s="7" t="s">
        <v>32</v>
      </c>
      <c r="BA244" s="9" t="s">
        <v>32</v>
      </c>
      <c r="BB244" s="8" t="s">
        <v>32</v>
      </c>
      <c r="BC244" s="7">
        <v>8</v>
      </c>
      <c r="BD244" s="10">
        <v>7</v>
      </c>
      <c r="BG244" s="11" t="s">
        <v>32</v>
      </c>
      <c r="BH244" s="7">
        <v>0</v>
      </c>
      <c r="BI244" s="9" t="s">
        <v>32</v>
      </c>
      <c r="BJ244" s="8" t="s">
        <v>32</v>
      </c>
      <c r="BK244" s="7" t="s">
        <v>32</v>
      </c>
      <c r="BL244" s="9" t="s">
        <v>32</v>
      </c>
      <c r="BM244" s="8" t="s">
        <v>32</v>
      </c>
      <c r="BN244" s="7" t="s">
        <v>32</v>
      </c>
      <c r="BO244" s="10" t="s">
        <v>32</v>
      </c>
      <c r="BP244" s="11">
        <v>3</v>
      </c>
      <c r="BQ244" s="7" t="s">
        <v>32</v>
      </c>
      <c r="BR244" s="9">
        <v>0</v>
      </c>
      <c r="BS244" s="8">
        <v>0</v>
      </c>
      <c r="BT244" s="7" t="s">
        <v>32</v>
      </c>
      <c r="BU244" s="9" t="s">
        <v>32</v>
      </c>
      <c r="BV244" s="8" t="s">
        <v>32</v>
      </c>
      <c r="BW244" s="7" t="s">
        <v>32</v>
      </c>
      <c r="BX244" s="10" t="s">
        <v>32</v>
      </c>
      <c r="BY244" s="11" t="s">
        <v>32</v>
      </c>
      <c r="BZ244" s="7" t="s">
        <v>32</v>
      </c>
      <c r="CA244" s="9" t="s">
        <v>32</v>
      </c>
      <c r="CB244" s="8" t="s">
        <v>32</v>
      </c>
      <c r="CC244" s="7">
        <v>0</v>
      </c>
      <c r="CD244" s="9" t="s">
        <v>32</v>
      </c>
      <c r="CE244" s="8">
        <v>0</v>
      </c>
      <c r="CF244" s="7">
        <v>0</v>
      </c>
      <c r="CG244" s="10">
        <v>1</v>
      </c>
      <c r="CI244" s="11" t="s">
        <v>32</v>
      </c>
      <c r="CJ244" s="7">
        <v>8</v>
      </c>
      <c r="CK244" s="9" t="s">
        <v>32</v>
      </c>
      <c r="CL244" s="8" t="s">
        <v>32</v>
      </c>
      <c r="CM244" s="7" t="s">
        <v>32</v>
      </c>
      <c r="CN244" s="9" t="s">
        <v>32</v>
      </c>
      <c r="CO244" s="8" t="s">
        <v>32</v>
      </c>
      <c r="CP244" s="7" t="s">
        <v>32</v>
      </c>
      <c r="CQ244" s="10" t="s">
        <v>32</v>
      </c>
      <c r="CR244" s="213">
        <v>3</v>
      </c>
      <c r="CS244" s="7" t="s">
        <v>32</v>
      </c>
      <c r="CT244" s="9">
        <v>7</v>
      </c>
      <c r="CU244" s="8">
        <v>6</v>
      </c>
      <c r="CV244" s="7" t="s">
        <v>32</v>
      </c>
      <c r="CW244" s="9" t="s">
        <v>32</v>
      </c>
      <c r="CX244" s="8" t="s">
        <v>32</v>
      </c>
      <c r="CY244" s="7" t="s">
        <v>32</v>
      </c>
      <c r="CZ244" s="10" t="s">
        <v>32</v>
      </c>
      <c r="DA244" s="11" t="s">
        <v>32</v>
      </c>
      <c r="DB244" s="7" t="s">
        <v>32</v>
      </c>
      <c r="DC244" s="9" t="s">
        <v>32</v>
      </c>
      <c r="DD244" s="8" t="s">
        <v>32</v>
      </c>
      <c r="DE244" s="7">
        <v>4</v>
      </c>
      <c r="DF244" s="9" t="s">
        <v>32</v>
      </c>
      <c r="DG244" s="8">
        <v>2</v>
      </c>
      <c r="DH244" s="7">
        <v>5</v>
      </c>
      <c r="DI244" s="214">
        <v>1</v>
      </c>
      <c r="DJ244"/>
    </row>
    <row r="245" spans="2:114" ht="15" customHeight="1">
      <c r="B245" s="12" t="s">
        <v>32</v>
      </c>
      <c r="C245" s="13" t="s">
        <v>32</v>
      </c>
      <c r="D245" s="15" t="s">
        <v>32</v>
      </c>
      <c r="E245" s="14" t="s">
        <v>32</v>
      </c>
      <c r="F245" s="13">
        <v>0</v>
      </c>
      <c r="G245" s="15">
        <v>0</v>
      </c>
      <c r="H245" s="14" t="s">
        <v>32</v>
      </c>
      <c r="I245" s="13" t="s">
        <v>32</v>
      </c>
      <c r="J245" s="1" t="s">
        <v>32</v>
      </c>
      <c r="K245" s="12" t="s">
        <v>32</v>
      </c>
      <c r="L245" s="13" t="s">
        <v>32</v>
      </c>
      <c r="M245" s="15" t="s">
        <v>32</v>
      </c>
      <c r="N245" s="14" t="s">
        <v>32</v>
      </c>
      <c r="O245" s="13" t="s">
        <v>32</v>
      </c>
      <c r="P245" s="15" t="s">
        <v>32</v>
      </c>
      <c r="Q245" s="14">
        <v>0</v>
      </c>
      <c r="R245" s="13" t="s">
        <v>32</v>
      </c>
      <c r="S245" s="1" t="s">
        <v>32</v>
      </c>
      <c r="T245" s="12" t="s">
        <v>32</v>
      </c>
      <c r="U245" s="13" t="s">
        <v>32</v>
      </c>
      <c r="V245" s="15" t="s">
        <v>32</v>
      </c>
      <c r="W245" s="14" t="s">
        <v>32</v>
      </c>
      <c r="X245" s="13" t="s">
        <v>32</v>
      </c>
      <c r="Y245" s="15" t="s">
        <v>32</v>
      </c>
      <c r="Z245" s="14" t="s">
        <v>32</v>
      </c>
      <c r="AA245" s="13" t="s">
        <v>32</v>
      </c>
      <c r="AB245" s="1">
        <v>0</v>
      </c>
      <c r="AD245" s="12" t="s">
        <v>32</v>
      </c>
      <c r="AE245" s="13" t="s">
        <v>32</v>
      </c>
      <c r="AF245" s="15" t="s">
        <v>32</v>
      </c>
      <c r="AG245" s="14" t="s">
        <v>32</v>
      </c>
      <c r="AH245" s="13">
        <v>9</v>
      </c>
      <c r="AI245" s="15">
        <v>6</v>
      </c>
      <c r="AJ245" s="14" t="s">
        <v>32</v>
      </c>
      <c r="AK245" s="13" t="s">
        <v>32</v>
      </c>
      <c r="AL245" s="1" t="s">
        <v>32</v>
      </c>
      <c r="AM245" s="12" t="s">
        <v>32</v>
      </c>
      <c r="AN245" s="13" t="s">
        <v>32</v>
      </c>
      <c r="AO245" s="15" t="s">
        <v>32</v>
      </c>
      <c r="AP245" s="14" t="s">
        <v>32</v>
      </c>
      <c r="AQ245" s="13" t="s">
        <v>32</v>
      </c>
      <c r="AR245" s="15" t="s">
        <v>32</v>
      </c>
      <c r="AS245" s="14">
        <v>7</v>
      </c>
      <c r="AT245" s="13" t="s">
        <v>32</v>
      </c>
      <c r="AU245" s="1" t="s">
        <v>32</v>
      </c>
      <c r="AV245" s="12" t="s">
        <v>32</v>
      </c>
      <c r="AW245" s="13" t="s">
        <v>32</v>
      </c>
      <c r="AX245" s="15" t="s">
        <v>32</v>
      </c>
      <c r="AY245" s="14" t="s">
        <v>32</v>
      </c>
      <c r="AZ245" s="13" t="s">
        <v>32</v>
      </c>
      <c r="BA245" s="15" t="s">
        <v>32</v>
      </c>
      <c r="BB245" s="14" t="s">
        <v>32</v>
      </c>
      <c r="BC245" s="13" t="s">
        <v>32</v>
      </c>
      <c r="BD245" s="1">
        <v>2</v>
      </c>
      <c r="BG245" s="12">
        <v>0</v>
      </c>
      <c r="BH245" s="13" t="s">
        <v>32</v>
      </c>
      <c r="BI245" s="15" t="s">
        <v>32</v>
      </c>
      <c r="BJ245" s="14" t="s">
        <v>32</v>
      </c>
      <c r="BK245" s="13" t="s">
        <v>32</v>
      </c>
      <c r="BL245" s="15" t="s">
        <v>32</v>
      </c>
      <c r="BM245" s="14" t="s">
        <v>32</v>
      </c>
      <c r="BN245" s="13" t="s">
        <v>32</v>
      </c>
      <c r="BO245" s="1" t="s">
        <v>32</v>
      </c>
      <c r="BP245" s="12" t="s">
        <v>32</v>
      </c>
      <c r="BQ245" s="13">
        <v>0</v>
      </c>
      <c r="BR245" s="15">
        <v>0</v>
      </c>
      <c r="BS245" s="14">
        <v>0</v>
      </c>
      <c r="BT245" s="13">
        <v>0</v>
      </c>
      <c r="BU245" s="15" t="s">
        <v>32</v>
      </c>
      <c r="BV245" s="14" t="s">
        <v>32</v>
      </c>
      <c r="BW245" s="13" t="s">
        <v>32</v>
      </c>
      <c r="BX245" s="1" t="s">
        <v>32</v>
      </c>
      <c r="BY245" s="12" t="s">
        <v>32</v>
      </c>
      <c r="BZ245" s="13" t="s">
        <v>32</v>
      </c>
      <c r="CA245" s="15" t="s">
        <v>32</v>
      </c>
      <c r="CB245" s="14" t="s">
        <v>32</v>
      </c>
      <c r="CC245" s="13" t="s">
        <v>32</v>
      </c>
      <c r="CD245" s="15">
        <v>0</v>
      </c>
      <c r="CE245" s="14">
        <v>0</v>
      </c>
      <c r="CF245" s="13" t="s">
        <v>32</v>
      </c>
      <c r="CG245" s="1" t="s">
        <v>32</v>
      </c>
      <c r="CI245" s="12">
        <v>6</v>
      </c>
      <c r="CJ245" s="13" t="s">
        <v>32</v>
      </c>
      <c r="CK245" s="15" t="s">
        <v>32</v>
      </c>
      <c r="CL245" s="14" t="s">
        <v>32</v>
      </c>
      <c r="CM245" s="13" t="s">
        <v>32</v>
      </c>
      <c r="CN245" s="15" t="s">
        <v>32</v>
      </c>
      <c r="CO245" s="14" t="s">
        <v>32</v>
      </c>
      <c r="CP245" s="13" t="s">
        <v>32</v>
      </c>
      <c r="CQ245" s="1" t="s">
        <v>32</v>
      </c>
      <c r="CR245" s="12" t="s">
        <v>32</v>
      </c>
      <c r="CS245" s="13">
        <v>5</v>
      </c>
      <c r="CT245" s="15">
        <v>4</v>
      </c>
      <c r="CU245" s="14">
        <v>1</v>
      </c>
      <c r="CV245" s="13">
        <v>8</v>
      </c>
      <c r="CW245" s="15" t="s">
        <v>32</v>
      </c>
      <c r="CX245" s="14" t="s">
        <v>32</v>
      </c>
      <c r="CY245" s="13" t="s">
        <v>32</v>
      </c>
      <c r="CZ245" s="1" t="s">
        <v>32</v>
      </c>
      <c r="DA245" s="12" t="s">
        <v>32</v>
      </c>
      <c r="DB245" s="13" t="s">
        <v>32</v>
      </c>
      <c r="DC245" s="15" t="s">
        <v>32</v>
      </c>
      <c r="DD245" s="14" t="s">
        <v>32</v>
      </c>
      <c r="DE245" s="13" t="s">
        <v>32</v>
      </c>
      <c r="DF245" s="15">
        <v>7</v>
      </c>
      <c r="DG245" s="14">
        <v>3</v>
      </c>
      <c r="DH245" s="13" t="s">
        <v>32</v>
      </c>
      <c r="DI245" s="1" t="s">
        <v>32</v>
      </c>
      <c r="DJ245"/>
    </row>
    <row r="246" spans="2:114" ht="15" customHeight="1">
      <c r="B246" s="16" t="s">
        <v>32</v>
      </c>
      <c r="C246" s="17" t="s">
        <v>32</v>
      </c>
      <c r="D246" s="18" t="s">
        <v>32</v>
      </c>
      <c r="E246" s="19">
        <v>0</v>
      </c>
      <c r="F246" s="17">
        <v>0</v>
      </c>
      <c r="G246" s="18">
        <v>0</v>
      </c>
      <c r="H246" s="19">
        <v>0</v>
      </c>
      <c r="I246" s="17" t="s">
        <v>32</v>
      </c>
      <c r="J246" s="20" t="s">
        <v>32</v>
      </c>
      <c r="K246" s="16" t="s">
        <v>32</v>
      </c>
      <c r="L246" s="17" t="s">
        <v>32</v>
      </c>
      <c r="M246" s="18" t="s">
        <v>32</v>
      </c>
      <c r="N246" s="19" t="s">
        <v>32</v>
      </c>
      <c r="O246" s="17" t="s">
        <v>32</v>
      </c>
      <c r="P246" s="18" t="s">
        <v>32</v>
      </c>
      <c r="Q246" s="19" t="s">
        <v>32</v>
      </c>
      <c r="R246" s="17" t="s">
        <v>32</v>
      </c>
      <c r="S246" s="20" t="s">
        <v>32</v>
      </c>
      <c r="T246" s="16" t="s">
        <v>32</v>
      </c>
      <c r="U246" s="17" t="s">
        <v>32</v>
      </c>
      <c r="V246" s="18" t="s">
        <v>32</v>
      </c>
      <c r="W246" s="19" t="s">
        <v>32</v>
      </c>
      <c r="X246" s="17" t="s">
        <v>32</v>
      </c>
      <c r="Y246" s="18" t="s">
        <v>32</v>
      </c>
      <c r="Z246" s="19" t="s">
        <v>32</v>
      </c>
      <c r="AA246" s="211">
        <v>9</v>
      </c>
      <c r="AB246" s="20" t="s">
        <v>32</v>
      </c>
      <c r="AD246" s="16" t="s">
        <v>32</v>
      </c>
      <c r="AE246" s="17" t="s">
        <v>32</v>
      </c>
      <c r="AF246" s="18" t="s">
        <v>32</v>
      </c>
      <c r="AG246" s="19">
        <v>5</v>
      </c>
      <c r="AH246" s="17">
        <v>7</v>
      </c>
      <c r="AI246" s="18">
        <v>2</v>
      </c>
      <c r="AJ246" s="19">
        <v>1</v>
      </c>
      <c r="AK246" s="17" t="s">
        <v>32</v>
      </c>
      <c r="AL246" s="20" t="s">
        <v>32</v>
      </c>
      <c r="AM246" s="16" t="s">
        <v>32</v>
      </c>
      <c r="AN246" s="17" t="s">
        <v>32</v>
      </c>
      <c r="AO246" s="18" t="s">
        <v>32</v>
      </c>
      <c r="AP246" s="19" t="s">
        <v>32</v>
      </c>
      <c r="AQ246" s="17" t="s">
        <v>32</v>
      </c>
      <c r="AR246" s="18" t="s">
        <v>32</v>
      </c>
      <c r="AS246" s="19" t="s">
        <v>32</v>
      </c>
      <c r="AT246" s="17" t="s">
        <v>32</v>
      </c>
      <c r="AU246" s="20" t="s">
        <v>32</v>
      </c>
      <c r="AV246" s="16" t="s">
        <v>32</v>
      </c>
      <c r="AW246" s="17" t="s">
        <v>32</v>
      </c>
      <c r="AX246" s="18" t="s">
        <v>32</v>
      </c>
      <c r="AY246" s="19" t="s">
        <v>32</v>
      </c>
      <c r="AZ246" s="17" t="s">
        <v>32</v>
      </c>
      <c r="BA246" s="18" t="s">
        <v>32</v>
      </c>
      <c r="BB246" s="19" t="s">
        <v>32</v>
      </c>
      <c r="BC246" s="211">
        <v>9</v>
      </c>
      <c r="BD246" s="20" t="s">
        <v>32</v>
      </c>
      <c r="BG246" s="16">
        <v>0</v>
      </c>
      <c r="BH246" s="17" t="s">
        <v>32</v>
      </c>
      <c r="BI246" s="18" t="s">
        <v>32</v>
      </c>
      <c r="BJ246" s="19" t="s">
        <v>32</v>
      </c>
      <c r="BK246" s="17" t="s">
        <v>32</v>
      </c>
      <c r="BL246" s="18" t="s">
        <v>32</v>
      </c>
      <c r="BM246" s="19" t="s">
        <v>32</v>
      </c>
      <c r="BN246" s="17" t="s">
        <v>32</v>
      </c>
      <c r="BO246" s="20" t="s">
        <v>32</v>
      </c>
      <c r="BP246" s="16" t="s">
        <v>32</v>
      </c>
      <c r="BQ246" s="17">
        <v>0</v>
      </c>
      <c r="BR246" s="18" t="s">
        <v>32</v>
      </c>
      <c r="BS246" s="19" t="s">
        <v>32</v>
      </c>
      <c r="BT246" s="17" t="s">
        <v>32</v>
      </c>
      <c r="BU246" s="18" t="s">
        <v>32</v>
      </c>
      <c r="BV246" s="19" t="s">
        <v>32</v>
      </c>
      <c r="BW246" s="17" t="s">
        <v>32</v>
      </c>
      <c r="BX246" s="20" t="s">
        <v>32</v>
      </c>
      <c r="BY246" s="16" t="s">
        <v>32</v>
      </c>
      <c r="BZ246" s="17" t="s">
        <v>32</v>
      </c>
      <c r="CA246" s="18" t="s">
        <v>32</v>
      </c>
      <c r="CB246" s="19" t="s">
        <v>32</v>
      </c>
      <c r="CC246" s="17" t="s">
        <v>32</v>
      </c>
      <c r="CD246" s="18" t="s">
        <v>32</v>
      </c>
      <c r="CE246" s="19" t="s">
        <v>32</v>
      </c>
      <c r="CF246" s="17" t="s">
        <v>32</v>
      </c>
      <c r="CG246" s="20" t="s">
        <v>32</v>
      </c>
      <c r="CI246" s="16">
        <v>9</v>
      </c>
      <c r="CJ246" s="17" t="s">
        <v>32</v>
      </c>
      <c r="CK246" s="18" t="s">
        <v>32</v>
      </c>
      <c r="CL246" s="19" t="s">
        <v>32</v>
      </c>
      <c r="CM246" s="17" t="s">
        <v>32</v>
      </c>
      <c r="CN246" s="18" t="s">
        <v>32</v>
      </c>
      <c r="CO246" s="19" t="s">
        <v>32</v>
      </c>
      <c r="CP246" s="17" t="s">
        <v>32</v>
      </c>
      <c r="CQ246" s="20" t="s">
        <v>32</v>
      </c>
      <c r="CR246" s="16" t="s">
        <v>32</v>
      </c>
      <c r="CS246" s="17">
        <v>2</v>
      </c>
      <c r="CT246" s="18" t="s">
        <v>32</v>
      </c>
      <c r="CU246" s="19" t="s">
        <v>32</v>
      </c>
      <c r="CV246" s="17" t="s">
        <v>32</v>
      </c>
      <c r="CW246" s="18" t="s">
        <v>32</v>
      </c>
      <c r="CX246" s="19" t="s">
        <v>32</v>
      </c>
      <c r="CY246" s="17" t="s">
        <v>32</v>
      </c>
      <c r="CZ246" s="20" t="s">
        <v>32</v>
      </c>
      <c r="DA246" s="16" t="s">
        <v>32</v>
      </c>
      <c r="DB246" s="17" t="s">
        <v>32</v>
      </c>
      <c r="DC246" s="18" t="s">
        <v>32</v>
      </c>
      <c r="DD246" s="19" t="s">
        <v>32</v>
      </c>
      <c r="DE246" s="17" t="s">
        <v>32</v>
      </c>
      <c r="DF246" s="18" t="s">
        <v>32</v>
      </c>
      <c r="DG246" s="19" t="s">
        <v>32</v>
      </c>
      <c r="DH246" s="17" t="s">
        <v>32</v>
      </c>
      <c r="DI246" s="20" t="s">
        <v>32</v>
      </c>
      <c r="DJ246"/>
    </row>
    <row r="247" spans="2:114" ht="15" customHeight="1">
      <c r="B247" s="11" t="s">
        <v>32</v>
      </c>
      <c r="C247" s="7" t="s">
        <v>32</v>
      </c>
      <c r="D247" s="9" t="s">
        <v>32</v>
      </c>
      <c r="E247" s="8">
        <v>0</v>
      </c>
      <c r="F247" s="7">
        <v>0</v>
      </c>
      <c r="G247" s="9" t="s">
        <v>32</v>
      </c>
      <c r="H247" s="8" t="s">
        <v>32</v>
      </c>
      <c r="I247" s="7" t="s">
        <v>32</v>
      </c>
      <c r="J247" s="10" t="s">
        <v>32</v>
      </c>
      <c r="K247" s="11" t="s">
        <v>32</v>
      </c>
      <c r="L247" s="7" t="s">
        <v>32</v>
      </c>
      <c r="M247" s="9" t="s">
        <v>32</v>
      </c>
      <c r="N247" s="8" t="s">
        <v>32</v>
      </c>
      <c r="O247" s="7" t="s">
        <v>32</v>
      </c>
      <c r="P247" s="9" t="s">
        <v>32</v>
      </c>
      <c r="Q247" s="8" t="s">
        <v>32</v>
      </c>
      <c r="R247" s="7" t="s">
        <v>32</v>
      </c>
      <c r="S247" s="10" t="s">
        <v>32</v>
      </c>
      <c r="T247" s="11" t="s">
        <v>32</v>
      </c>
      <c r="U247" s="7" t="s">
        <v>32</v>
      </c>
      <c r="V247" s="9" t="s">
        <v>32</v>
      </c>
      <c r="W247" s="8" t="s">
        <v>32</v>
      </c>
      <c r="X247" s="7" t="s">
        <v>32</v>
      </c>
      <c r="Y247" s="9" t="s">
        <v>32</v>
      </c>
      <c r="Z247" s="8" t="s">
        <v>32</v>
      </c>
      <c r="AA247" s="7" t="s">
        <v>32</v>
      </c>
      <c r="AB247" s="214">
        <v>1</v>
      </c>
      <c r="AD247" s="11" t="s">
        <v>32</v>
      </c>
      <c r="AE247" s="7" t="s">
        <v>32</v>
      </c>
      <c r="AF247" s="9" t="s">
        <v>32</v>
      </c>
      <c r="AG247" s="8">
        <v>4</v>
      </c>
      <c r="AH247" s="7">
        <v>8</v>
      </c>
      <c r="AI247" s="9" t="s">
        <v>32</v>
      </c>
      <c r="AJ247" s="8" t="s">
        <v>32</v>
      </c>
      <c r="AK247" s="7" t="s">
        <v>32</v>
      </c>
      <c r="AL247" s="10" t="s">
        <v>32</v>
      </c>
      <c r="AM247" s="11" t="s">
        <v>32</v>
      </c>
      <c r="AN247" s="7" t="s">
        <v>32</v>
      </c>
      <c r="AO247" s="9" t="s">
        <v>32</v>
      </c>
      <c r="AP247" s="8" t="s">
        <v>32</v>
      </c>
      <c r="AQ247" s="7" t="s">
        <v>32</v>
      </c>
      <c r="AR247" s="9" t="s">
        <v>32</v>
      </c>
      <c r="AS247" s="8" t="s">
        <v>32</v>
      </c>
      <c r="AT247" s="7" t="s">
        <v>32</v>
      </c>
      <c r="AU247" s="10" t="s">
        <v>32</v>
      </c>
      <c r="AV247" s="11" t="s">
        <v>32</v>
      </c>
      <c r="AW247" s="7" t="s">
        <v>32</v>
      </c>
      <c r="AX247" s="9" t="s">
        <v>32</v>
      </c>
      <c r="AY247" s="8" t="s">
        <v>32</v>
      </c>
      <c r="AZ247" s="7" t="s">
        <v>32</v>
      </c>
      <c r="BA247" s="9" t="s">
        <v>32</v>
      </c>
      <c r="BB247" s="8" t="s">
        <v>32</v>
      </c>
      <c r="BC247" s="7" t="s">
        <v>32</v>
      </c>
      <c r="BD247" s="214">
        <v>1</v>
      </c>
      <c r="BG247" s="11" t="s">
        <v>32</v>
      </c>
      <c r="BH247" s="7" t="s">
        <v>32</v>
      </c>
      <c r="BI247" s="9" t="s">
        <v>32</v>
      </c>
      <c r="BJ247" s="8" t="s">
        <v>32</v>
      </c>
      <c r="BK247" s="7" t="s">
        <v>32</v>
      </c>
      <c r="BL247" s="9" t="s">
        <v>32</v>
      </c>
      <c r="BM247" s="8" t="s">
        <v>32</v>
      </c>
      <c r="BN247" s="7" t="s">
        <v>32</v>
      </c>
      <c r="BO247" s="10" t="s">
        <v>32</v>
      </c>
      <c r="BP247" s="11" t="s">
        <v>32</v>
      </c>
      <c r="BQ247" s="7" t="s">
        <v>32</v>
      </c>
      <c r="BR247" s="9" t="s">
        <v>32</v>
      </c>
      <c r="BS247" s="8" t="s">
        <v>32</v>
      </c>
      <c r="BT247" s="7" t="s">
        <v>32</v>
      </c>
      <c r="BU247" s="9" t="s">
        <v>32</v>
      </c>
      <c r="BV247" s="8" t="s">
        <v>32</v>
      </c>
      <c r="BW247" s="7" t="s">
        <v>32</v>
      </c>
      <c r="BX247" s="10" t="s">
        <v>32</v>
      </c>
      <c r="BY247" s="11" t="s">
        <v>32</v>
      </c>
      <c r="BZ247" s="7" t="s">
        <v>32</v>
      </c>
      <c r="CA247" s="9" t="s">
        <v>32</v>
      </c>
      <c r="CB247" s="8" t="s">
        <v>32</v>
      </c>
      <c r="CC247" s="7" t="s">
        <v>32</v>
      </c>
      <c r="CD247" s="9" t="s">
        <v>32</v>
      </c>
      <c r="CE247" s="8" t="s">
        <v>32</v>
      </c>
      <c r="CF247" s="7" t="s">
        <v>32</v>
      </c>
      <c r="CG247" s="10" t="s">
        <v>32</v>
      </c>
      <c r="CI247" s="11" t="s">
        <v>32</v>
      </c>
      <c r="CJ247" s="7" t="s">
        <v>32</v>
      </c>
      <c r="CK247" s="9" t="s">
        <v>32</v>
      </c>
      <c r="CL247" s="8" t="s">
        <v>32</v>
      </c>
      <c r="CM247" s="7" t="s">
        <v>32</v>
      </c>
      <c r="CN247" s="9" t="s">
        <v>32</v>
      </c>
      <c r="CO247" s="8" t="s">
        <v>32</v>
      </c>
      <c r="CP247" s="7" t="s">
        <v>32</v>
      </c>
      <c r="CQ247" s="10" t="s">
        <v>32</v>
      </c>
      <c r="CR247" s="11" t="s">
        <v>32</v>
      </c>
      <c r="CS247" s="7" t="s">
        <v>32</v>
      </c>
      <c r="CT247" s="9" t="s">
        <v>32</v>
      </c>
      <c r="CU247" s="8" t="s">
        <v>32</v>
      </c>
      <c r="CV247" s="7" t="s">
        <v>32</v>
      </c>
      <c r="CW247" s="9" t="s">
        <v>32</v>
      </c>
      <c r="CX247" s="8" t="s">
        <v>32</v>
      </c>
      <c r="CY247" s="7" t="s">
        <v>32</v>
      </c>
      <c r="CZ247" s="10" t="s">
        <v>32</v>
      </c>
      <c r="DA247" s="11" t="s">
        <v>32</v>
      </c>
      <c r="DB247" s="7" t="s">
        <v>32</v>
      </c>
      <c r="DC247" s="9" t="s">
        <v>32</v>
      </c>
      <c r="DD247" s="8" t="s">
        <v>32</v>
      </c>
      <c r="DE247" s="7" t="s">
        <v>32</v>
      </c>
      <c r="DF247" s="9" t="s">
        <v>32</v>
      </c>
      <c r="DG247" s="8" t="s">
        <v>32</v>
      </c>
      <c r="DH247" s="7" t="s">
        <v>32</v>
      </c>
      <c r="DI247" s="10" t="s">
        <v>32</v>
      </c>
      <c r="DJ247"/>
    </row>
    <row r="248" spans="2:114" ht="15" customHeight="1" thickBot="1">
      <c r="B248" s="21" t="s">
        <v>32</v>
      </c>
      <c r="C248" s="22" t="s">
        <v>32</v>
      </c>
      <c r="D248" s="23" t="s">
        <v>32</v>
      </c>
      <c r="E248" s="24" t="s">
        <v>32</v>
      </c>
      <c r="F248" s="22" t="s">
        <v>32</v>
      </c>
      <c r="G248" s="23" t="s">
        <v>32</v>
      </c>
      <c r="H248" s="24" t="s">
        <v>32</v>
      </c>
      <c r="I248" s="22" t="s">
        <v>32</v>
      </c>
      <c r="J248" s="25" t="s">
        <v>32</v>
      </c>
      <c r="K248" s="21" t="s">
        <v>32</v>
      </c>
      <c r="L248" s="22" t="s">
        <v>32</v>
      </c>
      <c r="M248" s="23" t="s">
        <v>32</v>
      </c>
      <c r="N248" s="24" t="s">
        <v>32</v>
      </c>
      <c r="O248" s="22" t="s">
        <v>32</v>
      </c>
      <c r="P248" s="23" t="s">
        <v>32</v>
      </c>
      <c r="Q248" s="24" t="s">
        <v>32</v>
      </c>
      <c r="R248" s="22" t="s">
        <v>32</v>
      </c>
      <c r="S248" s="25" t="s">
        <v>32</v>
      </c>
      <c r="T248" s="21" t="s">
        <v>32</v>
      </c>
      <c r="U248" s="22" t="s">
        <v>32</v>
      </c>
      <c r="V248" s="23" t="s">
        <v>32</v>
      </c>
      <c r="W248" s="24" t="s">
        <v>32</v>
      </c>
      <c r="X248" s="22" t="s">
        <v>32</v>
      </c>
      <c r="Y248" s="23" t="s">
        <v>32</v>
      </c>
      <c r="Z248" s="24" t="s">
        <v>32</v>
      </c>
      <c r="AA248" s="219">
        <v>6</v>
      </c>
      <c r="AB248" s="25" t="s">
        <v>32</v>
      </c>
      <c r="AD248" s="21" t="s">
        <v>32</v>
      </c>
      <c r="AE248" s="22" t="s">
        <v>32</v>
      </c>
      <c r="AF248" s="23" t="s">
        <v>32</v>
      </c>
      <c r="AG248" s="24" t="s">
        <v>32</v>
      </c>
      <c r="AH248" s="22" t="s">
        <v>32</v>
      </c>
      <c r="AI248" s="23" t="s">
        <v>32</v>
      </c>
      <c r="AJ248" s="24" t="s">
        <v>32</v>
      </c>
      <c r="AK248" s="22" t="s">
        <v>32</v>
      </c>
      <c r="AL248" s="25" t="s">
        <v>32</v>
      </c>
      <c r="AM248" s="21" t="s">
        <v>32</v>
      </c>
      <c r="AN248" s="22" t="s">
        <v>32</v>
      </c>
      <c r="AO248" s="23" t="s">
        <v>32</v>
      </c>
      <c r="AP248" s="24" t="s">
        <v>32</v>
      </c>
      <c r="AQ248" s="22" t="s">
        <v>32</v>
      </c>
      <c r="AR248" s="23" t="s">
        <v>32</v>
      </c>
      <c r="AS248" s="24" t="s">
        <v>32</v>
      </c>
      <c r="AT248" s="22" t="s">
        <v>32</v>
      </c>
      <c r="AU248" s="25" t="s">
        <v>32</v>
      </c>
      <c r="AV248" s="21" t="s">
        <v>32</v>
      </c>
      <c r="AW248" s="22" t="s">
        <v>32</v>
      </c>
      <c r="AX248" s="23" t="s">
        <v>32</v>
      </c>
      <c r="AY248" s="24" t="s">
        <v>32</v>
      </c>
      <c r="AZ248" s="22" t="s">
        <v>32</v>
      </c>
      <c r="BA248" s="23" t="s">
        <v>32</v>
      </c>
      <c r="BB248" s="24" t="s">
        <v>32</v>
      </c>
      <c r="BC248" s="219">
        <v>6</v>
      </c>
      <c r="BD248" s="25" t="s">
        <v>32</v>
      </c>
      <c r="BG248" s="21" t="s">
        <v>32</v>
      </c>
      <c r="BH248" s="22" t="s">
        <v>32</v>
      </c>
      <c r="BI248" s="23" t="s">
        <v>32</v>
      </c>
      <c r="BJ248" s="24" t="s">
        <v>32</v>
      </c>
      <c r="BK248" s="22" t="s">
        <v>32</v>
      </c>
      <c r="BL248" s="23" t="s">
        <v>32</v>
      </c>
      <c r="BM248" s="24" t="s">
        <v>32</v>
      </c>
      <c r="BN248" s="22" t="s">
        <v>32</v>
      </c>
      <c r="BO248" s="25" t="s">
        <v>32</v>
      </c>
      <c r="BP248" s="21" t="s">
        <v>32</v>
      </c>
      <c r="BQ248" s="22" t="s">
        <v>32</v>
      </c>
      <c r="BR248" s="23" t="s">
        <v>32</v>
      </c>
      <c r="BS248" s="24" t="s">
        <v>32</v>
      </c>
      <c r="BT248" s="22" t="s">
        <v>32</v>
      </c>
      <c r="BU248" s="23" t="s">
        <v>32</v>
      </c>
      <c r="BV248" s="24" t="s">
        <v>32</v>
      </c>
      <c r="BW248" s="22" t="s">
        <v>32</v>
      </c>
      <c r="BX248" s="25" t="s">
        <v>32</v>
      </c>
      <c r="BY248" s="21" t="s">
        <v>32</v>
      </c>
      <c r="BZ248" s="22" t="s">
        <v>32</v>
      </c>
      <c r="CA248" s="23" t="s">
        <v>32</v>
      </c>
      <c r="CB248" s="24" t="s">
        <v>32</v>
      </c>
      <c r="CC248" s="22" t="s">
        <v>32</v>
      </c>
      <c r="CD248" s="23" t="s">
        <v>32</v>
      </c>
      <c r="CE248" s="24" t="s">
        <v>32</v>
      </c>
      <c r="CF248" s="22" t="s">
        <v>32</v>
      </c>
      <c r="CG248" s="25" t="s">
        <v>32</v>
      </c>
      <c r="CI248" s="21" t="s">
        <v>32</v>
      </c>
      <c r="CJ248" s="22" t="s">
        <v>32</v>
      </c>
      <c r="CK248" s="23" t="s">
        <v>32</v>
      </c>
      <c r="CL248" s="24" t="s">
        <v>32</v>
      </c>
      <c r="CM248" s="22" t="s">
        <v>32</v>
      </c>
      <c r="CN248" s="23" t="s">
        <v>32</v>
      </c>
      <c r="CO248" s="24" t="s">
        <v>32</v>
      </c>
      <c r="CP248" s="22" t="s">
        <v>32</v>
      </c>
      <c r="CQ248" s="25" t="s">
        <v>32</v>
      </c>
      <c r="CR248" s="21" t="s">
        <v>32</v>
      </c>
      <c r="CS248" s="22" t="s">
        <v>32</v>
      </c>
      <c r="CT248" s="23" t="s">
        <v>32</v>
      </c>
      <c r="CU248" s="24" t="s">
        <v>32</v>
      </c>
      <c r="CV248" s="22" t="s">
        <v>32</v>
      </c>
      <c r="CW248" s="23" t="s">
        <v>32</v>
      </c>
      <c r="CX248" s="24" t="s">
        <v>32</v>
      </c>
      <c r="CY248" s="22" t="s">
        <v>32</v>
      </c>
      <c r="CZ248" s="25" t="s">
        <v>32</v>
      </c>
      <c r="DA248" s="21" t="s">
        <v>32</v>
      </c>
      <c r="DB248" s="22" t="s">
        <v>32</v>
      </c>
      <c r="DC248" s="23" t="s">
        <v>32</v>
      </c>
      <c r="DD248" s="24" t="s">
        <v>32</v>
      </c>
      <c r="DE248" s="22" t="s">
        <v>32</v>
      </c>
      <c r="DF248" s="23" t="s">
        <v>32</v>
      </c>
      <c r="DG248" s="24" t="s">
        <v>32</v>
      </c>
      <c r="DH248" s="22" t="s">
        <v>32</v>
      </c>
      <c r="DI248" s="25" t="s">
        <v>32</v>
      </c>
      <c r="DJ248"/>
    </row>
    <row r="249" spans="2:114" ht="15" customHeight="1">
      <c r="B249" s="2" t="s">
        <v>32</v>
      </c>
      <c r="C249" s="5" t="s">
        <v>32</v>
      </c>
      <c r="D249" s="3" t="s">
        <v>32</v>
      </c>
      <c r="E249" s="4" t="s">
        <v>32</v>
      </c>
      <c r="F249" s="5" t="s">
        <v>32</v>
      </c>
      <c r="G249" s="3" t="s">
        <v>32</v>
      </c>
      <c r="H249" s="4" t="s">
        <v>32</v>
      </c>
      <c r="I249" s="5" t="s">
        <v>32</v>
      </c>
      <c r="J249" s="6" t="s">
        <v>32</v>
      </c>
      <c r="K249" s="2" t="s">
        <v>32</v>
      </c>
      <c r="L249" s="5" t="s">
        <v>32</v>
      </c>
      <c r="M249" s="3" t="s">
        <v>32</v>
      </c>
      <c r="N249" s="4" t="s">
        <v>32</v>
      </c>
      <c r="O249" s="5" t="s">
        <v>32</v>
      </c>
      <c r="P249" s="3" t="s">
        <v>32</v>
      </c>
      <c r="Q249" s="4" t="s">
        <v>32</v>
      </c>
      <c r="R249" s="5" t="s">
        <v>32</v>
      </c>
      <c r="S249" s="6" t="s">
        <v>32</v>
      </c>
      <c r="T249" s="2" t="s">
        <v>32</v>
      </c>
      <c r="U249" s="5" t="s">
        <v>32</v>
      </c>
      <c r="V249" s="3" t="s">
        <v>32</v>
      </c>
      <c r="W249" s="4" t="s">
        <v>32</v>
      </c>
      <c r="X249" s="5" t="s">
        <v>32</v>
      </c>
      <c r="Y249" s="3" t="s">
        <v>32</v>
      </c>
      <c r="Z249" s="4" t="s">
        <v>32</v>
      </c>
      <c r="AA249" s="5" t="s">
        <v>32</v>
      </c>
      <c r="AB249" s="6" t="s">
        <v>32</v>
      </c>
      <c r="AD249" s="2" t="s">
        <v>32</v>
      </c>
      <c r="AE249" s="5" t="s">
        <v>32</v>
      </c>
      <c r="AF249" s="3" t="s">
        <v>32</v>
      </c>
      <c r="AG249" s="4" t="s">
        <v>32</v>
      </c>
      <c r="AH249" s="5" t="s">
        <v>32</v>
      </c>
      <c r="AI249" s="3" t="s">
        <v>32</v>
      </c>
      <c r="AJ249" s="4" t="s">
        <v>32</v>
      </c>
      <c r="AK249" s="5" t="s">
        <v>32</v>
      </c>
      <c r="AL249" s="6" t="s">
        <v>32</v>
      </c>
      <c r="AM249" s="2" t="s">
        <v>32</v>
      </c>
      <c r="AN249" s="5" t="s">
        <v>32</v>
      </c>
      <c r="AO249" s="3" t="s">
        <v>32</v>
      </c>
      <c r="AP249" s="4" t="s">
        <v>32</v>
      </c>
      <c r="AQ249" s="5" t="s">
        <v>32</v>
      </c>
      <c r="AR249" s="3" t="s">
        <v>32</v>
      </c>
      <c r="AS249" s="4" t="s">
        <v>32</v>
      </c>
      <c r="AT249" s="5" t="s">
        <v>32</v>
      </c>
      <c r="AU249" s="6" t="s">
        <v>32</v>
      </c>
      <c r="AV249" s="2" t="s">
        <v>32</v>
      </c>
      <c r="AW249" s="5" t="s">
        <v>32</v>
      </c>
      <c r="AX249" s="3" t="s">
        <v>32</v>
      </c>
      <c r="AY249" s="4" t="s">
        <v>32</v>
      </c>
      <c r="AZ249" s="5" t="s">
        <v>32</v>
      </c>
      <c r="BA249" s="3" t="s">
        <v>32</v>
      </c>
      <c r="BB249" s="4" t="s">
        <v>32</v>
      </c>
      <c r="BC249" s="5" t="s">
        <v>32</v>
      </c>
      <c r="BD249" s="6" t="s">
        <v>32</v>
      </c>
      <c r="BG249" s="2" t="s">
        <v>32</v>
      </c>
      <c r="BH249" s="5" t="s">
        <v>32</v>
      </c>
      <c r="BI249" s="3" t="s">
        <v>32</v>
      </c>
      <c r="BJ249" s="4" t="s">
        <v>32</v>
      </c>
      <c r="BK249" s="5" t="s">
        <v>32</v>
      </c>
      <c r="BL249" s="3" t="s">
        <v>32</v>
      </c>
      <c r="BM249" s="4" t="s">
        <v>32</v>
      </c>
      <c r="BN249" s="5" t="s">
        <v>32</v>
      </c>
      <c r="BO249" s="6" t="s">
        <v>32</v>
      </c>
      <c r="BP249" s="2" t="s">
        <v>32</v>
      </c>
      <c r="BQ249" s="5" t="s">
        <v>32</v>
      </c>
      <c r="BR249" s="3" t="s">
        <v>32</v>
      </c>
      <c r="BS249" s="4" t="s">
        <v>32</v>
      </c>
      <c r="BT249" s="5" t="s">
        <v>32</v>
      </c>
      <c r="BU249" s="3" t="s">
        <v>32</v>
      </c>
      <c r="BV249" s="4" t="s">
        <v>32</v>
      </c>
      <c r="BW249" s="5" t="s">
        <v>32</v>
      </c>
      <c r="BX249" s="6" t="s">
        <v>32</v>
      </c>
      <c r="BY249" s="2" t="s">
        <v>32</v>
      </c>
      <c r="BZ249" s="5" t="s">
        <v>32</v>
      </c>
      <c r="CA249" s="3" t="s">
        <v>32</v>
      </c>
      <c r="CB249" s="4" t="s">
        <v>32</v>
      </c>
      <c r="CC249" s="5" t="s">
        <v>32</v>
      </c>
      <c r="CD249" s="3" t="s">
        <v>32</v>
      </c>
      <c r="CE249" s="4" t="s">
        <v>32</v>
      </c>
      <c r="CF249" s="5" t="s">
        <v>32</v>
      </c>
      <c r="CG249" s="6" t="s">
        <v>32</v>
      </c>
      <c r="CI249" s="2" t="s">
        <v>32</v>
      </c>
      <c r="CJ249" s="5" t="s">
        <v>32</v>
      </c>
      <c r="CK249" s="3" t="s">
        <v>32</v>
      </c>
      <c r="CL249" s="4" t="s">
        <v>32</v>
      </c>
      <c r="CM249" s="5" t="s">
        <v>32</v>
      </c>
      <c r="CN249" s="3" t="s">
        <v>32</v>
      </c>
      <c r="CO249" s="4" t="s">
        <v>32</v>
      </c>
      <c r="CP249" s="5" t="s">
        <v>32</v>
      </c>
      <c r="CQ249" s="6" t="s">
        <v>32</v>
      </c>
      <c r="CR249" s="2" t="s">
        <v>32</v>
      </c>
      <c r="CS249" s="5" t="s">
        <v>32</v>
      </c>
      <c r="CT249" s="3" t="s">
        <v>32</v>
      </c>
      <c r="CU249" s="4" t="s">
        <v>32</v>
      </c>
      <c r="CV249" s="5" t="s">
        <v>32</v>
      </c>
      <c r="CW249" s="3" t="s">
        <v>32</v>
      </c>
      <c r="CX249" s="4" t="s">
        <v>32</v>
      </c>
      <c r="CY249" s="5" t="s">
        <v>32</v>
      </c>
      <c r="CZ249" s="6" t="s">
        <v>32</v>
      </c>
      <c r="DA249" s="2" t="s">
        <v>32</v>
      </c>
      <c r="DB249" s="5" t="s">
        <v>32</v>
      </c>
      <c r="DC249" s="3" t="s">
        <v>32</v>
      </c>
      <c r="DD249" s="4" t="s">
        <v>32</v>
      </c>
      <c r="DE249" s="5" t="s">
        <v>32</v>
      </c>
      <c r="DF249" s="3" t="s">
        <v>32</v>
      </c>
      <c r="DG249" s="4" t="s">
        <v>32</v>
      </c>
      <c r="DH249" s="5" t="s">
        <v>32</v>
      </c>
      <c r="DI249" s="6" t="s">
        <v>32</v>
      </c>
      <c r="DJ249"/>
    </row>
    <row r="250" spans="2:114" ht="15" customHeight="1">
      <c r="B250" s="11" t="s">
        <v>32</v>
      </c>
      <c r="C250" s="7">
        <v>0</v>
      </c>
      <c r="D250" s="9" t="s">
        <v>32</v>
      </c>
      <c r="E250" s="8" t="s">
        <v>32</v>
      </c>
      <c r="F250" s="7" t="s">
        <v>32</v>
      </c>
      <c r="G250" s="9" t="s">
        <v>32</v>
      </c>
      <c r="H250" s="8" t="s">
        <v>32</v>
      </c>
      <c r="I250" s="7" t="s">
        <v>32</v>
      </c>
      <c r="J250" s="10" t="s">
        <v>32</v>
      </c>
      <c r="K250" s="11" t="s">
        <v>32</v>
      </c>
      <c r="L250" s="7" t="s">
        <v>32</v>
      </c>
      <c r="M250" s="9" t="s">
        <v>32</v>
      </c>
      <c r="N250" s="8" t="s">
        <v>32</v>
      </c>
      <c r="O250" s="7" t="s">
        <v>32</v>
      </c>
      <c r="P250" s="9" t="s">
        <v>32</v>
      </c>
      <c r="Q250" s="8" t="s">
        <v>32</v>
      </c>
      <c r="R250" s="7" t="s">
        <v>32</v>
      </c>
      <c r="S250" s="10" t="s">
        <v>32</v>
      </c>
      <c r="T250" s="11" t="s">
        <v>32</v>
      </c>
      <c r="U250" s="7" t="s">
        <v>32</v>
      </c>
      <c r="V250" s="9" t="s">
        <v>32</v>
      </c>
      <c r="W250" s="8" t="s">
        <v>32</v>
      </c>
      <c r="X250" s="7" t="s">
        <v>32</v>
      </c>
      <c r="Y250" s="9" t="s">
        <v>32</v>
      </c>
      <c r="Z250" s="8" t="s">
        <v>32</v>
      </c>
      <c r="AA250" s="7" t="s">
        <v>32</v>
      </c>
      <c r="AB250" s="10" t="s">
        <v>32</v>
      </c>
      <c r="AD250" s="11" t="s">
        <v>32</v>
      </c>
      <c r="AE250" s="7">
        <v>1</v>
      </c>
      <c r="AF250" s="9" t="s">
        <v>32</v>
      </c>
      <c r="AG250" s="8" t="s">
        <v>32</v>
      </c>
      <c r="AH250" s="7" t="s">
        <v>32</v>
      </c>
      <c r="AI250" s="9" t="s">
        <v>32</v>
      </c>
      <c r="AJ250" s="8" t="s">
        <v>32</v>
      </c>
      <c r="AK250" s="7" t="s">
        <v>32</v>
      </c>
      <c r="AL250" s="10" t="s">
        <v>32</v>
      </c>
      <c r="AM250" s="11" t="s">
        <v>32</v>
      </c>
      <c r="AN250" s="7" t="s">
        <v>32</v>
      </c>
      <c r="AO250" s="9" t="s">
        <v>32</v>
      </c>
      <c r="AP250" s="8" t="s">
        <v>32</v>
      </c>
      <c r="AQ250" s="7" t="s">
        <v>32</v>
      </c>
      <c r="AR250" s="9" t="s">
        <v>32</v>
      </c>
      <c r="AS250" s="8" t="s">
        <v>32</v>
      </c>
      <c r="AT250" s="7" t="s">
        <v>32</v>
      </c>
      <c r="AU250" s="10" t="s">
        <v>32</v>
      </c>
      <c r="AV250" s="11" t="s">
        <v>32</v>
      </c>
      <c r="AW250" s="7" t="s">
        <v>32</v>
      </c>
      <c r="AX250" s="9" t="s">
        <v>32</v>
      </c>
      <c r="AY250" s="8" t="s">
        <v>32</v>
      </c>
      <c r="AZ250" s="7" t="s">
        <v>32</v>
      </c>
      <c r="BA250" s="9" t="s">
        <v>32</v>
      </c>
      <c r="BB250" s="8" t="s">
        <v>32</v>
      </c>
      <c r="BC250" s="7" t="s">
        <v>32</v>
      </c>
      <c r="BD250" s="10" t="s">
        <v>32</v>
      </c>
      <c r="BG250" s="11" t="s">
        <v>32</v>
      </c>
      <c r="BH250" s="7" t="s">
        <v>32</v>
      </c>
      <c r="BI250" s="9" t="s">
        <v>32</v>
      </c>
      <c r="BJ250" s="8" t="s">
        <v>32</v>
      </c>
      <c r="BK250" s="7" t="s">
        <v>32</v>
      </c>
      <c r="BL250" s="9" t="s">
        <v>32</v>
      </c>
      <c r="BM250" s="8" t="s">
        <v>32</v>
      </c>
      <c r="BN250" s="7" t="s">
        <v>32</v>
      </c>
      <c r="BO250" s="10" t="s">
        <v>32</v>
      </c>
      <c r="BP250" s="11" t="s">
        <v>32</v>
      </c>
      <c r="BQ250" s="7" t="s">
        <v>32</v>
      </c>
      <c r="BR250" s="9" t="s">
        <v>32</v>
      </c>
      <c r="BS250" s="8" t="s">
        <v>32</v>
      </c>
      <c r="BT250" s="7" t="s">
        <v>32</v>
      </c>
      <c r="BU250" s="9" t="s">
        <v>32</v>
      </c>
      <c r="BV250" s="8" t="s">
        <v>32</v>
      </c>
      <c r="BW250" s="7" t="s">
        <v>32</v>
      </c>
      <c r="BX250" s="10" t="s">
        <v>32</v>
      </c>
      <c r="BY250" s="11" t="s">
        <v>32</v>
      </c>
      <c r="BZ250" s="7" t="s">
        <v>32</v>
      </c>
      <c r="CA250" s="9" t="s">
        <v>32</v>
      </c>
      <c r="CB250" s="8" t="s">
        <v>32</v>
      </c>
      <c r="CC250" s="7" t="s">
        <v>32</v>
      </c>
      <c r="CD250" s="9" t="s">
        <v>32</v>
      </c>
      <c r="CE250" s="8" t="s">
        <v>32</v>
      </c>
      <c r="CF250" s="7" t="s">
        <v>32</v>
      </c>
      <c r="CG250" s="10" t="s">
        <v>32</v>
      </c>
      <c r="CI250" s="11" t="s">
        <v>32</v>
      </c>
      <c r="CJ250" s="7" t="s">
        <v>32</v>
      </c>
      <c r="CK250" s="9" t="s">
        <v>32</v>
      </c>
      <c r="CL250" s="8" t="s">
        <v>32</v>
      </c>
      <c r="CM250" s="7" t="s">
        <v>32</v>
      </c>
      <c r="CN250" s="9" t="s">
        <v>32</v>
      </c>
      <c r="CO250" s="8" t="s">
        <v>32</v>
      </c>
      <c r="CP250" s="7" t="s">
        <v>32</v>
      </c>
      <c r="CQ250" s="10" t="s">
        <v>32</v>
      </c>
      <c r="CR250" s="11" t="s">
        <v>32</v>
      </c>
      <c r="CS250" s="7" t="s">
        <v>32</v>
      </c>
      <c r="CT250" s="9" t="s">
        <v>32</v>
      </c>
      <c r="CU250" s="8" t="s">
        <v>32</v>
      </c>
      <c r="CV250" s="7" t="s">
        <v>32</v>
      </c>
      <c r="CW250" s="9" t="s">
        <v>32</v>
      </c>
      <c r="CX250" s="8" t="s">
        <v>32</v>
      </c>
      <c r="CY250" s="7" t="s">
        <v>32</v>
      </c>
      <c r="CZ250" s="10" t="s">
        <v>32</v>
      </c>
      <c r="DA250" s="11" t="s">
        <v>32</v>
      </c>
      <c r="DB250" s="7" t="s">
        <v>32</v>
      </c>
      <c r="DC250" s="9" t="s">
        <v>32</v>
      </c>
      <c r="DD250" s="8" t="s">
        <v>32</v>
      </c>
      <c r="DE250" s="7" t="s">
        <v>32</v>
      </c>
      <c r="DF250" s="9" t="s">
        <v>32</v>
      </c>
      <c r="DG250" s="8" t="s">
        <v>32</v>
      </c>
      <c r="DH250" s="7" t="s">
        <v>32</v>
      </c>
      <c r="DI250" s="10" t="s">
        <v>32</v>
      </c>
      <c r="DJ250"/>
    </row>
    <row r="251" spans="2:114" ht="15" customHeight="1">
      <c r="B251" s="12">
        <v>0</v>
      </c>
      <c r="C251" s="13" t="s">
        <v>32</v>
      </c>
      <c r="D251" s="15" t="s">
        <v>32</v>
      </c>
      <c r="E251" s="14" t="s">
        <v>32</v>
      </c>
      <c r="F251" s="13" t="s">
        <v>32</v>
      </c>
      <c r="G251" s="15" t="s">
        <v>32</v>
      </c>
      <c r="H251" s="14" t="s">
        <v>32</v>
      </c>
      <c r="I251" s="13" t="s">
        <v>32</v>
      </c>
      <c r="J251" s="1" t="s">
        <v>32</v>
      </c>
      <c r="K251" s="12" t="s">
        <v>32</v>
      </c>
      <c r="L251" s="13" t="s">
        <v>32</v>
      </c>
      <c r="M251" s="15" t="s">
        <v>32</v>
      </c>
      <c r="N251" s="14" t="s">
        <v>32</v>
      </c>
      <c r="O251" s="13" t="s">
        <v>32</v>
      </c>
      <c r="P251" s="15" t="s">
        <v>32</v>
      </c>
      <c r="Q251" s="14" t="s">
        <v>32</v>
      </c>
      <c r="R251" s="13" t="s">
        <v>32</v>
      </c>
      <c r="S251" s="1" t="s">
        <v>32</v>
      </c>
      <c r="T251" s="12" t="s">
        <v>32</v>
      </c>
      <c r="U251" s="13" t="s">
        <v>32</v>
      </c>
      <c r="V251" s="15" t="s">
        <v>32</v>
      </c>
      <c r="W251" s="14" t="s">
        <v>32</v>
      </c>
      <c r="X251" s="13" t="s">
        <v>32</v>
      </c>
      <c r="Y251" s="15" t="s">
        <v>32</v>
      </c>
      <c r="Z251" s="14" t="s">
        <v>32</v>
      </c>
      <c r="AA251" s="13" t="s">
        <v>32</v>
      </c>
      <c r="AB251" s="1" t="s">
        <v>32</v>
      </c>
      <c r="AD251" s="12">
        <v>8</v>
      </c>
      <c r="AE251" s="13" t="s">
        <v>32</v>
      </c>
      <c r="AF251" s="15" t="s">
        <v>32</v>
      </c>
      <c r="AG251" s="14" t="s">
        <v>32</v>
      </c>
      <c r="AH251" s="13" t="s">
        <v>32</v>
      </c>
      <c r="AI251" s="15" t="s">
        <v>32</v>
      </c>
      <c r="AJ251" s="14" t="s">
        <v>32</v>
      </c>
      <c r="AK251" s="13" t="s">
        <v>32</v>
      </c>
      <c r="AL251" s="1" t="s">
        <v>32</v>
      </c>
      <c r="AM251" s="12" t="s">
        <v>32</v>
      </c>
      <c r="AN251" s="13" t="s">
        <v>32</v>
      </c>
      <c r="AO251" s="15" t="s">
        <v>32</v>
      </c>
      <c r="AP251" s="14" t="s">
        <v>32</v>
      </c>
      <c r="AQ251" s="13" t="s">
        <v>32</v>
      </c>
      <c r="AR251" s="15" t="s">
        <v>32</v>
      </c>
      <c r="AS251" s="14" t="s">
        <v>32</v>
      </c>
      <c r="AT251" s="13" t="s">
        <v>32</v>
      </c>
      <c r="AU251" s="1" t="s">
        <v>32</v>
      </c>
      <c r="AV251" s="12" t="s">
        <v>32</v>
      </c>
      <c r="AW251" s="13" t="s">
        <v>32</v>
      </c>
      <c r="AX251" s="15" t="s">
        <v>32</v>
      </c>
      <c r="AY251" s="14" t="s">
        <v>32</v>
      </c>
      <c r="AZ251" s="13" t="s">
        <v>32</v>
      </c>
      <c r="BA251" s="15" t="s">
        <v>32</v>
      </c>
      <c r="BB251" s="14" t="s">
        <v>32</v>
      </c>
      <c r="BC251" s="13" t="s">
        <v>32</v>
      </c>
      <c r="BD251" s="1" t="s">
        <v>32</v>
      </c>
      <c r="BG251" s="12" t="s">
        <v>32</v>
      </c>
      <c r="BH251" s="13" t="s">
        <v>32</v>
      </c>
      <c r="BI251" s="15" t="s">
        <v>32</v>
      </c>
      <c r="BJ251" s="14" t="s">
        <v>32</v>
      </c>
      <c r="BK251" s="13" t="s">
        <v>32</v>
      </c>
      <c r="BL251" s="15" t="s">
        <v>32</v>
      </c>
      <c r="BM251" s="14" t="s">
        <v>32</v>
      </c>
      <c r="BN251" s="13" t="s">
        <v>32</v>
      </c>
      <c r="BO251" s="1" t="s">
        <v>32</v>
      </c>
      <c r="BP251" s="12" t="s">
        <v>32</v>
      </c>
      <c r="BQ251" s="13" t="s">
        <v>32</v>
      </c>
      <c r="BR251" s="15" t="s">
        <v>32</v>
      </c>
      <c r="BS251" s="14" t="s">
        <v>32</v>
      </c>
      <c r="BT251" s="13" t="s">
        <v>32</v>
      </c>
      <c r="BU251" s="15" t="s">
        <v>32</v>
      </c>
      <c r="BV251" s="14" t="s">
        <v>32</v>
      </c>
      <c r="BW251" s="13" t="s">
        <v>32</v>
      </c>
      <c r="BX251" s="1" t="s">
        <v>32</v>
      </c>
      <c r="BY251" s="12" t="s">
        <v>32</v>
      </c>
      <c r="BZ251" s="13" t="s">
        <v>32</v>
      </c>
      <c r="CA251" s="15" t="s">
        <v>32</v>
      </c>
      <c r="CB251" s="14" t="s">
        <v>32</v>
      </c>
      <c r="CC251" s="13" t="s">
        <v>32</v>
      </c>
      <c r="CD251" s="15" t="s">
        <v>32</v>
      </c>
      <c r="CE251" s="14" t="s">
        <v>32</v>
      </c>
      <c r="CF251" s="13" t="s">
        <v>32</v>
      </c>
      <c r="CG251" s="1" t="s">
        <v>32</v>
      </c>
      <c r="CI251" s="12" t="s">
        <v>32</v>
      </c>
      <c r="CJ251" s="13" t="s">
        <v>32</v>
      </c>
      <c r="CK251" s="15" t="s">
        <v>32</v>
      </c>
      <c r="CL251" s="14" t="s">
        <v>32</v>
      </c>
      <c r="CM251" s="13" t="s">
        <v>32</v>
      </c>
      <c r="CN251" s="15" t="s">
        <v>32</v>
      </c>
      <c r="CO251" s="14" t="s">
        <v>32</v>
      </c>
      <c r="CP251" s="13" t="s">
        <v>32</v>
      </c>
      <c r="CQ251" s="1" t="s">
        <v>32</v>
      </c>
      <c r="CR251" s="12" t="s">
        <v>32</v>
      </c>
      <c r="CS251" s="13" t="s">
        <v>32</v>
      </c>
      <c r="CT251" s="15" t="s">
        <v>32</v>
      </c>
      <c r="CU251" s="14" t="s">
        <v>32</v>
      </c>
      <c r="CV251" s="13" t="s">
        <v>32</v>
      </c>
      <c r="CW251" s="15" t="s">
        <v>32</v>
      </c>
      <c r="CX251" s="14" t="s">
        <v>32</v>
      </c>
      <c r="CY251" s="13" t="s">
        <v>32</v>
      </c>
      <c r="CZ251" s="1" t="s">
        <v>32</v>
      </c>
      <c r="DA251" s="12" t="s">
        <v>32</v>
      </c>
      <c r="DB251" s="13" t="s">
        <v>32</v>
      </c>
      <c r="DC251" s="15" t="s">
        <v>32</v>
      </c>
      <c r="DD251" s="14" t="s">
        <v>32</v>
      </c>
      <c r="DE251" s="13" t="s">
        <v>32</v>
      </c>
      <c r="DF251" s="15" t="s">
        <v>32</v>
      </c>
      <c r="DG251" s="14" t="s">
        <v>32</v>
      </c>
      <c r="DH251" s="13" t="s">
        <v>32</v>
      </c>
      <c r="DI251" s="1" t="s">
        <v>32</v>
      </c>
      <c r="DJ251"/>
    </row>
    <row r="252" spans="2:114" ht="15" customHeight="1">
      <c r="B252" s="16">
        <v>0</v>
      </c>
      <c r="C252" s="17" t="s">
        <v>32</v>
      </c>
      <c r="D252" s="18" t="s">
        <v>32</v>
      </c>
      <c r="E252" s="19" t="s">
        <v>32</v>
      </c>
      <c r="F252" s="17" t="s">
        <v>32</v>
      </c>
      <c r="G252" s="18" t="s">
        <v>32</v>
      </c>
      <c r="H252" s="19" t="s">
        <v>32</v>
      </c>
      <c r="I252" s="17" t="s">
        <v>32</v>
      </c>
      <c r="J252" s="20" t="s">
        <v>32</v>
      </c>
      <c r="K252" s="16" t="s">
        <v>32</v>
      </c>
      <c r="L252" s="17" t="s">
        <v>32</v>
      </c>
      <c r="M252" s="18">
        <v>0</v>
      </c>
      <c r="N252" s="19" t="s">
        <v>32</v>
      </c>
      <c r="O252" s="17" t="s">
        <v>32</v>
      </c>
      <c r="P252" s="18" t="s">
        <v>32</v>
      </c>
      <c r="Q252" s="19" t="s">
        <v>32</v>
      </c>
      <c r="R252" s="17" t="s">
        <v>32</v>
      </c>
      <c r="S252" s="20" t="s">
        <v>32</v>
      </c>
      <c r="T252" s="16" t="s">
        <v>32</v>
      </c>
      <c r="U252" s="17" t="s">
        <v>32</v>
      </c>
      <c r="V252" s="18" t="s">
        <v>32</v>
      </c>
      <c r="W252" s="19" t="s">
        <v>32</v>
      </c>
      <c r="X252" s="17" t="s">
        <v>32</v>
      </c>
      <c r="Y252" s="18" t="s">
        <v>32</v>
      </c>
      <c r="Z252" s="19" t="s">
        <v>32</v>
      </c>
      <c r="AA252" s="17" t="s">
        <v>32</v>
      </c>
      <c r="AB252" s="20" t="s">
        <v>32</v>
      </c>
      <c r="AD252" s="16">
        <v>7</v>
      </c>
      <c r="AE252" s="17" t="s">
        <v>32</v>
      </c>
      <c r="AF252" s="18" t="s">
        <v>32</v>
      </c>
      <c r="AG252" s="19" t="s">
        <v>32</v>
      </c>
      <c r="AH252" s="17" t="s">
        <v>32</v>
      </c>
      <c r="AI252" s="18" t="s">
        <v>32</v>
      </c>
      <c r="AJ252" s="19" t="s">
        <v>32</v>
      </c>
      <c r="AK252" s="17" t="s">
        <v>32</v>
      </c>
      <c r="AL252" s="20" t="s">
        <v>32</v>
      </c>
      <c r="AM252" s="16" t="s">
        <v>32</v>
      </c>
      <c r="AN252" s="17" t="s">
        <v>32</v>
      </c>
      <c r="AO252" s="18">
        <v>2</v>
      </c>
      <c r="AP252" s="19" t="s">
        <v>32</v>
      </c>
      <c r="AQ252" s="17" t="s">
        <v>32</v>
      </c>
      <c r="AR252" s="18" t="s">
        <v>32</v>
      </c>
      <c r="AS252" s="19" t="s">
        <v>32</v>
      </c>
      <c r="AT252" s="17" t="s">
        <v>32</v>
      </c>
      <c r="AU252" s="20" t="s">
        <v>32</v>
      </c>
      <c r="AV252" s="16" t="s">
        <v>32</v>
      </c>
      <c r="AW252" s="17" t="s">
        <v>32</v>
      </c>
      <c r="AX252" s="18" t="s">
        <v>32</v>
      </c>
      <c r="AY252" s="19" t="s">
        <v>32</v>
      </c>
      <c r="AZ252" s="17" t="s">
        <v>32</v>
      </c>
      <c r="BA252" s="18" t="s">
        <v>32</v>
      </c>
      <c r="BB252" s="19" t="s">
        <v>32</v>
      </c>
      <c r="BC252" s="17" t="s">
        <v>32</v>
      </c>
      <c r="BD252" s="20" t="s">
        <v>32</v>
      </c>
      <c r="BG252" s="16" t="s">
        <v>32</v>
      </c>
      <c r="BH252" s="17" t="s">
        <v>32</v>
      </c>
      <c r="BI252" s="18" t="s">
        <v>32</v>
      </c>
      <c r="BJ252" s="19" t="s">
        <v>32</v>
      </c>
      <c r="BK252" s="17" t="s">
        <v>32</v>
      </c>
      <c r="BL252" s="18" t="s">
        <v>32</v>
      </c>
      <c r="BM252" s="19" t="s">
        <v>32</v>
      </c>
      <c r="BN252" s="17" t="s">
        <v>32</v>
      </c>
      <c r="BO252" s="20" t="s">
        <v>32</v>
      </c>
      <c r="BP252" s="16" t="s">
        <v>32</v>
      </c>
      <c r="BQ252" s="17" t="s">
        <v>32</v>
      </c>
      <c r="BR252" s="18" t="s">
        <v>32</v>
      </c>
      <c r="BS252" s="19" t="s">
        <v>32</v>
      </c>
      <c r="BT252" s="17" t="s">
        <v>32</v>
      </c>
      <c r="BU252" s="18" t="s">
        <v>32</v>
      </c>
      <c r="BV252" s="19" t="s">
        <v>32</v>
      </c>
      <c r="BW252" s="17" t="s">
        <v>32</v>
      </c>
      <c r="BX252" s="20" t="s">
        <v>32</v>
      </c>
      <c r="BY252" s="16" t="s">
        <v>32</v>
      </c>
      <c r="BZ252" s="17" t="s">
        <v>32</v>
      </c>
      <c r="CA252" s="18" t="s">
        <v>32</v>
      </c>
      <c r="CB252" s="19" t="s">
        <v>32</v>
      </c>
      <c r="CC252" s="17" t="s">
        <v>32</v>
      </c>
      <c r="CD252" s="18" t="s">
        <v>32</v>
      </c>
      <c r="CE252" s="19" t="s">
        <v>32</v>
      </c>
      <c r="CF252" s="17" t="s">
        <v>32</v>
      </c>
      <c r="CG252" s="20" t="s">
        <v>32</v>
      </c>
      <c r="CI252" s="16" t="s">
        <v>32</v>
      </c>
      <c r="CJ252" s="17" t="s">
        <v>32</v>
      </c>
      <c r="CK252" s="18" t="s">
        <v>32</v>
      </c>
      <c r="CL252" s="19" t="s">
        <v>32</v>
      </c>
      <c r="CM252" s="17" t="s">
        <v>32</v>
      </c>
      <c r="CN252" s="18" t="s">
        <v>32</v>
      </c>
      <c r="CO252" s="19" t="s">
        <v>32</v>
      </c>
      <c r="CP252" s="17" t="s">
        <v>32</v>
      </c>
      <c r="CQ252" s="20" t="s">
        <v>32</v>
      </c>
      <c r="CR252" s="16" t="s">
        <v>32</v>
      </c>
      <c r="CS252" s="17" t="s">
        <v>32</v>
      </c>
      <c r="CT252" s="18" t="s">
        <v>32</v>
      </c>
      <c r="CU252" s="19" t="s">
        <v>32</v>
      </c>
      <c r="CV252" s="17" t="s">
        <v>32</v>
      </c>
      <c r="CW252" s="18" t="s">
        <v>32</v>
      </c>
      <c r="CX252" s="19" t="s">
        <v>32</v>
      </c>
      <c r="CY252" s="17" t="s">
        <v>32</v>
      </c>
      <c r="CZ252" s="20" t="s">
        <v>32</v>
      </c>
      <c r="DA252" s="16" t="s">
        <v>32</v>
      </c>
      <c r="DB252" s="17" t="s">
        <v>32</v>
      </c>
      <c r="DC252" s="18" t="s">
        <v>32</v>
      </c>
      <c r="DD252" s="19" t="s">
        <v>32</v>
      </c>
      <c r="DE252" s="17" t="s">
        <v>32</v>
      </c>
      <c r="DF252" s="18" t="s">
        <v>32</v>
      </c>
      <c r="DG252" s="19" t="s">
        <v>32</v>
      </c>
      <c r="DH252" s="17" t="s">
        <v>32</v>
      </c>
      <c r="DI252" s="20" t="s">
        <v>32</v>
      </c>
      <c r="DJ252"/>
    </row>
    <row r="253" spans="2:114" ht="15" customHeight="1">
      <c r="B253" s="11">
        <v>0</v>
      </c>
      <c r="C253" s="7" t="s">
        <v>32</v>
      </c>
      <c r="D253" s="9" t="s">
        <v>32</v>
      </c>
      <c r="E253" s="8" t="s">
        <v>32</v>
      </c>
      <c r="F253" s="7" t="s">
        <v>32</v>
      </c>
      <c r="G253" s="9" t="s">
        <v>32</v>
      </c>
      <c r="H253" s="8" t="s">
        <v>32</v>
      </c>
      <c r="I253" s="7" t="s">
        <v>32</v>
      </c>
      <c r="J253" s="10" t="s">
        <v>32</v>
      </c>
      <c r="K253" s="11" t="s">
        <v>32</v>
      </c>
      <c r="L253" s="7">
        <v>0</v>
      </c>
      <c r="M253" s="9" t="s">
        <v>32</v>
      </c>
      <c r="N253" s="8" t="s">
        <v>32</v>
      </c>
      <c r="O253" s="7" t="s">
        <v>32</v>
      </c>
      <c r="P253" s="9" t="s">
        <v>32</v>
      </c>
      <c r="Q253" s="8" t="s">
        <v>32</v>
      </c>
      <c r="R253" s="7" t="s">
        <v>32</v>
      </c>
      <c r="S253" s="10" t="s">
        <v>32</v>
      </c>
      <c r="T253" s="11" t="s">
        <v>32</v>
      </c>
      <c r="U253" s="7" t="s">
        <v>32</v>
      </c>
      <c r="V253" s="9" t="s">
        <v>32</v>
      </c>
      <c r="W253" s="8" t="s">
        <v>32</v>
      </c>
      <c r="X253" s="7" t="s">
        <v>32</v>
      </c>
      <c r="Y253" s="9" t="s">
        <v>32</v>
      </c>
      <c r="Z253" s="8" t="s">
        <v>32</v>
      </c>
      <c r="AA253" s="7" t="s">
        <v>32</v>
      </c>
      <c r="AB253" s="10" t="s">
        <v>32</v>
      </c>
      <c r="AD253" s="11">
        <v>6</v>
      </c>
      <c r="AE253" s="7" t="s">
        <v>32</v>
      </c>
      <c r="AF253" s="9" t="s">
        <v>32</v>
      </c>
      <c r="AG253" s="8" t="s">
        <v>32</v>
      </c>
      <c r="AH253" s="7" t="s">
        <v>32</v>
      </c>
      <c r="AI253" s="9" t="s">
        <v>32</v>
      </c>
      <c r="AJ253" s="8" t="s">
        <v>32</v>
      </c>
      <c r="AK253" s="7" t="s">
        <v>32</v>
      </c>
      <c r="AL253" s="10" t="s">
        <v>32</v>
      </c>
      <c r="AM253" s="11" t="s">
        <v>32</v>
      </c>
      <c r="AN253" s="7">
        <v>9</v>
      </c>
      <c r="AO253" s="9" t="s">
        <v>32</v>
      </c>
      <c r="AP253" s="8" t="s">
        <v>32</v>
      </c>
      <c r="AQ253" s="7" t="s">
        <v>32</v>
      </c>
      <c r="AR253" s="9" t="s">
        <v>32</v>
      </c>
      <c r="AS253" s="8" t="s">
        <v>32</v>
      </c>
      <c r="AT253" s="7" t="s">
        <v>32</v>
      </c>
      <c r="AU253" s="10" t="s">
        <v>32</v>
      </c>
      <c r="AV253" s="11" t="s">
        <v>32</v>
      </c>
      <c r="AW253" s="7" t="s">
        <v>32</v>
      </c>
      <c r="AX253" s="9" t="s">
        <v>32</v>
      </c>
      <c r="AY253" s="8" t="s">
        <v>32</v>
      </c>
      <c r="AZ253" s="7" t="s">
        <v>32</v>
      </c>
      <c r="BA253" s="9" t="s">
        <v>32</v>
      </c>
      <c r="BB253" s="8" t="s">
        <v>32</v>
      </c>
      <c r="BC253" s="7" t="s">
        <v>32</v>
      </c>
      <c r="BD253" s="10" t="s">
        <v>32</v>
      </c>
      <c r="BG253" s="11" t="s">
        <v>32</v>
      </c>
      <c r="BH253" s="7" t="s">
        <v>32</v>
      </c>
      <c r="BI253" s="9" t="s">
        <v>32</v>
      </c>
      <c r="BJ253" s="8" t="s">
        <v>32</v>
      </c>
      <c r="BK253" s="7" t="s">
        <v>32</v>
      </c>
      <c r="BL253" s="9" t="s">
        <v>32</v>
      </c>
      <c r="BM253" s="8" t="s">
        <v>32</v>
      </c>
      <c r="BN253" s="7" t="s">
        <v>32</v>
      </c>
      <c r="BO253" s="10" t="s">
        <v>32</v>
      </c>
      <c r="BP253" s="11" t="s">
        <v>32</v>
      </c>
      <c r="BQ253" s="7" t="s">
        <v>32</v>
      </c>
      <c r="BR253" s="9" t="s">
        <v>32</v>
      </c>
      <c r="BS253" s="8" t="s">
        <v>32</v>
      </c>
      <c r="BT253" s="7" t="s">
        <v>32</v>
      </c>
      <c r="BU253" s="9" t="s">
        <v>32</v>
      </c>
      <c r="BV253" s="8" t="s">
        <v>32</v>
      </c>
      <c r="BW253" s="7" t="s">
        <v>32</v>
      </c>
      <c r="BX253" s="10" t="s">
        <v>32</v>
      </c>
      <c r="BY253" s="11" t="s">
        <v>32</v>
      </c>
      <c r="BZ253" s="7" t="s">
        <v>32</v>
      </c>
      <c r="CA253" s="9" t="s">
        <v>32</v>
      </c>
      <c r="CB253" s="8" t="s">
        <v>32</v>
      </c>
      <c r="CC253" s="7" t="s">
        <v>32</v>
      </c>
      <c r="CD253" s="9" t="s">
        <v>32</v>
      </c>
      <c r="CE253" s="8" t="s">
        <v>32</v>
      </c>
      <c r="CF253" s="7" t="s">
        <v>32</v>
      </c>
      <c r="CG253" s="10" t="s">
        <v>32</v>
      </c>
      <c r="CI253" s="11" t="s">
        <v>32</v>
      </c>
      <c r="CJ253" s="7" t="s">
        <v>32</v>
      </c>
      <c r="CK253" s="9" t="s">
        <v>32</v>
      </c>
      <c r="CL253" s="8" t="s">
        <v>32</v>
      </c>
      <c r="CM253" s="7" t="s">
        <v>32</v>
      </c>
      <c r="CN253" s="9" t="s">
        <v>32</v>
      </c>
      <c r="CO253" s="8" t="s">
        <v>32</v>
      </c>
      <c r="CP253" s="7" t="s">
        <v>32</v>
      </c>
      <c r="CQ253" s="10" t="s">
        <v>32</v>
      </c>
      <c r="CR253" s="11" t="s">
        <v>32</v>
      </c>
      <c r="CS253" s="7" t="s">
        <v>32</v>
      </c>
      <c r="CT253" s="9" t="s">
        <v>32</v>
      </c>
      <c r="CU253" s="8" t="s">
        <v>32</v>
      </c>
      <c r="CV253" s="7" t="s">
        <v>32</v>
      </c>
      <c r="CW253" s="9" t="s">
        <v>32</v>
      </c>
      <c r="CX253" s="8" t="s">
        <v>32</v>
      </c>
      <c r="CY253" s="7" t="s">
        <v>32</v>
      </c>
      <c r="CZ253" s="10" t="s">
        <v>32</v>
      </c>
      <c r="DA253" s="11" t="s">
        <v>32</v>
      </c>
      <c r="DB253" s="7" t="s">
        <v>32</v>
      </c>
      <c r="DC253" s="9" t="s">
        <v>32</v>
      </c>
      <c r="DD253" s="8" t="s">
        <v>32</v>
      </c>
      <c r="DE253" s="7" t="s">
        <v>32</v>
      </c>
      <c r="DF253" s="9" t="s">
        <v>32</v>
      </c>
      <c r="DG253" s="8" t="s">
        <v>32</v>
      </c>
      <c r="DH253" s="7" t="s">
        <v>32</v>
      </c>
      <c r="DI253" s="10" t="s">
        <v>32</v>
      </c>
      <c r="DJ253"/>
    </row>
    <row r="254" spans="2:114" ht="15" customHeight="1">
      <c r="B254" s="12">
        <v>0</v>
      </c>
      <c r="C254" s="13" t="s">
        <v>32</v>
      </c>
      <c r="D254" s="15" t="s">
        <v>32</v>
      </c>
      <c r="E254" s="14" t="s">
        <v>32</v>
      </c>
      <c r="F254" s="13" t="s">
        <v>32</v>
      </c>
      <c r="G254" s="15" t="s">
        <v>32</v>
      </c>
      <c r="H254" s="14" t="s">
        <v>32</v>
      </c>
      <c r="I254" s="13" t="s">
        <v>32</v>
      </c>
      <c r="J254" s="1" t="s">
        <v>32</v>
      </c>
      <c r="K254" s="12" t="s">
        <v>32</v>
      </c>
      <c r="L254" s="13">
        <v>0</v>
      </c>
      <c r="M254" s="15">
        <v>0</v>
      </c>
      <c r="N254" s="14">
        <v>0</v>
      </c>
      <c r="O254" s="13" t="s">
        <v>32</v>
      </c>
      <c r="P254" s="15" t="s">
        <v>32</v>
      </c>
      <c r="Q254" s="14" t="s">
        <v>32</v>
      </c>
      <c r="R254" s="13" t="s">
        <v>32</v>
      </c>
      <c r="S254" s="1" t="s">
        <v>32</v>
      </c>
      <c r="T254" s="12" t="s">
        <v>32</v>
      </c>
      <c r="U254" s="13" t="s">
        <v>32</v>
      </c>
      <c r="V254" s="15" t="s">
        <v>32</v>
      </c>
      <c r="W254" s="14" t="s">
        <v>32</v>
      </c>
      <c r="X254" s="13" t="s">
        <v>32</v>
      </c>
      <c r="Y254" s="15" t="s">
        <v>32</v>
      </c>
      <c r="Z254" s="14" t="s">
        <v>32</v>
      </c>
      <c r="AA254" s="13" t="s">
        <v>32</v>
      </c>
      <c r="AB254" s="1" t="s">
        <v>32</v>
      </c>
      <c r="AD254" s="12">
        <v>5</v>
      </c>
      <c r="AE254" s="13" t="s">
        <v>32</v>
      </c>
      <c r="AF254" s="15" t="s">
        <v>32</v>
      </c>
      <c r="AG254" s="14" t="s">
        <v>32</v>
      </c>
      <c r="AH254" s="13" t="s">
        <v>32</v>
      </c>
      <c r="AI254" s="15" t="s">
        <v>32</v>
      </c>
      <c r="AJ254" s="14" t="s">
        <v>32</v>
      </c>
      <c r="AK254" s="13" t="s">
        <v>32</v>
      </c>
      <c r="AL254" s="1" t="s">
        <v>32</v>
      </c>
      <c r="AM254" s="12" t="s">
        <v>32</v>
      </c>
      <c r="AN254" s="13">
        <v>8</v>
      </c>
      <c r="AO254" s="15">
        <v>4</v>
      </c>
      <c r="AP254" s="14">
        <v>1</v>
      </c>
      <c r="AQ254" s="13" t="s">
        <v>32</v>
      </c>
      <c r="AR254" s="15" t="s">
        <v>32</v>
      </c>
      <c r="AS254" s="14" t="s">
        <v>32</v>
      </c>
      <c r="AT254" s="13" t="s">
        <v>32</v>
      </c>
      <c r="AU254" s="1" t="s">
        <v>32</v>
      </c>
      <c r="AV254" s="12" t="s">
        <v>32</v>
      </c>
      <c r="AW254" s="13" t="s">
        <v>32</v>
      </c>
      <c r="AX254" s="15" t="s">
        <v>32</v>
      </c>
      <c r="AY254" s="14" t="s">
        <v>32</v>
      </c>
      <c r="AZ254" s="13" t="s">
        <v>32</v>
      </c>
      <c r="BA254" s="15" t="s">
        <v>32</v>
      </c>
      <c r="BB254" s="14" t="s">
        <v>32</v>
      </c>
      <c r="BC254" s="13" t="s">
        <v>32</v>
      </c>
      <c r="BD254" s="1" t="s">
        <v>32</v>
      </c>
      <c r="BG254" s="12" t="s">
        <v>32</v>
      </c>
      <c r="BH254" s="13" t="s">
        <v>32</v>
      </c>
      <c r="BI254" s="15" t="s">
        <v>32</v>
      </c>
      <c r="BJ254" s="14" t="s">
        <v>32</v>
      </c>
      <c r="BK254" s="13" t="s">
        <v>32</v>
      </c>
      <c r="BL254" s="15" t="s">
        <v>32</v>
      </c>
      <c r="BM254" s="14" t="s">
        <v>32</v>
      </c>
      <c r="BN254" s="13" t="s">
        <v>32</v>
      </c>
      <c r="BO254" s="1" t="s">
        <v>32</v>
      </c>
      <c r="BP254" s="12" t="s">
        <v>32</v>
      </c>
      <c r="BQ254" s="13" t="s">
        <v>32</v>
      </c>
      <c r="BR254" s="15" t="s">
        <v>32</v>
      </c>
      <c r="BS254" s="14" t="s">
        <v>32</v>
      </c>
      <c r="BT254" s="13" t="s">
        <v>32</v>
      </c>
      <c r="BU254" s="15" t="s">
        <v>32</v>
      </c>
      <c r="BV254" s="14" t="s">
        <v>32</v>
      </c>
      <c r="BW254" s="13" t="s">
        <v>32</v>
      </c>
      <c r="BX254" s="1" t="s">
        <v>32</v>
      </c>
      <c r="BY254" s="12" t="s">
        <v>32</v>
      </c>
      <c r="BZ254" s="13" t="s">
        <v>32</v>
      </c>
      <c r="CA254" s="15" t="s">
        <v>32</v>
      </c>
      <c r="CB254" s="14" t="s">
        <v>32</v>
      </c>
      <c r="CC254" s="13" t="s">
        <v>32</v>
      </c>
      <c r="CD254" s="15" t="s">
        <v>32</v>
      </c>
      <c r="CE254" s="14" t="s">
        <v>32</v>
      </c>
      <c r="CF254" s="13">
        <v>0</v>
      </c>
      <c r="CG254" s="1">
        <v>0</v>
      </c>
      <c r="CI254" s="12" t="s">
        <v>32</v>
      </c>
      <c r="CJ254" s="13" t="s">
        <v>32</v>
      </c>
      <c r="CK254" s="15" t="s">
        <v>32</v>
      </c>
      <c r="CL254" s="14" t="s">
        <v>32</v>
      </c>
      <c r="CM254" s="13" t="s">
        <v>32</v>
      </c>
      <c r="CN254" s="15" t="s">
        <v>32</v>
      </c>
      <c r="CO254" s="14" t="s">
        <v>32</v>
      </c>
      <c r="CP254" s="13" t="s">
        <v>32</v>
      </c>
      <c r="CQ254" s="1" t="s">
        <v>32</v>
      </c>
      <c r="CR254" s="12" t="s">
        <v>32</v>
      </c>
      <c r="CS254" s="13" t="s">
        <v>32</v>
      </c>
      <c r="CT254" s="15" t="s">
        <v>32</v>
      </c>
      <c r="CU254" s="14" t="s">
        <v>32</v>
      </c>
      <c r="CV254" s="13" t="s">
        <v>32</v>
      </c>
      <c r="CW254" s="15" t="s">
        <v>32</v>
      </c>
      <c r="CX254" s="14" t="s">
        <v>32</v>
      </c>
      <c r="CY254" s="13" t="s">
        <v>32</v>
      </c>
      <c r="CZ254" s="1" t="s">
        <v>32</v>
      </c>
      <c r="DA254" s="12" t="s">
        <v>32</v>
      </c>
      <c r="DB254" s="13" t="s">
        <v>32</v>
      </c>
      <c r="DC254" s="15" t="s">
        <v>32</v>
      </c>
      <c r="DD254" s="14" t="s">
        <v>32</v>
      </c>
      <c r="DE254" s="13" t="s">
        <v>32</v>
      </c>
      <c r="DF254" s="15" t="s">
        <v>32</v>
      </c>
      <c r="DG254" s="14" t="s">
        <v>32</v>
      </c>
      <c r="DH254" s="13">
        <v>2</v>
      </c>
      <c r="DI254" s="1">
        <v>9</v>
      </c>
      <c r="DJ254"/>
    </row>
    <row r="255" spans="2:114" ht="15" customHeight="1">
      <c r="B255" s="16">
        <v>0</v>
      </c>
      <c r="C255" s="17" t="s">
        <v>32</v>
      </c>
      <c r="D255" s="18" t="s">
        <v>32</v>
      </c>
      <c r="E255" s="19" t="s">
        <v>32</v>
      </c>
      <c r="F255" s="17" t="s">
        <v>32</v>
      </c>
      <c r="G255" s="18" t="s">
        <v>32</v>
      </c>
      <c r="H255" s="19" t="s">
        <v>32</v>
      </c>
      <c r="I255" s="17" t="s">
        <v>32</v>
      </c>
      <c r="J255" s="20" t="s">
        <v>32</v>
      </c>
      <c r="K255" s="16" t="s">
        <v>32</v>
      </c>
      <c r="L255" s="211">
        <v>6</v>
      </c>
      <c r="M255" s="18">
        <v>0</v>
      </c>
      <c r="N255" s="19" t="s">
        <v>32</v>
      </c>
      <c r="O255" s="17" t="s">
        <v>32</v>
      </c>
      <c r="P255" s="18" t="s">
        <v>32</v>
      </c>
      <c r="Q255" s="19" t="s">
        <v>32</v>
      </c>
      <c r="R255" s="17" t="s">
        <v>32</v>
      </c>
      <c r="S255" s="20" t="s">
        <v>32</v>
      </c>
      <c r="T255" s="16" t="s">
        <v>32</v>
      </c>
      <c r="U255" s="17" t="s">
        <v>32</v>
      </c>
      <c r="V255" s="18" t="s">
        <v>32</v>
      </c>
      <c r="W255" s="19" t="s">
        <v>32</v>
      </c>
      <c r="X255" s="17" t="s">
        <v>32</v>
      </c>
      <c r="Y255" s="18" t="s">
        <v>32</v>
      </c>
      <c r="Z255" s="19" t="s">
        <v>32</v>
      </c>
      <c r="AA255" s="17" t="s">
        <v>32</v>
      </c>
      <c r="AB255" s="20" t="s">
        <v>32</v>
      </c>
      <c r="AD255" s="16">
        <v>4</v>
      </c>
      <c r="AE255" s="17" t="s">
        <v>32</v>
      </c>
      <c r="AF255" s="18" t="s">
        <v>32</v>
      </c>
      <c r="AG255" s="19" t="s">
        <v>32</v>
      </c>
      <c r="AH255" s="17" t="s">
        <v>32</v>
      </c>
      <c r="AI255" s="18" t="s">
        <v>32</v>
      </c>
      <c r="AJ255" s="19" t="s">
        <v>32</v>
      </c>
      <c r="AK255" s="17" t="s">
        <v>32</v>
      </c>
      <c r="AL255" s="20" t="s">
        <v>32</v>
      </c>
      <c r="AM255" s="16" t="s">
        <v>32</v>
      </c>
      <c r="AN255" s="211">
        <v>6</v>
      </c>
      <c r="AO255" s="18">
        <v>3</v>
      </c>
      <c r="AP255" s="19" t="s">
        <v>32</v>
      </c>
      <c r="AQ255" s="17" t="s">
        <v>32</v>
      </c>
      <c r="AR255" s="18" t="s">
        <v>32</v>
      </c>
      <c r="AS255" s="19" t="s">
        <v>32</v>
      </c>
      <c r="AT255" s="17" t="s">
        <v>32</v>
      </c>
      <c r="AU255" s="20" t="s">
        <v>32</v>
      </c>
      <c r="AV255" s="16" t="s">
        <v>32</v>
      </c>
      <c r="AW255" s="17" t="s">
        <v>32</v>
      </c>
      <c r="AX255" s="18" t="s">
        <v>32</v>
      </c>
      <c r="AY255" s="19" t="s">
        <v>32</v>
      </c>
      <c r="AZ255" s="17" t="s">
        <v>32</v>
      </c>
      <c r="BA255" s="18" t="s">
        <v>32</v>
      </c>
      <c r="BB255" s="19" t="s">
        <v>32</v>
      </c>
      <c r="BC255" s="17" t="s">
        <v>32</v>
      </c>
      <c r="BD255" s="20" t="s">
        <v>32</v>
      </c>
      <c r="BG255" s="16" t="s">
        <v>32</v>
      </c>
      <c r="BH255" s="17" t="s">
        <v>32</v>
      </c>
      <c r="BI255" s="18" t="s">
        <v>32</v>
      </c>
      <c r="BJ255" s="19" t="s">
        <v>32</v>
      </c>
      <c r="BK255" s="17" t="s">
        <v>32</v>
      </c>
      <c r="BL255" s="18" t="s">
        <v>32</v>
      </c>
      <c r="BM255" s="19" t="s">
        <v>32</v>
      </c>
      <c r="BN255" s="17" t="s">
        <v>32</v>
      </c>
      <c r="BO255" s="20" t="s">
        <v>32</v>
      </c>
      <c r="BP255" s="16" t="s">
        <v>32</v>
      </c>
      <c r="BQ255" s="17" t="s">
        <v>32</v>
      </c>
      <c r="BR255" s="18">
        <v>0</v>
      </c>
      <c r="BS255" s="19">
        <v>0</v>
      </c>
      <c r="BT255" s="17">
        <v>0</v>
      </c>
      <c r="BU255" s="18">
        <v>0</v>
      </c>
      <c r="BV255" s="19">
        <v>0</v>
      </c>
      <c r="BW255" s="17" t="s">
        <v>32</v>
      </c>
      <c r="BX255" s="20" t="s">
        <v>32</v>
      </c>
      <c r="BY255" s="16" t="s">
        <v>32</v>
      </c>
      <c r="BZ255" s="17" t="s">
        <v>32</v>
      </c>
      <c r="CA255" s="18" t="s">
        <v>32</v>
      </c>
      <c r="CB255" s="19" t="s">
        <v>32</v>
      </c>
      <c r="CC255" s="17" t="s">
        <v>32</v>
      </c>
      <c r="CD255" s="18" t="s">
        <v>32</v>
      </c>
      <c r="CE255" s="19" t="s">
        <v>32</v>
      </c>
      <c r="CF255" s="17">
        <v>0</v>
      </c>
      <c r="CG255" s="20">
        <v>0</v>
      </c>
      <c r="CI255" s="16" t="s">
        <v>32</v>
      </c>
      <c r="CJ255" s="17" t="s">
        <v>32</v>
      </c>
      <c r="CK255" s="18" t="s">
        <v>32</v>
      </c>
      <c r="CL255" s="19" t="s">
        <v>32</v>
      </c>
      <c r="CM255" s="17" t="s">
        <v>32</v>
      </c>
      <c r="CN255" s="18" t="s">
        <v>32</v>
      </c>
      <c r="CO255" s="19" t="s">
        <v>32</v>
      </c>
      <c r="CP255" s="17" t="s">
        <v>32</v>
      </c>
      <c r="CQ255" s="20" t="s">
        <v>32</v>
      </c>
      <c r="CR255" s="16" t="s">
        <v>32</v>
      </c>
      <c r="CS255" s="17" t="s">
        <v>32</v>
      </c>
      <c r="CT255" s="18">
        <v>1</v>
      </c>
      <c r="CU255" s="19">
        <v>5</v>
      </c>
      <c r="CV255" s="17">
        <v>6</v>
      </c>
      <c r="CW255" s="18">
        <v>4</v>
      </c>
      <c r="CX255" s="19">
        <v>7</v>
      </c>
      <c r="CY255" s="17" t="s">
        <v>32</v>
      </c>
      <c r="CZ255" s="20" t="s">
        <v>32</v>
      </c>
      <c r="DA255" s="16" t="s">
        <v>32</v>
      </c>
      <c r="DB255" s="17" t="s">
        <v>32</v>
      </c>
      <c r="DC255" s="18" t="s">
        <v>32</v>
      </c>
      <c r="DD255" s="19" t="s">
        <v>32</v>
      </c>
      <c r="DE255" s="17" t="s">
        <v>32</v>
      </c>
      <c r="DF255" s="18" t="s">
        <v>32</v>
      </c>
      <c r="DG255" s="19" t="s">
        <v>32</v>
      </c>
      <c r="DH255" s="17">
        <v>8</v>
      </c>
      <c r="DI255" s="20">
        <v>3</v>
      </c>
      <c r="DJ255"/>
    </row>
    <row r="256" spans="2:114" ht="15" customHeight="1">
      <c r="B256" s="213">
        <v>9</v>
      </c>
      <c r="C256" s="7">
        <v>0</v>
      </c>
      <c r="D256" s="9" t="s">
        <v>32</v>
      </c>
      <c r="E256" s="8" t="s">
        <v>32</v>
      </c>
      <c r="F256" s="7" t="s">
        <v>32</v>
      </c>
      <c r="G256" s="9" t="s">
        <v>32</v>
      </c>
      <c r="H256" s="8" t="s">
        <v>32</v>
      </c>
      <c r="I256" s="7" t="s">
        <v>32</v>
      </c>
      <c r="J256" s="10" t="s">
        <v>32</v>
      </c>
      <c r="K256" s="11" t="s">
        <v>32</v>
      </c>
      <c r="L256" s="7" t="s">
        <v>32</v>
      </c>
      <c r="M256" s="205">
        <v>7</v>
      </c>
      <c r="N256" s="8" t="s">
        <v>32</v>
      </c>
      <c r="O256" s="7" t="s">
        <v>32</v>
      </c>
      <c r="P256" s="9" t="s">
        <v>32</v>
      </c>
      <c r="Q256" s="8" t="s">
        <v>32</v>
      </c>
      <c r="R256" s="7" t="s">
        <v>32</v>
      </c>
      <c r="S256" s="10" t="s">
        <v>32</v>
      </c>
      <c r="T256" s="11" t="s">
        <v>32</v>
      </c>
      <c r="U256" s="7" t="s">
        <v>32</v>
      </c>
      <c r="V256" s="9" t="s">
        <v>32</v>
      </c>
      <c r="W256" s="8" t="s">
        <v>32</v>
      </c>
      <c r="X256" s="7" t="s">
        <v>32</v>
      </c>
      <c r="Y256" s="9">
        <v>0</v>
      </c>
      <c r="Z256" s="206">
        <v>6</v>
      </c>
      <c r="AA256" s="7">
        <v>0</v>
      </c>
      <c r="AB256" s="10" t="s">
        <v>32</v>
      </c>
      <c r="AD256" s="213">
        <v>9</v>
      </c>
      <c r="AE256" s="7">
        <v>3</v>
      </c>
      <c r="AF256" s="9" t="s">
        <v>32</v>
      </c>
      <c r="AG256" s="8" t="s">
        <v>32</v>
      </c>
      <c r="AH256" s="7" t="s">
        <v>32</v>
      </c>
      <c r="AI256" s="9" t="s">
        <v>32</v>
      </c>
      <c r="AJ256" s="8" t="s">
        <v>32</v>
      </c>
      <c r="AK256" s="7" t="s">
        <v>32</v>
      </c>
      <c r="AL256" s="10" t="s">
        <v>32</v>
      </c>
      <c r="AM256" s="11" t="s">
        <v>32</v>
      </c>
      <c r="AN256" s="7" t="s">
        <v>32</v>
      </c>
      <c r="AO256" s="205">
        <v>7</v>
      </c>
      <c r="AP256" s="8" t="s">
        <v>32</v>
      </c>
      <c r="AQ256" s="7" t="s">
        <v>32</v>
      </c>
      <c r="AR256" s="9" t="s">
        <v>32</v>
      </c>
      <c r="AS256" s="8" t="s">
        <v>32</v>
      </c>
      <c r="AT256" s="7" t="s">
        <v>32</v>
      </c>
      <c r="AU256" s="10" t="s">
        <v>32</v>
      </c>
      <c r="AV256" s="11" t="s">
        <v>32</v>
      </c>
      <c r="AW256" s="7" t="s">
        <v>32</v>
      </c>
      <c r="AX256" s="9" t="s">
        <v>32</v>
      </c>
      <c r="AY256" s="8" t="s">
        <v>32</v>
      </c>
      <c r="AZ256" s="7" t="s">
        <v>32</v>
      </c>
      <c r="BA256" s="9">
        <v>5</v>
      </c>
      <c r="BB256" s="206">
        <v>6</v>
      </c>
      <c r="BC256" s="7">
        <v>2</v>
      </c>
      <c r="BD256" s="10" t="s">
        <v>32</v>
      </c>
      <c r="BG256" s="11">
        <v>8</v>
      </c>
      <c r="BH256" s="7">
        <v>0</v>
      </c>
      <c r="BI256" s="9">
        <v>0</v>
      </c>
      <c r="BJ256" s="8" t="s">
        <v>32</v>
      </c>
      <c r="BK256" s="7">
        <v>0</v>
      </c>
      <c r="BL256" s="9">
        <v>0</v>
      </c>
      <c r="BM256" s="8" t="s">
        <v>32</v>
      </c>
      <c r="BN256" s="7" t="s">
        <v>32</v>
      </c>
      <c r="BO256" s="10" t="s">
        <v>32</v>
      </c>
      <c r="BP256" s="11" t="s">
        <v>32</v>
      </c>
      <c r="BQ256" s="7" t="s">
        <v>32</v>
      </c>
      <c r="BR256" s="9" t="s">
        <v>32</v>
      </c>
      <c r="BS256" s="8">
        <v>0</v>
      </c>
      <c r="BT256" s="7" t="s">
        <v>32</v>
      </c>
      <c r="BU256" s="9" t="s">
        <v>32</v>
      </c>
      <c r="BV256" s="8" t="s">
        <v>32</v>
      </c>
      <c r="BW256" s="7">
        <v>0</v>
      </c>
      <c r="BX256" s="10" t="s">
        <v>32</v>
      </c>
      <c r="BY256" s="11" t="s">
        <v>32</v>
      </c>
      <c r="BZ256" s="7" t="s">
        <v>32</v>
      </c>
      <c r="CA256" s="9" t="s">
        <v>32</v>
      </c>
      <c r="CB256" s="8" t="s">
        <v>32</v>
      </c>
      <c r="CC256" s="7" t="s">
        <v>32</v>
      </c>
      <c r="CD256" s="9" t="s">
        <v>32</v>
      </c>
      <c r="CE256" s="8">
        <v>0</v>
      </c>
      <c r="CF256" s="7" t="s">
        <v>32</v>
      </c>
      <c r="CG256" s="10">
        <v>4</v>
      </c>
      <c r="CI256" s="213">
        <v>8</v>
      </c>
      <c r="CJ256" s="7">
        <v>7</v>
      </c>
      <c r="CK256" s="9">
        <v>6</v>
      </c>
      <c r="CL256" s="8" t="s">
        <v>32</v>
      </c>
      <c r="CM256" s="7">
        <v>3</v>
      </c>
      <c r="CN256" s="9">
        <v>5</v>
      </c>
      <c r="CO256" s="8" t="s">
        <v>32</v>
      </c>
      <c r="CP256" s="7" t="s">
        <v>32</v>
      </c>
      <c r="CQ256" s="10" t="s">
        <v>32</v>
      </c>
      <c r="CR256" s="11" t="s">
        <v>32</v>
      </c>
      <c r="CS256" s="7" t="s">
        <v>32</v>
      </c>
      <c r="CT256" s="9" t="s">
        <v>32</v>
      </c>
      <c r="CU256" s="8">
        <v>2</v>
      </c>
      <c r="CV256" s="7" t="s">
        <v>32</v>
      </c>
      <c r="CW256" s="9" t="s">
        <v>32</v>
      </c>
      <c r="CX256" s="8" t="s">
        <v>32</v>
      </c>
      <c r="CY256" s="7">
        <v>9</v>
      </c>
      <c r="CZ256" s="10" t="s">
        <v>32</v>
      </c>
      <c r="DA256" s="11" t="s">
        <v>32</v>
      </c>
      <c r="DB256" s="7" t="s">
        <v>32</v>
      </c>
      <c r="DC256" s="9" t="s">
        <v>32</v>
      </c>
      <c r="DD256" s="8" t="s">
        <v>32</v>
      </c>
      <c r="DE256" s="7" t="s">
        <v>32</v>
      </c>
      <c r="DF256" s="9" t="s">
        <v>32</v>
      </c>
      <c r="DG256" s="8">
        <v>1</v>
      </c>
      <c r="DH256" s="7" t="s">
        <v>32</v>
      </c>
      <c r="DI256" s="214">
        <v>4</v>
      </c>
      <c r="DJ256"/>
    </row>
    <row r="257" spans="2:114" ht="15" customHeight="1" thickBot="1">
      <c r="B257" s="218">
        <v>2</v>
      </c>
      <c r="C257" s="22" t="s">
        <v>32</v>
      </c>
      <c r="D257" s="23" t="s">
        <v>32</v>
      </c>
      <c r="E257" s="24" t="s">
        <v>32</v>
      </c>
      <c r="F257" s="22" t="s">
        <v>32</v>
      </c>
      <c r="G257" s="23" t="s">
        <v>32</v>
      </c>
      <c r="H257" s="24" t="s">
        <v>32</v>
      </c>
      <c r="I257" s="22" t="s">
        <v>32</v>
      </c>
      <c r="J257" s="25" t="s">
        <v>32</v>
      </c>
      <c r="K257" s="21" t="s">
        <v>32</v>
      </c>
      <c r="L257" s="219">
        <v>5</v>
      </c>
      <c r="M257" s="23" t="s">
        <v>32</v>
      </c>
      <c r="N257" s="24" t="s">
        <v>32</v>
      </c>
      <c r="O257" s="22" t="s">
        <v>32</v>
      </c>
      <c r="P257" s="23" t="s">
        <v>32</v>
      </c>
      <c r="Q257" s="24" t="s">
        <v>32</v>
      </c>
      <c r="R257" s="22" t="s">
        <v>32</v>
      </c>
      <c r="S257" s="25" t="s">
        <v>32</v>
      </c>
      <c r="T257" s="21" t="s">
        <v>32</v>
      </c>
      <c r="U257" s="22" t="s">
        <v>32</v>
      </c>
      <c r="V257" s="23">
        <v>0</v>
      </c>
      <c r="W257" s="24">
        <v>0</v>
      </c>
      <c r="X257" s="22">
        <v>0</v>
      </c>
      <c r="Y257" s="23">
        <v>0</v>
      </c>
      <c r="Z257" s="24">
        <v>0</v>
      </c>
      <c r="AA257" s="22" t="s">
        <v>32</v>
      </c>
      <c r="AB257" s="220">
        <v>9</v>
      </c>
      <c r="AD257" s="218">
        <v>2</v>
      </c>
      <c r="AE257" s="22" t="s">
        <v>32</v>
      </c>
      <c r="AF257" s="23" t="s">
        <v>32</v>
      </c>
      <c r="AG257" s="24" t="s">
        <v>32</v>
      </c>
      <c r="AH257" s="22" t="s">
        <v>32</v>
      </c>
      <c r="AI257" s="23" t="s">
        <v>32</v>
      </c>
      <c r="AJ257" s="24" t="s">
        <v>32</v>
      </c>
      <c r="AK257" s="22" t="s">
        <v>32</v>
      </c>
      <c r="AL257" s="25" t="s">
        <v>32</v>
      </c>
      <c r="AM257" s="21" t="s">
        <v>32</v>
      </c>
      <c r="AN257" s="219">
        <v>5</v>
      </c>
      <c r="AO257" s="23" t="s">
        <v>32</v>
      </c>
      <c r="AP257" s="24" t="s">
        <v>32</v>
      </c>
      <c r="AQ257" s="22" t="s">
        <v>32</v>
      </c>
      <c r="AR257" s="23" t="s">
        <v>32</v>
      </c>
      <c r="AS257" s="24" t="s">
        <v>32</v>
      </c>
      <c r="AT257" s="22" t="s">
        <v>32</v>
      </c>
      <c r="AU257" s="25" t="s">
        <v>32</v>
      </c>
      <c r="AV257" s="21" t="s">
        <v>32</v>
      </c>
      <c r="AW257" s="22" t="s">
        <v>32</v>
      </c>
      <c r="AX257" s="23">
        <v>8</v>
      </c>
      <c r="AY257" s="24">
        <v>7</v>
      </c>
      <c r="AZ257" s="22">
        <v>1</v>
      </c>
      <c r="BA257" s="23">
        <v>3</v>
      </c>
      <c r="BB257" s="24">
        <v>4</v>
      </c>
      <c r="BC257" s="22" t="s">
        <v>32</v>
      </c>
      <c r="BD257" s="220">
        <v>9</v>
      </c>
      <c r="BG257" s="21">
        <v>0</v>
      </c>
      <c r="BH257" s="22">
        <v>0</v>
      </c>
      <c r="BI257" s="23" t="s">
        <v>32</v>
      </c>
      <c r="BJ257" s="24">
        <v>9</v>
      </c>
      <c r="BK257" s="22">
        <v>2</v>
      </c>
      <c r="BL257" s="23" t="s">
        <v>32</v>
      </c>
      <c r="BM257" s="24" t="s">
        <v>32</v>
      </c>
      <c r="BN257" s="22" t="s">
        <v>32</v>
      </c>
      <c r="BO257" s="25" t="s">
        <v>32</v>
      </c>
      <c r="BP257" s="21" t="s">
        <v>32</v>
      </c>
      <c r="BQ257" s="22" t="s">
        <v>32</v>
      </c>
      <c r="BR257" s="23">
        <v>3</v>
      </c>
      <c r="BS257" s="24" t="s">
        <v>32</v>
      </c>
      <c r="BT257" s="22" t="s">
        <v>32</v>
      </c>
      <c r="BU257" s="23" t="s">
        <v>32</v>
      </c>
      <c r="BV257" s="24" t="s">
        <v>32</v>
      </c>
      <c r="BW257" s="22" t="s">
        <v>32</v>
      </c>
      <c r="BX257" s="25">
        <v>0</v>
      </c>
      <c r="BY257" s="21" t="s">
        <v>32</v>
      </c>
      <c r="BZ257" s="22" t="s">
        <v>32</v>
      </c>
      <c r="CA257" s="23" t="s">
        <v>32</v>
      </c>
      <c r="CB257" s="24" t="s">
        <v>32</v>
      </c>
      <c r="CC257" s="22" t="s">
        <v>32</v>
      </c>
      <c r="CD257" s="23">
        <v>6</v>
      </c>
      <c r="CE257" s="24">
        <v>5</v>
      </c>
      <c r="CF257" s="22">
        <v>0</v>
      </c>
      <c r="CG257" s="25" t="s">
        <v>32</v>
      </c>
      <c r="CI257" s="21">
        <v>4</v>
      </c>
      <c r="CJ257" s="22">
        <v>1</v>
      </c>
      <c r="CK257" s="23" t="s">
        <v>32</v>
      </c>
      <c r="CL257" s="225">
        <v>9</v>
      </c>
      <c r="CM257" s="219">
        <v>2</v>
      </c>
      <c r="CN257" s="23" t="s">
        <v>32</v>
      </c>
      <c r="CO257" s="24" t="s">
        <v>32</v>
      </c>
      <c r="CP257" s="22" t="s">
        <v>32</v>
      </c>
      <c r="CQ257" s="25" t="s">
        <v>32</v>
      </c>
      <c r="CR257" s="21" t="s">
        <v>32</v>
      </c>
      <c r="CS257" s="22" t="s">
        <v>32</v>
      </c>
      <c r="CT257" s="223">
        <v>3</v>
      </c>
      <c r="CU257" s="24" t="s">
        <v>32</v>
      </c>
      <c r="CV257" s="22" t="s">
        <v>32</v>
      </c>
      <c r="CW257" s="23" t="s">
        <v>32</v>
      </c>
      <c r="CX257" s="24" t="s">
        <v>32</v>
      </c>
      <c r="CY257" s="22" t="s">
        <v>32</v>
      </c>
      <c r="CZ257" s="25">
        <v>8</v>
      </c>
      <c r="DA257" s="21" t="s">
        <v>32</v>
      </c>
      <c r="DB257" s="22" t="s">
        <v>32</v>
      </c>
      <c r="DC257" s="23" t="s">
        <v>32</v>
      </c>
      <c r="DD257" s="24" t="s">
        <v>32</v>
      </c>
      <c r="DE257" s="22" t="s">
        <v>32</v>
      </c>
      <c r="DF257" s="223">
        <v>6</v>
      </c>
      <c r="DG257" s="225">
        <v>5</v>
      </c>
      <c r="DH257" s="22">
        <v>7</v>
      </c>
      <c r="DI257" s="25" t="s">
        <v>32</v>
      </c>
      <c r="DJ257"/>
    </row>
    <row r="259" spans="2:114" ht="15" customHeight="1" thickBot="1">
      <c r="B259" t="s">
        <v>87</v>
      </c>
      <c r="C259"/>
      <c r="D259"/>
      <c r="E259"/>
      <c r="F259"/>
      <c r="G259"/>
      <c r="H259"/>
      <c r="I259"/>
      <c r="J259"/>
      <c r="K259"/>
      <c r="L259"/>
      <c r="M259"/>
      <c r="N259"/>
      <c r="O259"/>
      <c r="P259"/>
      <c r="Q259"/>
      <c r="R259"/>
      <c r="S259"/>
      <c r="T259"/>
      <c r="U259"/>
      <c r="V259"/>
      <c r="W259"/>
      <c r="X259"/>
      <c r="Y259"/>
      <c r="Z259"/>
      <c r="AA259"/>
      <c r="AB259"/>
      <c r="AC259"/>
      <c r="AD259" t="s">
        <v>86</v>
      </c>
      <c r="AE259"/>
      <c r="AF259"/>
      <c r="AG259"/>
      <c r="AH259"/>
      <c r="AI259"/>
      <c r="AJ259"/>
      <c r="AK259"/>
      <c r="AL259"/>
      <c r="AM259"/>
      <c r="AN259"/>
      <c r="AO259"/>
      <c r="AP259"/>
      <c r="AQ259"/>
      <c r="AR259"/>
      <c r="AS259"/>
      <c r="AT259"/>
      <c r="AU259"/>
      <c r="AV259"/>
      <c r="AW259"/>
      <c r="AX259"/>
      <c r="AY259"/>
      <c r="AZ259"/>
      <c r="BA259"/>
      <c r="BB259"/>
      <c r="BC259"/>
      <c r="BD259"/>
      <c r="BE259"/>
      <c r="BF259"/>
      <c r="BG259" s="33" t="s">
        <v>90</v>
      </c>
      <c r="CI259" s="33" t="s">
        <v>86</v>
      </c>
    </row>
    <row r="260" spans="2:114" ht="15" customHeight="1">
      <c r="B260" s="2">
        <v>0</v>
      </c>
      <c r="C260" s="5">
        <v>0</v>
      </c>
      <c r="D260" s="3" t="s">
        <v>32</v>
      </c>
      <c r="E260" s="4" t="s">
        <v>32</v>
      </c>
      <c r="F260" s="5" t="s">
        <v>32</v>
      </c>
      <c r="G260" s="3" t="s">
        <v>32</v>
      </c>
      <c r="H260" s="4" t="s">
        <v>32</v>
      </c>
      <c r="I260" s="5" t="s">
        <v>32</v>
      </c>
      <c r="J260" s="6" t="s">
        <v>32</v>
      </c>
      <c r="K260" s="2" t="s">
        <v>32</v>
      </c>
      <c r="L260" s="5" t="s">
        <v>32</v>
      </c>
      <c r="M260" s="3" t="s">
        <v>32</v>
      </c>
      <c r="N260" s="4">
        <v>0</v>
      </c>
      <c r="O260" s="5" t="s">
        <v>32</v>
      </c>
      <c r="P260" s="3" t="s">
        <v>32</v>
      </c>
      <c r="Q260" s="4" t="s">
        <v>32</v>
      </c>
      <c r="R260" s="5" t="s">
        <v>32</v>
      </c>
      <c r="S260" s="6" t="s">
        <v>32</v>
      </c>
      <c r="T260" s="2" t="s">
        <v>32</v>
      </c>
      <c r="U260" s="5" t="s">
        <v>32</v>
      </c>
      <c r="V260" s="3">
        <v>0</v>
      </c>
      <c r="W260" s="4" t="s">
        <v>32</v>
      </c>
      <c r="X260" s="5">
        <v>0</v>
      </c>
      <c r="Y260" s="3">
        <v>0</v>
      </c>
      <c r="Z260" s="4">
        <v>0</v>
      </c>
      <c r="AA260" s="5">
        <v>0</v>
      </c>
      <c r="AB260" s="6">
        <v>0</v>
      </c>
      <c r="AC260"/>
      <c r="AD260" s="2">
        <v>6</v>
      </c>
      <c r="AE260" s="5">
        <v>9</v>
      </c>
      <c r="AF260" s="3" t="s">
        <v>32</v>
      </c>
      <c r="AG260" s="4" t="s">
        <v>32</v>
      </c>
      <c r="AH260" s="5" t="s">
        <v>32</v>
      </c>
      <c r="AI260" s="3" t="s">
        <v>32</v>
      </c>
      <c r="AJ260" s="4" t="s">
        <v>32</v>
      </c>
      <c r="AK260" s="5" t="s">
        <v>32</v>
      </c>
      <c r="AL260" s="6" t="s">
        <v>32</v>
      </c>
      <c r="AM260" s="2" t="s">
        <v>32</v>
      </c>
      <c r="AN260" s="5" t="s">
        <v>32</v>
      </c>
      <c r="AO260" s="3" t="s">
        <v>32</v>
      </c>
      <c r="AP260" s="4">
        <v>2</v>
      </c>
      <c r="AQ260" s="5" t="s">
        <v>32</v>
      </c>
      <c r="AR260" s="3" t="s">
        <v>32</v>
      </c>
      <c r="AS260" s="4" t="s">
        <v>32</v>
      </c>
      <c r="AT260" s="5" t="s">
        <v>32</v>
      </c>
      <c r="AU260" s="6" t="s">
        <v>32</v>
      </c>
      <c r="AV260" s="2" t="s">
        <v>32</v>
      </c>
      <c r="AW260" s="5" t="s">
        <v>32</v>
      </c>
      <c r="AX260" s="3">
        <v>5</v>
      </c>
      <c r="AY260" s="4" t="s">
        <v>32</v>
      </c>
      <c r="AZ260" s="5">
        <v>1</v>
      </c>
      <c r="BA260" s="3">
        <v>7</v>
      </c>
      <c r="BB260" s="4">
        <v>3</v>
      </c>
      <c r="BC260" s="5">
        <v>4</v>
      </c>
      <c r="BD260" s="6">
        <v>8</v>
      </c>
      <c r="BE260"/>
      <c r="BF260"/>
      <c r="BG260" s="2">
        <v>0</v>
      </c>
      <c r="BH260" s="5">
        <v>6</v>
      </c>
      <c r="BI260" s="3">
        <v>0</v>
      </c>
      <c r="BJ260" s="4" t="s">
        <v>32</v>
      </c>
      <c r="BK260" s="5" t="s">
        <v>32</v>
      </c>
      <c r="BL260" s="3" t="s">
        <v>32</v>
      </c>
      <c r="BM260" s="4" t="s">
        <v>32</v>
      </c>
      <c r="BN260" s="5" t="s">
        <v>32</v>
      </c>
      <c r="BO260" s="6" t="s">
        <v>32</v>
      </c>
      <c r="BP260" s="2" t="s">
        <v>32</v>
      </c>
      <c r="BQ260" s="5" t="s">
        <v>32</v>
      </c>
      <c r="BR260" s="3" t="s">
        <v>32</v>
      </c>
      <c r="BS260" s="4" t="s">
        <v>32</v>
      </c>
      <c r="BT260" s="5">
        <v>0</v>
      </c>
      <c r="BU260" s="3">
        <v>0</v>
      </c>
      <c r="BV260" s="4">
        <v>0</v>
      </c>
      <c r="BW260" s="5" t="s">
        <v>32</v>
      </c>
      <c r="BX260" s="6" t="s">
        <v>32</v>
      </c>
      <c r="BY260" s="2" t="s">
        <v>32</v>
      </c>
      <c r="BZ260" s="5" t="s">
        <v>32</v>
      </c>
      <c r="CA260" s="3" t="s">
        <v>32</v>
      </c>
      <c r="CB260" s="4" t="s">
        <v>32</v>
      </c>
      <c r="CC260" s="5" t="s">
        <v>32</v>
      </c>
      <c r="CD260" s="3" t="s">
        <v>32</v>
      </c>
      <c r="CE260" s="4" t="s">
        <v>32</v>
      </c>
      <c r="CF260" s="5" t="s">
        <v>32</v>
      </c>
      <c r="CG260" s="6">
        <v>0</v>
      </c>
      <c r="CI260" s="2">
        <v>1</v>
      </c>
      <c r="CJ260" s="216">
        <v>6</v>
      </c>
      <c r="CK260" s="3">
        <v>5</v>
      </c>
      <c r="CL260" s="4" t="s">
        <v>32</v>
      </c>
      <c r="CM260" s="5" t="s">
        <v>32</v>
      </c>
      <c r="CN260" s="3" t="s">
        <v>32</v>
      </c>
      <c r="CO260" s="4" t="s">
        <v>32</v>
      </c>
      <c r="CP260" s="5" t="s">
        <v>32</v>
      </c>
      <c r="CQ260" s="6" t="s">
        <v>32</v>
      </c>
      <c r="CR260" s="2" t="s">
        <v>32</v>
      </c>
      <c r="CS260" s="5" t="s">
        <v>32</v>
      </c>
      <c r="CT260" s="3" t="s">
        <v>32</v>
      </c>
      <c r="CU260" s="4" t="s">
        <v>32</v>
      </c>
      <c r="CV260" s="5">
        <v>8</v>
      </c>
      <c r="CW260" s="3">
        <v>9</v>
      </c>
      <c r="CX260" s="4">
        <v>3</v>
      </c>
      <c r="CY260" s="5" t="s">
        <v>32</v>
      </c>
      <c r="CZ260" s="6" t="s">
        <v>32</v>
      </c>
      <c r="DA260" s="2" t="s">
        <v>32</v>
      </c>
      <c r="DB260" s="5" t="s">
        <v>32</v>
      </c>
      <c r="DC260" s="3" t="s">
        <v>32</v>
      </c>
      <c r="DD260" s="4" t="s">
        <v>32</v>
      </c>
      <c r="DE260" s="5" t="s">
        <v>32</v>
      </c>
      <c r="DF260" s="3" t="s">
        <v>32</v>
      </c>
      <c r="DG260" s="4" t="s">
        <v>32</v>
      </c>
      <c r="DH260" s="5" t="s">
        <v>32</v>
      </c>
      <c r="DI260" s="6">
        <v>4</v>
      </c>
    </row>
    <row r="261" spans="2:114" ht="15" customHeight="1">
      <c r="B261" s="11">
        <v>0</v>
      </c>
      <c r="C261" s="204">
        <v>3</v>
      </c>
      <c r="D261" s="9" t="s">
        <v>32</v>
      </c>
      <c r="E261" s="8" t="s">
        <v>32</v>
      </c>
      <c r="F261" s="7" t="s">
        <v>32</v>
      </c>
      <c r="G261" s="9" t="s">
        <v>32</v>
      </c>
      <c r="H261" s="8" t="s">
        <v>32</v>
      </c>
      <c r="I261" s="7" t="s">
        <v>32</v>
      </c>
      <c r="J261" s="10" t="s">
        <v>32</v>
      </c>
      <c r="K261" s="11" t="s">
        <v>32</v>
      </c>
      <c r="L261" s="7" t="s">
        <v>32</v>
      </c>
      <c r="M261" s="9">
        <v>0</v>
      </c>
      <c r="N261" s="8" t="s">
        <v>32</v>
      </c>
      <c r="O261" s="7">
        <v>0</v>
      </c>
      <c r="P261" s="9">
        <v>0</v>
      </c>
      <c r="Q261" s="8" t="s">
        <v>32</v>
      </c>
      <c r="R261" s="7" t="s">
        <v>32</v>
      </c>
      <c r="S261" s="10" t="s">
        <v>32</v>
      </c>
      <c r="T261" s="11" t="s">
        <v>32</v>
      </c>
      <c r="U261" s="7" t="s">
        <v>32</v>
      </c>
      <c r="V261" s="9" t="s">
        <v>32</v>
      </c>
      <c r="W261" s="8">
        <v>0</v>
      </c>
      <c r="X261" s="7" t="s">
        <v>32</v>
      </c>
      <c r="Y261" s="9" t="s">
        <v>32</v>
      </c>
      <c r="Z261" s="8">
        <v>0</v>
      </c>
      <c r="AA261" s="204">
        <v>2</v>
      </c>
      <c r="AB261" s="10" t="s">
        <v>32</v>
      </c>
      <c r="AC261"/>
      <c r="AD261" s="11">
        <v>5</v>
      </c>
      <c r="AE261" s="204">
        <v>3</v>
      </c>
      <c r="AF261" s="9" t="s">
        <v>32</v>
      </c>
      <c r="AG261" s="8" t="s">
        <v>32</v>
      </c>
      <c r="AH261" s="7" t="s">
        <v>32</v>
      </c>
      <c r="AI261" s="9" t="s">
        <v>32</v>
      </c>
      <c r="AJ261" s="8" t="s">
        <v>32</v>
      </c>
      <c r="AK261" s="7" t="s">
        <v>32</v>
      </c>
      <c r="AL261" s="10" t="s">
        <v>32</v>
      </c>
      <c r="AM261" s="11" t="s">
        <v>32</v>
      </c>
      <c r="AN261" s="7" t="s">
        <v>32</v>
      </c>
      <c r="AO261" s="9">
        <v>4</v>
      </c>
      <c r="AP261" s="8" t="s">
        <v>32</v>
      </c>
      <c r="AQ261" s="7">
        <v>8</v>
      </c>
      <c r="AR261" s="9">
        <v>1</v>
      </c>
      <c r="AS261" s="8" t="s">
        <v>32</v>
      </c>
      <c r="AT261" s="7" t="s">
        <v>32</v>
      </c>
      <c r="AU261" s="10" t="s">
        <v>32</v>
      </c>
      <c r="AV261" s="11" t="s">
        <v>32</v>
      </c>
      <c r="AW261" s="7" t="s">
        <v>32</v>
      </c>
      <c r="AX261" s="9" t="s">
        <v>32</v>
      </c>
      <c r="AY261" s="8">
        <v>9</v>
      </c>
      <c r="AZ261" s="7" t="s">
        <v>32</v>
      </c>
      <c r="BA261" s="9" t="s">
        <v>32</v>
      </c>
      <c r="BB261" s="8">
        <v>6</v>
      </c>
      <c r="BC261" s="204">
        <v>2</v>
      </c>
      <c r="BD261" s="10" t="s">
        <v>32</v>
      </c>
      <c r="BE261"/>
      <c r="BF261"/>
      <c r="BG261" s="11">
        <v>9</v>
      </c>
      <c r="BH261" s="7">
        <v>0</v>
      </c>
      <c r="BI261" s="9">
        <v>0</v>
      </c>
      <c r="BJ261" s="8" t="s">
        <v>32</v>
      </c>
      <c r="BK261" s="7" t="s">
        <v>32</v>
      </c>
      <c r="BL261" s="9" t="s">
        <v>32</v>
      </c>
      <c r="BM261" s="8" t="s">
        <v>32</v>
      </c>
      <c r="BN261" s="7" t="s">
        <v>32</v>
      </c>
      <c r="BO261" s="10" t="s">
        <v>32</v>
      </c>
      <c r="BP261" s="11" t="s">
        <v>32</v>
      </c>
      <c r="BQ261" s="7" t="s">
        <v>32</v>
      </c>
      <c r="BR261" s="9" t="s">
        <v>32</v>
      </c>
      <c r="BS261" s="8" t="s">
        <v>32</v>
      </c>
      <c r="BT261" s="7" t="s">
        <v>32</v>
      </c>
      <c r="BU261" s="9" t="s">
        <v>32</v>
      </c>
      <c r="BV261" s="8" t="s">
        <v>32</v>
      </c>
      <c r="BW261" s="7">
        <v>0</v>
      </c>
      <c r="BX261" s="10" t="s">
        <v>32</v>
      </c>
      <c r="BY261" s="11" t="s">
        <v>32</v>
      </c>
      <c r="BZ261" s="7" t="s">
        <v>32</v>
      </c>
      <c r="CA261" s="9" t="s">
        <v>32</v>
      </c>
      <c r="CB261" s="8" t="s">
        <v>32</v>
      </c>
      <c r="CC261" s="7" t="s">
        <v>32</v>
      </c>
      <c r="CD261" s="9" t="s">
        <v>32</v>
      </c>
      <c r="CE261" s="8" t="s">
        <v>32</v>
      </c>
      <c r="CF261" s="7" t="s">
        <v>32</v>
      </c>
      <c r="CG261" s="10">
        <v>7</v>
      </c>
      <c r="CI261" s="213">
        <v>9</v>
      </c>
      <c r="CJ261" s="7">
        <v>4</v>
      </c>
      <c r="CK261" s="9">
        <v>3</v>
      </c>
      <c r="CL261" s="8" t="s">
        <v>32</v>
      </c>
      <c r="CM261" s="7" t="s">
        <v>32</v>
      </c>
      <c r="CN261" s="9" t="s">
        <v>32</v>
      </c>
      <c r="CO261" s="8" t="s">
        <v>32</v>
      </c>
      <c r="CP261" s="7" t="s">
        <v>32</v>
      </c>
      <c r="CQ261" s="10" t="s">
        <v>32</v>
      </c>
      <c r="CR261" s="11" t="s">
        <v>32</v>
      </c>
      <c r="CS261" s="7" t="s">
        <v>32</v>
      </c>
      <c r="CT261" s="9" t="s">
        <v>32</v>
      </c>
      <c r="CU261" s="8" t="s">
        <v>32</v>
      </c>
      <c r="CV261" s="7" t="s">
        <v>32</v>
      </c>
      <c r="CW261" s="9" t="s">
        <v>32</v>
      </c>
      <c r="CX261" s="8" t="s">
        <v>32</v>
      </c>
      <c r="CY261" s="7">
        <v>2</v>
      </c>
      <c r="CZ261" s="10" t="s">
        <v>32</v>
      </c>
      <c r="DA261" s="11" t="s">
        <v>32</v>
      </c>
      <c r="DB261" s="7" t="s">
        <v>32</v>
      </c>
      <c r="DC261" s="9" t="s">
        <v>32</v>
      </c>
      <c r="DD261" s="8" t="s">
        <v>32</v>
      </c>
      <c r="DE261" s="7" t="s">
        <v>32</v>
      </c>
      <c r="DF261" s="9" t="s">
        <v>32</v>
      </c>
      <c r="DG261" s="8" t="s">
        <v>32</v>
      </c>
      <c r="DH261" s="7" t="s">
        <v>32</v>
      </c>
      <c r="DI261" s="214">
        <v>7</v>
      </c>
    </row>
    <row r="262" spans="2:114" ht="15" customHeight="1">
      <c r="B262" s="12">
        <v>0</v>
      </c>
      <c r="C262" s="13">
        <v>0</v>
      </c>
      <c r="D262" s="15">
        <v>0</v>
      </c>
      <c r="E262" s="14" t="s">
        <v>32</v>
      </c>
      <c r="F262" s="13" t="s">
        <v>32</v>
      </c>
      <c r="G262" s="15" t="s">
        <v>32</v>
      </c>
      <c r="H262" s="14" t="s">
        <v>32</v>
      </c>
      <c r="I262" s="13" t="s">
        <v>32</v>
      </c>
      <c r="J262" s="1" t="s">
        <v>32</v>
      </c>
      <c r="K262" s="12" t="s">
        <v>32</v>
      </c>
      <c r="L262" s="13" t="s">
        <v>32</v>
      </c>
      <c r="M262" s="15" t="s">
        <v>32</v>
      </c>
      <c r="N262" s="14" t="s">
        <v>32</v>
      </c>
      <c r="O262" s="13">
        <v>0</v>
      </c>
      <c r="P262" s="15">
        <v>0</v>
      </c>
      <c r="Q262" s="14">
        <v>0</v>
      </c>
      <c r="R262" s="13" t="s">
        <v>32</v>
      </c>
      <c r="S262" s="1">
        <v>0</v>
      </c>
      <c r="T262" s="12" t="s">
        <v>32</v>
      </c>
      <c r="U262" s="13" t="s">
        <v>32</v>
      </c>
      <c r="V262" s="15" t="s">
        <v>32</v>
      </c>
      <c r="W262" s="14" t="s">
        <v>32</v>
      </c>
      <c r="X262" s="13" t="s">
        <v>32</v>
      </c>
      <c r="Y262" s="15" t="s">
        <v>32</v>
      </c>
      <c r="Z262" s="14" t="s">
        <v>32</v>
      </c>
      <c r="AA262" s="13" t="s">
        <v>32</v>
      </c>
      <c r="AB262" s="1" t="s">
        <v>32</v>
      </c>
      <c r="AC262"/>
      <c r="AD262" s="12">
        <v>8</v>
      </c>
      <c r="AE262" s="13">
        <v>4</v>
      </c>
      <c r="AF262" s="15">
        <v>2</v>
      </c>
      <c r="AG262" s="14" t="s">
        <v>32</v>
      </c>
      <c r="AH262" s="13" t="s">
        <v>32</v>
      </c>
      <c r="AI262" s="15" t="s">
        <v>32</v>
      </c>
      <c r="AJ262" s="14" t="s">
        <v>32</v>
      </c>
      <c r="AK262" s="13" t="s">
        <v>32</v>
      </c>
      <c r="AL262" s="1" t="s">
        <v>32</v>
      </c>
      <c r="AM262" s="12" t="s">
        <v>32</v>
      </c>
      <c r="AN262" s="13" t="s">
        <v>32</v>
      </c>
      <c r="AO262" s="15" t="s">
        <v>32</v>
      </c>
      <c r="AP262" s="14" t="s">
        <v>32</v>
      </c>
      <c r="AQ262" s="13">
        <v>6</v>
      </c>
      <c r="AR262" s="15">
        <v>9</v>
      </c>
      <c r="AS262" s="14">
        <v>7</v>
      </c>
      <c r="AT262" s="13" t="s">
        <v>32</v>
      </c>
      <c r="AU262" s="1">
        <v>5</v>
      </c>
      <c r="AV262" s="12" t="s">
        <v>32</v>
      </c>
      <c r="AW262" s="13" t="s">
        <v>32</v>
      </c>
      <c r="AX262" s="15" t="s">
        <v>32</v>
      </c>
      <c r="AY262" s="14" t="s">
        <v>32</v>
      </c>
      <c r="AZ262" s="13" t="s">
        <v>32</v>
      </c>
      <c r="BA262" s="15" t="s">
        <v>32</v>
      </c>
      <c r="BB262" s="14" t="s">
        <v>32</v>
      </c>
      <c r="BC262" s="13" t="s">
        <v>32</v>
      </c>
      <c r="BD262" s="1" t="s">
        <v>32</v>
      </c>
      <c r="BE262"/>
      <c r="BF262"/>
      <c r="BG262" s="12">
        <v>0</v>
      </c>
      <c r="BH262" s="13">
        <v>8</v>
      </c>
      <c r="BI262" s="15" t="s">
        <v>32</v>
      </c>
      <c r="BJ262" s="14" t="s">
        <v>32</v>
      </c>
      <c r="BK262" s="13" t="s">
        <v>32</v>
      </c>
      <c r="BL262" s="15" t="s">
        <v>32</v>
      </c>
      <c r="BM262" s="14" t="s">
        <v>32</v>
      </c>
      <c r="BN262" s="13" t="s">
        <v>32</v>
      </c>
      <c r="BO262" s="1" t="s">
        <v>32</v>
      </c>
      <c r="BP262" s="12" t="s">
        <v>32</v>
      </c>
      <c r="BQ262" s="13" t="s">
        <v>32</v>
      </c>
      <c r="BR262" s="15" t="s">
        <v>32</v>
      </c>
      <c r="BS262" s="14" t="s">
        <v>32</v>
      </c>
      <c r="BT262" s="13" t="s">
        <v>32</v>
      </c>
      <c r="BU262" s="15" t="s">
        <v>32</v>
      </c>
      <c r="BV262" s="14" t="s">
        <v>32</v>
      </c>
      <c r="BW262" s="13">
        <v>0</v>
      </c>
      <c r="BX262" s="1" t="s">
        <v>32</v>
      </c>
      <c r="BY262" s="12" t="s">
        <v>32</v>
      </c>
      <c r="BZ262" s="13" t="s">
        <v>32</v>
      </c>
      <c r="CA262" s="15" t="s">
        <v>32</v>
      </c>
      <c r="CB262" s="14" t="s">
        <v>32</v>
      </c>
      <c r="CC262" s="13" t="s">
        <v>32</v>
      </c>
      <c r="CD262" s="15" t="s">
        <v>32</v>
      </c>
      <c r="CE262" s="14" t="s">
        <v>32</v>
      </c>
      <c r="CF262" s="13" t="s">
        <v>32</v>
      </c>
      <c r="CG262" s="1">
        <v>0</v>
      </c>
      <c r="CI262" s="12">
        <v>2</v>
      </c>
      <c r="CJ262" s="212">
        <v>8</v>
      </c>
      <c r="CK262" s="15" t="s">
        <v>32</v>
      </c>
      <c r="CL262" s="14" t="s">
        <v>32</v>
      </c>
      <c r="CM262" s="13" t="s">
        <v>32</v>
      </c>
      <c r="CN262" s="15" t="s">
        <v>32</v>
      </c>
      <c r="CO262" s="14" t="s">
        <v>32</v>
      </c>
      <c r="CP262" s="13" t="s">
        <v>32</v>
      </c>
      <c r="CQ262" s="1" t="s">
        <v>32</v>
      </c>
      <c r="CR262" s="12" t="s">
        <v>32</v>
      </c>
      <c r="CS262" s="13" t="s">
        <v>32</v>
      </c>
      <c r="CT262" s="15" t="s">
        <v>32</v>
      </c>
      <c r="CU262" s="14" t="s">
        <v>32</v>
      </c>
      <c r="CV262" s="13" t="s">
        <v>32</v>
      </c>
      <c r="CW262" s="15" t="s">
        <v>32</v>
      </c>
      <c r="CX262" s="14" t="s">
        <v>32</v>
      </c>
      <c r="CY262" s="13">
        <v>1</v>
      </c>
      <c r="CZ262" s="1" t="s">
        <v>32</v>
      </c>
      <c r="DA262" s="12" t="s">
        <v>32</v>
      </c>
      <c r="DB262" s="13" t="s">
        <v>32</v>
      </c>
      <c r="DC262" s="15" t="s">
        <v>32</v>
      </c>
      <c r="DD262" s="14" t="s">
        <v>32</v>
      </c>
      <c r="DE262" s="13" t="s">
        <v>32</v>
      </c>
      <c r="DF262" s="15" t="s">
        <v>32</v>
      </c>
      <c r="DG262" s="14" t="s">
        <v>32</v>
      </c>
      <c r="DH262" s="13" t="s">
        <v>32</v>
      </c>
      <c r="DI262" s="1">
        <v>5</v>
      </c>
    </row>
    <row r="263" spans="2:114" ht="15" customHeight="1">
      <c r="B263" s="16" t="s">
        <v>32</v>
      </c>
      <c r="C263" s="211">
        <v>1</v>
      </c>
      <c r="D263" s="18" t="s">
        <v>32</v>
      </c>
      <c r="E263" s="19" t="s">
        <v>32</v>
      </c>
      <c r="F263" s="17" t="s">
        <v>32</v>
      </c>
      <c r="G263" s="18" t="s">
        <v>32</v>
      </c>
      <c r="H263" s="19" t="s">
        <v>32</v>
      </c>
      <c r="I263" s="17" t="s">
        <v>32</v>
      </c>
      <c r="J263" s="20" t="s">
        <v>32</v>
      </c>
      <c r="K263" s="16" t="s">
        <v>32</v>
      </c>
      <c r="L263" s="17" t="s">
        <v>32</v>
      </c>
      <c r="M263" s="18" t="s">
        <v>32</v>
      </c>
      <c r="N263" s="19" t="s">
        <v>32</v>
      </c>
      <c r="O263" s="17" t="s">
        <v>32</v>
      </c>
      <c r="P263" s="18" t="s">
        <v>32</v>
      </c>
      <c r="Q263" s="19" t="s">
        <v>32</v>
      </c>
      <c r="R263" s="211">
        <v>3</v>
      </c>
      <c r="S263" s="20" t="s">
        <v>32</v>
      </c>
      <c r="T263" s="16" t="s">
        <v>32</v>
      </c>
      <c r="U263" s="17" t="s">
        <v>32</v>
      </c>
      <c r="V263" s="18" t="s">
        <v>32</v>
      </c>
      <c r="W263" s="19" t="s">
        <v>32</v>
      </c>
      <c r="X263" s="17" t="s">
        <v>32</v>
      </c>
      <c r="Y263" s="18" t="s">
        <v>32</v>
      </c>
      <c r="Z263" s="19" t="s">
        <v>32</v>
      </c>
      <c r="AA263" s="17" t="s">
        <v>32</v>
      </c>
      <c r="AB263" s="20" t="s">
        <v>32</v>
      </c>
      <c r="AC263"/>
      <c r="AD263" s="16" t="s">
        <v>32</v>
      </c>
      <c r="AE263" s="211">
        <v>1</v>
      </c>
      <c r="AF263" s="18" t="s">
        <v>32</v>
      </c>
      <c r="AG263" s="19" t="s">
        <v>32</v>
      </c>
      <c r="AH263" s="17" t="s">
        <v>32</v>
      </c>
      <c r="AI263" s="18" t="s">
        <v>32</v>
      </c>
      <c r="AJ263" s="19" t="s">
        <v>32</v>
      </c>
      <c r="AK263" s="17" t="s">
        <v>32</v>
      </c>
      <c r="AL263" s="20" t="s">
        <v>32</v>
      </c>
      <c r="AM263" s="16" t="s">
        <v>32</v>
      </c>
      <c r="AN263" s="17" t="s">
        <v>32</v>
      </c>
      <c r="AO263" s="18" t="s">
        <v>32</v>
      </c>
      <c r="AP263" s="19" t="s">
        <v>32</v>
      </c>
      <c r="AQ263" s="17" t="s">
        <v>32</v>
      </c>
      <c r="AR263" s="18" t="s">
        <v>32</v>
      </c>
      <c r="AS263" s="19" t="s">
        <v>32</v>
      </c>
      <c r="AT263" s="211">
        <v>3</v>
      </c>
      <c r="AU263" s="20" t="s">
        <v>32</v>
      </c>
      <c r="AV263" s="16" t="s">
        <v>32</v>
      </c>
      <c r="AW263" s="17" t="s">
        <v>32</v>
      </c>
      <c r="AX263" s="18" t="s">
        <v>32</v>
      </c>
      <c r="AY263" s="19" t="s">
        <v>32</v>
      </c>
      <c r="AZ263" s="17" t="s">
        <v>32</v>
      </c>
      <c r="BA263" s="18" t="s">
        <v>32</v>
      </c>
      <c r="BB263" s="19" t="s">
        <v>32</v>
      </c>
      <c r="BC263" s="17" t="s">
        <v>32</v>
      </c>
      <c r="BD263" s="20" t="s">
        <v>32</v>
      </c>
      <c r="BE263"/>
      <c r="BF263"/>
      <c r="BG263" s="16">
        <v>0</v>
      </c>
      <c r="BH263" s="17" t="s">
        <v>32</v>
      </c>
      <c r="BI263" s="18" t="s">
        <v>32</v>
      </c>
      <c r="BJ263" s="19" t="s">
        <v>32</v>
      </c>
      <c r="BK263" s="17" t="s">
        <v>32</v>
      </c>
      <c r="BL263" s="18" t="s">
        <v>32</v>
      </c>
      <c r="BM263" s="19" t="s">
        <v>32</v>
      </c>
      <c r="BN263" s="17" t="s">
        <v>32</v>
      </c>
      <c r="BO263" s="20" t="s">
        <v>32</v>
      </c>
      <c r="BP263" s="16" t="s">
        <v>32</v>
      </c>
      <c r="BQ263" s="17" t="s">
        <v>32</v>
      </c>
      <c r="BR263" s="18" t="s">
        <v>32</v>
      </c>
      <c r="BS263" s="19" t="s">
        <v>32</v>
      </c>
      <c r="BT263" s="17" t="s">
        <v>32</v>
      </c>
      <c r="BU263" s="18" t="s">
        <v>32</v>
      </c>
      <c r="BV263" s="19" t="s">
        <v>32</v>
      </c>
      <c r="BW263" s="17">
        <v>0</v>
      </c>
      <c r="BX263" s="20" t="s">
        <v>32</v>
      </c>
      <c r="BY263" s="16" t="s">
        <v>32</v>
      </c>
      <c r="BZ263" s="17" t="s">
        <v>32</v>
      </c>
      <c r="CA263" s="18" t="s">
        <v>32</v>
      </c>
      <c r="CB263" s="19" t="s">
        <v>32</v>
      </c>
      <c r="CC263" s="17" t="s">
        <v>32</v>
      </c>
      <c r="CD263" s="18" t="s">
        <v>32</v>
      </c>
      <c r="CE263" s="19" t="s">
        <v>32</v>
      </c>
      <c r="CF263" s="17" t="s">
        <v>32</v>
      </c>
      <c r="CG263" s="20">
        <v>0</v>
      </c>
      <c r="CI263" s="16">
        <v>7</v>
      </c>
      <c r="CJ263" s="17" t="s">
        <v>32</v>
      </c>
      <c r="CK263" s="18" t="s">
        <v>32</v>
      </c>
      <c r="CL263" s="19" t="s">
        <v>32</v>
      </c>
      <c r="CM263" s="17" t="s">
        <v>32</v>
      </c>
      <c r="CN263" s="18" t="s">
        <v>32</v>
      </c>
      <c r="CO263" s="19" t="s">
        <v>32</v>
      </c>
      <c r="CP263" s="17" t="s">
        <v>32</v>
      </c>
      <c r="CQ263" s="20" t="s">
        <v>32</v>
      </c>
      <c r="CR263" s="16" t="s">
        <v>32</v>
      </c>
      <c r="CS263" s="17" t="s">
        <v>32</v>
      </c>
      <c r="CT263" s="18" t="s">
        <v>32</v>
      </c>
      <c r="CU263" s="19" t="s">
        <v>32</v>
      </c>
      <c r="CV263" s="17" t="s">
        <v>32</v>
      </c>
      <c r="CW263" s="18" t="s">
        <v>32</v>
      </c>
      <c r="CX263" s="19" t="s">
        <v>32</v>
      </c>
      <c r="CY263" s="17">
        <v>6</v>
      </c>
      <c r="CZ263" s="20" t="s">
        <v>32</v>
      </c>
      <c r="DA263" s="16" t="s">
        <v>32</v>
      </c>
      <c r="DB263" s="17" t="s">
        <v>32</v>
      </c>
      <c r="DC263" s="18" t="s">
        <v>32</v>
      </c>
      <c r="DD263" s="19" t="s">
        <v>32</v>
      </c>
      <c r="DE263" s="17" t="s">
        <v>32</v>
      </c>
      <c r="DF263" s="18" t="s">
        <v>32</v>
      </c>
      <c r="DG263" s="19" t="s">
        <v>32</v>
      </c>
      <c r="DH263" s="17" t="s">
        <v>32</v>
      </c>
      <c r="DI263" s="20">
        <v>3</v>
      </c>
    </row>
    <row r="264" spans="2:114" ht="15" customHeight="1">
      <c r="B264" s="11">
        <v>0</v>
      </c>
      <c r="C264" s="7" t="s">
        <v>32</v>
      </c>
      <c r="D264" s="9" t="s">
        <v>32</v>
      </c>
      <c r="E264" s="8" t="s">
        <v>32</v>
      </c>
      <c r="F264" s="7" t="s">
        <v>32</v>
      </c>
      <c r="G264" s="9" t="s">
        <v>32</v>
      </c>
      <c r="H264" s="8" t="s">
        <v>32</v>
      </c>
      <c r="I264" s="7" t="s">
        <v>32</v>
      </c>
      <c r="J264" s="10" t="s">
        <v>32</v>
      </c>
      <c r="K264" s="11" t="s">
        <v>32</v>
      </c>
      <c r="L264" s="7" t="s">
        <v>32</v>
      </c>
      <c r="M264" s="9" t="s">
        <v>32</v>
      </c>
      <c r="N264" s="8" t="s">
        <v>32</v>
      </c>
      <c r="O264" s="7" t="s">
        <v>32</v>
      </c>
      <c r="P264" s="9" t="s">
        <v>32</v>
      </c>
      <c r="Q264" s="8" t="s">
        <v>32</v>
      </c>
      <c r="R264" s="7" t="s">
        <v>32</v>
      </c>
      <c r="S264" s="10" t="s">
        <v>32</v>
      </c>
      <c r="T264" s="11" t="s">
        <v>32</v>
      </c>
      <c r="U264" s="7" t="s">
        <v>32</v>
      </c>
      <c r="V264" s="9" t="s">
        <v>32</v>
      </c>
      <c r="W264" s="8" t="s">
        <v>32</v>
      </c>
      <c r="X264" s="7" t="s">
        <v>32</v>
      </c>
      <c r="Y264" s="9" t="s">
        <v>32</v>
      </c>
      <c r="Z264" s="8" t="s">
        <v>32</v>
      </c>
      <c r="AA264" s="7" t="s">
        <v>32</v>
      </c>
      <c r="AB264" s="10" t="s">
        <v>32</v>
      </c>
      <c r="AC264"/>
      <c r="AD264" s="11">
        <v>7</v>
      </c>
      <c r="AE264" s="7" t="s">
        <v>32</v>
      </c>
      <c r="AF264" s="9" t="s">
        <v>32</v>
      </c>
      <c r="AG264" s="8" t="s">
        <v>32</v>
      </c>
      <c r="AH264" s="7" t="s">
        <v>32</v>
      </c>
      <c r="AI264" s="9" t="s">
        <v>32</v>
      </c>
      <c r="AJ264" s="8" t="s">
        <v>32</v>
      </c>
      <c r="AK264" s="7" t="s">
        <v>32</v>
      </c>
      <c r="AL264" s="10" t="s">
        <v>32</v>
      </c>
      <c r="AM264" s="11" t="s">
        <v>32</v>
      </c>
      <c r="AN264" s="7" t="s">
        <v>32</v>
      </c>
      <c r="AO264" s="9" t="s">
        <v>32</v>
      </c>
      <c r="AP264" s="8" t="s">
        <v>32</v>
      </c>
      <c r="AQ264" s="7" t="s">
        <v>32</v>
      </c>
      <c r="AR264" s="9" t="s">
        <v>32</v>
      </c>
      <c r="AS264" s="8" t="s">
        <v>32</v>
      </c>
      <c r="AT264" s="7" t="s">
        <v>32</v>
      </c>
      <c r="AU264" s="10" t="s">
        <v>32</v>
      </c>
      <c r="AV264" s="11" t="s">
        <v>32</v>
      </c>
      <c r="AW264" s="7" t="s">
        <v>32</v>
      </c>
      <c r="AX264" s="9" t="s">
        <v>32</v>
      </c>
      <c r="AY264" s="8" t="s">
        <v>32</v>
      </c>
      <c r="AZ264" s="7" t="s">
        <v>32</v>
      </c>
      <c r="BA264" s="9" t="s">
        <v>32</v>
      </c>
      <c r="BB264" s="8" t="s">
        <v>32</v>
      </c>
      <c r="BC264" s="7" t="s">
        <v>32</v>
      </c>
      <c r="BD264" s="10" t="s">
        <v>32</v>
      </c>
      <c r="BE264"/>
      <c r="BF264"/>
      <c r="BG264" s="11" t="s">
        <v>32</v>
      </c>
      <c r="BH264" s="7" t="s">
        <v>32</v>
      </c>
      <c r="BI264" s="9" t="s">
        <v>32</v>
      </c>
      <c r="BJ264" s="8" t="s">
        <v>32</v>
      </c>
      <c r="BK264" s="7" t="s">
        <v>32</v>
      </c>
      <c r="BL264" s="9" t="s">
        <v>32</v>
      </c>
      <c r="BM264" s="8" t="s">
        <v>32</v>
      </c>
      <c r="BN264" s="7" t="s">
        <v>32</v>
      </c>
      <c r="BO264" s="10" t="s">
        <v>32</v>
      </c>
      <c r="BP264" s="11" t="s">
        <v>32</v>
      </c>
      <c r="BQ264" s="7" t="s">
        <v>32</v>
      </c>
      <c r="BR264" s="9" t="s">
        <v>32</v>
      </c>
      <c r="BS264" s="8" t="s">
        <v>32</v>
      </c>
      <c r="BT264" s="7" t="s">
        <v>32</v>
      </c>
      <c r="BU264" s="9" t="s">
        <v>32</v>
      </c>
      <c r="BV264" s="8" t="s">
        <v>32</v>
      </c>
      <c r="BW264" s="7">
        <v>4</v>
      </c>
      <c r="BX264" s="10" t="s">
        <v>32</v>
      </c>
      <c r="BY264" s="11" t="s">
        <v>32</v>
      </c>
      <c r="BZ264" s="7" t="s">
        <v>32</v>
      </c>
      <c r="CA264" s="9" t="s">
        <v>32</v>
      </c>
      <c r="CB264" s="8" t="s">
        <v>32</v>
      </c>
      <c r="CC264" s="7" t="s">
        <v>32</v>
      </c>
      <c r="CD264" s="9" t="s">
        <v>32</v>
      </c>
      <c r="CE264" s="8" t="s">
        <v>32</v>
      </c>
      <c r="CF264" s="7" t="s">
        <v>32</v>
      </c>
      <c r="CG264" s="10">
        <v>0</v>
      </c>
      <c r="CI264" s="11" t="s">
        <v>32</v>
      </c>
      <c r="CJ264" s="7" t="s">
        <v>32</v>
      </c>
      <c r="CK264" s="9" t="s">
        <v>32</v>
      </c>
      <c r="CL264" s="8" t="s">
        <v>32</v>
      </c>
      <c r="CM264" s="7" t="s">
        <v>32</v>
      </c>
      <c r="CN264" s="9" t="s">
        <v>32</v>
      </c>
      <c r="CO264" s="8" t="s">
        <v>32</v>
      </c>
      <c r="CP264" s="7" t="s">
        <v>32</v>
      </c>
      <c r="CQ264" s="10" t="s">
        <v>32</v>
      </c>
      <c r="CR264" s="11" t="s">
        <v>32</v>
      </c>
      <c r="CS264" s="7" t="s">
        <v>32</v>
      </c>
      <c r="CT264" s="9" t="s">
        <v>32</v>
      </c>
      <c r="CU264" s="8" t="s">
        <v>32</v>
      </c>
      <c r="CV264" s="7" t="s">
        <v>32</v>
      </c>
      <c r="CW264" s="9" t="s">
        <v>32</v>
      </c>
      <c r="CX264" s="8" t="s">
        <v>32</v>
      </c>
      <c r="CY264" s="204">
        <v>4</v>
      </c>
      <c r="CZ264" s="10" t="s">
        <v>32</v>
      </c>
      <c r="DA264" s="11" t="s">
        <v>32</v>
      </c>
      <c r="DB264" s="7" t="s">
        <v>32</v>
      </c>
      <c r="DC264" s="9" t="s">
        <v>32</v>
      </c>
      <c r="DD264" s="8" t="s">
        <v>32</v>
      </c>
      <c r="DE264" s="7" t="s">
        <v>32</v>
      </c>
      <c r="DF264" s="9" t="s">
        <v>32</v>
      </c>
      <c r="DG264" s="8" t="s">
        <v>32</v>
      </c>
      <c r="DH264" s="7" t="s">
        <v>32</v>
      </c>
      <c r="DI264" s="10">
        <v>8</v>
      </c>
    </row>
    <row r="265" spans="2:114" ht="15" customHeight="1">
      <c r="B265" s="12" t="s">
        <v>32</v>
      </c>
      <c r="C265" s="13" t="s">
        <v>32</v>
      </c>
      <c r="D265" s="15" t="s">
        <v>32</v>
      </c>
      <c r="E265" s="14" t="s">
        <v>32</v>
      </c>
      <c r="F265" s="13" t="s">
        <v>32</v>
      </c>
      <c r="G265" s="15" t="s">
        <v>32</v>
      </c>
      <c r="H265" s="14" t="s">
        <v>32</v>
      </c>
      <c r="I265" s="13" t="s">
        <v>32</v>
      </c>
      <c r="J265" s="1" t="s">
        <v>32</v>
      </c>
      <c r="K265" s="12" t="s">
        <v>32</v>
      </c>
      <c r="L265" s="13" t="s">
        <v>32</v>
      </c>
      <c r="M265" s="15" t="s">
        <v>32</v>
      </c>
      <c r="N265" s="14" t="s">
        <v>32</v>
      </c>
      <c r="O265" s="13" t="s">
        <v>32</v>
      </c>
      <c r="P265" s="15" t="s">
        <v>32</v>
      </c>
      <c r="Q265" s="14" t="s">
        <v>32</v>
      </c>
      <c r="R265" s="13" t="s">
        <v>32</v>
      </c>
      <c r="S265" s="1" t="s">
        <v>32</v>
      </c>
      <c r="T265" s="12" t="s">
        <v>32</v>
      </c>
      <c r="U265" s="13" t="s">
        <v>32</v>
      </c>
      <c r="V265" s="15" t="s">
        <v>32</v>
      </c>
      <c r="W265" s="14" t="s">
        <v>32</v>
      </c>
      <c r="X265" s="13" t="s">
        <v>32</v>
      </c>
      <c r="Y265" s="15" t="s">
        <v>32</v>
      </c>
      <c r="Z265" s="14" t="s">
        <v>32</v>
      </c>
      <c r="AA265" s="13" t="s">
        <v>32</v>
      </c>
      <c r="AB265" s="1" t="s">
        <v>32</v>
      </c>
      <c r="AC265"/>
      <c r="AD265" s="12" t="s">
        <v>32</v>
      </c>
      <c r="AE265" s="13" t="s">
        <v>32</v>
      </c>
      <c r="AF265" s="15" t="s">
        <v>32</v>
      </c>
      <c r="AG265" s="14" t="s">
        <v>32</v>
      </c>
      <c r="AH265" s="13" t="s">
        <v>32</v>
      </c>
      <c r="AI265" s="15" t="s">
        <v>32</v>
      </c>
      <c r="AJ265" s="14" t="s">
        <v>32</v>
      </c>
      <c r="AK265" s="13" t="s">
        <v>32</v>
      </c>
      <c r="AL265" s="1" t="s">
        <v>32</v>
      </c>
      <c r="AM265" s="12" t="s">
        <v>32</v>
      </c>
      <c r="AN265" s="13" t="s">
        <v>32</v>
      </c>
      <c r="AO265" s="15" t="s">
        <v>32</v>
      </c>
      <c r="AP265" s="14" t="s">
        <v>32</v>
      </c>
      <c r="AQ265" s="13" t="s">
        <v>32</v>
      </c>
      <c r="AR265" s="15" t="s">
        <v>32</v>
      </c>
      <c r="AS265" s="14" t="s">
        <v>32</v>
      </c>
      <c r="AT265" s="13" t="s">
        <v>32</v>
      </c>
      <c r="AU265" s="1" t="s">
        <v>32</v>
      </c>
      <c r="AV265" s="12" t="s">
        <v>32</v>
      </c>
      <c r="AW265" s="13" t="s">
        <v>32</v>
      </c>
      <c r="AX265" s="15" t="s">
        <v>32</v>
      </c>
      <c r="AY265" s="14" t="s">
        <v>32</v>
      </c>
      <c r="AZ265" s="13" t="s">
        <v>32</v>
      </c>
      <c r="BA265" s="15" t="s">
        <v>32</v>
      </c>
      <c r="BB265" s="14" t="s">
        <v>32</v>
      </c>
      <c r="BC265" s="13" t="s">
        <v>32</v>
      </c>
      <c r="BD265" s="1" t="s">
        <v>32</v>
      </c>
      <c r="BE265"/>
      <c r="BF265"/>
      <c r="BG265" s="12" t="s">
        <v>32</v>
      </c>
      <c r="BH265" s="13" t="s">
        <v>32</v>
      </c>
      <c r="BI265" s="15" t="s">
        <v>32</v>
      </c>
      <c r="BJ265" s="14" t="s">
        <v>32</v>
      </c>
      <c r="BK265" s="13" t="s">
        <v>32</v>
      </c>
      <c r="BL265" s="15" t="s">
        <v>32</v>
      </c>
      <c r="BM265" s="14" t="s">
        <v>32</v>
      </c>
      <c r="BN265" s="13" t="s">
        <v>32</v>
      </c>
      <c r="BO265" s="1" t="s">
        <v>32</v>
      </c>
      <c r="BP265" s="12" t="s">
        <v>32</v>
      </c>
      <c r="BQ265" s="13" t="s">
        <v>32</v>
      </c>
      <c r="BR265" s="15" t="s">
        <v>32</v>
      </c>
      <c r="BS265" s="14" t="s">
        <v>32</v>
      </c>
      <c r="BT265" s="13" t="s">
        <v>32</v>
      </c>
      <c r="BU265" s="15" t="s">
        <v>32</v>
      </c>
      <c r="BV265" s="14">
        <v>0</v>
      </c>
      <c r="BW265" s="13" t="s">
        <v>32</v>
      </c>
      <c r="BX265" s="1" t="s">
        <v>32</v>
      </c>
      <c r="BY265" s="12" t="s">
        <v>32</v>
      </c>
      <c r="BZ265" s="13" t="s">
        <v>32</v>
      </c>
      <c r="CA265" s="15" t="s">
        <v>32</v>
      </c>
      <c r="CB265" s="14" t="s">
        <v>32</v>
      </c>
      <c r="CC265" s="13" t="s">
        <v>32</v>
      </c>
      <c r="CD265" s="15" t="s">
        <v>32</v>
      </c>
      <c r="CE265" s="14" t="s">
        <v>32</v>
      </c>
      <c r="CF265" s="13" t="s">
        <v>32</v>
      </c>
      <c r="CG265" s="1">
        <v>0</v>
      </c>
      <c r="CI265" s="12" t="s">
        <v>32</v>
      </c>
      <c r="CJ265" s="13" t="s">
        <v>32</v>
      </c>
      <c r="CK265" s="15" t="s">
        <v>32</v>
      </c>
      <c r="CL265" s="14" t="s">
        <v>32</v>
      </c>
      <c r="CM265" s="13" t="s">
        <v>32</v>
      </c>
      <c r="CN265" s="15" t="s">
        <v>32</v>
      </c>
      <c r="CO265" s="14" t="s">
        <v>32</v>
      </c>
      <c r="CP265" s="13" t="s">
        <v>32</v>
      </c>
      <c r="CQ265" s="1" t="s">
        <v>32</v>
      </c>
      <c r="CR265" s="12" t="s">
        <v>32</v>
      </c>
      <c r="CS265" s="13" t="s">
        <v>32</v>
      </c>
      <c r="CT265" s="15" t="s">
        <v>32</v>
      </c>
      <c r="CU265" s="14" t="s">
        <v>32</v>
      </c>
      <c r="CV265" s="13" t="s">
        <v>32</v>
      </c>
      <c r="CW265" s="15" t="s">
        <v>32</v>
      </c>
      <c r="CX265" s="14">
        <v>7</v>
      </c>
      <c r="CY265" s="13" t="s">
        <v>32</v>
      </c>
      <c r="CZ265" s="1" t="s">
        <v>32</v>
      </c>
      <c r="DA265" s="12" t="s">
        <v>32</v>
      </c>
      <c r="DB265" s="13" t="s">
        <v>32</v>
      </c>
      <c r="DC265" s="15" t="s">
        <v>32</v>
      </c>
      <c r="DD265" s="14" t="s">
        <v>32</v>
      </c>
      <c r="DE265" s="13" t="s">
        <v>32</v>
      </c>
      <c r="DF265" s="15" t="s">
        <v>32</v>
      </c>
      <c r="DG265" s="14" t="s">
        <v>32</v>
      </c>
      <c r="DH265" s="13" t="s">
        <v>32</v>
      </c>
      <c r="DI265" s="1">
        <v>2</v>
      </c>
    </row>
    <row r="266" spans="2:114" ht="15" customHeight="1">
      <c r="B266" s="16" t="s">
        <v>32</v>
      </c>
      <c r="C266" s="17" t="s">
        <v>32</v>
      </c>
      <c r="D266" s="18" t="s">
        <v>32</v>
      </c>
      <c r="E266" s="19" t="s">
        <v>32</v>
      </c>
      <c r="F266" s="17" t="s">
        <v>32</v>
      </c>
      <c r="G266" s="18" t="s">
        <v>32</v>
      </c>
      <c r="H266" s="19" t="s">
        <v>32</v>
      </c>
      <c r="I266" s="17" t="s">
        <v>32</v>
      </c>
      <c r="J266" s="20" t="s">
        <v>32</v>
      </c>
      <c r="K266" s="16" t="s">
        <v>32</v>
      </c>
      <c r="L266" s="17" t="s">
        <v>32</v>
      </c>
      <c r="M266" s="18" t="s">
        <v>32</v>
      </c>
      <c r="N266" s="19" t="s">
        <v>32</v>
      </c>
      <c r="O266" s="17" t="s">
        <v>32</v>
      </c>
      <c r="P266" s="18" t="s">
        <v>32</v>
      </c>
      <c r="Q266" s="19" t="s">
        <v>32</v>
      </c>
      <c r="R266" s="17" t="s">
        <v>32</v>
      </c>
      <c r="S266" s="20" t="s">
        <v>32</v>
      </c>
      <c r="T266" s="16" t="s">
        <v>32</v>
      </c>
      <c r="U266" s="17" t="s">
        <v>32</v>
      </c>
      <c r="V266" s="18" t="s">
        <v>32</v>
      </c>
      <c r="W266" s="19" t="s">
        <v>32</v>
      </c>
      <c r="X266" s="17" t="s">
        <v>32</v>
      </c>
      <c r="Y266" s="18" t="s">
        <v>32</v>
      </c>
      <c r="Z266" s="19" t="s">
        <v>32</v>
      </c>
      <c r="AA266" s="17" t="s">
        <v>32</v>
      </c>
      <c r="AB266" s="20" t="s">
        <v>32</v>
      </c>
      <c r="AC266"/>
      <c r="AD266" s="16" t="s">
        <v>32</v>
      </c>
      <c r="AE266" s="17" t="s">
        <v>32</v>
      </c>
      <c r="AF266" s="18" t="s">
        <v>32</v>
      </c>
      <c r="AG266" s="19" t="s">
        <v>32</v>
      </c>
      <c r="AH266" s="17" t="s">
        <v>32</v>
      </c>
      <c r="AI266" s="18" t="s">
        <v>32</v>
      </c>
      <c r="AJ266" s="19" t="s">
        <v>32</v>
      </c>
      <c r="AK266" s="17" t="s">
        <v>32</v>
      </c>
      <c r="AL266" s="20" t="s">
        <v>32</v>
      </c>
      <c r="AM266" s="16" t="s">
        <v>32</v>
      </c>
      <c r="AN266" s="17" t="s">
        <v>32</v>
      </c>
      <c r="AO266" s="18" t="s">
        <v>32</v>
      </c>
      <c r="AP266" s="19" t="s">
        <v>32</v>
      </c>
      <c r="AQ266" s="17" t="s">
        <v>32</v>
      </c>
      <c r="AR266" s="18" t="s">
        <v>32</v>
      </c>
      <c r="AS266" s="19" t="s">
        <v>32</v>
      </c>
      <c r="AT266" s="17" t="s">
        <v>32</v>
      </c>
      <c r="AU266" s="20" t="s">
        <v>32</v>
      </c>
      <c r="AV266" s="16" t="s">
        <v>32</v>
      </c>
      <c r="AW266" s="17" t="s">
        <v>32</v>
      </c>
      <c r="AX266" s="18" t="s">
        <v>32</v>
      </c>
      <c r="AY266" s="19" t="s">
        <v>32</v>
      </c>
      <c r="AZ266" s="17" t="s">
        <v>32</v>
      </c>
      <c r="BA266" s="18" t="s">
        <v>32</v>
      </c>
      <c r="BB266" s="19" t="s">
        <v>32</v>
      </c>
      <c r="BC266" s="17" t="s">
        <v>32</v>
      </c>
      <c r="BD266" s="20" t="s">
        <v>32</v>
      </c>
      <c r="BE266"/>
      <c r="BF266"/>
      <c r="BG266" s="16" t="s">
        <v>32</v>
      </c>
      <c r="BH266" s="17" t="s">
        <v>32</v>
      </c>
      <c r="BI266" s="18" t="s">
        <v>32</v>
      </c>
      <c r="BJ266" s="19" t="s">
        <v>32</v>
      </c>
      <c r="BK266" s="17" t="s">
        <v>32</v>
      </c>
      <c r="BL266" s="18" t="s">
        <v>32</v>
      </c>
      <c r="BM266" s="19" t="s">
        <v>32</v>
      </c>
      <c r="BN266" s="17" t="s">
        <v>32</v>
      </c>
      <c r="BO266" s="20" t="s">
        <v>32</v>
      </c>
      <c r="BP266" s="16" t="s">
        <v>32</v>
      </c>
      <c r="BQ266" s="17" t="s">
        <v>32</v>
      </c>
      <c r="BR266" s="18" t="s">
        <v>32</v>
      </c>
      <c r="BS266" s="19" t="s">
        <v>32</v>
      </c>
      <c r="BT266" s="17" t="s">
        <v>32</v>
      </c>
      <c r="BU266" s="18" t="s">
        <v>32</v>
      </c>
      <c r="BV266" s="19" t="s">
        <v>32</v>
      </c>
      <c r="BW266" s="17">
        <v>5</v>
      </c>
      <c r="BX266" s="20" t="s">
        <v>32</v>
      </c>
      <c r="BY266" s="16" t="s">
        <v>32</v>
      </c>
      <c r="BZ266" s="17" t="s">
        <v>32</v>
      </c>
      <c r="CA266" s="18" t="s">
        <v>32</v>
      </c>
      <c r="CB266" s="19" t="s">
        <v>32</v>
      </c>
      <c r="CC266" s="17" t="s">
        <v>32</v>
      </c>
      <c r="CD266" s="18" t="s">
        <v>32</v>
      </c>
      <c r="CE266" s="19" t="s">
        <v>32</v>
      </c>
      <c r="CF266" s="17" t="s">
        <v>32</v>
      </c>
      <c r="CG266" s="20">
        <v>0</v>
      </c>
      <c r="CI266" s="16" t="s">
        <v>32</v>
      </c>
      <c r="CJ266" s="17" t="s">
        <v>32</v>
      </c>
      <c r="CK266" s="18" t="s">
        <v>32</v>
      </c>
      <c r="CL266" s="19" t="s">
        <v>32</v>
      </c>
      <c r="CM266" s="17" t="s">
        <v>32</v>
      </c>
      <c r="CN266" s="18" t="s">
        <v>32</v>
      </c>
      <c r="CO266" s="19" t="s">
        <v>32</v>
      </c>
      <c r="CP266" s="17" t="s">
        <v>32</v>
      </c>
      <c r="CQ266" s="20" t="s">
        <v>32</v>
      </c>
      <c r="CR266" s="16" t="s">
        <v>32</v>
      </c>
      <c r="CS266" s="17" t="s">
        <v>32</v>
      </c>
      <c r="CT266" s="18" t="s">
        <v>32</v>
      </c>
      <c r="CU266" s="19" t="s">
        <v>32</v>
      </c>
      <c r="CV266" s="17" t="s">
        <v>32</v>
      </c>
      <c r="CW266" s="18" t="s">
        <v>32</v>
      </c>
      <c r="CX266" s="19" t="s">
        <v>32</v>
      </c>
      <c r="CY266" s="211">
        <v>5</v>
      </c>
      <c r="CZ266" s="20" t="s">
        <v>32</v>
      </c>
      <c r="DA266" s="16" t="s">
        <v>32</v>
      </c>
      <c r="DB266" s="17" t="s">
        <v>32</v>
      </c>
      <c r="DC266" s="18" t="s">
        <v>32</v>
      </c>
      <c r="DD266" s="19" t="s">
        <v>32</v>
      </c>
      <c r="DE266" s="17" t="s">
        <v>32</v>
      </c>
      <c r="DF266" s="18" t="s">
        <v>32</v>
      </c>
      <c r="DG266" s="19" t="s">
        <v>32</v>
      </c>
      <c r="DH266" s="17" t="s">
        <v>32</v>
      </c>
      <c r="DI266" s="20">
        <v>6</v>
      </c>
    </row>
    <row r="267" spans="2:114" ht="15" customHeight="1">
      <c r="B267" s="11" t="s">
        <v>32</v>
      </c>
      <c r="C267" s="7" t="s">
        <v>32</v>
      </c>
      <c r="D267" s="9" t="s">
        <v>32</v>
      </c>
      <c r="E267" s="8" t="s">
        <v>32</v>
      </c>
      <c r="F267" s="7" t="s">
        <v>32</v>
      </c>
      <c r="G267" s="9" t="s">
        <v>32</v>
      </c>
      <c r="H267" s="8" t="s">
        <v>32</v>
      </c>
      <c r="I267" s="7" t="s">
        <v>32</v>
      </c>
      <c r="J267" s="10" t="s">
        <v>32</v>
      </c>
      <c r="K267" s="11" t="s">
        <v>32</v>
      </c>
      <c r="L267" s="7" t="s">
        <v>32</v>
      </c>
      <c r="M267" s="9" t="s">
        <v>32</v>
      </c>
      <c r="N267" s="8" t="s">
        <v>32</v>
      </c>
      <c r="O267" s="7" t="s">
        <v>32</v>
      </c>
      <c r="P267" s="9" t="s">
        <v>32</v>
      </c>
      <c r="Q267" s="8" t="s">
        <v>32</v>
      </c>
      <c r="R267" s="7" t="s">
        <v>32</v>
      </c>
      <c r="S267" s="10" t="s">
        <v>32</v>
      </c>
      <c r="T267" s="11" t="s">
        <v>32</v>
      </c>
      <c r="U267" s="7" t="s">
        <v>32</v>
      </c>
      <c r="V267" s="9" t="s">
        <v>32</v>
      </c>
      <c r="W267" s="8" t="s">
        <v>32</v>
      </c>
      <c r="X267" s="7" t="s">
        <v>32</v>
      </c>
      <c r="Y267" s="9" t="s">
        <v>32</v>
      </c>
      <c r="Z267" s="8" t="s">
        <v>32</v>
      </c>
      <c r="AA267" s="7" t="s">
        <v>32</v>
      </c>
      <c r="AB267" s="10" t="s">
        <v>32</v>
      </c>
      <c r="AC267"/>
      <c r="AD267" s="11" t="s">
        <v>32</v>
      </c>
      <c r="AE267" s="7" t="s">
        <v>32</v>
      </c>
      <c r="AF267" s="9" t="s">
        <v>32</v>
      </c>
      <c r="AG267" s="8" t="s">
        <v>32</v>
      </c>
      <c r="AH267" s="7" t="s">
        <v>32</v>
      </c>
      <c r="AI267" s="9" t="s">
        <v>32</v>
      </c>
      <c r="AJ267" s="8" t="s">
        <v>32</v>
      </c>
      <c r="AK267" s="7" t="s">
        <v>32</v>
      </c>
      <c r="AL267" s="10" t="s">
        <v>32</v>
      </c>
      <c r="AM267" s="11" t="s">
        <v>32</v>
      </c>
      <c r="AN267" s="7" t="s">
        <v>32</v>
      </c>
      <c r="AO267" s="9" t="s">
        <v>32</v>
      </c>
      <c r="AP267" s="8" t="s">
        <v>32</v>
      </c>
      <c r="AQ267" s="7" t="s">
        <v>32</v>
      </c>
      <c r="AR267" s="9" t="s">
        <v>32</v>
      </c>
      <c r="AS267" s="8" t="s">
        <v>32</v>
      </c>
      <c r="AT267" s="7" t="s">
        <v>32</v>
      </c>
      <c r="AU267" s="10" t="s">
        <v>32</v>
      </c>
      <c r="AV267" s="11" t="s">
        <v>32</v>
      </c>
      <c r="AW267" s="7" t="s">
        <v>32</v>
      </c>
      <c r="AX267" s="9" t="s">
        <v>32</v>
      </c>
      <c r="AY267" s="8" t="s">
        <v>32</v>
      </c>
      <c r="AZ267" s="7" t="s">
        <v>32</v>
      </c>
      <c r="BA267" s="9" t="s">
        <v>32</v>
      </c>
      <c r="BB267" s="8" t="s">
        <v>32</v>
      </c>
      <c r="BC267" s="7" t="s">
        <v>32</v>
      </c>
      <c r="BD267" s="10" t="s">
        <v>32</v>
      </c>
      <c r="BE267"/>
      <c r="BF267"/>
      <c r="BG267" s="11" t="s">
        <v>32</v>
      </c>
      <c r="BH267" s="7" t="s">
        <v>32</v>
      </c>
      <c r="BI267" s="9" t="s">
        <v>32</v>
      </c>
      <c r="BJ267" s="8" t="s">
        <v>32</v>
      </c>
      <c r="BK267" s="7" t="s">
        <v>32</v>
      </c>
      <c r="BL267" s="9" t="s">
        <v>32</v>
      </c>
      <c r="BM267" s="8" t="s">
        <v>32</v>
      </c>
      <c r="BN267" s="7" t="s">
        <v>32</v>
      </c>
      <c r="BO267" s="10" t="s">
        <v>32</v>
      </c>
      <c r="BP267" s="11" t="s">
        <v>32</v>
      </c>
      <c r="BQ267" s="7" t="s">
        <v>32</v>
      </c>
      <c r="BR267" s="9" t="s">
        <v>32</v>
      </c>
      <c r="BS267" s="8" t="s">
        <v>32</v>
      </c>
      <c r="BT267" s="7" t="s">
        <v>32</v>
      </c>
      <c r="BU267" s="9" t="s">
        <v>32</v>
      </c>
      <c r="BV267" s="8" t="s">
        <v>32</v>
      </c>
      <c r="BW267" s="7" t="s">
        <v>32</v>
      </c>
      <c r="BX267" s="10" t="s">
        <v>32</v>
      </c>
      <c r="BY267" s="11" t="s">
        <v>32</v>
      </c>
      <c r="BZ267" s="7" t="s">
        <v>32</v>
      </c>
      <c r="CA267" s="9" t="s">
        <v>32</v>
      </c>
      <c r="CB267" s="8" t="s">
        <v>32</v>
      </c>
      <c r="CC267" s="7" t="s">
        <v>32</v>
      </c>
      <c r="CD267" s="9" t="s">
        <v>32</v>
      </c>
      <c r="CE267" s="8" t="s">
        <v>32</v>
      </c>
      <c r="CF267" s="7" t="s">
        <v>32</v>
      </c>
      <c r="CG267" s="10">
        <v>9</v>
      </c>
      <c r="CI267" s="11" t="s">
        <v>32</v>
      </c>
      <c r="CJ267" s="7" t="s">
        <v>32</v>
      </c>
      <c r="CK267" s="9" t="s">
        <v>32</v>
      </c>
      <c r="CL267" s="8" t="s">
        <v>32</v>
      </c>
      <c r="CM267" s="7" t="s">
        <v>32</v>
      </c>
      <c r="CN267" s="9" t="s">
        <v>32</v>
      </c>
      <c r="CO267" s="8" t="s">
        <v>32</v>
      </c>
      <c r="CP267" s="7" t="s">
        <v>32</v>
      </c>
      <c r="CQ267" s="10" t="s">
        <v>32</v>
      </c>
      <c r="CR267" s="11" t="s">
        <v>32</v>
      </c>
      <c r="CS267" s="7" t="s">
        <v>32</v>
      </c>
      <c r="CT267" s="9" t="s">
        <v>32</v>
      </c>
      <c r="CU267" s="8" t="s">
        <v>32</v>
      </c>
      <c r="CV267" s="7" t="s">
        <v>32</v>
      </c>
      <c r="CW267" s="9" t="s">
        <v>32</v>
      </c>
      <c r="CX267" s="8" t="s">
        <v>32</v>
      </c>
      <c r="CY267" s="7" t="s">
        <v>32</v>
      </c>
      <c r="CZ267" s="10" t="s">
        <v>32</v>
      </c>
      <c r="DA267" s="11" t="s">
        <v>32</v>
      </c>
      <c r="DB267" s="7" t="s">
        <v>32</v>
      </c>
      <c r="DC267" s="9" t="s">
        <v>32</v>
      </c>
      <c r="DD267" s="8" t="s">
        <v>32</v>
      </c>
      <c r="DE267" s="7" t="s">
        <v>32</v>
      </c>
      <c r="DF267" s="9" t="s">
        <v>32</v>
      </c>
      <c r="DG267" s="8" t="s">
        <v>32</v>
      </c>
      <c r="DH267" s="7" t="s">
        <v>32</v>
      </c>
      <c r="DI267" s="214">
        <v>9</v>
      </c>
    </row>
    <row r="268" spans="2:114" ht="15" customHeight="1" thickBot="1">
      <c r="B268" s="21" t="s">
        <v>32</v>
      </c>
      <c r="C268" s="22" t="s">
        <v>32</v>
      </c>
      <c r="D268" s="23" t="s">
        <v>32</v>
      </c>
      <c r="E268" s="24" t="s">
        <v>32</v>
      </c>
      <c r="F268" s="22" t="s">
        <v>32</v>
      </c>
      <c r="G268" s="23" t="s">
        <v>32</v>
      </c>
      <c r="H268" s="24" t="s">
        <v>32</v>
      </c>
      <c r="I268" s="22" t="s">
        <v>32</v>
      </c>
      <c r="J268" s="25" t="s">
        <v>32</v>
      </c>
      <c r="K268" s="21" t="s">
        <v>32</v>
      </c>
      <c r="L268" s="22" t="s">
        <v>32</v>
      </c>
      <c r="M268" s="23" t="s">
        <v>32</v>
      </c>
      <c r="N268" s="24" t="s">
        <v>32</v>
      </c>
      <c r="O268" s="22" t="s">
        <v>32</v>
      </c>
      <c r="P268" s="23" t="s">
        <v>32</v>
      </c>
      <c r="Q268" s="24" t="s">
        <v>32</v>
      </c>
      <c r="R268" s="22" t="s">
        <v>32</v>
      </c>
      <c r="S268" s="25" t="s">
        <v>32</v>
      </c>
      <c r="T268" s="21" t="s">
        <v>32</v>
      </c>
      <c r="U268" s="22" t="s">
        <v>32</v>
      </c>
      <c r="V268" s="23" t="s">
        <v>32</v>
      </c>
      <c r="W268" s="24" t="s">
        <v>32</v>
      </c>
      <c r="X268" s="22" t="s">
        <v>32</v>
      </c>
      <c r="Y268" s="23" t="s">
        <v>32</v>
      </c>
      <c r="Z268" s="24" t="s">
        <v>32</v>
      </c>
      <c r="AA268" s="22" t="s">
        <v>32</v>
      </c>
      <c r="AB268" s="25" t="s">
        <v>32</v>
      </c>
      <c r="AC268"/>
      <c r="AD268" s="21" t="s">
        <v>32</v>
      </c>
      <c r="AE268" s="22" t="s">
        <v>32</v>
      </c>
      <c r="AF268" s="23" t="s">
        <v>32</v>
      </c>
      <c r="AG268" s="24" t="s">
        <v>32</v>
      </c>
      <c r="AH268" s="22" t="s">
        <v>32</v>
      </c>
      <c r="AI268" s="23" t="s">
        <v>32</v>
      </c>
      <c r="AJ268" s="24" t="s">
        <v>32</v>
      </c>
      <c r="AK268" s="22" t="s">
        <v>32</v>
      </c>
      <c r="AL268" s="25" t="s">
        <v>32</v>
      </c>
      <c r="AM268" s="21" t="s">
        <v>32</v>
      </c>
      <c r="AN268" s="22" t="s">
        <v>32</v>
      </c>
      <c r="AO268" s="23" t="s">
        <v>32</v>
      </c>
      <c r="AP268" s="24" t="s">
        <v>32</v>
      </c>
      <c r="AQ268" s="22" t="s">
        <v>32</v>
      </c>
      <c r="AR268" s="23" t="s">
        <v>32</v>
      </c>
      <c r="AS268" s="24" t="s">
        <v>32</v>
      </c>
      <c r="AT268" s="22" t="s">
        <v>32</v>
      </c>
      <c r="AU268" s="25" t="s">
        <v>32</v>
      </c>
      <c r="AV268" s="21" t="s">
        <v>32</v>
      </c>
      <c r="AW268" s="22" t="s">
        <v>32</v>
      </c>
      <c r="AX268" s="23" t="s">
        <v>32</v>
      </c>
      <c r="AY268" s="24" t="s">
        <v>32</v>
      </c>
      <c r="AZ268" s="22" t="s">
        <v>32</v>
      </c>
      <c r="BA268" s="23" t="s">
        <v>32</v>
      </c>
      <c r="BB268" s="24" t="s">
        <v>32</v>
      </c>
      <c r="BC268" s="22" t="s">
        <v>32</v>
      </c>
      <c r="BD268" s="25" t="s">
        <v>32</v>
      </c>
      <c r="BE268"/>
      <c r="BF268"/>
      <c r="BG268" s="21" t="s">
        <v>32</v>
      </c>
      <c r="BH268" s="22" t="s">
        <v>32</v>
      </c>
      <c r="BI268" s="23" t="s">
        <v>32</v>
      </c>
      <c r="BJ268" s="24" t="s">
        <v>32</v>
      </c>
      <c r="BK268" s="22" t="s">
        <v>32</v>
      </c>
      <c r="BL268" s="23" t="s">
        <v>32</v>
      </c>
      <c r="BM268" s="24" t="s">
        <v>32</v>
      </c>
      <c r="BN268" s="22" t="s">
        <v>32</v>
      </c>
      <c r="BO268" s="25" t="s">
        <v>32</v>
      </c>
      <c r="BP268" s="21" t="s">
        <v>32</v>
      </c>
      <c r="BQ268" s="22" t="s">
        <v>32</v>
      </c>
      <c r="BR268" s="23" t="s">
        <v>32</v>
      </c>
      <c r="BS268" s="24" t="s">
        <v>32</v>
      </c>
      <c r="BT268" s="22" t="s">
        <v>32</v>
      </c>
      <c r="BU268" s="23" t="s">
        <v>32</v>
      </c>
      <c r="BV268" s="24" t="s">
        <v>32</v>
      </c>
      <c r="BW268" s="22" t="s">
        <v>32</v>
      </c>
      <c r="BX268" s="25" t="s">
        <v>32</v>
      </c>
      <c r="BY268" s="21" t="s">
        <v>32</v>
      </c>
      <c r="BZ268" s="22" t="s">
        <v>32</v>
      </c>
      <c r="CA268" s="23" t="s">
        <v>32</v>
      </c>
      <c r="CB268" s="24" t="s">
        <v>32</v>
      </c>
      <c r="CC268" s="22" t="s">
        <v>32</v>
      </c>
      <c r="CD268" s="23" t="s">
        <v>32</v>
      </c>
      <c r="CE268" s="24" t="s">
        <v>32</v>
      </c>
      <c r="CF268" s="22" t="s">
        <v>32</v>
      </c>
      <c r="CG268" s="25">
        <v>0</v>
      </c>
      <c r="CI268" s="21" t="s">
        <v>32</v>
      </c>
      <c r="CJ268" s="22" t="s">
        <v>32</v>
      </c>
      <c r="CK268" s="23" t="s">
        <v>32</v>
      </c>
      <c r="CL268" s="24" t="s">
        <v>32</v>
      </c>
      <c r="CM268" s="22" t="s">
        <v>32</v>
      </c>
      <c r="CN268" s="23" t="s">
        <v>32</v>
      </c>
      <c r="CO268" s="24" t="s">
        <v>32</v>
      </c>
      <c r="CP268" s="22" t="s">
        <v>32</v>
      </c>
      <c r="CQ268" s="25" t="s">
        <v>32</v>
      </c>
      <c r="CR268" s="21" t="s">
        <v>32</v>
      </c>
      <c r="CS268" s="22" t="s">
        <v>32</v>
      </c>
      <c r="CT268" s="23" t="s">
        <v>32</v>
      </c>
      <c r="CU268" s="24" t="s">
        <v>32</v>
      </c>
      <c r="CV268" s="22" t="s">
        <v>32</v>
      </c>
      <c r="CW268" s="23" t="s">
        <v>32</v>
      </c>
      <c r="CX268" s="24" t="s">
        <v>32</v>
      </c>
      <c r="CY268" s="22" t="s">
        <v>32</v>
      </c>
      <c r="CZ268" s="25" t="s">
        <v>32</v>
      </c>
      <c r="DA268" s="21" t="s">
        <v>32</v>
      </c>
      <c r="DB268" s="22" t="s">
        <v>32</v>
      </c>
      <c r="DC268" s="23" t="s">
        <v>32</v>
      </c>
      <c r="DD268" s="24" t="s">
        <v>32</v>
      </c>
      <c r="DE268" s="22" t="s">
        <v>32</v>
      </c>
      <c r="DF268" s="23" t="s">
        <v>32</v>
      </c>
      <c r="DG268" s="24" t="s">
        <v>32</v>
      </c>
      <c r="DH268" s="22" t="s">
        <v>32</v>
      </c>
      <c r="DI268" s="25">
        <v>1</v>
      </c>
    </row>
    <row r="269" spans="2:114" ht="15" customHeight="1">
      <c r="B269" s="2" t="s">
        <v>32</v>
      </c>
      <c r="C269" s="5" t="s">
        <v>32</v>
      </c>
      <c r="D269" s="3" t="s">
        <v>32</v>
      </c>
      <c r="E269" s="4" t="s">
        <v>32</v>
      </c>
      <c r="F269" s="5" t="s">
        <v>32</v>
      </c>
      <c r="G269" s="3" t="s">
        <v>32</v>
      </c>
      <c r="H269" s="4" t="s">
        <v>32</v>
      </c>
      <c r="I269" s="5" t="s">
        <v>32</v>
      </c>
      <c r="J269" s="6" t="s">
        <v>32</v>
      </c>
      <c r="K269" s="2" t="s">
        <v>32</v>
      </c>
      <c r="L269" s="5" t="s">
        <v>32</v>
      </c>
      <c r="M269" s="3" t="s">
        <v>32</v>
      </c>
      <c r="N269" s="4" t="s">
        <v>32</v>
      </c>
      <c r="O269" s="5" t="s">
        <v>32</v>
      </c>
      <c r="P269" s="3" t="s">
        <v>32</v>
      </c>
      <c r="Q269" s="4" t="s">
        <v>32</v>
      </c>
      <c r="R269" s="5" t="s">
        <v>32</v>
      </c>
      <c r="S269" s="6" t="s">
        <v>32</v>
      </c>
      <c r="T269" s="2" t="s">
        <v>32</v>
      </c>
      <c r="U269" s="5" t="s">
        <v>32</v>
      </c>
      <c r="V269" s="3" t="s">
        <v>32</v>
      </c>
      <c r="W269" s="4" t="s">
        <v>32</v>
      </c>
      <c r="X269" s="5" t="s">
        <v>32</v>
      </c>
      <c r="Y269" s="3" t="s">
        <v>32</v>
      </c>
      <c r="Z269" s="4" t="s">
        <v>32</v>
      </c>
      <c r="AA269" s="5" t="s">
        <v>32</v>
      </c>
      <c r="AB269" s="6" t="s">
        <v>32</v>
      </c>
      <c r="AC269"/>
      <c r="AD269" s="2" t="s">
        <v>32</v>
      </c>
      <c r="AE269" s="5" t="s">
        <v>32</v>
      </c>
      <c r="AF269" s="3" t="s">
        <v>32</v>
      </c>
      <c r="AG269" s="4" t="s">
        <v>32</v>
      </c>
      <c r="AH269" s="5" t="s">
        <v>32</v>
      </c>
      <c r="AI269" s="3" t="s">
        <v>32</v>
      </c>
      <c r="AJ269" s="4" t="s">
        <v>32</v>
      </c>
      <c r="AK269" s="5" t="s">
        <v>32</v>
      </c>
      <c r="AL269" s="6" t="s">
        <v>32</v>
      </c>
      <c r="AM269" s="2" t="s">
        <v>32</v>
      </c>
      <c r="AN269" s="5" t="s">
        <v>32</v>
      </c>
      <c r="AO269" s="3" t="s">
        <v>32</v>
      </c>
      <c r="AP269" s="4" t="s">
        <v>32</v>
      </c>
      <c r="AQ269" s="5" t="s">
        <v>32</v>
      </c>
      <c r="AR269" s="3" t="s">
        <v>32</v>
      </c>
      <c r="AS269" s="4" t="s">
        <v>32</v>
      </c>
      <c r="AT269" s="5" t="s">
        <v>32</v>
      </c>
      <c r="AU269" s="6" t="s">
        <v>32</v>
      </c>
      <c r="AV269" s="2" t="s">
        <v>32</v>
      </c>
      <c r="AW269" s="5" t="s">
        <v>32</v>
      </c>
      <c r="AX269" s="3" t="s">
        <v>32</v>
      </c>
      <c r="AY269" s="4" t="s">
        <v>32</v>
      </c>
      <c r="AZ269" s="5" t="s">
        <v>32</v>
      </c>
      <c r="BA269" s="3" t="s">
        <v>32</v>
      </c>
      <c r="BB269" s="4" t="s">
        <v>32</v>
      </c>
      <c r="BC269" s="5" t="s">
        <v>32</v>
      </c>
      <c r="BD269" s="6" t="s">
        <v>32</v>
      </c>
      <c r="BE269"/>
      <c r="BF269"/>
      <c r="BG269" s="2" t="s">
        <v>32</v>
      </c>
      <c r="BH269" s="5" t="s">
        <v>32</v>
      </c>
      <c r="BI269" s="3" t="s">
        <v>32</v>
      </c>
      <c r="BJ269" s="4">
        <v>0</v>
      </c>
      <c r="BK269" s="5" t="s">
        <v>32</v>
      </c>
      <c r="BL269" s="3" t="s">
        <v>32</v>
      </c>
      <c r="BM269" s="4" t="s">
        <v>32</v>
      </c>
      <c r="BN269" s="5" t="s">
        <v>32</v>
      </c>
      <c r="BO269" s="6" t="s">
        <v>32</v>
      </c>
      <c r="BP269" s="2" t="s">
        <v>32</v>
      </c>
      <c r="BQ269" s="5" t="s">
        <v>32</v>
      </c>
      <c r="BR269" s="3" t="s">
        <v>32</v>
      </c>
      <c r="BS269" s="4" t="s">
        <v>32</v>
      </c>
      <c r="BT269" s="5" t="s">
        <v>32</v>
      </c>
      <c r="BU269" s="3" t="s">
        <v>32</v>
      </c>
      <c r="BV269" s="4" t="s">
        <v>32</v>
      </c>
      <c r="BW269" s="5" t="s">
        <v>32</v>
      </c>
      <c r="BX269" s="6" t="s">
        <v>32</v>
      </c>
      <c r="BY269" s="2" t="s">
        <v>32</v>
      </c>
      <c r="BZ269" s="5" t="s">
        <v>32</v>
      </c>
      <c r="CA269" s="3" t="s">
        <v>32</v>
      </c>
      <c r="CB269" s="4" t="s">
        <v>32</v>
      </c>
      <c r="CC269" s="5" t="s">
        <v>32</v>
      </c>
      <c r="CD269" s="3" t="s">
        <v>32</v>
      </c>
      <c r="CE269" s="4" t="s">
        <v>32</v>
      </c>
      <c r="CF269" s="5">
        <v>7</v>
      </c>
      <c r="CG269" s="6" t="s">
        <v>32</v>
      </c>
      <c r="CI269" s="2" t="s">
        <v>32</v>
      </c>
      <c r="CJ269" s="5" t="s">
        <v>32</v>
      </c>
      <c r="CK269" s="3" t="s">
        <v>32</v>
      </c>
      <c r="CL269" s="4">
        <v>2</v>
      </c>
      <c r="CM269" s="5" t="s">
        <v>32</v>
      </c>
      <c r="CN269" s="3" t="s">
        <v>32</v>
      </c>
      <c r="CO269" s="4" t="s">
        <v>32</v>
      </c>
      <c r="CP269" s="5" t="s">
        <v>32</v>
      </c>
      <c r="CQ269" s="6" t="s">
        <v>32</v>
      </c>
      <c r="CR269" s="2" t="s">
        <v>32</v>
      </c>
      <c r="CS269" s="5" t="s">
        <v>32</v>
      </c>
      <c r="CT269" s="3" t="s">
        <v>32</v>
      </c>
      <c r="CU269" s="4" t="s">
        <v>32</v>
      </c>
      <c r="CV269" s="5" t="s">
        <v>32</v>
      </c>
      <c r="CW269" s="3" t="s">
        <v>32</v>
      </c>
      <c r="CX269" s="4" t="s">
        <v>32</v>
      </c>
      <c r="CY269" s="5" t="s">
        <v>32</v>
      </c>
      <c r="CZ269" s="6" t="s">
        <v>32</v>
      </c>
      <c r="DA269" s="2" t="s">
        <v>32</v>
      </c>
      <c r="DB269" s="5" t="s">
        <v>32</v>
      </c>
      <c r="DC269" s="3" t="s">
        <v>32</v>
      </c>
      <c r="DD269" s="4" t="s">
        <v>32</v>
      </c>
      <c r="DE269" s="5" t="s">
        <v>32</v>
      </c>
      <c r="DF269" s="3" t="s">
        <v>32</v>
      </c>
      <c r="DG269" s="4" t="s">
        <v>32</v>
      </c>
      <c r="DH269" s="216">
        <v>7</v>
      </c>
      <c r="DI269" s="6" t="s">
        <v>32</v>
      </c>
    </row>
    <row r="270" spans="2:114" ht="15" customHeight="1">
      <c r="B270" s="11" t="s">
        <v>32</v>
      </c>
      <c r="C270" s="7" t="s">
        <v>32</v>
      </c>
      <c r="D270" s="9" t="s">
        <v>32</v>
      </c>
      <c r="E270" s="8" t="s">
        <v>32</v>
      </c>
      <c r="F270" s="7" t="s">
        <v>32</v>
      </c>
      <c r="G270" s="9" t="s">
        <v>32</v>
      </c>
      <c r="H270" s="8" t="s">
        <v>32</v>
      </c>
      <c r="I270" s="7" t="s">
        <v>32</v>
      </c>
      <c r="J270" s="10" t="s">
        <v>32</v>
      </c>
      <c r="K270" s="11" t="s">
        <v>32</v>
      </c>
      <c r="L270" s="7" t="s">
        <v>32</v>
      </c>
      <c r="M270" s="9" t="s">
        <v>32</v>
      </c>
      <c r="N270" s="8" t="s">
        <v>32</v>
      </c>
      <c r="O270" s="7" t="s">
        <v>32</v>
      </c>
      <c r="P270" s="9" t="s">
        <v>32</v>
      </c>
      <c r="Q270" s="8" t="s">
        <v>32</v>
      </c>
      <c r="R270" s="7" t="s">
        <v>32</v>
      </c>
      <c r="S270" s="10" t="s">
        <v>32</v>
      </c>
      <c r="T270" s="11" t="s">
        <v>32</v>
      </c>
      <c r="U270" s="7" t="s">
        <v>32</v>
      </c>
      <c r="V270" s="9" t="s">
        <v>32</v>
      </c>
      <c r="W270" s="8" t="s">
        <v>32</v>
      </c>
      <c r="X270" s="7" t="s">
        <v>32</v>
      </c>
      <c r="Y270" s="9" t="s">
        <v>32</v>
      </c>
      <c r="Z270" s="8" t="s">
        <v>32</v>
      </c>
      <c r="AA270" s="7" t="s">
        <v>32</v>
      </c>
      <c r="AB270" s="10">
        <v>0</v>
      </c>
      <c r="AC270"/>
      <c r="AD270" s="11" t="s">
        <v>32</v>
      </c>
      <c r="AE270" s="7" t="s">
        <v>32</v>
      </c>
      <c r="AF270" s="9" t="s">
        <v>32</v>
      </c>
      <c r="AG270" s="8" t="s">
        <v>32</v>
      </c>
      <c r="AH270" s="7" t="s">
        <v>32</v>
      </c>
      <c r="AI270" s="9" t="s">
        <v>32</v>
      </c>
      <c r="AJ270" s="8" t="s">
        <v>32</v>
      </c>
      <c r="AK270" s="7" t="s">
        <v>32</v>
      </c>
      <c r="AL270" s="10" t="s">
        <v>32</v>
      </c>
      <c r="AM270" s="11" t="s">
        <v>32</v>
      </c>
      <c r="AN270" s="7" t="s">
        <v>32</v>
      </c>
      <c r="AO270" s="9" t="s">
        <v>32</v>
      </c>
      <c r="AP270" s="8" t="s">
        <v>32</v>
      </c>
      <c r="AQ270" s="7" t="s">
        <v>32</v>
      </c>
      <c r="AR270" s="9" t="s">
        <v>32</v>
      </c>
      <c r="AS270" s="8" t="s">
        <v>32</v>
      </c>
      <c r="AT270" s="7" t="s">
        <v>32</v>
      </c>
      <c r="AU270" s="10" t="s">
        <v>32</v>
      </c>
      <c r="AV270" s="11" t="s">
        <v>32</v>
      </c>
      <c r="AW270" s="7" t="s">
        <v>32</v>
      </c>
      <c r="AX270" s="9" t="s">
        <v>32</v>
      </c>
      <c r="AY270" s="8" t="s">
        <v>32</v>
      </c>
      <c r="AZ270" s="7" t="s">
        <v>32</v>
      </c>
      <c r="BA270" s="9" t="s">
        <v>32</v>
      </c>
      <c r="BB270" s="8" t="s">
        <v>32</v>
      </c>
      <c r="BC270" s="7" t="s">
        <v>32</v>
      </c>
      <c r="BD270" s="10">
        <v>7</v>
      </c>
      <c r="BE270"/>
      <c r="BF270"/>
      <c r="BG270" s="11" t="s">
        <v>32</v>
      </c>
      <c r="BH270" s="7" t="s">
        <v>32</v>
      </c>
      <c r="BI270" s="9" t="s">
        <v>32</v>
      </c>
      <c r="BJ270" s="8" t="s">
        <v>32</v>
      </c>
      <c r="BK270" s="7">
        <v>1</v>
      </c>
      <c r="BL270" s="9" t="s">
        <v>32</v>
      </c>
      <c r="BM270" s="8" t="s">
        <v>32</v>
      </c>
      <c r="BN270" s="7" t="s">
        <v>32</v>
      </c>
      <c r="BO270" s="10" t="s">
        <v>32</v>
      </c>
      <c r="BP270" s="11" t="s">
        <v>32</v>
      </c>
      <c r="BQ270" s="7" t="s">
        <v>32</v>
      </c>
      <c r="BR270" s="9" t="s">
        <v>32</v>
      </c>
      <c r="BS270" s="8" t="s">
        <v>32</v>
      </c>
      <c r="BT270" s="7" t="s">
        <v>32</v>
      </c>
      <c r="BU270" s="9" t="s">
        <v>32</v>
      </c>
      <c r="BV270" s="8" t="s">
        <v>32</v>
      </c>
      <c r="BW270" s="7" t="s">
        <v>32</v>
      </c>
      <c r="BX270" s="10" t="s">
        <v>32</v>
      </c>
      <c r="BY270" s="11" t="s">
        <v>32</v>
      </c>
      <c r="BZ270" s="7" t="s">
        <v>32</v>
      </c>
      <c r="CA270" s="9" t="s">
        <v>32</v>
      </c>
      <c r="CB270" s="8">
        <v>0</v>
      </c>
      <c r="CC270" s="7" t="s">
        <v>32</v>
      </c>
      <c r="CD270" s="9">
        <v>0</v>
      </c>
      <c r="CE270" s="8">
        <v>6</v>
      </c>
      <c r="CF270" s="7" t="s">
        <v>32</v>
      </c>
      <c r="CG270" s="10" t="s">
        <v>32</v>
      </c>
      <c r="CI270" s="11" t="s">
        <v>32</v>
      </c>
      <c r="CJ270" s="7" t="s">
        <v>32</v>
      </c>
      <c r="CK270" s="9" t="s">
        <v>32</v>
      </c>
      <c r="CL270" s="8" t="s">
        <v>32</v>
      </c>
      <c r="CM270" s="204">
        <v>1</v>
      </c>
      <c r="CN270" s="9" t="s">
        <v>32</v>
      </c>
      <c r="CO270" s="8" t="s">
        <v>32</v>
      </c>
      <c r="CP270" s="7" t="s">
        <v>32</v>
      </c>
      <c r="CQ270" s="10" t="s">
        <v>32</v>
      </c>
      <c r="CR270" s="11" t="s">
        <v>32</v>
      </c>
      <c r="CS270" s="7" t="s">
        <v>32</v>
      </c>
      <c r="CT270" s="9" t="s">
        <v>32</v>
      </c>
      <c r="CU270" s="8" t="s">
        <v>32</v>
      </c>
      <c r="CV270" s="7" t="s">
        <v>32</v>
      </c>
      <c r="CW270" s="9" t="s">
        <v>32</v>
      </c>
      <c r="CX270" s="8" t="s">
        <v>32</v>
      </c>
      <c r="CY270" s="7" t="s">
        <v>32</v>
      </c>
      <c r="CZ270" s="10" t="s">
        <v>32</v>
      </c>
      <c r="DA270" s="11" t="s">
        <v>32</v>
      </c>
      <c r="DB270" s="7" t="s">
        <v>32</v>
      </c>
      <c r="DC270" s="9" t="s">
        <v>32</v>
      </c>
      <c r="DD270" s="8">
        <v>5</v>
      </c>
      <c r="DE270" s="7" t="s">
        <v>32</v>
      </c>
      <c r="DF270" s="9">
        <v>8</v>
      </c>
      <c r="DG270" s="206">
        <v>6</v>
      </c>
      <c r="DH270" s="7" t="s">
        <v>32</v>
      </c>
      <c r="DI270" s="10" t="s">
        <v>32</v>
      </c>
    </row>
    <row r="271" spans="2:114" ht="15" customHeight="1">
      <c r="B271" s="12" t="s">
        <v>32</v>
      </c>
      <c r="C271" s="13" t="s">
        <v>32</v>
      </c>
      <c r="D271" s="15" t="s">
        <v>32</v>
      </c>
      <c r="E271" s="14" t="s">
        <v>32</v>
      </c>
      <c r="F271" s="13" t="s">
        <v>32</v>
      </c>
      <c r="G271" s="15" t="s">
        <v>32</v>
      </c>
      <c r="H271" s="14" t="s">
        <v>32</v>
      </c>
      <c r="I271" s="13" t="s">
        <v>32</v>
      </c>
      <c r="J271" s="1" t="s">
        <v>32</v>
      </c>
      <c r="K271" s="12" t="s">
        <v>32</v>
      </c>
      <c r="L271" s="13" t="s">
        <v>32</v>
      </c>
      <c r="M271" s="15" t="s">
        <v>32</v>
      </c>
      <c r="N271" s="14">
        <v>0</v>
      </c>
      <c r="O271" s="13" t="s">
        <v>32</v>
      </c>
      <c r="P271" s="15" t="s">
        <v>32</v>
      </c>
      <c r="Q271" s="14" t="s">
        <v>32</v>
      </c>
      <c r="R271" s="13" t="s">
        <v>32</v>
      </c>
      <c r="S271" s="1" t="s">
        <v>32</v>
      </c>
      <c r="T271" s="12" t="s">
        <v>32</v>
      </c>
      <c r="U271" s="13" t="s">
        <v>32</v>
      </c>
      <c r="V271" s="15" t="s">
        <v>32</v>
      </c>
      <c r="W271" s="14" t="s">
        <v>32</v>
      </c>
      <c r="X271" s="13" t="s">
        <v>32</v>
      </c>
      <c r="Y271" s="15" t="s">
        <v>32</v>
      </c>
      <c r="Z271" s="14" t="s">
        <v>32</v>
      </c>
      <c r="AA271" s="13">
        <v>0</v>
      </c>
      <c r="AB271" s="1" t="s">
        <v>32</v>
      </c>
      <c r="AC271"/>
      <c r="AD271" s="12" t="s">
        <v>32</v>
      </c>
      <c r="AE271" s="13" t="s">
        <v>32</v>
      </c>
      <c r="AF271" s="15" t="s">
        <v>32</v>
      </c>
      <c r="AG271" s="14" t="s">
        <v>32</v>
      </c>
      <c r="AH271" s="13" t="s">
        <v>32</v>
      </c>
      <c r="AI271" s="15" t="s">
        <v>32</v>
      </c>
      <c r="AJ271" s="14" t="s">
        <v>32</v>
      </c>
      <c r="AK271" s="13" t="s">
        <v>32</v>
      </c>
      <c r="AL271" s="1" t="s">
        <v>32</v>
      </c>
      <c r="AM271" s="12" t="s">
        <v>32</v>
      </c>
      <c r="AN271" s="13" t="s">
        <v>32</v>
      </c>
      <c r="AO271" s="15" t="s">
        <v>32</v>
      </c>
      <c r="AP271" s="14">
        <v>3</v>
      </c>
      <c r="AQ271" s="13" t="s">
        <v>32</v>
      </c>
      <c r="AR271" s="15" t="s">
        <v>32</v>
      </c>
      <c r="AS271" s="14" t="s">
        <v>32</v>
      </c>
      <c r="AT271" s="13" t="s">
        <v>32</v>
      </c>
      <c r="AU271" s="1" t="s">
        <v>32</v>
      </c>
      <c r="AV271" s="12" t="s">
        <v>32</v>
      </c>
      <c r="AW271" s="13" t="s">
        <v>32</v>
      </c>
      <c r="AX271" s="15" t="s">
        <v>32</v>
      </c>
      <c r="AY271" s="14" t="s">
        <v>32</v>
      </c>
      <c r="AZ271" s="13" t="s">
        <v>32</v>
      </c>
      <c r="BA271" s="15" t="s">
        <v>32</v>
      </c>
      <c r="BB271" s="14" t="s">
        <v>32</v>
      </c>
      <c r="BC271" s="13">
        <v>1</v>
      </c>
      <c r="BD271" s="1" t="s">
        <v>32</v>
      </c>
      <c r="BE271"/>
      <c r="BF271"/>
      <c r="BG271" s="12" t="s">
        <v>32</v>
      </c>
      <c r="BH271" s="13" t="s">
        <v>32</v>
      </c>
      <c r="BI271" s="15">
        <v>0</v>
      </c>
      <c r="BJ271" s="14">
        <v>6</v>
      </c>
      <c r="BK271" s="13" t="s">
        <v>32</v>
      </c>
      <c r="BL271" s="15" t="s">
        <v>32</v>
      </c>
      <c r="BM271" s="14" t="s">
        <v>32</v>
      </c>
      <c r="BN271" s="13" t="s">
        <v>32</v>
      </c>
      <c r="BO271" s="1" t="s">
        <v>32</v>
      </c>
      <c r="BP271" s="12" t="s">
        <v>32</v>
      </c>
      <c r="BQ271" s="13" t="s">
        <v>32</v>
      </c>
      <c r="BR271" s="15" t="s">
        <v>32</v>
      </c>
      <c r="BS271" s="14" t="s">
        <v>32</v>
      </c>
      <c r="BT271" s="13" t="s">
        <v>32</v>
      </c>
      <c r="BU271" s="15" t="s">
        <v>32</v>
      </c>
      <c r="BV271" s="14" t="s">
        <v>32</v>
      </c>
      <c r="BW271" s="13" t="s">
        <v>32</v>
      </c>
      <c r="BX271" s="1" t="s">
        <v>32</v>
      </c>
      <c r="BY271" s="12" t="s">
        <v>32</v>
      </c>
      <c r="BZ271" s="13" t="s">
        <v>32</v>
      </c>
      <c r="CA271" s="15" t="s">
        <v>32</v>
      </c>
      <c r="CB271" s="14" t="s">
        <v>32</v>
      </c>
      <c r="CC271" s="13">
        <v>0</v>
      </c>
      <c r="CD271" s="15">
        <v>0</v>
      </c>
      <c r="CE271" s="14">
        <v>0</v>
      </c>
      <c r="CF271" s="13" t="s">
        <v>32</v>
      </c>
      <c r="CG271" s="1" t="s">
        <v>32</v>
      </c>
      <c r="CI271" s="12" t="s">
        <v>32</v>
      </c>
      <c r="CJ271" s="13" t="s">
        <v>32</v>
      </c>
      <c r="CK271" s="15">
        <v>7</v>
      </c>
      <c r="CL271" s="207">
        <v>6</v>
      </c>
      <c r="CM271" s="13" t="s">
        <v>32</v>
      </c>
      <c r="CN271" s="15" t="s">
        <v>32</v>
      </c>
      <c r="CO271" s="14" t="s">
        <v>32</v>
      </c>
      <c r="CP271" s="13" t="s">
        <v>32</v>
      </c>
      <c r="CQ271" s="1" t="s">
        <v>32</v>
      </c>
      <c r="CR271" s="12" t="s">
        <v>32</v>
      </c>
      <c r="CS271" s="13" t="s">
        <v>32</v>
      </c>
      <c r="CT271" s="15" t="s">
        <v>32</v>
      </c>
      <c r="CU271" s="14" t="s">
        <v>32</v>
      </c>
      <c r="CV271" s="13" t="s">
        <v>32</v>
      </c>
      <c r="CW271" s="15" t="s">
        <v>32</v>
      </c>
      <c r="CX271" s="14" t="s">
        <v>32</v>
      </c>
      <c r="CY271" s="13" t="s">
        <v>32</v>
      </c>
      <c r="CZ271" s="1" t="s">
        <v>32</v>
      </c>
      <c r="DA271" s="12" t="s">
        <v>32</v>
      </c>
      <c r="DB271" s="13" t="s">
        <v>32</v>
      </c>
      <c r="DC271" s="15" t="s">
        <v>32</v>
      </c>
      <c r="DD271" s="14" t="s">
        <v>32</v>
      </c>
      <c r="DE271" s="13">
        <v>3</v>
      </c>
      <c r="DF271" s="15">
        <v>4</v>
      </c>
      <c r="DG271" s="14">
        <v>9</v>
      </c>
      <c r="DH271" s="13" t="s">
        <v>32</v>
      </c>
      <c r="DI271" s="1" t="s">
        <v>32</v>
      </c>
    </row>
    <row r="272" spans="2:114" ht="15" customHeight="1">
      <c r="B272" s="16" t="s">
        <v>32</v>
      </c>
      <c r="C272" s="17" t="s">
        <v>32</v>
      </c>
      <c r="D272" s="18" t="s">
        <v>32</v>
      </c>
      <c r="E272" s="19" t="s">
        <v>32</v>
      </c>
      <c r="F272" s="17" t="s">
        <v>32</v>
      </c>
      <c r="G272" s="18" t="s">
        <v>32</v>
      </c>
      <c r="H272" s="19" t="s">
        <v>32</v>
      </c>
      <c r="I272" s="17" t="s">
        <v>32</v>
      </c>
      <c r="J272" s="20" t="s">
        <v>32</v>
      </c>
      <c r="K272" s="426">
        <v>2</v>
      </c>
      <c r="L272" s="17" t="s">
        <v>32</v>
      </c>
      <c r="M272" s="18">
        <v>0</v>
      </c>
      <c r="N272" s="19">
        <v>0</v>
      </c>
      <c r="O272" s="211">
        <v>7</v>
      </c>
      <c r="P272" s="18">
        <v>0</v>
      </c>
      <c r="Q272" s="19" t="s">
        <v>32</v>
      </c>
      <c r="R272" s="17" t="s">
        <v>32</v>
      </c>
      <c r="S272" s="20" t="s">
        <v>32</v>
      </c>
      <c r="T272" s="16" t="s">
        <v>32</v>
      </c>
      <c r="U272" s="17" t="s">
        <v>32</v>
      </c>
      <c r="V272" s="18" t="s">
        <v>32</v>
      </c>
      <c r="W272" s="19" t="s">
        <v>32</v>
      </c>
      <c r="X272" s="17" t="s">
        <v>32</v>
      </c>
      <c r="Y272" s="18" t="s">
        <v>32</v>
      </c>
      <c r="Z272" s="19">
        <v>0</v>
      </c>
      <c r="AA272" s="17" t="s">
        <v>32</v>
      </c>
      <c r="AB272" s="427">
        <v>9</v>
      </c>
      <c r="AC272"/>
      <c r="AD272" s="16" t="s">
        <v>32</v>
      </c>
      <c r="AE272" s="17" t="s">
        <v>32</v>
      </c>
      <c r="AF272" s="18" t="s">
        <v>32</v>
      </c>
      <c r="AG272" s="19" t="s">
        <v>32</v>
      </c>
      <c r="AH272" s="17" t="s">
        <v>32</v>
      </c>
      <c r="AI272" s="18" t="s">
        <v>32</v>
      </c>
      <c r="AJ272" s="19" t="s">
        <v>32</v>
      </c>
      <c r="AK272" s="17" t="s">
        <v>32</v>
      </c>
      <c r="AL272" s="20" t="s">
        <v>32</v>
      </c>
      <c r="AM272" s="426">
        <v>2</v>
      </c>
      <c r="AN272" s="17" t="s">
        <v>32</v>
      </c>
      <c r="AO272" s="18">
        <v>6</v>
      </c>
      <c r="AP272" s="19">
        <v>4</v>
      </c>
      <c r="AQ272" s="211">
        <v>7</v>
      </c>
      <c r="AR272" s="18">
        <v>8</v>
      </c>
      <c r="AS272" s="19" t="s">
        <v>32</v>
      </c>
      <c r="AT272" s="17" t="s">
        <v>32</v>
      </c>
      <c r="AU272" s="20" t="s">
        <v>32</v>
      </c>
      <c r="AV272" s="16" t="s">
        <v>32</v>
      </c>
      <c r="AW272" s="17" t="s">
        <v>32</v>
      </c>
      <c r="AX272" s="18" t="s">
        <v>32</v>
      </c>
      <c r="AY272" s="19" t="s">
        <v>32</v>
      </c>
      <c r="AZ272" s="17" t="s">
        <v>32</v>
      </c>
      <c r="BA272" s="18" t="s">
        <v>32</v>
      </c>
      <c r="BB272" s="19">
        <v>5</v>
      </c>
      <c r="BC272" s="17" t="s">
        <v>32</v>
      </c>
      <c r="BD272" s="427">
        <v>9</v>
      </c>
      <c r="BE272"/>
      <c r="BF272"/>
      <c r="BG272" s="16" t="s">
        <v>32</v>
      </c>
      <c r="BH272" s="17">
        <v>0</v>
      </c>
      <c r="BI272" s="18">
        <v>0</v>
      </c>
      <c r="BJ272" s="19" t="s">
        <v>32</v>
      </c>
      <c r="BK272" s="17" t="s">
        <v>32</v>
      </c>
      <c r="BL272" s="18" t="s">
        <v>32</v>
      </c>
      <c r="BM272" s="19" t="s">
        <v>32</v>
      </c>
      <c r="BN272" s="17" t="s">
        <v>32</v>
      </c>
      <c r="BO272" s="20" t="s">
        <v>32</v>
      </c>
      <c r="BP272" s="16" t="s">
        <v>32</v>
      </c>
      <c r="BQ272" s="17" t="s">
        <v>32</v>
      </c>
      <c r="BR272" s="18" t="s">
        <v>32</v>
      </c>
      <c r="BS272" s="19">
        <v>0</v>
      </c>
      <c r="BT272" s="17" t="s">
        <v>32</v>
      </c>
      <c r="BU272" s="18" t="s">
        <v>32</v>
      </c>
      <c r="BV272" s="19" t="s">
        <v>32</v>
      </c>
      <c r="BW272" s="17" t="s">
        <v>32</v>
      </c>
      <c r="BX272" s="20" t="s">
        <v>32</v>
      </c>
      <c r="BY272" s="16" t="s">
        <v>32</v>
      </c>
      <c r="BZ272" s="17" t="s">
        <v>32</v>
      </c>
      <c r="CA272" s="18" t="s">
        <v>32</v>
      </c>
      <c r="CB272" s="19" t="s">
        <v>32</v>
      </c>
      <c r="CC272" s="17">
        <v>0</v>
      </c>
      <c r="CD272" s="18">
        <v>0</v>
      </c>
      <c r="CE272" s="19" t="s">
        <v>32</v>
      </c>
      <c r="CF272" s="17" t="s">
        <v>32</v>
      </c>
      <c r="CG272" s="20" t="s">
        <v>32</v>
      </c>
      <c r="CI272" s="16" t="s">
        <v>32</v>
      </c>
      <c r="CJ272" s="17">
        <v>5</v>
      </c>
      <c r="CK272" s="18">
        <v>9</v>
      </c>
      <c r="CL272" s="19" t="s">
        <v>32</v>
      </c>
      <c r="CM272" s="17" t="s">
        <v>32</v>
      </c>
      <c r="CN272" s="18" t="s">
        <v>32</v>
      </c>
      <c r="CO272" s="19" t="s">
        <v>32</v>
      </c>
      <c r="CP272" s="17" t="s">
        <v>32</v>
      </c>
      <c r="CQ272" s="20" t="s">
        <v>32</v>
      </c>
      <c r="CR272" s="16" t="s">
        <v>32</v>
      </c>
      <c r="CS272" s="17" t="s">
        <v>32</v>
      </c>
      <c r="CT272" s="18" t="s">
        <v>32</v>
      </c>
      <c r="CU272" s="19">
        <v>8</v>
      </c>
      <c r="CV272" s="17" t="s">
        <v>32</v>
      </c>
      <c r="CW272" s="18" t="s">
        <v>32</v>
      </c>
      <c r="CX272" s="19" t="s">
        <v>32</v>
      </c>
      <c r="CY272" s="17" t="s">
        <v>32</v>
      </c>
      <c r="CZ272" s="20" t="s">
        <v>32</v>
      </c>
      <c r="DA272" s="16" t="s">
        <v>32</v>
      </c>
      <c r="DB272" s="17" t="s">
        <v>32</v>
      </c>
      <c r="DC272" s="18" t="s">
        <v>32</v>
      </c>
      <c r="DD272" s="19" t="s">
        <v>32</v>
      </c>
      <c r="DE272" s="17">
        <v>2</v>
      </c>
      <c r="DF272" s="18">
        <v>1</v>
      </c>
      <c r="DG272" s="19" t="s">
        <v>32</v>
      </c>
      <c r="DH272" s="17" t="s">
        <v>32</v>
      </c>
      <c r="DI272" s="20" t="s">
        <v>32</v>
      </c>
    </row>
    <row r="273" spans="2:113" ht="15" customHeight="1">
      <c r="B273" s="11" t="s">
        <v>32</v>
      </c>
      <c r="C273" s="7" t="s">
        <v>32</v>
      </c>
      <c r="D273" s="9">
        <v>0</v>
      </c>
      <c r="E273" s="206">
        <v>8</v>
      </c>
      <c r="F273" s="7" t="s">
        <v>32</v>
      </c>
      <c r="G273" s="9" t="s">
        <v>32</v>
      </c>
      <c r="H273" s="8" t="s">
        <v>32</v>
      </c>
      <c r="I273" s="7" t="s">
        <v>32</v>
      </c>
      <c r="J273" s="10" t="s">
        <v>32</v>
      </c>
      <c r="K273" s="11" t="s">
        <v>32</v>
      </c>
      <c r="L273" s="7">
        <v>0</v>
      </c>
      <c r="M273" s="9" t="s">
        <v>32</v>
      </c>
      <c r="N273" s="8" t="s">
        <v>32</v>
      </c>
      <c r="O273" s="7">
        <v>0</v>
      </c>
      <c r="P273" s="9" t="s">
        <v>32</v>
      </c>
      <c r="Q273" s="8">
        <v>0</v>
      </c>
      <c r="R273" s="7" t="s">
        <v>32</v>
      </c>
      <c r="S273" s="10" t="s">
        <v>32</v>
      </c>
      <c r="T273" s="11" t="s">
        <v>32</v>
      </c>
      <c r="U273" s="7" t="s">
        <v>32</v>
      </c>
      <c r="V273" s="9" t="s">
        <v>32</v>
      </c>
      <c r="W273" s="8" t="s">
        <v>32</v>
      </c>
      <c r="X273" s="7" t="s">
        <v>32</v>
      </c>
      <c r="Y273" s="9" t="s">
        <v>32</v>
      </c>
      <c r="Z273" s="8" t="s">
        <v>32</v>
      </c>
      <c r="AA273" s="7">
        <v>0</v>
      </c>
      <c r="AB273" s="10">
        <v>0</v>
      </c>
      <c r="AC273"/>
      <c r="AD273" s="11" t="s">
        <v>32</v>
      </c>
      <c r="AE273" s="7" t="s">
        <v>32</v>
      </c>
      <c r="AF273" s="9">
        <v>3</v>
      </c>
      <c r="AG273" s="206">
        <v>8</v>
      </c>
      <c r="AH273" s="7" t="s">
        <v>32</v>
      </c>
      <c r="AI273" s="9" t="s">
        <v>32</v>
      </c>
      <c r="AJ273" s="8" t="s">
        <v>32</v>
      </c>
      <c r="AK273" s="7" t="s">
        <v>32</v>
      </c>
      <c r="AL273" s="10" t="s">
        <v>32</v>
      </c>
      <c r="AM273" s="11" t="s">
        <v>32</v>
      </c>
      <c r="AN273" s="7">
        <v>5</v>
      </c>
      <c r="AO273" s="9" t="s">
        <v>32</v>
      </c>
      <c r="AP273" s="8" t="s">
        <v>32</v>
      </c>
      <c r="AQ273" s="7">
        <v>9</v>
      </c>
      <c r="AR273" s="9" t="s">
        <v>32</v>
      </c>
      <c r="AS273" s="8">
        <v>1</v>
      </c>
      <c r="AT273" s="7" t="s">
        <v>32</v>
      </c>
      <c r="AU273" s="10" t="s">
        <v>32</v>
      </c>
      <c r="AV273" s="11" t="s">
        <v>32</v>
      </c>
      <c r="AW273" s="7" t="s">
        <v>32</v>
      </c>
      <c r="AX273" s="9" t="s">
        <v>32</v>
      </c>
      <c r="AY273" s="8" t="s">
        <v>32</v>
      </c>
      <c r="AZ273" s="7" t="s">
        <v>32</v>
      </c>
      <c r="BA273" s="9" t="s">
        <v>32</v>
      </c>
      <c r="BB273" s="8" t="s">
        <v>32</v>
      </c>
      <c r="BC273" s="7">
        <v>6</v>
      </c>
      <c r="BD273" s="10">
        <v>2</v>
      </c>
      <c r="BE273"/>
      <c r="BF273"/>
      <c r="BG273" s="11" t="s">
        <v>32</v>
      </c>
      <c r="BH273" s="7">
        <v>3</v>
      </c>
      <c r="BI273" s="9" t="s">
        <v>32</v>
      </c>
      <c r="BJ273" s="8" t="s">
        <v>32</v>
      </c>
      <c r="BK273" s="7" t="s">
        <v>32</v>
      </c>
      <c r="BL273" s="9" t="s">
        <v>32</v>
      </c>
      <c r="BM273" s="8" t="s">
        <v>32</v>
      </c>
      <c r="BN273" s="7" t="s">
        <v>32</v>
      </c>
      <c r="BO273" s="10" t="s">
        <v>32</v>
      </c>
      <c r="BP273" s="11" t="s">
        <v>32</v>
      </c>
      <c r="BQ273" s="7" t="s">
        <v>32</v>
      </c>
      <c r="BR273" s="9">
        <v>0</v>
      </c>
      <c r="BS273" s="8">
        <v>0</v>
      </c>
      <c r="BT273" s="7">
        <v>0</v>
      </c>
      <c r="BU273" s="9" t="s">
        <v>32</v>
      </c>
      <c r="BV273" s="8" t="s">
        <v>32</v>
      </c>
      <c r="BW273" s="7" t="s">
        <v>32</v>
      </c>
      <c r="BX273" s="10" t="s">
        <v>32</v>
      </c>
      <c r="BY273" s="11" t="s">
        <v>32</v>
      </c>
      <c r="BZ273" s="7" t="s">
        <v>32</v>
      </c>
      <c r="CA273" s="9" t="s">
        <v>32</v>
      </c>
      <c r="CB273" s="8" t="s">
        <v>32</v>
      </c>
      <c r="CC273" s="7" t="s">
        <v>32</v>
      </c>
      <c r="CD273" s="9" t="s">
        <v>32</v>
      </c>
      <c r="CE273" s="8" t="s">
        <v>32</v>
      </c>
      <c r="CF273" s="7" t="s">
        <v>32</v>
      </c>
      <c r="CG273" s="10" t="s">
        <v>32</v>
      </c>
      <c r="CI273" s="11" t="s">
        <v>32</v>
      </c>
      <c r="CJ273" s="204">
        <v>3</v>
      </c>
      <c r="CK273" s="9" t="s">
        <v>32</v>
      </c>
      <c r="CL273" s="8" t="s">
        <v>32</v>
      </c>
      <c r="CM273" s="7" t="s">
        <v>32</v>
      </c>
      <c r="CN273" s="9" t="s">
        <v>32</v>
      </c>
      <c r="CO273" s="8" t="s">
        <v>32</v>
      </c>
      <c r="CP273" s="7" t="s">
        <v>32</v>
      </c>
      <c r="CQ273" s="10" t="s">
        <v>32</v>
      </c>
      <c r="CR273" s="11" t="s">
        <v>32</v>
      </c>
      <c r="CS273" s="7" t="s">
        <v>32</v>
      </c>
      <c r="CT273" s="9">
        <v>1</v>
      </c>
      <c r="CU273" s="8">
        <v>9</v>
      </c>
      <c r="CV273" s="7">
        <v>6</v>
      </c>
      <c r="CW273" s="9" t="s">
        <v>32</v>
      </c>
      <c r="CX273" s="8" t="s">
        <v>32</v>
      </c>
      <c r="CY273" s="7" t="s">
        <v>32</v>
      </c>
      <c r="CZ273" s="10" t="s">
        <v>32</v>
      </c>
      <c r="DA273" s="11" t="s">
        <v>32</v>
      </c>
      <c r="DB273" s="7" t="s">
        <v>32</v>
      </c>
      <c r="DC273" s="9" t="s">
        <v>32</v>
      </c>
      <c r="DD273" s="8" t="s">
        <v>32</v>
      </c>
      <c r="DE273" s="7" t="s">
        <v>32</v>
      </c>
      <c r="DF273" s="9" t="s">
        <v>32</v>
      </c>
      <c r="DG273" s="8" t="s">
        <v>32</v>
      </c>
      <c r="DH273" s="7" t="s">
        <v>32</v>
      </c>
      <c r="DI273" s="10" t="s">
        <v>32</v>
      </c>
    </row>
    <row r="274" spans="2:113" ht="15" customHeight="1">
      <c r="B274" s="424">
        <v>9</v>
      </c>
      <c r="C274" s="212">
        <v>2</v>
      </c>
      <c r="D274" s="15">
        <v>0</v>
      </c>
      <c r="E274" s="14">
        <v>0</v>
      </c>
      <c r="F274" s="212">
        <v>5</v>
      </c>
      <c r="G274" s="15" t="s">
        <v>32</v>
      </c>
      <c r="H274" s="14" t="s">
        <v>32</v>
      </c>
      <c r="I274" s="13" t="s">
        <v>32</v>
      </c>
      <c r="J274" s="1" t="s">
        <v>32</v>
      </c>
      <c r="K274" s="12" t="s">
        <v>32</v>
      </c>
      <c r="L274" s="13" t="s">
        <v>32</v>
      </c>
      <c r="M274" s="15" t="s">
        <v>32</v>
      </c>
      <c r="N274" s="14" t="s">
        <v>32</v>
      </c>
      <c r="O274" s="13" t="s">
        <v>32</v>
      </c>
      <c r="P274" s="15" t="s">
        <v>32</v>
      </c>
      <c r="Q274" s="14" t="s">
        <v>32</v>
      </c>
      <c r="R274" s="13" t="s">
        <v>32</v>
      </c>
      <c r="S274" s="1" t="s">
        <v>32</v>
      </c>
      <c r="T274" s="12" t="s">
        <v>32</v>
      </c>
      <c r="U274" s="13" t="s">
        <v>32</v>
      </c>
      <c r="V274" s="15" t="s">
        <v>32</v>
      </c>
      <c r="W274" s="14" t="s">
        <v>32</v>
      </c>
      <c r="X274" s="13" t="s">
        <v>32</v>
      </c>
      <c r="Y274" s="15" t="s">
        <v>32</v>
      </c>
      <c r="Z274" s="14" t="s">
        <v>32</v>
      </c>
      <c r="AA274" s="13" t="s">
        <v>32</v>
      </c>
      <c r="AB274" s="425">
        <v>4</v>
      </c>
      <c r="AC274"/>
      <c r="AD274" s="424">
        <v>9</v>
      </c>
      <c r="AE274" s="212">
        <v>2</v>
      </c>
      <c r="AF274" s="15">
        <v>1</v>
      </c>
      <c r="AG274" s="14">
        <v>6</v>
      </c>
      <c r="AH274" s="212">
        <v>5</v>
      </c>
      <c r="AI274" s="15" t="s">
        <v>32</v>
      </c>
      <c r="AJ274" s="14" t="s">
        <v>32</v>
      </c>
      <c r="AK274" s="13" t="s">
        <v>32</v>
      </c>
      <c r="AL274" s="1" t="s">
        <v>32</v>
      </c>
      <c r="AM274" s="12" t="s">
        <v>32</v>
      </c>
      <c r="AN274" s="13" t="s">
        <v>32</v>
      </c>
      <c r="AO274" s="15" t="s">
        <v>32</v>
      </c>
      <c r="AP274" s="14" t="s">
        <v>32</v>
      </c>
      <c r="AQ274" s="13" t="s">
        <v>32</v>
      </c>
      <c r="AR274" s="15" t="s">
        <v>32</v>
      </c>
      <c r="AS274" s="14" t="s">
        <v>32</v>
      </c>
      <c r="AT274" s="13" t="s">
        <v>32</v>
      </c>
      <c r="AU274" s="1" t="s">
        <v>32</v>
      </c>
      <c r="AV274" s="12" t="s">
        <v>32</v>
      </c>
      <c r="AW274" s="13" t="s">
        <v>32</v>
      </c>
      <c r="AX274" s="15" t="s">
        <v>32</v>
      </c>
      <c r="AY274" s="14" t="s">
        <v>32</v>
      </c>
      <c r="AZ274" s="13" t="s">
        <v>32</v>
      </c>
      <c r="BA274" s="15" t="s">
        <v>32</v>
      </c>
      <c r="BB274" s="14" t="s">
        <v>32</v>
      </c>
      <c r="BC274" s="13" t="s">
        <v>32</v>
      </c>
      <c r="BD274" s="425">
        <v>4</v>
      </c>
      <c r="BE274"/>
      <c r="BF274"/>
      <c r="BG274" s="12">
        <v>0</v>
      </c>
      <c r="BH274" s="13" t="s">
        <v>32</v>
      </c>
      <c r="BI274" s="15" t="s">
        <v>32</v>
      </c>
      <c r="BJ274" s="14" t="s">
        <v>32</v>
      </c>
      <c r="BK274" s="13" t="s">
        <v>32</v>
      </c>
      <c r="BL274" s="15" t="s">
        <v>32</v>
      </c>
      <c r="BM274" s="14" t="s">
        <v>32</v>
      </c>
      <c r="BN274" s="13" t="s">
        <v>32</v>
      </c>
      <c r="BO274" s="1" t="s">
        <v>32</v>
      </c>
      <c r="BP274" s="12" t="s">
        <v>32</v>
      </c>
      <c r="BQ274" s="13" t="s">
        <v>32</v>
      </c>
      <c r="BR274" s="15" t="s">
        <v>32</v>
      </c>
      <c r="BS274" s="14">
        <v>0</v>
      </c>
      <c r="BT274" s="13">
        <v>0</v>
      </c>
      <c r="BU274" s="15" t="s">
        <v>32</v>
      </c>
      <c r="BV274" s="14" t="s">
        <v>32</v>
      </c>
      <c r="BW274" s="13" t="s">
        <v>32</v>
      </c>
      <c r="BX274" s="1" t="s">
        <v>32</v>
      </c>
      <c r="BY274" s="12" t="s">
        <v>32</v>
      </c>
      <c r="BZ274" s="13" t="s">
        <v>32</v>
      </c>
      <c r="CA274" s="15" t="s">
        <v>32</v>
      </c>
      <c r="CB274" s="14" t="s">
        <v>32</v>
      </c>
      <c r="CC274" s="13" t="s">
        <v>32</v>
      </c>
      <c r="CD274" s="15" t="s">
        <v>32</v>
      </c>
      <c r="CE274" s="14" t="s">
        <v>32</v>
      </c>
      <c r="CF274" s="13" t="s">
        <v>32</v>
      </c>
      <c r="CG274" s="1" t="s">
        <v>32</v>
      </c>
      <c r="CI274" s="12">
        <v>8</v>
      </c>
      <c r="CJ274" s="13" t="s">
        <v>32</v>
      </c>
      <c r="CK274" s="15" t="s">
        <v>32</v>
      </c>
      <c r="CL274" s="14" t="s">
        <v>32</v>
      </c>
      <c r="CM274" s="13" t="s">
        <v>32</v>
      </c>
      <c r="CN274" s="15" t="s">
        <v>32</v>
      </c>
      <c r="CO274" s="14" t="s">
        <v>32</v>
      </c>
      <c r="CP274" s="13" t="s">
        <v>32</v>
      </c>
      <c r="CQ274" s="1" t="s">
        <v>32</v>
      </c>
      <c r="CR274" s="12" t="s">
        <v>32</v>
      </c>
      <c r="CS274" s="13" t="s">
        <v>32</v>
      </c>
      <c r="CT274" s="15" t="s">
        <v>32</v>
      </c>
      <c r="CU274" s="14">
        <v>3</v>
      </c>
      <c r="CV274" s="13">
        <v>5</v>
      </c>
      <c r="CW274" s="15" t="s">
        <v>32</v>
      </c>
      <c r="CX274" s="14" t="s">
        <v>32</v>
      </c>
      <c r="CY274" s="13" t="s">
        <v>32</v>
      </c>
      <c r="CZ274" s="1" t="s">
        <v>32</v>
      </c>
      <c r="DA274" s="12" t="s">
        <v>32</v>
      </c>
      <c r="DB274" s="13" t="s">
        <v>32</v>
      </c>
      <c r="DC274" s="15" t="s">
        <v>32</v>
      </c>
      <c r="DD274" s="14" t="s">
        <v>32</v>
      </c>
      <c r="DE274" s="13" t="s">
        <v>32</v>
      </c>
      <c r="DF274" s="15" t="s">
        <v>32</v>
      </c>
      <c r="DG274" s="14" t="s">
        <v>32</v>
      </c>
      <c r="DH274" s="13" t="s">
        <v>32</v>
      </c>
      <c r="DI274" s="1" t="s">
        <v>32</v>
      </c>
    </row>
    <row r="275" spans="2:113" ht="15" customHeight="1">
      <c r="B275" s="16">
        <v>0</v>
      </c>
      <c r="C275" s="17" t="s">
        <v>32</v>
      </c>
      <c r="D275" s="18">
        <v>0</v>
      </c>
      <c r="E275" s="19" t="s">
        <v>32</v>
      </c>
      <c r="F275" s="17" t="s">
        <v>32</v>
      </c>
      <c r="G275" s="18" t="s">
        <v>32</v>
      </c>
      <c r="H275" s="19" t="s">
        <v>32</v>
      </c>
      <c r="I275" s="17" t="s">
        <v>32</v>
      </c>
      <c r="J275" s="20" t="s">
        <v>32</v>
      </c>
      <c r="K275" s="16" t="s">
        <v>32</v>
      </c>
      <c r="L275" s="17" t="s">
        <v>32</v>
      </c>
      <c r="M275" s="18" t="s">
        <v>32</v>
      </c>
      <c r="N275" s="19" t="s">
        <v>32</v>
      </c>
      <c r="O275" s="17" t="s">
        <v>32</v>
      </c>
      <c r="P275" s="18" t="s">
        <v>32</v>
      </c>
      <c r="Q275" s="19" t="s">
        <v>32</v>
      </c>
      <c r="R275" s="17" t="s">
        <v>32</v>
      </c>
      <c r="S275" s="20" t="s">
        <v>32</v>
      </c>
      <c r="T275" s="16" t="s">
        <v>32</v>
      </c>
      <c r="U275" s="17" t="s">
        <v>32</v>
      </c>
      <c r="V275" s="18" t="s">
        <v>32</v>
      </c>
      <c r="W275" s="19" t="s">
        <v>32</v>
      </c>
      <c r="X275" s="17" t="s">
        <v>32</v>
      </c>
      <c r="Y275" s="18" t="s">
        <v>32</v>
      </c>
      <c r="Z275" s="19" t="s">
        <v>32</v>
      </c>
      <c r="AA275" s="17" t="s">
        <v>32</v>
      </c>
      <c r="AB275" s="20">
        <v>0</v>
      </c>
      <c r="AC275"/>
      <c r="AD275" s="16">
        <v>4</v>
      </c>
      <c r="AE275" s="17" t="s">
        <v>32</v>
      </c>
      <c r="AF275" s="18">
        <v>7</v>
      </c>
      <c r="AG275" s="19" t="s">
        <v>32</v>
      </c>
      <c r="AH275" s="17" t="s">
        <v>32</v>
      </c>
      <c r="AI275" s="18" t="s">
        <v>32</v>
      </c>
      <c r="AJ275" s="19" t="s">
        <v>32</v>
      </c>
      <c r="AK275" s="17" t="s">
        <v>32</v>
      </c>
      <c r="AL275" s="20" t="s">
        <v>32</v>
      </c>
      <c r="AM275" s="16" t="s">
        <v>32</v>
      </c>
      <c r="AN275" s="17" t="s">
        <v>32</v>
      </c>
      <c r="AO275" s="18" t="s">
        <v>32</v>
      </c>
      <c r="AP275" s="19" t="s">
        <v>32</v>
      </c>
      <c r="AQ275" s="17" t="s">
        <v>32</v>
      </c>
      <c r="AR275" s="18" t="s">
        <v>32</v>
      </c>
      <c r="AS275" s="19" t="s">
        <v>32</v>
      </c>
      <c r="AT275" s="17" t="s">
        <v>32</v>
      </c>
      <c r="AU275" s="20" t="s">
        <v>32</v>
      </c>
      <c r="AV275" s="16" t="s">
        <v>32</v>
      </c>
      <c r="AW275" s="17" t="s">
        <v>32</v>
      </c>
      <c r="AX275" s="18" t="s">
        <v>32</v>
      </c>
      <c r="AY275" s="19" t="s">
        <v>32</v>
      </c>
      <c r="AZ275" s="17" t="s">
        <v>32</v>
      </c>
      <c r="BA275" s="18" t="s">
        <v>32</v>
      </c>
      <c r="BB275" s="19" t="s">
        <v>32</v>
      </c>
      <c r="BC275" s="17" t="s">
        <v>32</v>
      </c>
      <c r="BD275" s="20">
        <v>3</v>
      </c>
      <c r="BE275"/>
      <c r="BF275"/>
      <c r="BG275" s="16">
        <v>0</v>
      </c>
      <c r="BH275" s="17" t="s">
        <v>32</v>
      </c>
      <c r="BI275" s="18" t="s">
        <v>32</v>
      </c>
      <c r="BJ275" s="19" t="s">
        <v>32</v>
      </c>
      <c r="BK275" s="17" t="s">
        <v>32</v>
      </c>
      <c r="BL275" s="18" t="s">
        <v>32</v>
      </c>
      <c r="BM275" s="19" t="s">
        <v>32</v>
      </c>
      <c r="BN275" s="17" t="s">
        <v>32</v>
      </c>
      <c r="BO275" s="20" t="s">
        <v>32</v>
      </c>
      <c r="BP275" s="16" t="s">
        <v>32</v>
      </c>
      <c r="BQ275" s="17" t="s">
        <v>32</v>
      </c>
      <c r="BR275" s="18" t="s">
        <v>32</v>
      </c>
      <c r="BS275" s="19">
        <v>0</v>
      </c>
      <c r="BT275" s="17" t="s">
        <v>32</v>
      </c>
      <c r="BU275" s="18" t="s">
        <v>32</v>
      </c>
      <c r="BV275" s="19" t="s">
        <v>32</v>
      </c>
      <c r="BW275" s="17" t="s">
        <v>32</v>
      </c>
      <c r="BX275" s="20" t="s">
        <v>32</v>
      </c>
      <c r="BY275" s="16" t="s">
        <v>32</v>
      </c>
      <c r="BZ275" s="17" t="s">
        <v>32</v>
      </c>
      <c r="CA275" s="18" t="s">
        <v>32</v>
      </c>
      <c r="CB275" s="19" t="s">
        <v>32</v>
      </c>
      <c r="CC275" s="17" t="s">
        <v>32</v>
      </c>
      <c r="CD275" s="18" t="s">
        <v>32</v>
      </c>
      <c r="CE275" s="19" t="s">
        <v>32</v>
      </c>
      <c r="CF275" s="17" t="s">
        <v>32</v>
      </c>
      <c r="CG275" s="20" t="s">
        <v>32</v>
      </c>
      <c r="CI275" s="16">
        <v>4</v>
      </c>
      <c r="CJ275" s="17" t="s">
        <v>32</v>
      </c>
      <c r="CK275" s="18" t="s">
        <v>32</v>
      </c>
      <c r="CL275" s="19" t="s">
        <v>32</v>
      </c>
      <c r="CM275" s="17" t="s">
        <v>32</v>
      </c>
      <c r="CN275" s="18" t="s">
        <v>32</v>
      </c>
      <c r="CO275" s="19" t="s">
        <v>32</v>
      </c>
      <c r="CP275" s="17" t="s">
        <v>32</v>
      </c>
      <c r="CQ275" s="20" t="s">
        <v>32</v>
      </c>
      <c r="CR275" s="16" t="s">
        <v>32</v>
      </c>
      <c r="CS275" s="17" t="s">
        <v>32</v>
      </c>
      <c r="CT275" s="18" t="s">
        <v>32</v>
      </c>
      <c r="CU275" s="19">
        <v>7</v>
      </c>
      <c r="CV275" s="17" t="s">
        <v>32</v>
      </c>
      <c r="CW275" s="18" t="s">
        <v>32</v>
      </c>
      <c r="CX275" s="19" t="s">
        <v>32</v>
      </c>
      <c r="CY275" s="17" t="s">
        <v>32</v>
      </c>
      <c r="CZ275" s="20" t="s">
        <v>32</v>
      </c>
      <c r="DA275" s="16" t="s">
        <v>32</v>
      </c>
      <c r="DB275" s="17" t="s">
        <v>32</v>
      </c>
      <c r="DC275" s="18" t="s">
        <v>32</v>
      </c>
      <c r="DD275" s="19" t="s">
        <v>32</v>
      </c>
      <c r="DE275" s="17" t="s">
        <v>32</v>
      </c>
      <c r="DF275" s="18" t="s">
        <v>32</v>
      </c>
      <c r="DG275" s="19" t="s">
        <v>32</v>
      </c>
      <c r="DH275" s="17" t="s">
        <v>32</v>
      </c>
      <c r="DI275" s="20" t="s">
        <v>32</v>
      </c>
    </row>
    <row r="276" spans="2:113" ht="15" customHeight="1">
      <c r="B276" s="11" t="s">
        <v>32</v>
      </c>
      <c r="C276" s="7" t="s">
        <v>32</v>
      </c>
      <c r="D276" s="9" t="s">
        <v>32</v>
      </c>
      <c r="E276" s="8" t="s">
        <v>32</v>
      </c>
      <c r="F276" s="7" t="s">
        <v>32</v>
      </c>
      <c r="G276" s="9" t="s">
        <v>32</v>
      </c>
      <c r="H276" s="8" t="s">
        <v>32</v>
      </c>
      <c r="I276" s="7" t="s">
        <v>32</v>
      </c>
      <c r="J276" s="10" t="s">
        <v>32</v>
      </c>
      <c r="K276" s="11" t="s">
        <v>32</v>
      </c>
      <c r="L276" s="7" t="s">
        <v>32</v>
      </c>
      <c r="M276" s="9" t="s">
        <v>32</v>
      </c>
      <c r="N276" s="8" t="s">
        <v>32</v>
      </c>
      <c r="O276" s="7" t="s">
        <v>32</v>
      </c>
      <c r="P276" s="9" t="s">
        <v>32</v>
      </c>
      <c r="Q276" s="8" t="s">
        <v>32</v>
      </c>
      <c r="R276" s="7" t="s">
        <v>32</v>
      </c>
      <c r="S276" s="10" t="s">
        <v>32</v>
      </c>
      <c r="T276" s="11" t="s">
        <v>32</v>
      </c>
      <c r="U276" s="7" t="s">
        <v>32</v>
      </c>
      <c r="V276" s="9" t="s">
        <v>32</v>
      </c>
      <c r="W276" s="8" t="s">
        <v>32</v>
      </c>
      <c r="X276" s="7" t="s">
        <v>32</v>
      </c>
      <c r="Y276" s="9" t="s">
        <v>32</v>
      </c>
      <c r="Z276" s="8" t="s">
        <v>32</v>
      </c>
      <c r="AA276" s="204">
        <v>8</v>
      </c>
      <c r="AB276" s="10" t="s">
        <v>32</v>
      </c>
      <c r="AC276"/>
      <c r="AD276" s="11" t="s">
        <v>32</v>
      </c>
      <c r="AE276" s="7" t="s">
        <v>32</v>
      </c>
      <c r="AF276" s="9" t="s">
        <v>32</v>
      </c>
      <c r="AG276" s="8" t="s">
        <v>32</v>
      </c>
      <c r="AH276" s="7" t="s">
        <v>32</v>
      </c>
      <c r="AI276" s="9" t="s">
        <v>32</v>
      </c>
      <c r="AJ276" s="8" t="s">
        <v>32</v>
      </c>
      <c r="AK276" s="7" t="s">
        <v>32</v>
      </c>
      <c r="AL276" s="10" t="s">
        <v>32</v>
      </c>
      <c r="AM276" s="11" t="s">
        <v>32</v>
      </c>
      <c r="AN276" s="7" t="s">
        <v>32</v>
      </c>
      <c r="AO276" s="9" t="s">
        <v>32</v>
      </c>
      <c r="AP276" s="8" t="s">
        <v>32</v>
      </c>
      <c r="AQ276" s="7" t="s">
        <v>32</v>
      </c>
      <c r="AR276" s="9" t="s">
        <v>32</v>
      </c>
      <c r="AS276" s="8" t="s">
        <v>32</v>
      </c>
      <c r="AT276" s="7" t="s">
        <v>32</v>
      </c>
      <c r="AU276" s="10" t="s">
        <v>32</v>
      </c>
      <c r="AV276" s="11" t="s">
        <v>32</v>
      </c>
      <c r="AW276" s="7" t="s">
        <v>32</v>
      </c>
      <c r="AX276" s="9" t="s">
        <v>32</v>
      </c>
      <c r="AY276" s="8" t="s">
        <v>32</v>
      </c>
      <c r="AZ276" s="7" t="s">
        <v>32</v>
      </c>
      <c r="BA276" s="9" t="s">
        <v>32</v>
      </c>
      <c r="BB276" s="8" t="s">
        <v>32</v>
      </c>
      <c r="BC276" s="204">
        <v>8</v>
      </c>
      <c r="BD276" s="10" t="s">
        <v>32</v>
      </c>
      <c r="BE276"/>
      <c r="BF276"/>
      <c r="BG276" s="11" t="s">
        <v>32</v>
      </c>
      <c r="BH276" s="7" t="s">
        <v>32</v>
      </c>
      <c r="BI276" s="9" t="s">
        <v>32</v>
      </c>
      <c r="BJ276" s="8" t="s">
        <v>32</v>
      </c>
      <c r="BK276" s="7" t="s">
        <v>32</v>
      </c>
      <c r="BL276" s="9" t="s">
        <v>32</v>
      </c>
      <c r="BM276" s="8" t="s">
        <v>32</v>
      </c>
      <c r="BN276" s="7" t="s">
        <v>32</v>
      </c>
      <c r="BO276" s="10" t="s">
        <v>32</v>
      </c>
      <c r="BP276" s="11" t="s">
        <v>32</v>
      </c>
      <c r="BQ276" s="7" t="s">
        <v>32</v>
      </c>
      <c r="BR276" s="9" t="s">
        <v>32</v>
      </c>
      <c r="BS276" s="8" t="s">
        <v>32</v>
      </c>
      <c r="BT276" s="7">
        <v>4</v>
      </c>
      <c r="BU276" s="9" t="s">
        <v>32</v>
      </c>
      <c r="BV276" s="8" t="s">
        <v>32</v>
      </c>
      <c r="BW276" s="7" t="s">
        <v>32</v>
      </c>
      <c r="BX276" s="10" t="s">
        <v>32</v>
      </c>
      <c r="BY276" s="11" t="s">
        <v>32</v>
      </c>
      <c r="BZ276" s="7" t="s">
        <v>32</v>
      </c>
      <c r="CA276" s="9" t="s">
        <v>32</v>
      </c>
      <c r="CB276" s="8" t="s">
        <v>32</v>
      </c>
      <c r="CC276" s="7" t="s">
        <v>32</v>
      </c>
      <c r="CD276" s="9" t="s">
        <v>32</v>
      </c>
      <c r="CE276" s="8" t="s">
        <v>32</v>
      </c>
      <c r="CF276" s="7" t="s">
        <v>32</v>
      </c>
      <c r="CG276" s="10" t="s">
        <v>32</v>
      </c>
      <c r="CI276" s="11" t="s">
        <v>32</v>
      </c>
      <c r="CJ276" s="7" t="s">
        <v>32</v>
      </c>
      <c r="CK276" s="9" t="s">
        <v>32</v>
      </c>
      <c r="CL276" s="8" t="s">
        <v>32</v>
      </c>
      <c r="CM276" s="7" t="s">
        <v>32</v>
      </c>
      <c r="CN276" s="9" t="s">
        <v>32</v>
      </c>
      <c r="CO276" s="8" t="s">
        <v>32</v>
      </c>
      <c r="CP276" s="7" t="s">
        <v>32</v>
      </c>
      <c r="CQ276" s="10" t="s">
        <v>32</v>
      </c>
      <c r="CR276" s="11" t="s">
        <v>32</v>
      </c>
      <c r="CS276" s="7" t="s">
        <v>32</v>
      </c>
      <c r="CT276" s="9" t="s">
        <v>32</v>
      </c>
      <c r="CU276" s="8" t="s">
        <v>32</v>
      </c>
      <c r="CV276" s="204">
        <v>4</v>
      </c>
      <c r="CW276" s="9" t="s">
        <v>32</v>
      </c>
      <c r="CX276" s="8" t="s">
        <v>32</v>
      </c>
      <c r="CY276" s="7" t="s">
        <v>32</v>
      </c>
      <c r="CZ276" s="10" t="s">
        <v>32</v>
      </c>
      <c r="DA276" s="11" t="s">
        <v>32</v>
      </c>
      <c r="DB276" s="7" t="s">
        <v>32</v>
      </c>
      <c r="DC276" s="9" t="s">
        <v>32</v>
      </c>
      <c r="DD276" s="8" t="s">
        <v>32</v>
      </c>
      <c r="DE276" s="7" t="s">
        <v>32</v>
      </c>
      <c r="DF276" s="9" t="s">
        <v>32</v>
      </c>
      <c r="DG276" s="8" t="s">
        <v>32</v>
      </c>
      <c r="DH276" s="7" t="s">
        <v>32</v>
      </c>
      <c r="DI276" s="10" t="s">
        <v>32</v>
      </c>
    </row>
    <row r="277" spans="2:113" ht="15" customHeight="1" thickBot="1">
      <c r="B277" s="21" t="s">
        <v>32</v>
      </c>
      <c r="C277" s="22" t="s">
        <v>32</v>
      </c>
      <c r="D277" s="23" t="s">
        <v>32</v>
      </c>
      <c r="E277" s="24" t="s">
        <v>32</v>
      </c>
      <c r="F277" s="22" t="s">
        <v>32</v>
      </c>
      <c r="G277" s="23" t="s">
        <v>32</v>
      </c>
      <c r="H277" s="24" t="s">
        <v>32</v>
      </c>
      <c r="I277" s="22" t="s">
        <v>32</v>
      </c>
      <c r="J277" s="25" t="s">
        <v>32</v>
      </c>
      <c r="K277" s="21" t="s">
        <v>32</v>
      </c>
      <c r="L277" s="22" t="s">
        <v>32</v>
      </c>
      <c r="M277" s="23" t="s">
        <v>32</v>
      </c>
      <c r="N277" s="24" t="s">
        <v>32</v>
      </c>
      <c r="O277" s="22" t="s">
        <v>32</v>
      </c>
      <c r="P277" s="23" t="s">
        <v>32</v>
      </c>
      <c r="Q277" s="24" t="s">
        <v>32</v>
      </c>
      <c r="R277" s="22" t="s">
        <v>32</v>
      </c>
      <c r="S277" s="25" t="s">
        <v>32</v>
      </c>
      <c r="T277" s="21" t="s">
        <v>32</v>
      </c>
      <c r="U277" s="22" t="s">
        <v>32</v>
      </c>
      <c r="V277" s="23" t="s">
        <v>32</v>
      </c>
      <c r="W277" s="24" t="s">
        <v>32</v>
      </c>
      <c r="X277" s="22" t="s">
        <v>32</v>
      </c>
      <c r="Y277" s="23" t="s">
        <v>32</v>
      </c>
      <c r="Z277" s="24" t="s">
        <v>32</v>
      </c>
      <c r="AA277" s="22" t="s">
        <v>32</v>
      </c>
      <c r="AB277" s="25" t="s">
        <v>32</v>
      </c>
      <c r="AC277"/>
      <c r="AD277" s="21" t="s">
        <v>32</v>
      </c>
      <c r="AE277" s="22" t="s">
        <v>32</v>
      </c>
      <c r="AF277" s="23" t="s">
        <v>32</v>
      </c>
      <c r="AG277" s="24" t="s">
        <v>32</v>
      </c>
      <c r="AH277" s="22" t="s">
        <v>32</v>
      </c>
      <c r="AI277" s="23" t="s">
        <v>32</v>
      </c>
      <c r="AJ277" s="24" t="s">
        <v>32</v>
      </c>
      <c r="AK277" s="22" t="s">
        <v>32</v>
      </c>
      <c r="AL277" s="25" t="s">
        <v>32</v>
      </c>
      <c r="AM277" s="21" t="s">
        <v>32</v>
      </c>
      <c r="AN277" s="22" t="s">
        <v>32</v>
      </c>
      <c r="AO277" s="23" t="s">
        <v>32</v>
      </c>
      <c r="AP277" s="24" t="s">
        <v>32</v>
      </c>
      <c r="AQ277" s="22" t="s">
        <v>32</v>
      </c>
      <c r="AR277" s="23" t="s">
        <v>32</v>
      </c>
      <c r="AS277" s="24" t="s">
        <v>32</v>
      </c>
      <c r="AT277" s="22" t="s">
        <v>32</v>
      </c>
      <c r="AU277" s="25" t="s">
        <v>32</v>
      </c>
      <c r="AV277" s="21" t="s">
        <v>32</v>
      </c>
      <c r="AW277" s="22" t="s">
        <v>32</v>
      </c>
      <c r="AX277" s="23" t="s">
        <v>32</v>
      </c>
      <c r="AY277" s="24" t="s">
        <v>32</v>
      </c>
      <c r="AZ277" s="22" t="s">
        <v>32</v>
      </c>
      <c r="BA277" s="23" t="s">
        <v>32</v>
      </c>
      <c r="BB277" s="24" t="s">
        <v>32</v>
      </c>
      <c r="BC277" s="22" t="s">
        <v>32</v>
      </c>
      <c r="BD277" s="25" t="s">
        <v>32</v>
      </c>
      <c r="BE277"/>
      <c r="BF277"/>
      <c r="BG277" s="21" t="s">
        <v>32</v>
      </c>
      <c r="BH277" s="22" t="s">
        <v>32</v>
      </c>
      <c r="BI277" s="23" t="s">
        <v>32</v>
      </c>
      <c r="BJ277" s="24" t="s">
        <v>32</v>
      </c>
      <c r="BK277" s="22" t="s">
        <v>32</v>
      </c>
      <c r="BL277" s="23" t="s">
        <v>32</v>
      </c>
      <c r="BM277" s="24" t="s">
        <v>32</v>
      </c>
      <c r="BN277" s="22" t="s">
        <v>32</v>
      </c>
      <c r="BO277" s="25" t="s">
        <v>32</v>
      </c>
      <c r="BP277" s="21" t="s">
        <v>32</v>
      </c>
      <c r="BQ277" s="22" t="s">
        <v>32</v>
      </c>
      <c r="BR277" s="23" t="s">
        <v>32</v>
      </c>
      <c r="BS277" s="24" t="s">
        <v>32</v>
      </c>
      <c r="BT277" s="22" t="s">
        <v>32</v>
      </c>
      <c r="BU277" s="23">
        <v>0</v>
      </c>
      <c r="BV277" s="24" t="s">
        <v>32</v>
      </c>
      <c r="BW277" s="22" t="s">
        <v>32</v>
      </c>
      <c r="BX277" s="25" t="s">
        <v>32</v>
      </c>
      <c r="BY277" s="21" t="s">
        <v>32</v>
      </c>
      <c r="BZ277" s="22" t="s">
        <v>32</v>
      </c>
      <c r="CA277" s="23" t="s">
        <v>32</v>
      </c>
      <c r="CB277" s="24" t="s">
        <v>32</v>
      </c>
      <c r="CC277" s="22" t="s">
        <v>32</v>
      </c>
      <c r="CD277" s="23" t="s">
        <v>32</v>
      </c>
      <c r="CE277" s="24" t="s">
        <v>32</v>
      </c>
      <c r="CF277" s="22" t="s">
        <v>32</v>
      </c>
      <c r="CG277" s="25" t="s">
        <v>32</v>
      </c>
      <c r="CI277" s="21" t="s">
        <v>32</v>
      </c>
      <c r="CJ277" s="22" t="s">
        <v>32</v>
      </c>
      <c r="CK277" s="23" t="s">
        <v>32</v>
      </c>
      <c r="CL277" s="24" t="s">
        <v>32</v>
      </c>
      <c r="CM277" s="22" t="s">
        <v>32</v>
      </c>
      <c r="CN277" s="23" t="s">
        <v>32</v>
      </c>
      <c r="CO277" s="24" t="s">
        <v>32</v>
      </c>
      <c r="CP277" s="22" t="s">
        <v>32</v>
      </c>
      <c r="CQ277" s="25" t="s">
        <v>32</v>
      </c>
      <c r="CR277" s="21" t="s">
        <v>32</v>
      </c>
      <c r="CS277" s="22" t="s">
        <v>32</v>
      </c>
      <c r="CT277" s="23" t="s">
        <v>32</v>
      </c>
      <c r="CU277" s="24" t="s">
        <v>32</v>
      </c>
      <c r="CV277" s="22" t="s">
        <v>32</v>
      </c>
      <c r="CW277" s="23">
        <v>2</v>
      </c>
      <c r="CX277" s="24" t="s">
        <v>32</v>
      </c>
      <c r="CY277" s="22" t="s">
        <v>32</v>
      </c>
      <c r="CZ277" s="25" t="s">
        <v>32</v>
      </c>
      <c r="DA277" s="21" t="s">
        <v>32</v>
      </c>
      <c r="DB277" s="22" t="s">
        <v>32</v>
      </c>
      <c r="DC277" s="23" t="s">
        <v>32</v>
      </c>
      <c r="DD277" s="24" t="s">
        <v>32</v>
      </c>
      <c r="DE277" s="22" t="s">
        <v>32</v>
      </c>
      <c r="DF277" s="23" t="s">
        <v>32</v>
      </c>
      <c r="DG277" s="24" t="s">
        <v>32</v>
      </c>
      <c r="DH277" s="22" t="s">
        <v>32</v>
      </c>
      <c r="DI277" s="25" t="s">
        <v>32</v>
      </c>
    </row>
    <row r="278" spans="2:113" ht="15" customHeight="1">
      <c r="B278" s="2" t="s">
        <v>32</v>
      </c>
      <c r="C278" s="5" t="s">
        <v>32</v>
      </c>
      <c r="D278" s="3" t="s">
        <v>32</v>
      </c>
      <c r="E278" s="4" t="s">
        <v>32</v>
      </c>
      <c r="F278" s="5" t="s">
        <v>32</v>
      </c>
      <c r="G278" s="3" t="s">
        <v>32</v>
      </c>
      <c r="H278" s="4" t="s">
        <v>32</v>
      </c>
      <c r="I278" s="5" t="s">
        <v>32</v>
      </c>
      <c r="J278" s="6" t="s">
        <v>32</v>
      </c>
      <c r="K278" s="2" t="s">
        <v>32</v>
      </c>
      <c r="L278" s="5" t="s">
        <v>32</v>
      </c>
      <c r="M278" s="3" t="s">
        <v>32</v>
      </c>
      <c r="N278" s="4" t="s">
        <v>32</v>
      </c>
      <c r="O278" s="5" t="s">
        <v>32</v>
      </c>
      <c r="P278" s="3" t="s">
        <v>32</v>
      </c>
      <c r="Q278" s="4" t="s">
        <v>32</v>
      </c>
      <c r="R278" s="5" t="s">
        <v>32</v>
      </c>
      <c r="S278" s="6" t="s">
        <v>32</v>
      </c>
      <c r="T278" s="2" t="s">
        <v>32</v>
      </c>
      <c r="U278" s="5" t="s">
        <v>32</v>
      </c>
      <c r="V278" s="3" t="s">
        <v>32</v>
      </c>
      <c r="W278" s="4" t="s">
        <v>32</v>
      </c>
      <c r="X278" s="5" t="s">
        <v>32</v>
      </c>
      <c r="Y278" s="3" t="s">
        <v>32</v>
      </c>
      <c r="Z278" s="4" t="s">
        <v>32</v>
      </c>
      <c r="AA278" s="5" t="s">
        <v>32</v>
      </c>
      <c r="AB278" s="6" t="s">
        <v>32</v>
      </c>
      <c r="AC278"/>
      <c r="AD278" s="2" t="s">
        <v>32</v>
      </c>
      <c r="AE278" s="5" t="s">
        <v>32</v>
      </c>
      <c r="AF278" s="3" t="s">
        <v>32</v>
      </c>
      <c r="AG278" s="4" t="s">
        <v>32</v>
      </c>
      <c r="AH278" s="5" t="s">
        <v>32</v>
      </c>
      <c r="AI278" s="3" t="s">
        <v>32</v>
      </c>
      <c r="AJ278" s="4" t="s">
        <v>32</v>
      </c>
      <c r="AK278" s="5" t="s">
        <v>32</v>
      </c>
      <c r="AL278" s="6" t="s">
        <v>32</v>
      </c>
      <c r="AM278" s="2" t="s">
        <v>32</v>
      </c>
      <c r="AN278" s="5" t="s">
        <v>32</v>
      </c>
      <c r="AO278" s="3" t="s">
        <v>32</v>
      </c>
      <c r="AP278" s="4" t="s">
        <v>32</v>
      </c>
      <c r="AQ278" s="5" t="s">
        <v>32</v>
      </c>
      <c r="AR278" s="3" t="s">
        <v>32</v>
      </c>
      <c r="AS278" s="4" t="s">
        <v>32</v>
      </c>
      <c r="AT278" s="5" t="s">
        <v>32</v>
      </c>
      <c r="AU278" s="6" t="s">
        <v>32</v>
      </c>
      <c r="AV278" s="2" t="s">
        <v>32</v>
      </c>
      <c r="AW278" s="5" t="s">
        <v>32</v>
      </c>
      <c r="AX278" s="3" t="s">
        <v>32</v>
      </c>
      <c r="AY278" s="4" t="s">
        <v>32</v>
      </c>
      <c r="AZ278" s="5" t="s">
        <v>32</v>
      </c>
      <c r="BA278" s="3" t="s">
        <v>32</v>
      </c>
      <c r="BB278" s="4" t="s">
        <v>32</v>
      </c>
      <c r="BC278" s="5" t="s">
        <v>32</v>
      </c>
      <c r="BD278" s="6" t="s">
        <v>32</v>
      </c>
      <c r="BE278"/>
      <c r="BF278"/>
      <c r="BG278" s="2" t="s">
        <v>32</v>
      </c>
      <c r="BH278" s="5" t="s">
        <v>32</v>
      </c>
      <c r="BI278" s="3" t="s">
        <v>32</v>
      </c>
      <c r="BJ278" s="4" t="s">
        <v>32</v>
      </c>
      <c r="BK278" s="5" t="s">
        <v>32</v>
      </c>
      <c r="BL278" s="3" t="s">
        <v>32</v>
      </c>
      <c r="BM278" s="4" t="s">
        <v>32</v>
      </c>
      <c r="BN278" s="5" t="s">
        <v>32</v>
      </c>
      <c r="BO278" s="6" t="s">
        <v>32</v>
      </c>
      <c r="BP278" s="2" t="s">
        <v>32</v>
      </c>
      <c r="BQ278" s="5" t="s">
        <v>32</v>
      </c>
      <c r="BR278" s="3" t="s">
        <v>32</v>
      </c>
      <c r="BS278" s="4" t="s">
        <v>32</v>
      </c>
      <c r="BT278" s="5" t="s">
        <v>32</v>
      </c>
      <c r="BU278" s="3" t="s">
        <v>32</v>
      </c>
      <c r="BV278" s="4" t="s">
        <v>32</v>
      </c>
      <c r="BW278" s="5" t="s">
        <v>32</v>
      </c>
      <c r="BX278" s="6" t="s">
        <v>32</v>
      </c>
      <c r="BY278" s="2" t="s">
        <v>32</v>
      </c>
      <c r="BZ278" s="5" t="s">
        <v>32</v>
      </c>
      <c r="CA278" s="3" t="s">
        <v>32</v>
      </c>
      <c r="CB278" s="4" t="s">
        <v>32</v>
      </c>
      <c r="CC278" s="5" t="s">
        <v>32</v>
      </c>
      <c r="CD278" s="3" t="s">
        <v>32</v>
      </c>
      <c r="CE278" s="4" t="s">
        <v>32</v>
      </c>
      <c r="CF278" s="5" t="s">
        <v>32</v>
      </c>
      <c r="CG278" s="6" t="s">
        <v>32</v>
      </c>
      <c r="CI278" s="2" t="s">
        <v>32</v>
      </c>
      <c r="CJ278" s="5" t="s">
        <v>32</v>
      </c>
      <c r="CK278" s="3" t="s">
        <v>32</v>
      </c>
      <c r="CL278" s="4" t="s">
        <v>32</v>
      </c>
      <c r="CM278" s="5" t="s">
        <v>32</v>
      </c>
      <c r="CN278" s="3" t="s">
        <v>32</v>
      </c>
      <c r="CO278" s="4" t="s">
        <v>32</v>
      </c>
      <c r="CP278" s="5" t="s">
        <v>32</v>
      </c>
      <c r="CQ278" s="6" t="s">
        <v>32</v>
      </c>
      <c r="CR278" s="2" t="s">
        <v>32</v>
      </c>
      <c r="CS278" s="5" t="s">
        <v>32</v>
      </c>
      <c r="CT278" s="3" t="s">
        <v>32</v>
      </c>
      <c r="CU278" s="4" t="s">
        <v>32</v>
      </c>
      <c r="CV278" s="5" t="s">
        <v>32</v>
      </c>
      <c r="CW278" s="3" t="s">
        <v>32</v>
      </c>
      <c r="CX278" s="4" t="s">
        <v>32</v>
      </c>
      <c r="CY278" s="5" t="s">
        <v>32</v>
      </c>
      <c r="CZ278" s="6" t="s">
        <v>32</v>
      </c>
      <c r="DA278" s="2" t="s">
        <v>32</v>
      </c>
      <c r="DB278" s="5" t="s">
        <v>32</v>
      </c>
      <c r="DC278" s="3" t="s">
        <v>32</v>
      </c>
      <c r="DD278" s="4" t="s">
        <v>32</v>
      </c>
      <c r="DE278" s="5" t="s">
        <v>32</v>
      </c>
      <c r="DF278" s="3" t="s">
        <v>32</v>
      </c>
      <c r="DG278" s="4" t="s">
        <v>32</v>
      </c>
      <c r="DH278" s="5" t="s">
        <v>32</v>
      </c>
      <c r="DI278" s="6" t="s">
        <v>32</v>
      </c>
    </row>
    <row r="279" spans="2:113" ht="15" customHeight="1">
      <c r="B279" s="11" t="s">
        <v>32</v>
      </c>
      <c r="C279" s="7" t="s">
        <v>32</v>
      </c>
      <c r="D279" s="9" t="s">
        <v>32</v>
      </c>
      <c r="E279" s="8" t="s">
        <v>32</v>
      </c>
      <c r="F279" s="7" t="s">
        <v>32</v>
      </c>
      <c r="G279" s="9" t="s">
        <v>32</v>
      </c>
      <c r="H279" s="8" t="s">
        <v>32</v>
      </c>
      <c r="I279" s="7" t="s">
        <v>32</v>
      </c>
      <c r="J279" s="10" t="s">
        <v>32</v>
      </c>
      <c r="K279" s="11" t="s">
        <v>32</v>
      </c>
      <c r="L279" s="7" t="s">
        <v>32</v>
      </c>
      <c r="M279" s="9" t="s">
        <v>32</v>
      </c>
      <c r="N279" s="8" t="s">
        <v>32</v>
      </c>
      <c r="O279" s="7" t="s">
        <v>32</v>
      </c>
      <c r="P279" s="9" t="s">
        <v>32</v>
      </c>
      <c r="Q279" s="8" t="s">
        <v>32</v>
      </c>
      <c r="R279" s="7" t="s">
        <v>32</v>
      </c>
      <c r="S279" s="10" t="s">
        <v>32</v>
      </c>
      <c r="T279" s="11" t="s">
        <v>32</v>
      </c>
      <c r="U279" s="7" t="s">
        <v>32</v>
      </c>
      <c r="V279" s="9" t="s">
        <v>32</v>
      </c>
      <c r="W279" s="8" t="s">
        <v>32</v>
      </c>
      <c r="X279" s="7" t="s">
        <v>32</v>
      </c>
      <c r="Y279" s="9" t="s">
        <v>32</v>
      </c>
      <c r="Z279" s="8" t="s">
        <v>32</v>
      </c>
      <c r="AA279" s="7" t="s">
        <v>32</v>
      </c>
      <c r="AB279" s="10" t="s">
        <v>32</v>
      </c>
      <c r="AC279"/>
      <c r="AD279" s="11" t="s">
        <v>32</v>
      </c>
      <c r="AE279" s="7" t="s">
        <v>32</v>
      </c>
      <c r="AF279" s="9" t="s">
        <v>32</v>
      </c>
      <c r="AG279" s="8" t="s">
        <v>32</v>
      </c>
      <c r="AH279" s="7" t="s">
        <v>32</v>
      </c>
      <c r="AI279" s="9" t="s">
        <v>32</v>
      </c>
      <c r="AJ279" s="8" t="s">
        <v>32</v>
      </c>
      <c r="AK279" s="7" t="s">
        <v>32</v>
      </c>
      <c r="AL279" s="10" t="s">
        <v>32</v>
      </c>
      <c r="AM279" s="11" t="s">
        <v>32</v>
      </c>
      <c r="AN279" s="7" t="s">
        <v>32</v>
      </c>
      <c r="AO279" s="9" t="s">
        <v>32</v>
      </c>
      <c r="AP279" s="8" t="s">
        <v>32</v>
      </c>
      <c r="AQ279" s="7" t="s">
        <v>32</v>
      </c>
      <c r="AR279" s="9" t="s">
        <v>32</v>
      </c>
      <c r="AS279" s="8" t="s">
        <v>32</v>
      </c>
      <c r="AT279" s="7" t="s">
        <v>32</v>
      </c>
      <c r="AU279" s="10" t="s">
        <v>32</v>
      </c>
      <c r="AV279" s="11" t="s">
        <v>32</v>
      </c>
      <c r="AW279" s="7" t="s">
        <v>32</v>
      </c>
      <c r="AX279" s="9" t="s">
        <v>32</v>
      </c>
      <c r="AY279" s="8" t="s">
        <v>32</v>
      </c>
      <c r="AZ279" s="7" t="s">
        <v>32</v>
      </c>
      <c r="BA279" s="9" t="s">
        <v>32</v>
      </c>
      <c r="BB279" s="8" t="s">
        <v>32</v>
      </c>
      <c r="BC279" s="7" t="s">
        <v>32</v>
      </c>
      <c r="BD279" s="10" t="s">
        <v>32</v>
      </c>
      <c r="BE279"/>
      <c r="BF279"/>
      <c r="BG279" s="11" t="s">
        <v>32</v>
      </c>
      <c r="BH279" s="7" t="s">
        <v>32</v>
      </c>
      <c r="BI279" s="9" t="s">
        <v>32</v>
      </c>
      <c r="BJ279" s="8" t="s">
        <v>32</v>
      </c>
      <c r="BK279" s="7" t="s">
        <v>32</v>
      </c>
      <c r="BL279" s="9" t="s">
        <v>32</v>
      </c>
      <c r="BM279" s="8" t="s">
        <v>32</v>
      </c>
      <c r="BN279" s="7" t="s">
        <v>32</v>
      </c>
      <c r="BO279" s="10" t="s">
        <v>32</v>
      </c>
      <c r="BP279" s="11" t="s">
        <v>32</v>
      </c>
      <c r="BQ279" s="7" t="s">
        <v>32</v>
      </c>
      <c r="BR279" s="9" t="s">
        <v>32</v>
      </c>
      <c r="BS279" s="8" t="s">
        <v>32</v>
      </c>
      <c r="BT279" s="7" t="s">
        <v>32</v>
      </c>
      <c r="BU279" s="9" t="s">
        <v>32</v>
      </c>
      <c r="BV279" s="8" t="s">
        <v>32</v>
      </c>
      <c r="BW279" s="7" t="s">
        <v>32</v>
      </c>
      <c r="BX279" s="10" t="s">
        <v>32</v>
      </c>
      <c r="BY279" s="11" t="s">
        <v>32</v>
      </c>
      <c r="BZ279" s="7" t="s">
        <v>32</v>
      </c>
      <c r="CA279" s="9" t="s">
        <v>32</v>
      </c>
      <c r="CB279" s="8" t="s">
        <v>32</v>
      </c>
      <c r="CC279" s="7" t="s">
        <v>32</v>
      </c>
      <c r="CD279" s="9" t="s">
        <v>32</v>
      </c>
      <c r="CE279" s="8" t="s">
        <v>32</v>
      </c>
      <c r="CF279" s="7" t="s">
        <v>32</v>
      </c>
      <c r="CG279" s="10" t="s">
        <v>32</v>
      </c>
      <c r="CI279" s="11" t="s">
        <v>32</v>
      </c>
      <c r="CJ279" s="7" t="s">
        <v>32</v>
      </c>
      <c r="CK279" s="9" t="s">
        <v>32</v>
      </c>
      <c r="CL279" s="8" t="s">
        <v>32</v>
      </c>
      <c r="CM279" s="7" t="s">
        <v>32</v>
      </c>
      <c r="CN279" s="9" t="s">
        <v>32</v>
      </c>
      <c r="CO279" s="8" t="s">
        <v>32</v>
      </c>
      <c r="CP279" s="7" t="s">
        <v>32</v>
      </c>
      <c r="CQ279" s="10" t="s">
        <v>32</v>
      </c>
      <c r="CR279" s="11" t="s">
        <v>32</v>
      </c>
      <c r="CS279" s="7" t="s">
        <v>32</v>
      </c>
      <c r="CT279" s="9" t="s">
        <v>32</v>
      </c>
      <c r="CU279" s="8" t="s">
        <v>32</v>
      </c>
      <c r="CV279" s="7" t="s">
        <v>32</v>
      </c>
      <c r="CW279" s="9" t="s">
        <v>32</v>
      </c>
      <c r="CX279" s="8" t="s">
        <v>32</v>
      </c>
      <c r="CY279" s="7" t="s">
        <v>32</v>
      </c>
      <c r="CZ279" s="10" t="s">
        <v>32</v>
      </c>
      <c r="DA279" s="11" t="s">
        <v>32</v>
      </c>
      <c r="DB279" s="7" t="s">
        <v>32</v>
      </c>
      <c r="DC279" s="9" t="s">
        <v>32</v>
      </c>
      <c r="DD279" s="8" t="s">
        <v>32</v>
      </c>
      <c r="DE279" s="7" t="s">
        <v>32</v>
      </c>
      <c r="DF279" s="9" t="s">
        <v>32</v>
      </c>
      <c r="DG279" s="8" t="s">
        <v>32</v>
      </c>
      <c r="DH279" s="7" t="s">
        <v>32</v>
      </c>
      <c r="DI279" s="10" t="s">
        <v>32</v>
      </c>
    </row>
    <row r="280" spans="2:113" ht="15" customHeight="1">
      <c r="B280" s="12" t="s">
        <v>32</v>
      </c>
      <c r="C280" s="13" t="s">
        <v>32</v>
      </c>
      <c r="D280" s="15" t="s">
        <v>32</v>
      </c>
      <c r="E280" s="14" t="s">
        <v>32</v>
      </c>
      <c r="F280" s="13" t="s">
        <v>32</v>
      </c>
      <c r="G280" s="15" t="s">
        <v>32</v>
      </c>
      <c r="H280" s="14" t="s">
        <v>32</v>
      </c>
      <c r="I280" s="13" t="s">
        <v>32</v>
      </c>
      <c r="J280" s="1" t="s">
        <v>32</v>
      </c>
      <c r="K280" s="12" t="s">
        <v>32</v>
      </c>
      <c r="L280" s="13" t="s">
        <v>32</v>
      </c>
      <c r="M280" s="15" t="s">
        <v>32</v>
      </c>
      <c r="N280" s="14" t="s">
        <v>32</v>
      </c>
      <c r="O280" s="13" t="s">
        <v>32</v>
      </c>
      <c r="P280" s="15" t="s">
        <v>32</v>
      </c>
      <c r="Q280" s="14" t="s">
        <v>32</v>
      </c>
      <c r="R280" s="13" t="s">
        <v>32</v>
      </c>
      <c r="S280" s="1" t="s">
        <v>32</v>
      </c>
      <c r="T280" s="12" t="s">
        <v>32</v>
      </c>
      <c r="U280" s="13" t="s">
        <v>32</v>
      </c>
      <c r="V280" s="15" t="s">
        <v>32</v>
      </c>
      <c r="W280" s="14" t="s">
        <v>32</v>
      </c>
      <c r="X280" s="13" t="s">
        <v>32</v>
      </c>
      <c r="Y280" s="15" t="s">
        <v>32</v>
      </c>
      <c r="Z280" s="14" t="s">
        <v>32</v>
      </c>
      <c r="AA280" s="13" t="s">
        <v>32</v>
      </c>
      <c r="AB280" s="1" t="s">
        <v>32</v>
      </c>
      <c r="AC280"/>
      <c r="AD280" s="12" t="s">
        <v>32</v>
      </c>
      <c r="AE280" s="13" t="s">
        <v>32</v>
      </c>
      <c r="AF280" s="15" t="s">
        <v>32</v>
      </c>
      <c r="AG280" s="14" t="s">
        <v>32</v>
      </c>
      <c r="AH280" s="13" t="s">
        <v>32</v>
      </c>
      <c r="AI280" s="15" t="s">
        <v>32</v>
      </c>
      <c r="AJ280" s="14" t="s">
        <v>32</v>
      </c>
      <c r="AK280" s="13" t="s">
        <v>32</v>
      </c>
      <c r="AL280" s="1" t="s">
        <v>32</v>
      </c>
      <c r="AM280" s="12" t="s">
        <v>32</v>
      </c>
      <c r="AN280" s="13" t="s">
        <v>32</v>
      </c>
      <c r="AO280" s="15" t="s">
        <v>32</v>
      </c>
      <c r="AP280" s="14" t="s">
        <v>32</v>
      </c>
      <c r="AQ280" s="13" t="s">
        <v>32</v>
      </c>
      <c r="AR280" s="15" t="s">
        <v>32</v>
      </c>
      <c r="AS280" s="14" t="s">
        <v>32</v>
      </c>
      <c r="AT280" s="13" t="s">
        <v>32</v>
      </c>
      <c r="AU280" s="1" t="s">
        <v>32</v>
      </c>
      <c r="AV280" s="12" t="s">
        <v>32</v>
      </c>
      <c r="AW280" s="13" t="s">
        <v>32</v>
      </c>
      <c r="AX280" s="15" t="s">
        <v>32</v>
      </c>
      <c r="AY280" s="14" t="s">
        <v>32</v>
      </c>
      <c r="AZ280" s="13" t="s">
        <v>32</v>
      </c>
      <c r="BA280" s="15" t="s">
        <v>32</v>
      </c>
      <c r="BB280" s="14" t="s">
        <v>32</v>
      </c>
      <c r="BC280" s="13" t="s">
        <v>32</v>
      </c>
      <c r="BD280" s="1" t="s">
        <v>32</v>
      </c>
      <c r="BE280"/>
      <c r="BF280"/>
      <c r="BG280" s="12" t="s">
        <v>32</v>
      </c>
      <c r="BH280" s="13" t="s">
        <v>32</v>
      </c>
      <c r="BI280" s="15" t="s">
        <v>32</v>
      </c>
      <c r="BJ280" s="14" t="s">
        <v>32</v>
      </c>
      <c r="BK280" s="13" t="s">
        <v>32</v>
      </c>
      <c r="BL280" s="15" t="s">
        <v>32</v>
      </c>
      <c r="BM280" s="14" t="s">
        <v>32</v>
      </c>
      <c r="BN280" s="13" t="s">
        <v>32</v>
      </c>
      <c r="BO280" s="1" t="s">
        <v>32</v>
      </c>
      <c r="BP280" s="12" t="s">
        <v>32</v>
      </c>
      <c r="BQ280" s="13" t="s">
        <v>32</v>
      </c>
      <c r="BR280" s="15" t="s">
        <v>32</v>
      </c>
      <c r="BS280" s="14" t="s">
        <v>32</v>
      </c>
      <c r="BT280" s="13" t="s">
        <v>32</v>
      </c>
      <c r="BU280" s="15" t="s">
        <v>32</v>
      </c>
      <c r="BV280" s="14" t="s">
        <v>32</v>
      </c>
      <c r="BW280" s="13" t="s">
        <v>32</v>
      </c>
      <c r="BX280" s="1" t="s">
        <v>32</v>
      </c>
      <c r="BY280" s="12" t="s">
        <v>32</v>
      </c>
      <c r="BZ280" s="13" t="s">
        <v>32</v>
      </c>
      <c r="CA280" s="15" t="s">
        <v>32</v>
      </c>
      <c r="CB280" s="14" t="s">
        <v>32</v>
      </c>
      <c r="CC280" s="13" t="s">
        <v>32</v>
      </c>
      <c r="CD280" s="15" t="s">
        <v>32</v>
      </c>
      <c r="CE280" s="14" t="s">
        <v>32</v>
      </c>
      <c r="CF280" s="13" t="s">
        <v>32</v>
      </c>
      <c r="CG280" s="1" t="s">
        <v>32</v>
      </c>
      <c r="CI280" s="12" t="s">
        <v>32</v>
      </c>
      <c r="CJ280" s="13" t="s">
        <v>32</v>
      </c>
      <c r="CK280" s="15" t="s">
        <v>32</v>
      </c>
      <c r="CL280" s="14" t="s">
        <v>32</v>
      </c>
      <c r="CM280" s="13" t="s">
        <v>32</v>
      </c>
      <c r="CN280" s="15" t="s">
        <v>32</v>
      </c>
      <c r="CO280" s="14" t="s">
        <v>32</v>
      </c>
      <c r="CP280" s="13" t="s">
        <v>32</v>
      </c>
      <c r="CQ280" s="1" t="s">
        <v>32</v>
      </c>
      <c r="CR280" s="12" t="s">
        <v>32</v>
      </c>
      <c r="CS280" s="13" t="s">
        <v>32</v>
      </c>
      <c r="CT280" s="15" t="s">
        <v>32</v>
      </c>
      <c r="CU280" s="14" t="s">
        <v>32</v>
      </c>
      <c r="CV280" s="13" t="s">
        <v>32</v>
      </c>
      <c r="CW280" s="15" t="s">
        <v>32</v>
      </c>
      <c r="CX280" s="14" t="s">
        <v>32</v>
      </c>
      <c r="CY280" s="13" t="s">
        <v>32</v>
      </c>
      <c r="CZ280" s="1" t="s">
        <v>32</v>
      </c>
      <c r="DA280" s="12" t="s">
        <v>32</v>
      </c>
      <c r="DB280" s="13" t="s">
        <v>32</v>
      </c>
      <c r="DC280" s="15" t="s">
        <v>32</v>
      </c>
      <c r="DD280" s="14" t="s">
        <v>32</v>
      </c>
      <c r="DE280" s="13" t="s">
        <v>32</v>
      </c>
      <c r="DF280" s="15" t="s">
        <v>32</v>
      </c>
      <c r="DG280" s="14" t="s">
        <v>32</v>
      </c>
      <c r="DH280" s="13" t="s">
        <v>32</v>
      </c>
      <c r="DI280" s="1" t="s">
        <v>32</v>
      </c>
    </row>
    <row r="281" spans="2:113" ht="15" customHeight="1">
      <c r="B281" s="16" t="s">
        <v>32</v>
      </c>
      <c r="C281" s="17" t="s">
        <v>32</v>
      </c>
      <c r="D281" s="18" t="s">
        <v>32</v>
      </c>
      <c r="E281" s="19" t="s">
        <v>32</v>
      </c>
      <c r="F281" s="17" t="s">
        <v>32</v>
      </c>
      <c r="G281" s="18" t="s">
        <v>32</v>
      </c>
      <c r="H281" s="19" t="s">
        <v>32</v>
      </c>
      <c r="I281" s="17" t="s">
        <v>32</v>
      </c>
      <c r="J281" s="20" t="s">
        <v>32</v>
      </c>
      <c r="K281" s="16" t="s">
        <v>32</v>
      </c>
      <c r="L281" s="17" t="s">
        <v>32</v>
      </c>
      <c r="M281" s="18" t="s">
        <v>32</v>
      </c>
      <c r="N281" s="19" t="s">
        <v>32</v>
      </c>
      <c r="O281" s="17" t="s">
        <v>32</v>
      </c>
      <c r="P281" s="18" t="s">
        <v>32</v>
      </c>
      <c r="Q281" s="19" t="s">
        <v>32</v>
      </c>
      <c r="R281" s="17" t="s">
        <v>32</v>
      </c>
      <c r="S281" s="20" t="s">
        <v>32</v>
      </c>
      <c r="T281" s="16" t="s">
        <v>32</v>
      </c>
      <c r="U281" s="17" t="s">
        <v>32</v>
      </c>
      <c r="V281" s="18" t="s">
        <v>32</v>
      </c>
      <c r="W281" s="19" t="s">
        <v>32</v>
      </c>
      <c r="X281" s="17" t="s">
        <v>32</v>
      </c>
      <c r="Y281" s="18" t="s">
        <v>32</v>
      </c>
      <c r="Z281" s="19" t="s">
        <v>32</v>
      </c>
      <c r="AA281" s="17" t="s">
        <v>32</v>
      </c>
      <c r="AB281" s="20" t="s">
        <v>32</v>
      </c>
      <c r="AC281"/>
      <c r="AD281" s="16" t="s">
        <v>32</v>
      </c>
      <c r="AE281" s="17" t="s">
        <v>32</v>
      </c>
      <c r="AF281" s="18" t="s">
        <v>32</v>
      </c>
      <c r="AG281" s="19" t="s">
        <v>32</v>
      </c>
      <c r="AH281" s="17" t="s">
        <v>32</v>
      </c>
      <c r="AI281" s="18" t="s">
        <v>32</v>
      </c>
      <c r="AJ281" s="19" t="s">
        <v>32</v>
      </c>
      <c r="AK281" s="17" t="s">
        <v>32</v>
      </c>
      <c r="AL281" s="20" t="s">
        <v>32</v>
      </c>
      <c r="AM281" s="16" t="s">
        <v>32</v>
      </c>
      <c r="AN281" s="17" t="s">
        <v>32</v>
      </c>
      <c r="AO281" s="18" t="s">
        <v>32</v>
      </c>
      <c r="AP281" s="19" t="s">
        <v>32</v>
      </c>
      <c r="AQ281" s="17" t="s">
        <v>32</v>
      </c>
      <c r="AR281" s="18" t="s">
        <v>32</v>
      </c>
      <c r="AS281" s="19" t="s">
        <v>32</v>
      </c>
      <c r="AT281" s="17" t="s">
        <v>32</v>
      </c>
      <c r="AU281" s="20" t="s">
        <v>32</v>
      </c>
      <c r="AV281" s="16" t="s">
        <v>32</v>
      </c>
      <c r="AW281" s="17" t="s">
        <v>32</v>
      </c>
      <c r="AX281" s="18" t="s">
        <v>32</v>
      </c>
      <c r="AY281" s="19" t="s">
        <v>32</v>
      </c>
      <c r="AZ281" s="17" t="s">
        <v>32</v>
      </c>
      <c r="BA281" s="18" t="s">
        <v>32</v>
      </c>
      <c r="BB281" s="19" t="s">
        <v>32</v>
      </c>
      <c r="BC281" s="17" t="s">
        <v>32</v>
      </c>
      <c r="BD281" s="20" t="s">
        <v>32</v>
      </c>
      <c r="BE281"/>
      <c r="BF281"/>
      <c r="BG281" s="16" t="s">
        <v>32</v>
      </c>
      <c r="BH281" s="17" t="s">
        <v>32</v>
      </c>
      <c r="BI281" s="18" t="s">
        <v>32</v>
      </c>
      <c r="BJ281" s="19" t="s">
        <v>32</v>
      </c>
      <c r="BK281" s="17" t="s">
        <v>32</v>
      </c>
      <c r="BL281" s="18" t="s">
        <v>32</v>
      </c>
      <c r="BM281" s="19" t="s">
        <v>32</v>
      </c>
      <c r="BN281" s="17" t="s">
        <v>32</v>
      </c>
      <c r="BO281" s="20" t="s">
        <v>32</v>
      </c>
      <c r="BP281" s="16" t="s">
        <v>32</v>
      </c>
      <c r="BQ281" s="17" t="s">
        <v>32</v>
      </c>
      <c r="BR281" s="18" t="s">
        <v>32</v>
      </c>
      <c r="BS281" s="19" t="s">
        <v>32</v>
      </c>
      <c r="BT281" s="17" t="s">
        <v>32</v>
      </c>
      <c r="BU281" s="18" t="s">
        <v>32</v>
      </c>
      <c r="BV281" s="19" t="s">
        <v>32</v>
      </c>
      <c r="BW281" s="17" t="s">
        <v>32</v>
      </c>
      <c r="BX281" s="20" t="s">
        <v>32</v>
      </c>
      <c r="BY281" s="16" t="s">
        <v>32</v>
      </c>
      <c r="BZ281" s="17" t="s">
        <v>32</v>
      </c>
      <c r="CA281" s="18" t="s">
        <v>32</v>
      </c>
      <c r="CB281" s="19" t="s">
        <v>32</v>
      </c>
      <c r="CC281" s="17" t="s">
        <v>32</v>
      </c>
      <c r="CD281" s="18" t="s">
        <v>32</v>
      </c>
      <c r="CE281" s="19">
        <v>4</v>
      </c>
      <c r="CF281" s="17" t="s">
        <v>32</v>
      </c>
      <c r="CG281" s="20" t="s">
        <v>32</v>
      </c>
      <c r="CI281" s="16" t="s">
        <v>32</v>
      </c>
      <c r="CJ281" s="17" t="s">
        <v>32</v>
      </c>
      <c r="CK281" s="18" t="s">
        <v>32</v>
      </c>
      <c r="CL281" s="19" t="s">
        <v>32</v>
      </c>
      <c r="CM281" s="17" t="s">
        <v>32</v>
      </c>
      <c r="CN281" s="18" t="s">
        <v>32</v>
      </c>
      <c r="CO281" s="19" t="s">
        <v>32</v>
      </c>
      <c r="CP281" s="17" t="s">
        <v>32</v>
      </c>
      <c r="CQ281" s="20" t="s">
        <v>32</v>
      </c>
      <c r="CR281" s="16" t="s">
        <v>32</v>
      </c>
      <c r="CS281" s="17" t="s">
        <v>32</v>
      </c>
      <c r="CT281" s="18" t="s">
        <v>32</v>
      </c>
      <c r="CU281" s="19" t="s">
        <v>32</v>
      </c>
      <c r="CV281" s="17" t="s">
        <v>32</v>
      </c>
      <c r="CW281" s="18" t="s">
        <v>32</v>
      </c>
      <c r="CX281" s="19" t="s">
        <v>32</v>
      </c>
      <c r="CY281" s="17" t="s">
        <v>32</v>
      </c>
      <c r="CZ281" s="20" t="s">
        <v>32</v>
      </c>
      <c r="DA281" s="16" t="s">
        <v>32</v>
      </c>
      <c r="DB281" s="17" t="s">
        <v>32</v>
      </c>
      <c r="DC281" s="18" t="s">
        <v>32</v>
      </c>
      <c r="DD281" s="19" t="s">
        <v>32</v>
      </c>
      <c r="DE281" s="17" t="s">
        <v>32</v>
      </c>
      <c r="DF281" s="18" t="s">
        <v>32</v>
      </c>
      <c r="DG281" s="210">
        <v>4</v>
      </c>
      <c r="DH281" s="17" t="s">
        <v>32</v>
      </c>
      <c r="DI281" s="20" t="s">
        <v>32</v>
      </c>
    </row>
    <row r="282" spans="2:113" ht="15" customHeight="1">
      <c r="B282" s="11" t="s">
        <v>32</v>
      </c>
      <c r="C282" s="7" t="s">
        <v>32</v>
      </c>
      <c r="D282" s="9" t="s">
        <v>32</v>
      </c>
      <c r="E282" s="8" t="s">
        <v>32</v>
      </c>
      <c r="F282" s="7" t="s">
        <v>32</v>
      </c>
      <c r="G282" s="9" t="s">
        <v>32</v>
      </c>
      <c r="H282" s="8" t="s">
        <v>32</v>
      </c>
      <c r="I282" s="7" t="s">
        <v>32</v>
      </c>
      <c r="J282" s="10" t="s">
        <v>32</v>
      </c>
      <c r="K282" s="11" t="s">
        <v>32</v>
      </c>
      <c r="L282" s="7" t="s">
        <v>32</v>
      </c>
      <c r="M282" s="9" t="s">
        <v>32</v>
      </c>
      <c r="N282" s="8" t="s">
        <v>32</v>
      </c>
      <c r="O282" s="7" t="s">
        <v>32</v>
      </c>
      <c r="P282" s="9" t="s">
        <v>32</v>
      </c>
      <c r="Q282" s="8" t="s">
        <v>32</v>
      </c>
      <c r="R282" s="7" t="s">
        <v>32</v>
      </c>
      <c r="S282" s="10" t="s">
        <v>32</v>
      </c>
      <c r="T282" s="11" t="s">
        <v>32</v>
      </c>
      <c r="U282" s="7" t="s">
        <v>32</v>
      </c>
      <c r="V282" s="9" t="s">
        <v>32</v>
      </c>
      <c r="W282" s="8" t="s">
        <v>32</v>
      </c>
      <c r="X282" s="7" t="s">
        <v>32</v>
      </c>
      <c r="Y282" s="205">
        <v>4</v>
      </c>
      <c r="Z282" s="8" t="s">
        <v>32</v>
      </c>
      <c r="AA282" s="7" t="s">
        <v>32</v>
      </c>
      <c r="AB282" s="10" t="s">
        <v>32</v>
      </c>
      <c r="AC282"/>
      <c r="AD282" s="11" t="s">
        <v>32</v>
      </c>
      <c r="AE282" s="7" t="s">
        <v>32</v>
      </c>
      <c r="AF282" s="9" t="s">
        <v>32</v>
      </c>
      <c r="AG282" s="8" t="s">
        <v>32</v>
      </c>
      <c r="AH282" s="7" t="s">
        <v>32</v>
      </c>
      <c r="AI282" s="9" t="s">
        <v>32</v>
      </c>
      <c r="AJ282" s="8" t="s">
        <v>32</v>
      </c>
      <c r="AK282" s="7" t="s">
        <v>32</v>
      </c>
      <c r="AL282" s="10" t="s">
        <v>32</v>
      </c>
      <c r="AM282" s="11" t="s">
        <v>32</v>
      </c>
      <c r="AN282" s="7" t="s">
        <v>32</v>
      </c>
      <c r="AO282" s="9" t="s">
        <v>32</v>
      </c>
      <c r="AP282" s="8" t="s">
        <v>32</v>
      </c>
      <c r="AQ282" s="7" t="s">
        <v>32</v>
      </c>
      <c r="AR282" s="9" t="s">
        <v>32</v>
      </c>
      <c r="AS282" s="8" t="s">
        <v>32</v>
      </c>
      <c r="AT282" s="7" t="s">
        <v>32</v>
      </c>
      <c r="AU282" s="10" t="s">
        <v>32</v>
      </c>
      <c r="AV282" s="11" t="s">
        <v>32</v>
      </c>
      <c r="AW282" s="7" t="s">
        <v>32</v>
      </c>
      <c r="AX282" s="9" t="s">
        <v>32</v>
      </c>
      <c r="AY282" s="8" t="s">
        <v>32</v>
      </c>
      <c r="AZ282" s="7" t="s">
        <v>32</v>
      </c>
      <c r="BA282" s="205">
        <v>4</v>
      </c>
      <c r="BB282" s="8" t="s">
        <v>32</v>
      </c>
      <c r="BC282" s="7" t="s">
        <v>32</v>
      </c>
      <c r="BD282" s="10" t="s">
        <v>32</v>
      </c>
      <c r="BE282"/>
      <c r="BF282"/>
      <c r="BG282" s="11">
        <v>0</v>
      </c>
      <c r="BH282" s="7" t="s">
        <v>32</v>
      </c>
      <c r="BI282" s="9" t="s">
        <v>32</v>
      </c>
      <c r="BJ282" s="8" t="s">
        <v>32</v>
      </c>
      <c r="BK282" s="7" t="s">
        <v>32</v>
      </c>
      <c r="BL282" s="9" t="s">
        <v>32</v>
      </c>
      <c r="BM282" s="8" t="s">
        <v>32</v>
      </c>
      <c r="BN282" s="7" t="s">
        <v>32</v>
      </c>
      <c r="BO282" s="10" t="s">
        <v>32</v>
      </c>
      <c r="BP282" s="11" t="s">
        <v>32</v>
      </c>
      <c r="BQ282" s="7" t="s">
        <v>32</v>
      </c>
      <c r="BR282" s="9" t="s">
        <v>32</v>
      </c>
      <c r="BS282" s="8" t="s">
        <v>32</v>
      </c>
      <c r="BT282" s="7" t="s">
        <v>32</v>
      </c>
      <c r="BU282" s="9" t="s">
        <v>32</v>
      </c>
      <c r="BV282" s="8" t="s">
        <v>32</v>
      </c>
      <c r="BW282" s="7" t="s">
        <v>32</v>
      </c>
      <c r="BX282" s="10" t="s">
        <v>32</v>
      </c>
      <c r="BY282" s="11" t="s">
        <v>32</v>
      </c>
      <c r="BZ282" s="7" t="s">
        <v>32</v>
      </c>
      <c r="CA282" s="9" t="s">
        <v>32</v>
      </c>
      <c r="CB282" s="8" t="s">
        <v>32</v>
      </c>
      <c r="CC282" s="7" t="s">
        <v>32</v>
      </c>
      <c r="CD282" s="9">
        <v>0</v>
      </c>
      <c r="CE282" s="8">
        <v>0</v>
      </c>
      <c r="CF282" s="7" t="s">
        <v>32</v>
      </c>
      <c r="CG282" s="10" t="s">
        <v>32</v>
      </c>
      <c r="CI282" s="11">
        <v>5</v>
      </c>
      <c r="CJ282" s="7" t="s">
        <v>32</v>
      </c>
      <c r="CK282" s="9" t="s">
        <v>32</v>
      </c>
      <c r="CL282" s="8" t="s">
        <v>32</v>
      </c>
      <c r="CM282" s="7" t="s">
        <v>32</v>
      </c>
      <c r="CN282" s="9" t="s">
        <v>32</v>
      </c>
      <c r="CO282" s="8" t="s">
        <v>32</v>
      </c>
      <c r="CP282" s="7" t="s">
        <v>32</v>
      </c>
      <c r="CQ282" s="10" t="s">
        <v>32</v>
      </c>
      <c r="CR282" s="11" t="s">
        <v>32</v>
      </c>
      <c r="CS282" s="7" t="s">
        <v>32</v>
      </c>
      <c r="CT282" s="9" t="s">
        <v>32</v>
      </c>
      <c r="CU282" s="8" t="s">
        <v>32</v>
      </c>
      <c r="CV282" s="7" t="s">
        <v>32</v>
      </c>
      <c r="CW282" s="9" t="s">
        <v>32</v>
      </c>
      <c r="CX282" s="8" t="s">
        <v>32</v>
      </c>
      <c r="CY282" s="7" t="s">
        <v>32</v>
      </c>
      <c r="CZ282" s="10" t="s">
        <v>32</v>
      </c>
      <c r="DA282" s="11" t="s">
        <v>32</v>
      </c>
      <c r="DB282" s="7" t="s">
        <v>32</v>
      </c>
      <c r="DC282" s="9" t="s">
        <v>32</v>
      </c>
      <c r="DD282" s="8" t="s">
        <v>32</v>
      </c>
      <c r="DE282" s="7" t="s">
        <v>32</v>
      </c>
      <c r="DF282" s="9">
        <v>7</v>
      </c>
      <c r="DG282" s="8">
        <v>2</v>
      </c>
      <c r="DH282" s="7" t="s">
        <v>32</v>
      </c>
      <c r="DI282" s="10" t="s">
        <v>32</v>
      </c>
    </row>
    <row r="283" spans="2:113" ht="15" customHeight="1">
      <c r="B283" s="12" t="s">
        <v>32</v>
      </c>
      <c r="C283" s="13" t="s">
        <v>32</v>
      </c>
      <c r="D283" s="15" t="s">
        <v>32</v>
      </c>
      <c r="E283" s="14" t="s">
        <v>32</v>
      </c>
      <c r="F283" s="13" t="s">
        <v>32</v>
      </c>
      <c r="G283" s="15" t="s">
        <v>32</v>
      </c>
      <c r="H283" s="14" t="s">
        <v>32</v>
      </c>
      <c r="I283" s="13" t="s">
        <v>32</v>
      </c>
      <c r="J283" s="1" t="s">
        <v>32</v>
      </c>
      <c r="K283" s="12" t="s">
        <v>32</v>
      </c>
      <c r="L283" s="13" t="s">
        <v>32</v>
      </c>
      <c r="M283" s="15" t="s">
        <v>32</v>
      </c>
      <c r="N283" s="14" t="s">
        <v>32</v>
      </c>
      <c r="O283" s="13" t="s">
        <v>32</v>
      </c>
      <c r="P283" s="15" t="s">
        <v>32</v>
      </c>
      <c r="Q283" s="14" t="s">
        <v>32</v>
      </c>
      <c r="R283" s="13" t="s">
        <v>32</v>
      </c>
      <c r="S283" s="1" t="s">
        <v>32</v>
      </c>
      <c r="T283" s="12" t="s">
        <v>32</v>
      </c>
      <c r="U283" s="13" t="s">
        <v>32</v>
      </c>
      <c r="V283" s="15" t="s">
        <v>32</v>
      </c>
      <c r="W283" s="14" t="s">
        <v>32</v>
      </c>
      <c r="X283" s="13" t="s">
        <v>32</v>
      </c>
      <c r="Y283" s="15">
        <v>0</v>
      </c>
      <c r="Z283" s="14">
        <v>0</v>
      </c>
      <c r="AA283" s="212">
        <v>7</v>
      </c>
      <c r="AB283" s="1" t="s">
        <v>32</v>
      </c>
      <c r="AC283"/>
      <c r="AD283" s="12" t="s">
        <v>32</v>
      </c>
      <c r="AE283" s="13" t="s">
        <v>32</v>
      </c>
      <c r="AF283" s="15" t="s">
        <v>32</v>
      </c>
      <c r="AG283" s="14" t="s">
        <v>32</v>
      </c>
      <c r="AH283" s="13" t="s">
        <v>32</v>
      </c>
      <c r="AI283" s="15" t="s">
        <v>32</v>
      </c>
      <c r="AJ283" s="14" t="s">
        <v>32</v>
      </c>
      <c r="AK283" s="13" t="s">
        <v>32</v>
      </c>
      <c r="AL283" s="1" t="s">
        <v>32</v>
      </c>
      <c r="AM283" s="12" t="s">
        <v>32</v>
      </c>
      <c r="AN283" s="13" t="s">
        <v>32</v>
      </c>
      <c r="AO283" s="15" t="s">
        <v>32</v>
      </c>
      <c r="AP283" s="14" t="s">
        <v>32</v>
      </c>
      <c r="AQ283" s="13" t="s">
        <v>32</v>
      </c>
      <c r="AR283" s="15" t="s">
        <v>32</v>
      </c>
      <c r="AS283" s="14" t="s">
        <v>32</v>
      </c>
      <c r="AT283" s="13" t="s">
        <v>32</v>
      </c>
      <c r="AU283" s="1" t="s">
        <v>32</v>
      </c>
      <c r="AV283" s="12" t="s">
        <v>32</v>
      </c>
      <c r="AW283" s="13" t="s">
        <v>32</v>
      </c>
      <c r="AX283" s="15" t="s">
        <v>32</v>
      </c>
      <c r="AY283" s="14" t="s">
        <v>32</v>
      </c>
      <c r="AZ283" s="13" t="s">
        <v>32</v>
      </c>
      <c r="BA283" s="15">
        <v>3</v>
      </c>
      <c r="BB283" s="14">
        <v>8</v>
      </c>
      <c r="BC283" s="212">
        <v>7</v>
      </c>
      <c r="BD283" s="1" t="s">
        <v>32</v>
      </c>
      <c r="BE283"/>
      <c r="BF283"/>
      <c r="BG283" s="12" t="s">
        <v>32</v>
      </c>
      <c r="BH283" s="13">
        <v>0</v>
      </c>
      <c r="BI283" s="15">
        <v>4</v>
      </c>
      <c r="BJ283" s="14" t="s">
        <v>32</v>
      </c>
      <c r="BK283" s="13" t="s">
        <v>32</v>
      </c>
      <c r="BL283" s="15" t="s">
        <v>32</v>
      </c>
      <c r="BM283" s="14" t="s">
        <v>32</v>
      </c>
      <c r="BN283" s="13" t="s">
        <v>32</v>
      </c>
      <c r="BO283" s="1" t="s">
        <v>32</v>
      </c>
      <c r="BP283" s="12" t="s">
        <v>32</v>
      </c>
      <c r="BQ283" s="13" t="s">
        <v>32</v>
      </c>
      <c r="BR283" s="15" t="s">
        <v>32</v>
      </c>
      <c r="BS283" s="14" t="s">
        <v>32</v>
      </c>
      <c r="BT283" s="13" t="s">
        <v>32</v>
      </c>
      <c r="BU283" s="15" t="s">
        <v>32</v>
      </c>
      <c r="BV283" s="14" t="s">
        <v>32</v>
      </c>
      <c r="BW283" s="13" t="s">
        <v>32</v>
      </c>
      <c r="BX283" s="1" t="s">
        <v>32</v>
      </c>
      <c r="BY283" s="12" t="s">
        <v>32</v>
      </c>
      <c r="BZ283" s="13" t="s">
        <v>32</v>
      </c>
      <c r="CA283" s="15" t="s">
        <v>32</v>
      </c>
      <c r="CB283" s="14" t="s">
        <v>32</v>
      </c>
      <c r="CC283" s="13" t="s">
        <v>32</v>
      </c>
      <c r="CD283" s="15">
        <v>0</v>
      </c>
      <c r="CE283" s="14" t="s">
        <v>32</v>
      </c>
      <c r="CF283" s="13">
        <v>0</v>
      </c>
      <c r="CG283" s="1" t="s">
        <v>32</v>
      </c>
      <c r="CI283" s="12" t="s">
        <v>32</v>
      </c>
      <c r="CJ283" s="13">
        <v>1</v>
      </c>
      <c r="CK283" s="208">
        <v>4</v>
      </c>
      <c r="CL283" s="14" t="s">
        <v>32</v>
      </c>
      <c r="CM283" s="13" t="s">
        <v>32</v>
      </c>
      <c r="CN283" s="15" t="s">
        <v>32</v>
      </c>
      <c r="CO283" s="14" t="s">
        <v>32</v>
      </c>
      <c r="CP283" s="13" t="s">
        <v>32</v>
      </c>
      <c r="CQ283" s="1" t="s">
        <v>32</v>
      </c>
      <c r="CR283" s="12" t="s">
        <v>32</v>
      </c>
      <c r="CS283" s="13" t="s">
        <v>32</v>
      </c>
      <c r="CT283" s="15" t="s">
        <v>32</v>
      </c>
      <c r="CU283" s="14" t="s">
        <v>32</v>
      </c>
      <c r="CV283" s="13" t="s">
        <v>32</v>
      </c>
      <c r="CW283" s="15" t="s">
        <v>32</v>
      </c>
      <c r="CX283" s="14" t="s">
        <v>32</v>
      </c>
      <c r="CY283" s="13" t="s">
        <v>32</v>
      </c>
      <c r="CZ283" s="1" t="s">
        <v>32</v>
      </c>
      <c r="DA283" s="12" t="s">
        <v>32</v>
      </c>
      <c r="DB283" s="13" t="s">
        <v>32</v>
      </c>
      <c r="DC283" s="15" t="s">
        <v>32</v>
      </c>
      <c r="DD283" s="14" t="s">
        <v>32</v>
      </c>
      <c r="DE283" s="13" t="s">
        <v>32</v>
      </c>
      <c r="DF283" s="15">
        <v>6</v>
      </c>
      <c r="DG283" s="14" t="s">
        <v>32</v>
      </c>
      <c r="DH283" s="13">
        <v>9</v>
      </c>
      <c r="DI283" s="1" t="s">
        <v>32</v>
      </c>
    </row>
    <row r="284" spans="2:113" ht="15" customHeight="1">
      <c r="B284" s="16" t="s">
        <v>32</v>
      </c>
      <c r="C284" s="17">
        <v>0</v>
      </c>
      <c r="D284" s="18" t="s">
        <v>32</v>
      </c>
      <c r="E284" s="19" t="s">
        <v>32</v>
      </c>
      <c r="F284" s="17">
        <v>0</v>
      </c>
      <c r="G284" s="18" t="s">
        <v>32</v>
      </c>
      <c r="H284" s="19" t="s">
        <v>32</v>
      </c>
      <c r="I284" s="17" t="s">
        <v>32</v>
      </c>
      <c r="J284" s="20" t="s">
        <v>32</v>
      </c>
      <c r="K284" s="16" t="s">
        <v>32</v>
      </c>
      <c r="L284" s="17" t="s">
        <v>32</v>
      </c>
      <c r="M284" s="18" t="s">
        <v>32</v>
      </c>
      <c r="N284" s="19">
        <v>0</v>
      </c>
      <c r="O284" s="17" t="s">
        <v>32</v>
      </c>
      <c r="P284" s="18">
        <v>0</v>
      </c>
      <c r="Q284" s="19">
        <v>0</v>
      </c>
      <c r="R284" s="17" t="s">
        <v>32</v>
      </c>
      <c r="S284" s="20" t="s">
        <v>32</v>
      </c>
      <c r="T284" s="16" t="s">
        <v>32</v>
      </c>
      <c r="U284" s="17" t="s">
        <v>32</v>
      </c>
      <c r="V284" s="18" t="s">
        <v>32</v>
      </c>
      <c r="W284" s="19" t="s">
        <v>32</v>
      </c>
      <c r="X284" s="17" t="s">
        <v>32</v>
      </c>
      <c r="Y284" s="18" t="s">
        <v>32</v>
      </c>
      <c r="Z284" s="19" t="s">
        <v>32</v>
      </c>
      <c r="AA284" s="17">
        <v>0</v>
      </c>
      <c r="AB284" s="20" t="s">
        <v>32</v>
      </c>
      <c r="AC284"/>
      <c r="AD284" s="16" t="s">
        <v>32</v>
      </c>
      <c r="AE284" s="17">
        <v>8</v>
      </c>
      <c r="AF284" s="18" t="s">
        <v>32</v>
      </c>
      <c r="AG284" s="19" t="s">
        <v>32</v>
      </c>
      <c r="AH284" s="17">
        <v>2</v>
      </c>
      <c r="AI284" s="18" t="s">
        <v>32</v>
      </c>
      <c r="AJ284" s="19" t="s">
        <v>32</v>
      </c>
      <c r="AK284" s="17" t="s">
        <v>32</v>
      </c>
      <c r="AL284" s="20" t="s">
        <v>32</v>
      </c>
      <c r="AM284" s="16" t="s">
        <v>32</v>
      </c>
      <c r="AN284" s="17" t="s">
        <v>32</v>
      </c>
      <c r="AO284" s="18" t="s">
        <v>32</v>
      </c>
      <c r="AP284" s="19">
        <v>1</v>
      </c>
      <c r="AQ284" s="17" t="s">
        <v>32</v>
      </c>
      <c r="AR284" s="18">
        <v>6</v>
      </c>
      <c r="AS284" s="19">
        <v>9</v>
      </c>
      <c r="AT284" s="17" t="s">
        <v>32</v>
      </c>
      <c r="AU284" s="20" t="s">
        <v>32</v>
      </c>
      <c r="AV284" s="16" t="s">
        <v>32</v>
      </c>
      <c r="AW284" s="17" t="s">
        <v>32</v>
      </c>
      <c r="AX284" s="18" t="s">
        <v>32</v>
      </c>
      <c r="AY284" s="19" t="s">
        <v>32</v>
      </c>
      <c r="AZ284" s="17" t="s">
        <v>32</v>
      </c>
      <c r="BA284" s="18" t="s">
        <v>32</v>
      </c>
      <c r="BB284" s="19" t="s">
        <v>32</v>
      </c>
      <c r="BC284" s="17">
        <v>5</v>
      </c>
      <c r="BD284" s="20" t="s">
        <v>32</v>
      </c>
      <c r="BE284"/>
      <c r="BF284"/>
      <c r="BG284" s="16" t="s">
        <v>32</v>
      </c>
      <c r="BH284" s="17">
        <v>0</v>
      </c>
      <c r="BI284" s="18">
        <v>0</v>
      </c>
      <c r="BJ284" s="19" t="s">
        <v>32</v>
      </c>
      <c r="BK284" s="17" t="s">
        <v>32</v>
      </c>
      <c r="BL284" s="18" t="s">
        <v>32</v>
      </c>
      <c r="BM284" s="19" t="s">
        <v>32</v>
      </c>
      <c r="BN284" s="17" t="s">
        <v>32</v>
      </c>
      <c r="BO284" s="20" t="s">
        <v>32</v>
      </c>
      <c r="BP284" s="16" t="s">
        <v>32</v>
      </c>
      <c r="BQ284" s="17" t="s">
        <v>32</v>
      </c>
      <c r="BR284" s="18" t="s">
        <v>32</v>
      </c>
      <c r="BS284" s="19" t="s">
        <v>32</v>
      </c>
      <c r="BT284" s="17">
        <v>0</v>
      </c>
      <c r="BU284" s="18">
        <v>3</v>
      </c>
      <c r="BV284" s="19" t="s">
        <v>32</v>
      </c>
      <c r="BW284" s="17" t="s">
        <v>32</v>
      </c>
      <c r="BX284" s="20" t="s">
        <v>32</v>
      </c>
      <c r="BY284" s="16" t="s">
        <v>32</v>
      </c>
      <c r="BZ284" s="17" t="s">
        <v>32</v>
      </c>
      <c r="CA284" s="18" t="s">
        <v>32</v>
      </c>
      <c r="CB284" s="19" t="s">
        <v>32</v>
      </c>
      <c r="CC284" s="17" t="s">
        <v>32</v>
      </c>
      <c r="CD284" s="18" t="s">
        <v>32</v>
      </c>
      <c r="CE284" s="19">
        <v>0</v>
      </c>
      <c r="CF284" s="17" t="s">
        <v>32</v>
      </c>
      <c r="CG284" s="20" t="s">
        <v>32</v>
      </c>
      <c r="CI284" s="16" t="s">
        <v>32</v>
      </c>
      <c r="CJ284" s="17">
        <v>2</v>
      </c>
      <c r="CK284" s="18">
        <v>8</v>
      </c>
      <c r="CL284" s="19" t="s">
        <v>32</v>
      </c>
      <c r="CM284" s="17" t="s">
        <v>32</v>
      </c>
      <c r="CN284" s="18" t="s">
        <v>32</v>
      </c>
      <c r="CO284" s="19" t="s">
        <v>32</v>
      </c>
      <c r="CP284" s="17" t="s">
        <v>32</v>
      </c>
      <c r="CQ284" s="20" t="s">
        <v>32</v>
      </c>
      <c r="CR284" s="16" t="s">
        <v>32</v>
      </c>
      <c r="CS284" s="17" t="s">
        <v>32</v>
      </c>
      <c r="CT284" s="18" t="s">
        <v>32</v>
      </c>
      <c r="CU284" s="19" t="s">
        <v>32</v>
      </c>
      <c r="CV284" s="17">
        <v>9</v>
      </c>
      <c r="CW284" s="209">
        <v>3</v>
      </c>
      <c r="CX284" s="19" t="s">
        <v>32</v>
      </c>
      <c r="CY284" s="17" t="s">
        <v>32</v>
      </c>
      <c r="CZ284" s="20" t="s">
        <v>32</v>
      </c>
      <c r="DA284" s="16" t="s">
        <v>32</v>
      </c>
      <c r="DB284" s="17" t="s">
        <v>32</v>
      </c>
      <c r="DC284" s="18" t="s">
        <v>32</v>
      </c>
      <c r="DD284" s="19" t="s">
        <v>32</v>
      </c>
      <c r="DE284" s="17" t="s">
        <v>32</v>
      </c>
      <c r="DF284" s="18" t="s">
        <v>32</v>
      </c>
      <c r="DG284" s="19">
        <v>1</v>
      </c>
      <c r="DH284" s="17" t="s">
        <v>32</v>
      </c>
      <c r="DI284" s="20" t="s">
        <v>32</v>
      </c>
    </row>
    <row r="285" spans="2:113" ht="15" customHeight="1">
      <c r="B285" s="11">
        <v>0</v>
      </c>
      <c r="C285" s="204">
        <v>6</v>
      </c>
      <c r="D285" s="9">
        <v>0</v>
      </c>
      <c r="E285" s="8" t="s">
        <v>32</v>
      </c>
      <c r="F285" s="7">
        <v>0</v>
      </c>
      <c r="G285" s="9" t="s">
        <v>32</v>
      </c>
      <c r="H285" s="8" t="s">
        <v>32</v>
      </c>
      <c r="I285" s="7" t="s">
        <v>32</v>
      </c>
      <c r="J285" s="10" t="s">
        <v>32</v>
      </c>
      <c r="K285" s="11" t="s">
        <v>32</v>
      </c>
      <c r="L285" s="7" t="s">
        <v>32</v>
      </c>
      <c r="M285" s="9" t="s">
        <v>32</v>
      </c>
      <c r="N285" s="8">
        <v>0</v>
      </c>
      <c r="O285" s="7" t="s">
        <v>32</v>
      </c>
      <c r="P285" s="9">
        <v>0</v>
      </c>
      <c r="Q285" s="8" t="s">
        <v>32</v>
      </c>
      <c r="R285" s="7" t="s">
        <v>32</v>
      </c>
      <c r="S285" s="10" t="s">
        <v>32</v>
      </c>
      <c r="T285" s="11" t="s">
        <v>32</v>
      </c>
      <c r="U285" s="7" t="s">
        <v>32</v>
      </c>
      <c r="V285" s="9" t="s">
        <v>32</v>
      </c>
      <c r="W285" s="8" t="s">
        <v>32</v>
      </c>
      <c r="X285" s="7" t="s">
        <v>32</v>
      </c>
      <c r="Y285" s="9" t="s">
        <v>32</v>
      </c>
      <c r="Z285" s="8">
        <v>0</v>
      </c>
      <c r="AA285" s="7" t="s">
        <v>32</v>
      </c>
      <c r="AB285" s="10">
        <v>0</v>
      </c>
      <c r="AC285"/>
      <c r="AD285" s="11">
        <v>3</v>
      </c>
      <c r="AE285" s="204">
        <v>6</v>
      </c>
      <c r="AF285" s="9">
        <v>9</v>
      </c>
      <c r="AG285" s="8" t="s">
        <v>32</v>
      </c>
      <c r="AH285" s="7">
        <v>4</v>
      </c>
      <c r="AI285" s="9" t="s">
        <v>32</v>
      </c>
      <c r="AJ285" s="8" t="s">
        <v>32</v>
      </c>
      <c r="AK285" s="7" t="s">
        <v>32</v>
      </c>
      <c r="AL285" s="10" t="s">
        <v>32</v>
      </c>
      <c r="AM285" s="11" t="s">
        <v>32</v>
      </c>
      <c r="AN285" s="7" t="s">
        <v>32</v>
      </c>
      <c r="AO285" s="9" t="s">
        <v>32</v>
      </c>
      <c r="AP285" s="8">
        <v>7</v>
      </c>
      <c r="AQ285" s="7" t="s">
        <v>32</v>
      </c>
      <c r="AR285" s="9">
        <v>5</v>
      </c>
      <c r="AS285" s="8" t="s">
        <v>32</v>
      </c>
      <c r="AT285" s="7" t="s">
        <v>32</v>
      </c>
      <c r="AU285" s="10" t="s">
        <v>32</v>
      </c>
      <c r="AV285" s="11" t="s">
        <v>32</v>
      </c>
      <c r="AW285" s="7" t="s">
        <v>32</v>
      </c>
      <c r="AX285" s="9" t="s">
        <v>32</v>
      </c>
      <c r="AY285" s="8" t="s">
        <v>32</v>
      </c>
      <c r="AZ285" s="7" t="s">
        <v>32</v>
      </c>
      <c r="BA285" s="9" t="s">
        <v>32</v>
      </c>
      <c r="BB285" s="8">
        <v>2</v>
      </c>
      <c r="BC285" s="7" t="s">
        <v>32</v>
      </c>
      <c r="BD285" s="10">
        <v>1</v>
      </c>
      <c r="BE285"/>
      <c r="BF285"/>
      <c r="BG285" s="11">
        <v>6</v>
      </c>
      <c r="BH285" s="7">
        <v>0</v>
      </c>
      <c r="BI285" s="9" t="s">
        <v>32</v>
      </c>
      <c r="BJ285" s="8" t="s">
        <v>32</v>
      </c>
      <c r="BK285" s="7" t="s">
        <v>32</v>
      </c>
      <c r="BL285" s="9" t="s">
        <v>32</v>
      </c>
      <c r="BM285" s="8" t="s">
        <v>32</v>
      </c>
      <c r="BN285" s="7" t="s">
        <v>32</v>
      </c>
      <c r="BO285" s="10" t="s">
        <v>32</v>
      </c>
      <c r="BP285" s="11" t="s">
        <v>32</v>
      </c>
      <c r="BQ285" s="7" t="s">
        <v>32</v>
      </c>
      <c r="BR285" s="9">
        <v>2</v>
      </c>
      <c r="BS285" s="8">
        <v>0</v>
      </c>
      <c r="BT285" s="7" t="s">
        <v>32</v>
      </c>
      <c r="BU285" s="9">
        <v>0</v>
      </c>
      <c r="BV285" s="8">
        <v>0</v>
      </c>
      <c r="BW285" s="7" t="s">
        <v>32</v>
      </c>
      <c r="BX285" s="10" t="s">
        <v>32</v>
      </c>
      <c r="BY285" s="11" t="s">
        <v>32</v>
      </c>
      <c r="BZ285" s="7" t="s">
        <v>32</v>
      </c>
      <c r="CA285" s="9" t="s">
        <v>32</v>
      </c>
      <c r="CB285" s="8" t="s">
        <v>32</v>
      </c>
      <c r="CC285" s="7" t="s">
        <v>32</v>
      </c>
      <c r="CD285" s="9" t="s">
        <v>32</v>
      </c>
      <c r="CE285" s="8" t="s">
        <v>32</v>
      </c>
      <c r="CF285" s="7">
        <v>0</v>
      </c>
      <c r="CG285" s="10" t="s">
        <v>32</v>
      </c>
      <c r="CI285" s="213">
        <v>6</v>
      </c>
      <c r="CJ285" s="7">
        <v>7</v>
      </c>
      <c r="CK285" s="9" t="s">
        <v>32</v>
      </c>
      <c r="CL285" s="8" t="s">
        <v>32</v>
      </c>
      <c r="CM285" s="7" t="s">
        <v>32</v>
      </c>
      <c r="CN285" s="9" t="s">
        <v>32</v>
      </c>
      <c r="CO285" s="8" t="s">
        <v>32</v>
      </c>
      <c r="CP285" s="7" t="s">
        <v>32</v>
      </c>
      <c r="CQ285" s="10" t="s">
        <v>32</v>
      </c>
      <c r="CR285" s="11" t="s">
        <v>32</v>
      </c>
      <c r="CS285" s="7" t="s">
        <v>32</v>
      </c>
      <c r="CT285" s="205">
        <v>2</v>
      </c>
      <c r="CU285" s="8">
        <v>1</v>
      </c>
      <c r="CV285" s="7" t="s">
        <v>32</v>
      </c>
      <c r="CW285" s="9">
        <v>5</v>
      </c>
      <c r="CX285" s="8">
        <v>8</v>
      </c>
      <c r="CY285" s="7" t="s">
        <v>32</v>
      </c>
      <c r="CZ285" s="10" t="s">
        <v>32</v>
      </c>
      <c r="DA285" s="11" t="s">
        <v>32</v>
      </c>
      <c r="DB285" s="7" t="s">
        <v>32</v>
      </c>
      <c r="DC285" s="9" t="s">
        <v>32</v>
      </c>
      <c r="DD285" s="8" t="s">
        <v>32</v>
      </c>
      <c r="DE285" s="7" t="s">
        <v>32</v>
      </c>
      <c r="DF285" s="9" t="s">
        <v>32</v>
      </c>
      <c r="DG285" s="8" t="s">
        <v>32</v>
      </c>
      <c r="DH285" s="7">
        <v>3</v>
      </c>
      <c r="DI285" s="10" t="s">
        <v>32</v>
      </c>
    </row>
    <row r="286" spans="2:113" ht="15" customHeight="1" thickBot="1">
      <c r="B286" s="21">
        <v>0</v>
      </c>
      <c r="C286" s="22">
        <v>0</v>
      </c>
      <c r="D286" s="23" t="s">
        <v>32</v>
      </c>
      <c r="E286" s="24">
        <v>0</v>
      </c>
      <c r="F286" s="22" t="s">
        <v>32</v>
      </c>
      <c r="G286" s="23" t="s">
        <v>32</v>
      </c>
      <c r="H286" s="24" t="s">
        <v>32</v>
      </c>
      <c r="I286" s="22" t="s">
        <v>32</v>
      </c>
      <c r="J286" s="25" t="s">
        <v>32</v>
      </c>
      <c r="K286" s="21" t="s">
        <v>32</v>
      </c>
      <c r="L286" s="22" t="s">
        <v>32</v>
      </c>
      <c r="M286" s="23">
        <v>0</v>
      </c>
      <c r="N286" s="24" t="s">
        <v>32</v>
      </c>
      <c r="O286" s="22">
        <v>0</v>
      </c>
      <c r="P286" s="23">
        <v>0</v>
      </c>
      <c r="Q286" s="24">
        <v>0</v>
      </c>
      <c r="R286" s="22" t="s">
        <v>32</v>
      </c>
      <c r="S286" s="25" t="s">
        <v>32</v>
      </c>
      <c r="T286" s="21" t="s">
        <v>32</v>
      </c>
      <c r="U286" s="22" t="s">
        <v>32</v>
      </c>
      <c r="V286" s="23" t="s">
        <v>32</v>
      </c>
      <c r="W286" s="24" t="s">
        <v>32</v>
      </c>
      <c r="X286" s="22" t="s">
        <v>32</v>
      </c>
      <c r="Y286" s="23" t="s">
        <v>32</v>
      </c>
      <c r="Z286" s="24" t="s">
        <v>32</v>
      </c>
      <c r="AA286" s="22">
        <v>0</v>
      </c>
      <c r="AB286" s="25">
        <v>0</v>
      </c>
      <c r="AC286"/>
      <c r="AD286" s="21">
        <v>1</v>
      </c>
      <c r="AE286" s="22">
        <v>7</v>
      </c>
      <c r="AF286" s="23" t="s">
        <v>32</v>
      </c>
      <c r="AG286" s="24">
        <v>5</v>
      </c>
      <c r="AH286" s="22" t="s">
        <v>32</v>
      </c>
      <c r="AI286" s="23" t="s">
        <v>32</v>
      </c>
      <c r="AJ286" s="24" t="s">
        <v>32</v>
      </c>
      <c r="AK286" s="22" t="s">
        <v>32</v>
      </c>
      <c r="AL286" s="25" t="s">
        <v>32</v>
      </c>
      <c r="AM286" s="21" t="s">
        <v>32</v>
      </c>
      <c r="AN286" s="22" t="s">
        <v>32</v>
      </c>
      <c r="AO286" s="23">
        <v>8</v>
      </c>
      <c r="AP286" s="24" t="s">
        <v>32</v>
      </c>
      <c r="AQ286" s="22">
        <v>3</v>
      </c>
      <c r="AR286" s="23">
        <v>2</v>
      </c>
      <c r="AS286" s="24">
        <v>4</v>
      </c>
      <c r="AT286" s="22" t="s">
        <v>32</v>
      </c>
      <c r="AU286" s="25" t="s">
        <v>32</v>
      </c>
      <c r="AV286" s="21" t="s">
        <v>32</v>
      </c>
      <c r="AW286" s="22" t="s">
        <v>32</v>
      </c>
      <c r="AX286" s="23" t="s">
        <v>32</v>
      </c>
      <c r="AY286" s="24" t="s">
        <v>32</v>
      </c>
      <c r="AZ286" s="22" t="s">
        <v>32</v>
      </c>
      <c r="BA286" s="23" t="s">
        <v>32</v>
      </c>
      <c r="BB286" s="24" t="s">
        <v>32</v>
      </c>
      <c r="BC286" s="22">
        <v>9</v>
      </c>
      <c r="BD286" s="25">
        <v>6</v>
      </c>
      <c r="BE286"/>
      <c r="BF286"/>
      <c r="BG286" s="21">
        <v>0</v>
      </c>
      <c r="BH286" s="22">
        <v>9</v>
      </c>
      <c r="BI286" s="23" t="s">
        <v>32</v>
      </c>
      <c r="BJ286" s="24" t="s">
        <v>32</v>
      </c>
      <c r="BK286" s="22" t="s">
        <v>32</v>
      </c>
      <c r="BL286" s="23" t="s">
        <v>32</v>
      </c>
      <c r="BM286" s="24" t="s">
        <v>32</v>
      </c>
      <c r="BN286" s="22" t="s">
        <v>32</v>
      </c>
      <c r="BO286" s="25" t="s">
        <v>32</v>
      </c>
      <c r="BP286" s="21" t="s">
        <v>32</v>
      </c>
      <c r="BQ286" s="22" t="s">
        <v>32</v>
      </c>
      <c r="BR286" s="23">
        <v>0</v>
      </c>
      <c r="BS286" s="24">
        <v>0</v>
      </c>
      <c r="BT286" s="22">
        <v>0</v>
      </c>
      <c r="BU286" s="23" t="s">
        <v>32</v>
      </c>
      <c r="BV286" s="24" t="s">
        <v>32</v>
      </c>
      <c r="BW286" s="22" t="s">
        <v>32</v>
      </c>
      <c r="BX286" s="25" t="s">
        <v>32</v>
      </c>
      <c r="BY286" s="21" t="s">
        <v>32</v>
      </c>
      <c r="BZ286" s="22" t="s">
        <v>32</v>
      </c>
      <c r="CA286" s="23" t="s">
        <v>32</v>
      </c>
      <c r="CB286" s="24" t="s">
        <v>32</v>
      </c>
      <c r="CC286" s="22" t="s">
        <v>32</v>
      </c>
      <c r="CD286" s="23" t="s">
        <v>32</v>
      </c>
      <c r="CE286" s="24">
        <v>0</v>
      </c>
      <c r="CF286" s="22">
        <v>8</v>
      </c>
      <c r="CG286" s="25" t="s">
        <v>32</v>
      </c>
      <c r="CI286" s="21">
        <v>3</v>
      </c>
      <c r="CJ286" s="219">
        <v>9</v>
      </c>
      <c r="CK286" s="23" t="s">
        <v>32</v>
      </c>
      <c r="CL286" s="24" t="s">
        <v>32</v>
      </c>
      <c r="CM286" s="22" t="s">
        <v>32</v>
      </c>
      <c r="CN286" s="23" t="s">
        <v>32</v>
      </c>
      <c r="CO286" s="24" t="s">
        <v>32</v>
      </c>
      <c r="CP286" s="22" t="s">
        <v>32</v>
      </c>
      <c r="CQ286" s="25" t="s">
        <v>32</v>
      </c>
      <c r="CR286" s="21" t="s">
        <v>32</v>
      </c>
      <c r="CS286" s="22" t="s">
        <v>32</v>
      </c>
      <c r="CT286" s="23">
        <v>6</v>
      </c>
      <c r="CU286" s="24">
        <v>4</v>
      </c>
      <c r="CV286" s="22">
        <v>7</v>
      </c>
      <c r="CW286" s="23" t="s">
        <v>32</v>
      </c>
      <c r="CX286" s="24" t="s">
        <v>32</v>
      </c>
      <c r="CY286" s="22" t="s">
        <v>32</v>
      </c>
      <c r="CZ286" s="25" t="s">
        <v>32</v>
      </c>
      <c r="DA286" s="21" t="s">
        <v>32</v>
      </c>
      <c r="DB286" s="22" t="s">
        <v>32</v>
      </c>
      <c r="DC286" s="23" t="s">
        <v>32</v>
      </c>
      <c r="DD286" s="24" t="s">
        <v>32</v>
      </c>
      <c r="DE286" s="22" t="s">
        <v>32</v>
      </c>
      <c r="DF286" s="23" t="s">
        <v>32</v>
      </c>
      <c r="DG286" s="24">
        <v>5</v>
      </c>
      <c r="DH286" s="219">
        <v>8</v>
      </c>
      <c r="DI286" s="25" t="s">
        <v>32</v>
      </c>
    </row>
    <row r="287" spans="2:113" ht="15" customHeight="1">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2:113" ht="15" customHeight="1" thickBot="1">
      <c r="B288" t="s">
        <v>91</v>
      </c>
      <c r="C288"/>
      <c r="D288"/>
      <c r="E288"/>
      <c r="F288"/>
      <c r="G288"/>
      <c r="H288"/>
      <c r="I288"/>
      <c r="J288"/>
      <c r="K288"/>
      <c r="L288"/>
      <c r="M288"/>
      <c r="N288"/>
      <c r="O288"/>
      <c r="P288"/>
      <c r="Q288"/>
      <c r="R288"/>
      <c r="S288"/>
      <c r="T288"/>
      <c r="U288"/>
      <c r="V288"/>
      <c r="W288"/>
      <c r="X288"/>
      <c r="Y288"/>
      <c r="Z288"/>
      <c r="AA288"/>
      <c r="AB288"/>
      <c r="AC288"/>
      <c r="AD288" t="s">
        <v>86</v>
      </c>
      <c r="AE288"/>
      <c r="AF288"/>
      <c r="AG288"/>
      <c r="AH288"/>
      <c r="AI288"/>
      <c r="AJ288"/>
      <c r="AK288"/>
      <c r="AL288"/>
      <c r="AM288"/>
      <c r="AN288"/>
      <c r="AO288"/>
      <c r="AP288"/>
      <c r="AQ288"/>
      <c r="AR288"/>
      <c r="AS288"/>
      <c r="AT288"/>
      <c r="AU288"/>
      <c r="AV288"/>
      <c r="AW288"/>
      <c r="AX288"/>
      <c r="AY288"/>
      <c r="AZ288"/>
      <c r="BA288"/>
      <c r="BB288"/>
      <c r="BC288"/>
      <c r="BD288"/>
      <c r="BG288" s="33" t="s">
        <v>93</v>
      </c>
      <c r="CI288" s="33" t="s">
        <v>86</v>
      </c>
    </row>
    <row r="289" spans="2:113" ht="15" customHeight="1">
      <c r="B289" s="2">
        <v>0</v>
      </c>
      <c r="C289" s="5">
        <v>0</v>
      </c>
      <c r="D289" s="3">
        <v>8</v>
      </c>
      <c r="E289" s="4" t="s">
        <v>32</v>
      </c>
      <c r="F289" s="5" t="s">
        <v>32</v>
      </c>
      <c r="G289" s="3" t="s">
        <v>32</v>
      </c>
      <c r="H289" s="4" t="s">
        <v>32</v>
      </c>
      <c r="I289" s="5" t="s">
        <v>32</v>
      </c>
      <c r="J289" s="6" t="s">
        <v>32</v>
      </c>
      <c r="K289" s="2" t="s">
        <v>32</v>
      </c>
      <c r="L289" s="5" t="s">
        <v>32</v>
      </c>
      <c r="M289" s="3" t="s">
        <v>32</v>
      </c>
      <c r="N289" s="4">
        <v>0</v>
      </c>
      <c r="O289" s="5">
        <v>0</v>
      </c>
      <c r="P289" s="3">
        <v>0</v>
      </c>
      <c r="Q289" s="4" t="s">
        <v>32</v>
      </c>
      <c r="R289" s="5" t="s">
        <v>32</v>
      </c>
      <c r="S289" s="6" t="s">
        <v>32</v>
      </c>
      <c r="T289" s="2" t="s">
        <v>32</v>
      </c>
      <c r="U289" s="5" t="s">
        <v>32</v>
      </c>
      <c r="V289" s="3" t="s">
        <v>32</v>
      </c>
      <c r="W289" s="4" t="s">
        <v>32</v>
      </c>
      <c r="X289" s="5" t="s">
        <v>32</v>
      </c>
      <c r="Y289" s="3" t="s">
        <v>32</v>
      </c>
      <c r="Z289" s="4">
        <v>7</v>
      </c>
      <c r="AA289" s="5">
        <v>0</v>
      </c>
      <c r="AB289" s="6">
        <v>0</v>
      </c>
      <c r="AC289"/>
      <c r="AD289" s="2">
        <v>3</v>
      </c>
      <c r="AE289" s="5">
        <v>4</v>
      </c>
      <c r="AF289" s="224">
        <v>8</v>
      </c>
      <c r="AG289" s="4" t="s">
        <v>32</v>
      </c>
      <c r="AH289" s="5" t="s">
        <v>32</v>
      </c>
      <c r="AI289" s="3" t="s">
        <v>32</v>
      </c>
      <c r="AJ289" s="4" t="s">
        <v>32</v>
      </c>
      <c r="AK289" s="5" t="s">
        <v>32</v>
      </c>
      <c r="AL289" s="6" t="s">
        <v>32</v>
      </c>
      <c r="AM289" s="2" t="s">
        <v>32</v>
      </c>
      <c r="AN289" s="5" t="s">
        <v>32</v>
      </c>
      <c r="AO289" s="3" t="s">
        <v>32</v>
      </c>
      <c r="AP289" s="4">
        <v>5</v>
      </c>
      <c r="AQ289" s="5">
        <v>1</v>
      </c>
      <c r="AR289" s="3">
        <v>9</v>
      </c>
      <c r="AS289" s="4" t="s">
        <v>32</v>
      </c>
      <c r="AT289" s="5" t="s">
        <v>32</v>
      </c>
      <c r="AU289" s="6" t="s">
        <v>32</v>
      </c>
      <c r="AV289" s="2" t="s">
        <v>32</v>
      </c>
      <c r="AW289" s="5" t="s">
        <v>32</v>
      </c>
      <c r="AX289" s="3" t="s">
        <v>32</v>
      </c>
      <c r="AY289" s="4" t="s">
        <v>32</v>
      </c>
      <c r="AZ289" s="5" t="s">
        <v>32</v>
      </c>
      <c r="BA289" s="3" t="s">
        <v>32</v>
      </c>
      <c r="BB289" s="222">
        <v>7</v>
      </c>
      <c r="BC289" s="5">
        <v>6</v>
      </c>
      <c r="BD289" s="6">
        <v>2</v>
      </c>
      <c r="BG289" s="2">
        <v>4</v>
      </c>
      <c r="BH289" s="5" t="s">
        <v>32</v>
      </c>
      <c r="BI289" s="3" t="s">
        <v>32</v>
      </c>
      <c r="BJ289" s="4" t="s">
        <v>32</v>
      </c>
      <c r="BK289" s="5" t="s">
        <v>32</v>
      </c>
      <c r="BL289" s="3" t="s">
        <v>32</v>
      </c>
      <c r="BM289" s="4" t="s">
        <v>32</v>
      </c>
      <c r="BN289" s="5" t="s">
        <v>32</v>
      </c>
      <c r="BO289" s="6" t="s">
        <v>32</v>
      </c>
      <c r="BP289" s="2" t="s">
        <v>32</v>
      </c>
      <c r="BQ289" s="5" t="s">
        <v>32</v>
      </c>
      <c r="BR289" s="3" t="s">
        <v>32</v>
      </c>
      <c r="BS289" s="4">
        <v>6</v>
      </c>
      <c r="BT289" s="5">
        <v>0</v>
      </c>
      <c r="BU289" s="3">
        <v>3</v>
      </c>
      <c r="BV289" s="4">
        <v>0</v>
      </c>
      <c r="BW289" s="5" t="s">
        <v>32</v>
      </c>
      <c r="BX289" s="6" t="s">
        <v>32</v>
      </c>
      <c r="BY289" s="2" t="s">
        <v>32</v>
      </c>
      <c r="BZ289" s="5" t="s">
        <v>32</v>
      </c>
      <c r="CA289" s="3" t="s">
        <v>32</v>
      </c>
      <c r="CB289" s="4" t="s">
        <v>32</v>
      </c>
      <c r="CC289" s="5" t="s">
        <v>32</v>
      </c>
      <c r="CD289" s="3" t="s">
        <v>32</v>
      </c>
      <c r="CE289" s="4" t="s">
        <v>32</v>
      </c>
      <c r="CF289" s="5">
        <v>0</v>
      </c>
      <c r="CG289" s="6">
        <v>5</v>
      </c>
      <c r="CI289" s="215">
        <v>4</v>
      </c>
      <c r="CJ289" s="5" t="s">
        <v>32</v>
      </c>
      <c r="CK289" s="3" t="s">
        <v>32</v>
      </c>
      <c r="CL289" s="4" t="s">
        <v>32</v>
      </c>
      <c r="CM289" s="5" t="s">
        <v>32</v>
      </c>
      <c r="CN289" s="3" t="s">
        <v>32</v>
      </c>
      <c r="CO289" s="4" t="s">
        <v>32</v>
      </c>
      <c r="CP289" s="5" t="s">
        <v>32</v>
      </c>
      <c r="CQ289" s="6" t="s">
        <v>32</v>
      </c>
      <c r="CR289" s="2" t="s">
        <v>32</v>
      </c>
      <c r="CS289" s="5" t="s">
        <v>32</v>
      </c>
      <c r="CT289" s="3" t="s">
        <v>32</v>
      </c>
      <c r="CU289" s="222">
        <v>6</v>
      </c>
      <c r="CV289" s="5">
        <v>9</v>
      </c>
      <c r="CW289" s="224">
        <v>3</v>
      </c>
      <c r="CX289" s="4">
        <v>1</v>
      </c>
      <c r="CY289" s="5" t="s">
        <v>32</v>
      </c>
      <c r="CZ289" s="6" t="s">
        <v>32</v>
      </c>
      <c r="DA289" s="2" t="s">
        <v>32</v>
      </c>
      <c r="DB289" s="5" t="s">
        <v>32</v>
      </c>
      <c r="DC289" s="3" t="s">
        <v>32</v>
      </c>
      <c r="DD289" s="4" t="s">
        <v>32</v>
      </c>
      <c r="DE289" s="5" t="s">
        <v>32</v>
      </c>
      <c r="DF289" s="3" t="s">
        <v>32</v>
      </c>
      <c r="DG289" s="4" t="s">
        <v>32</v>
      </c>
      <c r="DH289" s="5">
        <v>7</v>
      </c>
      <c r="DI289" s="217">
        <v>5</v>
      </c>
    </row>
    <row r="290" spans="2:113" ht="15" customHeight="1">
      <c r="B290" s="11">
        <v>5</v>
      </c>
      <c r="C290" s="7">
        <v>0</v>
      </c>
      <c r="D290" s="9">
        <v>0</v>
      </c>
      <c r="E290" s="8" t="s">
        <v>32</v>
      </c>
      <c r="F290" s="7" t="s">
        <v>32</v>
      </c>
      <c r="G290" s="9" t="s">
        <v>32</v>
      </c>
      <c r="H290" s="8" t="s">
        <v>32</v>
      </c>
      <c r="I290" s="7" t="s">
        <v>32</v>
      </c>
      <c r="J290" s="10" t="s">
        <v>32</v>
      </c>
      <c r="K290" s="11" t="s">
        <v>32</v>
      </c>
      <c r="L290" s="7" t="s">
        <v>32</v>
      </c>
      <c r="M290" s="9" t="s">
        <v>32</v>
      </c>
      <c r="N290" s="8">
        <v>6</v>
      </c>
      <c r="O290" s="7">
        <v>0</v>
      </c>
      <c r="P290" s="9">
        <v>7</v>
      </c>
      <c r="Q290" s="8" t="s">
        <v>32</v>
      </c>
      <c r="R290" s="7" t="s">
        <v>32</v>
      </c>
      <c r="S290" s="10" t="s">
        <v>32</v>
      </c>
      <c r="T290" s="11" t="s">
        <v>32</v>
      </c>
      <c r="U290" s="7" t="s">
        <v>32</v>
      </c>
      <c r="V290" s="9" t="s">
        <v>32</v>
      </c>
      <c r="W290" s="8" t="s">
        <v>32</v>
      </c>
      <c r="X290" s="7" t="s">
        <v>32</v>
      </c>
      <c r="Y290" s="9" t="s">
        <v>32</v>
      </c>
      <c r="Z290" s="8">
        <v>0</v>
      </c>
      <c r="AA290" s="7">
        <v>0</v>
      </c>
      <c r="AB290" s="10">
        <v>1</v>
      </c>
      <c r="AC290"/>
      <c r="AD290" s="213">
        <v>5</v>
      </c>
      <c r="AE290" s="7">
        <v>2</v>
      </c>
      <c r="AF290" s="9">
        <v>9</v>
      </c>
      <c r="AG290" s="8" t="s">
        <v>32</v>
      </c>
      <c r="AH290" s="7" t="s">
        <v>32</v>
      </c>
      <c r="AI290" s="9" t="s">
        <v>32</v>
      </c>
      <c r="AJ290" s="8" t="s">
        <v>32</v>
      </c>
      <c r="AK290" s="7" t="s">
        <v>32</v>
      </c>
      <c r="AL290" s="10" t="s">
        <v>32</v>
      </c>
      <c r="AM290" s="11" t="s">
        <v>32</v>
      </c>
      <c r="AN290" s="7" t="s">
        <v>32</v>
      </c>
      <c r="AO290" s="9" t="s">
        <v>32</v>
      </c>
      <c r="AP290" s="206">
        <v>6</v>
      </c>
      <c r="AQ290" s="7">
        <v>3</v>
      </c>
      <c r="AR290" s="205">
        <v>7</v>
      </c>
      <c r="AS290" s="8" t="s">
        <v>32</v>
      </c>
      <c r="AT290" s="7" t="s">
        <v>32</v>
      </c>
      <c r="AU290" s="10" t="s">
        <v>32</v>
      </c>
      <c r="AV290" s="11" t="s">
        <v>32</v>
      </c>
      <c r="AW290" s="7" t="s">
        <v>32</v>
      </c>
      <c r="AX290" s="9" t="s">
        <v>32</v>
      </c>
      <c r="AY290" s="8" t="s">
        <v>32</v>
      </c>
      <c r="AZ290" s="7" t="s">
        <v>32</v>
      </c>
      <c r="BA290" s="9" t="s">
        <v>32</v>
      </c>
      <c r="BB290" s="8">
        <v>8</v>
      </c>
      <c r="BC290" s="7">
        <v>4</v>
      </c>
      <c r="BD290" s="214">
        <v>1</v>
      </c>
      <c r="BG290" s="11" t="s">
        <v>32</v>
      </c>
      <c r="BH290" s="7">
        <v>7</v>
      </c>
      <c r="BI290" s="9" t="s">
        <v>32</v>
      </c>
      <c r="BJ290" s="8" t="s">
        <v>32</v>
      </c>
      <c r="BK290" s="7" t="s">
        <v>32</v>
      </c>
      <c r="BL290" s="9" t="s">
        <v>32</v>
      </c>
      <c r="BM290" s="8" t="s">
        <v>32</v>
      </c>
      <c r="BN290" s="7" t="s">
        <v>32</v>
      </c>
      <c r="BO290" s="10" t="s">
        <v>32</v>
      </c>
      <c r="BP290" s="11" t="s">
        <v>32</v>
      </c>
      <c r="BQ290" s="7" t="s">
        <v>32</v>
      </c>
      <c r="BR290" s="9" t="s">
        <v>32</v>
      </c>
      <c r="BS290" s="8" t="s">
        <v>32</v>
      </c>
      <c r="BT290" s="7">
        <v>0</v>
      </c>
      <c r="BU290" s="9">
        <v>0</v>
      </c>
      <c r="BV290" s="8">
        <v>0</v>
      </c>
      <c r="BW290" s="7" t="s">
        <v>32</v>
      </c>
      <c r="BX290" s="10" t="s">
        <v>32</v>
      </c>
      <c r="BY290" s="11" t="s">
        <v>32</v>
      </c>
      <c r="BZ290" s="7" t="s">
        <v>32</v>
      </c>
      <c r="CA290" s="9" t="s">
        <v>32</v>
      </c>
      <c r="CB290" s="8" t="s">
        <v>32</v>
      </c>
      <c r="CC290" s="7" t="s">
        <v>32</v>
      </c>
      <c r="CD290" s="9" t="s">
        <v>32</v>
      </c>
      <c r="CE290" s="8" t="s">
        <v>32</v>
      </c>
      <c r="CF290" s="7">
        <v>1</v>
      </c>
      <c r="CG290" s="10">
        <v>0</v>
      </c>
      <c r="CI290" s="11" t="s">
        <v>32</v>
      </c>
      <c r="CJ290" s="204">
        <v>7</v>
      </c>
      <c r="CK290" s="9" t="s">
        <v>32</v>
      </c>
      <c r="CL290" s="8" t="s">
        <v>32</v>
      </c>
      <c r="CM290" s="7" t="s">
        <v>32</v>
      </c>
      <c r="CN290" s="9" t="s">
        <v>32</v>
      </c>
      <c r="CO290" s="8" t="s">
        <v>32</v>
      </c>
      <c r="CP290" s="7" t="s">
        <v>32</v>
      </c>
      <c r="CQ290" s="10" t="s">
        <v>32</v>
      </c>
      <c r="CR290" s="11" t="s">
        <v>32</v>
      </c>
      <c r="CS290" s="7" t="s">
        <v>32</v>
      </c>
      <c r="CT290" s="9" t="s">
        <v>32</v>
      </c>
      <c r="CU290" s="8" t="s">
        <v>32</v>
      </c>
      <c r="CV290" s="7">
        <v>4</v>
      </c>
      <c r="CW290" s="9">
        <v>8</v>
      </c>
      <c r="CX290" s="8">
        <v>2</v>
      </c>
      <c r="CY290" s="7" t="s">
        <v>32</v>
      </c>
      <c r="CZ290" s="10" t="s">
        <v>32</v>
      </c>
      <c r="DA290" s="11" t="s">
        <v>32</v>
      </c>
      <c r="DB290" s="7" t="s">
        <v>32</v>
      </c>
      <c r="DC290" s="9" t="s">
        <v>32</v>
      </c>
      <c r="DD290" s="8" t="s">
        <v>32</v>
      </c>
      <c r="DE290" s="7" t="s">
        <v>32</v>
      </c>
      <c r="DF290" s="9" t="s">
        <v>32</v>
      </c>
      <c r="DG290" s="8" t="s">
        <v>32</v>
      </c>
      <c r="DH290" s="204">
        <v>1</v>
      </c>
      <c r="DI290" s="10">
        <v>6</v>
      </c>
    </row>
    <row r="291" spans="2:113" ht="15" customHeight="1">
      <c r="B291" s="12">
        <v>0</v>
      </c>
      <c r="C291" s="13">
        <v>6</v>
      </c>
      <c r="D291" s="15">
        <v>0</v>
      </c>
      <c r="E291" s="14" t="s">
        <v>32</v>
      </c>
      <c r="F291" s="13" t="s">
        <v>32</v>
      </c>
      <c r="G291" s="15" t="s">
        <v>32</v>
      </c>
      <c r="H291" s="14" t="s">
        <v>32</v>
      </c>
      <c r="I291" s="13" t="s">
        <v>32</v>
      </c>
      <c r="J291" s="1" t="s">
        <v>32</v>
      </c>
      <c r="K291" s="12" t="s">
        <v>32</v>
      </c>
      <c r="L291" s="13" t="s">
        <v>32</v>
      </c>
      <c r="M291" s="15" t="s">
        <v>32</v>
      </c>
      <c r="N291" s="14">
        <v>4</v>
      </c>
      <c r="O291" s="13">
        <v>0</v>
      </c>
      <c r="P291" s="15">
        <v>8</v>
      </c>
      <c r="Q291" s="14" t="s">
        <v>32</v>
      </c>
      <c r="R291" s="13" t="s">
        <v>32</v>
      </c>
      <c r="S291" s="1" t="s">
        <v>32</v>
      </c>
      <c r="T291" s="12" t="s">
        <v>32</v>
      </c>
      <c r="U291" s="13" t="s">
        <v>32</v>
      </c>
      <c r="V291" s="15" t="s">
        <v>32</v>
      </c>
      <c r="W291" s="14" t="s">
        <v>32</v>
      </c>
      <c r="X291" s="13" t="s">
        <v>32</v>
      </c>
      <c r="Y291" s="15" t="s">
        <v>32</v>
      </c>
      <c r="Z291" s="14">
        <v>0</v>
      </c>
      <c r="AA291" s="13">
        <v>5</v>
      </c>
      <c r="AB291" s="1">
        <v>0</v>
      </c>
      <c r="AC291"/>
      <c r="AD291" s="12">
        <v>7</v>
      </c>
      <c r="AE291" s="212">
        <v>6</v>
      </c>
      <c r="AF291" s="15">
        <v>1</v>
      </c>
      <c r="AG291" s="14" t="s">
        <v>32</v>
      </c>
      <c r="AH291" s="13" t="s">
        <v>32</v>
      </c>
      <c r="AI291" s="15" t="s">
        <v>32</v>
      </c>
      <c r="AJ291" s="14" t="s">
        <v>32</v>
      </c>
      <c r="AK291" s="13" t="s">
        <v>32</v>
      </c>
      <c r="AL291" s="1" t="s">
        <v>32</v>
      </c>
      <c r="AM291" s="12" t="s">
        <v>32</v>
      </c>
      <c r="AN291" s="13" t="s">
        <v>32</v>
      </c>
      <c r="AO291" s="15" t="s">
        <v>32</v>
      </c>
      <c r="AP291" s="207">
        <v>4</v>
      </c>
      <c r="AQ291" s="13">
        <v>2</v>
      </c>
      <c r="AR291" s="208">
        <v>8</v>
      </c>
      <c r="AS291" s="14" t="s">
        <v>32</v>
      </c>
      <c r="AT291" s="13" t="s">
        <v>32</v>
      </c>
      <c r="AU291" s="1" t="s">
        <v>32</v>
      </c>
      <c r="AV291" s="12" t="s">
        <v>32</v>
      </c>
      <c r="AW291" s="13" t="s">
        <v>32</v>
      </c>
      <c r="AX291" s="15" t="s">
        <v>32</v>
      </c>
      <c r="AY291" s="14" t="s">
        <v>32</v>
      </c>
      <c r="AZ291" s="13" t="s">
        <v>32</v>
      </c>
      <c r="BA291" s="15" t="s">
        <v>32</v>
      </c>
      <c r="BB291" s="14">
        <v>9</v>
      </c>
      <c r="BC291" s="212">
        <v>5</v>
      </c>
      <c r="BD291" s="1">
        <v>3</v>
      </c>
      <c r="BG291" s="12">
        <v>0</v>
      </c>
      <c r="BH291" s="13" t="s">
        <v>32</v>
      </c>
      <c r="BI291" s="15" t="s">
        <v>32</v>
      </c>
      <c r="BJ291" s="14" t="s">
        <v>32</v>
      </c>
      <c r="BK291" s="13" t="s">
        <v>32</v>
      </c>
      <c r="BL291" s="15" t="s">
        <v>32</v>
      </c>
      <c r="BM291" s="14" t="s">
        <v>32</v>
      </c>
      <c r="BN291" s="13" t="s">
        <v>32</v>
      </c>
      <c r="BO291" s="1" t="s">
        <v>32</v>
      </c>
      <c r="BP291" s="12" t="s">
        <v>32</v>
      </c>
      <c r="BQ291" s="13" t="s">
        <v>32</v>
      </c>
      <c r="BR291" s="15" t="s">
        <v>32</v>
      </c>
      <c r="BS291" s="14">
        <v>0</v>
      </c>
      <c r="BT291" s="13" t="s">
        <v>32</v>
      </c>
      <c r="BU291" s="15" t="s">
        <v>32</v>
      </c>
      <c r="BV291" s="14">
        <v>0</v>
      </c>
      <c r="BW291" s="13" t="s">
        <v>32</v>
      </c>
      <c r="BX291" s="1" t="s">
        <v>32</v>
      </c>
      <c r="BY291" s="12" t="s">
        <v>32</v>
      </c>
      <c r="BZ291" s="13" t="s">
        <v>32</v>
      </c>
      <c r="CA291" s="15" t="s">
        <v>32</v>
      </c>
      <c r="CB291" s="14" t="s">
        <v>32</v>
      </c>
      <c r="CC291" s="13" t="s">
        <v>32</v>
      </c>
      <c r="CD291" s="15" t="s">
        <v>32</v>
      </c>
      <c r="CE291" s="14" t="s">
        <v>32</v>
      </c>
      <c r="CF291" s="13">
        <v>0</v>
      </c>
      <c r="CG291" s="1">
        <v>0</v>
      </c>
      <c r="CI291" s="12">
        <v>8</v>
      </c>
      <c r="CJ291" s="13" t="s">
        <v>32</v>
      </c>
      <c r="CK291" s="15" t="s">
        <v>32</v>
      </c>
      <c r="CL291" s="14" t="s">
        <v>32</v>
      </c>
      <c r="CM291" s="13" t="s">
        <v>32</v>
      </c>
      <c r="CN291" s="15" t="s">
        <v>32</v>
      </c>
      <c r="CO291" s="14" t="s">
        <v>32</v>
      </c>
      <c r="CP291" s="13" t="s">
        <v>32</v>
      </c>
      <c r="CQ291" s="1" t="s">
        <v>32</v>
      </c>
      <c r="CR291" s="12" t="s">
        <v>32</v>
      </c>
      <c r="CS291" s="13" t="s">
        <v>32</v>
      </c>
      <c r="CT291" s="15" t="s">
        <v>32</v>
      </c>
      <c r="CU291" s="14">
        <v>7</v>
      </c>
      <c r="CV291" s="13" t="s">
        <v>32</v>
      </c>
      <c r="CW291" s="15" t="s">
        <v>32</v>
      </c>
      <c r="CX291" s="14">
        <v>5</v>
      </c>
      <c r="CY291" s="13" t="s">
        <v>32</v>
      </c>
      <c r="CZ291" s="1" t="s">
        <v>32</v>
      </c>
      <c r="DA291" s="12" t="s">
        <v>32</v>
      </c>
      <c r="DB291" s="13" t="s">
        <v>32</v>
      </c>
      <c r="DC291" s="15" t="s">
        <v>32</v>
      </c>
      <c r="DD291" s="14" t="s">
        <v>32</v>
      </c>
      <c r="DE291" s="13" t="s">
        <v>32</v>
      </c>
      <c r="DF291" s="15" t="s">
        <v>32</v>
      </c>
      <c r="DG291" s="14" t="s">
        <v>32</v>
      </c>
      <c r="DH291" s="13">
        <v>4</v>
      </c>
      <c r="DI291" s="1">
        <v>2</v>
      </c>
    </row>
    <row r="292" spans="2:113" ht="15" customHeight="1">
      <c r="B292" s="16" t="s">
        <v>32</v>
      </c>
      <c r="C292" s="17" t="s">
        <v>32</v>
      </c>
      <c r="D292" s="18" t="s">
        <v>32</v>
      </c>
      <c r="E292" s="19" t="s">
        <v>32</v>
      </c>
      <c r="F292" s="17" t="s">
        <v>32</v>
      </c>
      <c r="G292" s="18" t="s">
        <v>32</v>
      </c>
      <c r="H292" s="19" t="s">
        <v>32</v>
      </c>
      <c r="I292" s="17" t="s">
        <v>32</v>
      </c>
      <c r="J292" s="20" t="s">
        <v>32</v>
      </c>
      <c r="K292" s="16" t="s">
        <v>32</v>
      </c>
      <c r="L292" s="17" t="s">
        <v>32</v>
      </c>
      <c r="M292" s="18" t="s">
        <v>32</v>
      </c>
      <c r="N292" s="19" t="s">
        <v>32</v>
      </c>
      <c r="O292" s="17" t="s">
        <v>32</v>
      </c>
      <c r="P292" s="18" t="s">
        <v>32</v>
      </c>
      <c r="Q292" s="19" t="s">
        <v>32</v>
      </c>
      <c r="R292" s="17" t="s">
        <v>32</v>
      </c>
      <c r="S292" s="20" t="s">
        <v>32</v>
      </c>
      <c r="T292" s="16" t="s">
        <v>32</v>
      </c>
      <c r="U292" s="17" t="s">
        <v>32</v>
      </c>
      <c r="V292" s="18" t="s">
        <v>32</v>
      </c>
      <c r="W292" s="19" t="s">
        <v>32</v>
      </c>
      <c r="X292" s="17" t="s">
        <v>32</v>
      </c>
      <c r="Y292" s="18" t="s">
        <v>32</v>
      </c>
      <c r="Z292" s="19" t="s">
        <v>32</v>
      </c>
      <c r="AA292" s="17" t="s">
        <v>32</v>
      </c>
      <c r="AB292" s="20" t="s">
        <v>32</v>
      </c>
      <c r="AC292"/>
      <c r="AD292" s="16" t="s">
        <v>32</v>
      </c>
      <c r="AE292" s="17" t="s">
        <v>32</v>
      </c>
      <c r="AF292" s="18" t="s">
        <v>32</v>
      </c>
      <c r="AG292" s="19" t="s">
        <v>32</v>
      </c>
      <c r="AH292" s="17" t="s">
        <v>32</v>
      </c>
      <c r="AI292" s="18" t="s">
        <v>32</v>
      </c>
      <c r="AJ292" s="19" t="s">
        <v>32</v>
      </c>
      <c r="AK292" s="17" t="s">
        <v>32</v>
      </c>
      <c r="AL292" s="20" t="s">
        <v>32</v>
      </c>
      <c r="AM292" s="16" t="s">
        <v>32</v>
      </c>
      <c r="AN292" s="17" t="s">
        <v>32</v>
      </c>
      <c r="AO292" s="18" t="s">
        <v>32</v>
      </c>
      <c r="AP292" s="19" t="s">
        <v>32</v>
      </c>
      <c r="AQ292" s="17" t="s">
        <v>32</v>
      </c>
      <c r="AR292" s="18" t="s">
        <v>32</v>
      </c>
      <c r="AS292" s="19" t="s">
        <v>32</v>
      </c>
      <c r="AT292" s="17" t="s">
        <v>32</v>
      </c>
      <c r="AU292" s="20" t="s">
        <v>32</v>
      </c>
      <c r="AV292" s="16" t="s">
        <v>32</v>
      </c>
      <c r="AW292" s="17" t="s">
        <v>32</v>
      </c>
      <c r="AX292" s="18" t="s">
        <v>32</v>
      </c>
      <c r="AY292" s="19" t="s">
        <v>32</v>
      </c>
      <c r="AZ292" s="17" t="s">
        <v>32</v>
      </c>
      <c r="BA292" s="18" t="s">
        <v>32</v>
      </c>
      <c r="BB292" s="19" t="s">
        <v>32</v>
      </c>
      <c r="BC292" s="17" t="s">
        <v>32</v>
      </c>
      <c r="BD292" s="20" t="s">
        <v>32</v>
      </c>
      <c r="BG292" s="16">
        <v>9</v>
      </c>
      <c r="BH292" s="17" t="s">
        <v>32</v>
      </c>
      <c r="BI292" s="18" t="s">
        <v>32</v>
      </c>
      <c r="BJ292" s="19" t="s">
        <v>32</v>
      </c>
      <c r="BK292" s="17" t="s">
        <v>32</v>
      </c>
      <c r="BL292" s="18" t="s">
        <v>32</v>
      </c>
      <c r="BM292" s="19" t="s">
        <v>32</v>
      </c>
      <c r="BN292" s="17" t="s">
        <v>32</v>
      </c>
      <c r="BO292" s="20" t="s">
        <v>32</v>
      </c>
      <c r="BP292" s="16" t="s">
        <v>32</v>
      </c>
      <c r="BQ292" s="17" t="s">
        <v>32</v>
      </c>
      <c r="BR292" s="18" t="s">
        <v>32</v>
      </c>
      <c r="BS292" s="19" t="s">
        <v>32</v>
      </c>
      <c r="BT292" s="17" t="s">
        <v>32</v>
      </c>
      <c r="BU292" s="18" t="s">
        <v>32</v>
      </c>
      <c r="BV292" s="19" t="s">
        <v>32</v>
      </c>
      <c r="BW292" s="17" t="s">
        <v>32</v>
      </c>
      <c r="BX292" s="20" t="s">
        <v>32</v>
      </c>
      <c r="BY292" s="16" t="s">
        <v>32</v>
      </c>
      <c r="BZ292" s="17" t="s">
        <v>32</v>
      </c>
      <c r="CA292" s="18" t="s">
        <v>32</v>
      </c>
      <c r="CB292" s="19" t="s">
        <v>32</v>
      </c>
      <c r="CC292" s="17" t="s">
        <v>32</v>
      </c>
      <c r="CD292" s="18" t="s">
        <v>32</v>
      </c>
      <c r="CE292" s="19" t="s">
        <v>32</v>
      </c>
      <c r="CF292" s="17" t="s">
        <v>32</v>
      </c>
      <c r="CG292" s="20">
        <v>8</v>
      </c>
      <c r="CI292" s="426">
        <v>9</v>
      </c>
      <c r="CJ292" s="17" t="s">
        <v>32</v>
      </c>
      <c r="CK292" s="18" t="s">
        <v>32</v>
      </c>
      <c r="CL292" s="19" t="s">
        <v>32</v>
      </c>
      <c r="CM292" s="17" t="s">
        <v>32</v>
      </c>
      <c r="CN292" s="18" t="s">
        <v>32</v>
      </c>
      <c r="CO292" s="19" t="s">
        <v>32</v>
      </c>
      <c r="CP292" s="17" t="s">
        <v>32</v>
      </c>
      <c r="CQ292" s="20" t="s">
        <v>32</v>
      </c>
      <c r="CR292" s="16" t="s">
        <v>32</v>
      </c>
      <c r="CS292" s="17" t="s">
        <v>32</v>
      </c>
      <c r="CT292" s="18" t="s">
        <v>32</v>
      </c>
      <c r="CU292" s="19" t="s">
        <v>32</v>
      </c>
      <c r="CV292" s="17" t="s">
        <v>32</v>
      </c>
      <c r="CW292" s="18" t="s">
        <v>32</v>
      </c>
      <c r="CX292" s="19" t="s">
        <v>32</v>
      </c>
      <c r="CY292" s="17" t="s">
        <v>32</v>
      </c>
      <c r="CZ292" s="20" t="s">
        <v>32</v>
      </c>
      <c r="DA292" s="16" t="s">
        <v>32</v>
      </c>
      <c r="DB292" s="17" t="s">
        <v>32</v>
      </c>
      <c r="DC292" s="18" t="s">
        <v>32</v>
      </c>
      <c r="DD292" s="19" t="s">
        <v>32</v>
      </c>
      <c r="DE292" s="17" t="s">
        <v>32</v>
      </c>
      <c r="DF292" s="18" t="s">
        <v>32</v>
      </c>
      <c r="DG292" s="19" t="s">
        <v>32</v>
      </c>
      <c r="DH292" s="17" t="s">
        <v>32</v>
      </c>
      <c r="DI292" s="427">
        <v>8</v>
      </c>
    </row>
    <row r="293" spans="2:113" ht="15" customHeight="1">
      <c r="B293" s="11" t="s">
        <v>32</v>
      </c>
      <c r="C293" s="7" t="s">
        <v>32</v>
      </c>
      <c r="D293" s="9" t="s">
        <v>32</v>
      </c>
      <c r="E293" s="8" t="s">
        <v>32</v>
      </c>
      <c r="F293" s="7" t="s">
        <v>32</v>
      </c>
      <c r="G293" s="9" t="s">
        <v>32</v>
      </c>
      <c r="H293" s="8" t="s">
        <v>32</v>
      </c>
      <c r="I293" s="7" t="s">
        <v>32</v>
      </c>
      <c r="J293" s="10" t="s">
        <v>32</v>
      </c>
      <c r="K293" s="11" t="s">
        <v>32</v>
      </c>
      <c r="L293" s="7" t="s">
        <v>32</v>
      </c>
      <c r="M293" s="9" t="s">
        <v>32</v>
      </c>
      <c r="N293" s="8" t="s">
        <v>32</v>
      </c>
      <c r="O293" s="7" t="s">
        <v>32</v>
      </c>
      <c r="P293" s="9" t="s">
        <v>32</v>
      </c>
      <c r="Q293" s="8" t="s">
        <v>32</v>
      </c>
      <c r="R293" s="7" t="s">
        <v>32</v>
      </c>
      <c r="S293" s="10" t="s">
        <v>32</v>
      </c>
      <c r="T293" s="11" t="s">
        <v>32</v>
      </c>
      <c r="U293" s="7" t="s">
        <v>32</v>
      </c>
      <c r="V293" s="9" t="s">
        <v>32</v>
      </c>
      <c r="W293" s="8" t="s">
        <v>32</v>
      </c>
      <c r="X293" s="7" t="s">
        <v>32</v>
      </c>
      <c r="Y293" s="9" t="s">
        <v>32</v>
      </c>
      <c r="Z293" s="8" t="s">
        <v>32</v>
      </c>
      <c r="AA293" s="7" t="s">
        <v>32</v>
      </c>
      <c r="AB293" s="10" t="s">
        <v>32</v>
      </c>
      <c r="AC293"/>
      <c r="AD293" s="11" t="s">
        <v>32</v>
      </c>
      <c r="AE293" s="7" t="s">
        <v>32</v>
      </c>
      <c r="AF293" s="9" t="s">
        <v>32</v>
      </c>
      <c r="AG293" s="8" t="s">
        <v>32</v>
      </c>
      <c r="AH293" s="7" t="s">
        <v>32</v>
      </c>
      <c r="AI293" s="9" t="s">
        <v>32</v>
      </c>
      <c r="AJ293" s="8" t="s">
        <v>32</v>
      </c>
      <c r="AK293" s="7" t="s">
        <v>32</v>
      </c>
      <c r="AL293" s="10" t="s">
        <v>32</v>
      </c>
      <c r="AM293" s="11" t="s">
        <v>32</v>
      </c>
      <c r="AN293" s="7" t="s">
        <v>32</v>
      </c>
      <c r="AO293" s="9" t="s">
        <v>32</v>
      </c>
      <c r="AP293" s="8" t="s">
        <v>32</v>
      </c>
      <c r="AQ293" s="7" t="s">
        <v>32</v>
      </c>
      <c r="AR293" s="9" t="s">
        <v>32</v>
      </c>
      <c r="AS293" s="8" t="s">
        <v>32</v>
      </c>
      <c r="AT293" s="7" t="s">
        <v>32</v>
      </c>
      <c r="AU293" s="10" t="s">
        <v>32</v>
      </c>
      <c r="AV293" s="11" t="s">
        <v>32</v>
      </c>
      <c r="AW293" s="7" t="s">
        <v>32</v>
      </c>
      <c r="AX293" s="9" t="s">
        <v>32</v>
      </c>
      <c r="AY293" s="8" t="s">
        <v>32</v>
      </c>
      <c r="AZ293" s="7" t="s">
        <v>32</v>
      </c>
      <c r="BA293" s="9" t="s">
        <v>32</v>
      </c>
      <c r="BB293" s="8" t="s">
        <v>32</v>
      </c>
      <c r="BC293" s="7" t="s">
        <v>32</v>
      </c>
      <c r="BD293" s="10" t="s">
        <v>32</v>
      </c>
      <c r="BG293" s="11">
        <v>0</v>
      </c>
      <c r="BH293" s="7">
        <v>0</v>
      </c>
      <c r="BI293" s="9" t="s">
        <v>32</v>
      </c>
      <c r="BJ293" s="8" t="s">
        <v>32</v>
      </c>
      <c r="BK293" s="7" t="s">
        <v>32</v>
      </c>
      <c r="BL293" s="9" t="s">
        <v>32</v>
      </c>
      <c r="BM293" s="8" t="s">
        <v>32</v>
      </c>
      <c r="BN293" s="7" t="s">
        <v>32</v>
      </c>
      <c r="BO293" s="10" t="s">
        <v>32</v>
      </c>
      <c r="BP293" s="11" t="s">
        <v>32</v>
      </c>
      <c r="BQ293" s="7" t="s">
        <v>32</v>
      </c>
      <c r="BR293" s="9" t="s">
        <v>32</v>
      </c>
      <c r="BS293" s="8" t="s">
        <v>32</v>
      </c>
      <c r="BT293" s="7" t="s">
        <v>32</v>
      </c>
      <c r="BU293" s="9" t="s">
        <v>32</v>
      </c>
      <c r="BV293" s="8" t="s">
        <v>32</v>
      </c>
      <c r="BW293" s="7" t="s">
        <v>32</v>
      </c>
      <c r="BX293" s="10" t="s">
        <v>32</v>
      </c>
      <c r="BY293" s="11" t="s">
        <v>32</v>
      </c>
      <c r="BZ293" s="7" t="s">
        <v>32</v>
      </c>
      <c r="CA293" s="9" t="s">
        <v>32</v>
      </c>
      <c r="CB293" s="8" t="s">
        <v>32</v>
      </c>
      <c r="CC293" s="7" t="s">
        <v>32</v>
      </c>
      <c r="CD293" s="9" t="s">
        <v>32</v>
      </c>
      <c r="CE293" s="8" t="s">
        <v>32</v>
      </c>
      <c r="CF293" s="7">
        <v>0</v>
      </c>
      <c r="CG293" s="10" t="s">
        <v>32</v>
      </c>
      <c r="CI293" s="11">
        <v>1</v>
      </c>
      <c r="CJ293" s="7">
        <v>3</v>
      </c>
      <c r="CK293" s="9" t="s">
        <v>32</v>
      </c>
      <c r="CL293" s="8" t="s">
        <v>32</v>
      </c>
      <c r="CM293" s="7" t="s">
        <v>32</v>
      </c>
      <c r="CN293" s="9" t="s">
        <v>32</v>
      </c>
      <c r="CO293" s="8" t="s">
        <v>32</v>
      </c>
      <c r="CP293" s="7" t="s">
        <v>32</v>
      </c>
      <c r="CQ293" s="10" t="s">
        <v>32</v>
      </c>
      <c r="CR293" s="11" t="s">
        <v>32</v>
      </c>
      <c r="CS293" s="7" t="s">
        <v>32</v>
      </c>
      <c r="CT293" s="9" t="s">
        <v>32</v>
      </c>
      <c r="CU293" s="8" t="s">
        <v>32</v>
      </c>
      <c r="CV293" s="7" t="s">
        <v>32</v>
      </c>
      <c r="CW293" s="9" t="s">
        <v>32</v>
      </c>
      <c r="CX293" s="8" t="s">
        <v>32</v>
      </c>
      <c r="CY293" s="7" t="s">
        <v>32</v>
      </c>
      <c r="CZ293" s="10" t="s">
        <v>32</v>
      </c>
      <c r="DA293" s="11" t="s">
        <v>32</v>
      </c>
      <c r="DB293" s="7" t="s">
        <v>32</v>
      </c>
      <c r="DC293" s="9" t="s">
        <v>32</v>
      </c>
      <c r="DD293" s="8" t="s">
        <v>32</v>
      </c>
      <c r="DE293" s="7" t="s">
        <v>32</v>
      </c>
      <c r="DF293" s="9" t="s">
        <v>32</v>
      </c>
      <c r="DG293" s="8" t="s">
        <v>32</v>
      </c>
      <c r="DH293" s="7">
        <v>9</v>
      </c>
      <c r="DI293" s="10" t="s">
        <v>32</v>
      </c>
    </row>
    <row r="294" spans="2:113" ht="15" customHeight="1">
      <c r="B294" s="12" t="s">
        <v>32</v>
      </c>
      <c r="C294" s="13" t="s">
        <v>32</v>
      </c>
      <c r="D294" s="15" t="s">
        <v>32</v>
      </c>
      <c r="E294" s="14" t="s">
        <v>32</v>
      </c>
      <c r="F294" s="13" t="s">
        <v>32</v>
      </c>
      <c r="G294" s="15" t="s">
        <v>32</v>
      </c>
      <c r="H294" s="14" t="s">
        <v>32</v>
      </c>
      <c r="I294" s="13" t="s">
        <v>32</v>
      </c>
      <c r="J294" s="1" t="s">
        <v>32</v>
      </c>
      <c r="K294" s="12" t="s">
        <v>32</v>
      </c>
      <c r="L294" s="13" t="s">
        <v>32</v>
      </c>
      <c r="M294" s="15" t="s">
        <v>32</v>
      </c>
      <c r="N294" s="14" t="s">
        <v>32</v>
      </c>
      <c r="O294" s="13" t="s">
        <v>32</v>
      </c>
      <c r="P294" s="15" t="s">
        <v>32</v>
      </c>
      <c r="Q294" s="14" t="s">
        <v>32</v>
      </c>
      <c r="R294" s="13" t="s">
        <v>32</v>
      </c>
      <c r="S294" s="1" t="s">
        <v>32</v>
      </c>
      <c r="T294" s="12" t="s">
        <v>32</v>
      </c>
      <c r="U294" s="13" t="s">
        <v>32</v>
      </c>
      <c r="V294" s="15" t="s">
        <v>32</v>
      </c>
      <c r="W294" s="14" t="s">
        <v>32</v>
      </c>
      <c r="X294" s="13" t="s">
        <v>32</v>
      </c>
      <c r="Y294" s="15" t="s">
        <v>32</v>
      </c>
      <c r="Z294" s="14" t="s">
        <v>32</v>
      </c>
      <c r="AA294" s="13" t="s">
        <v>32</v>
      </c>
      <c r="AB294" s="1" t="s">
        <v>32</v>
      </c>
      <c r="AC294"/>
      <c r="AD294" s="12" t="s">
        <v>32</v>
      </c>
      <c r="AE294" s="13" t="s">
        <v>32</v>
      </c>
      <c r="AF294" s="15" t="s">
        <v>32</v>
      </c>
      <c r="AG294" s="14" t="s">
        <v>32</v>
      </c>
      <c r="AH294" s="13" t="s">
        <v>32</v>
      </c>
      <c r="AI294" s="15" t="s">
        <v>32</v>
      </c>
      <c r="AJ294" s="14" t="s">
        <v>32</v>
      </c>
      <c r="AK294" s="13" t="s">
        <v>32</v>
      </c>
      <c r="AL294" s="1" t="s">
        <v>32</v>
      </c>
      <c r="AM294" s="12" t="s">
        <v>32</v>
      </c>
      <c r="AN294" s="13" t="s">
        <v>32</v>
      </c>
      <c r="AO294" s="15" t="s">
        <v>32</v>
      </c>
      <c r="AP294" s="14" t="s">
        <v>32</v>
      </c>
      <c r="AQ294" s="13" t="s">
        <v>32</v>
      </c>
      <c r="AR294" s="15" t="s">
        <v>32</v>
      </c>
      <c r="AS294" s="14" t="s">
        <v>32</v>
      </c>
      <c r="AT294" s="13" t="s">
        <v>32</v>
      </c>
      <c r="AU294" s="1" t="s">
        <v>32</v>
      </c>
      <c r="AV294" s="12" t="s">
        <v>32</v>
      </c>
      <c r="AW294" s="13" t="s">
        <v>32</v>
      </c>
      <c r="AX294" s="15" t="s">
        <v>32</v>
      </c>
      <c r="AY294" s="14" t="s">
        <v>32</v>
      </c>
      <c r="AZ294" s="13" t="s">
        <v>32</v>
      </c>
      <c r="BA294" s="15" t="s">
        <v>32</v>
      </c>
      <c r="BB294" s="14" t="s">
        <v>32</v>
      </c>
      <c r="BC294" s="13" t="s">
        <v>32</v>
      </c>
      <c r="BD294" s="1" t="s">
        <v>32</v>
      </c>
      <c r="BG294" s="12">
        <v>6</v>
      </c>
      <c r="BH294" s="13">
        <v>0</v>
      </c>
      <c r="BI294" s="15" t="s">
        <v>32</v>
      </c>
      <c r="BJ294" s="14" t="s">
        <v>32</v>
      </c>
      <c r="BK294" s="13" t="s">
        <v>32</v>
      </c>
      <c r="BL294" s="15" t="s">
        <v>32</v>
      </c>
      <c r="BM294" s="14" t="s">
        <v>32</v>
      </c>
      <c r="BN294" s="13" t="s">
        <v>32</v>
      </c>
      <c r="BO294" s="1" t="s">
        <v>32</v>
      </c>
      <c r="BP294" s="12" t="s">
        <v>32</v>
      </c>
      <c r="BQ294" s="13" t="s">
        <v>32</v>
      </c>
      <c r="BR294" s="15" t="s">
        <v>32</v>
      </c>
      <c r="BS294" s="14" t="s">
        <v>32</v>
      </c>
      <c r="BT294" s="13" t="s">
        <v>32</v>
      </c>
      <c r="BU294" s="15" t="s">
        <v>32</v>
      </c>
      <c r="BV294" s="14" t="s">
        <v>32</v>
      </c>
      <c r="BW294" s="13" t="s">
        <v>32</v>
      </c>
      <c r="BX294" s="1" t="s">
        <v>32</v>
      </c>
      <c r="BY294" s="12" t="s">
        <v>32</v>
      </c>
      <c r="BZ294" s="13" t="s">
        <v>32</v>
      </c>
      <c r="CA294" s="15" t="s">
        <v>32</v>
      </c>
      <c r="CB294" s="14" t="s">
        <v>32</v>
      </c>
      <c r="CC294" s="13" t="s">
        <v>32</v>
      </c>
      <c r="CD294" s="15" t="s">
        <v>32</v>
      </c>
      <c r="CE294" s="14" t="s">
        <v>32</v>
      </c>
      <c r="CF294" s="13">
        <v>0</v>
      </c>
      <c r="CG294" s="1" t="s">
        <v>32</v>
      </c>
      <c r="CI294" s="424">
        <v>6</v>
      </c>
      <c r="CJ294" s="13">
        <v>2</v>
      </c>
      <c r="CK294" s="15" t="s">
        <v>32</v>
      </c>
      <c r="CL294" s="14" t="s">
        <v>32</v>
      </c>
      <c r="CM294" s="13" t="s">
        <v>32</v>
      </c>
      <c r="CN294" s="15" t="s">
        <v>32</v>
      </c>
      <c r="CO294" s="14" t="s">
        <v>32</v>
      </c>
      <c r="CP294" s="13" t="s">
        <v>32</v>
      </c>
      <c r="CQ294" s="1" t="s">
        <v>32</v>
      </c>
      <c r="CR294" s="12" t="s">
        <v>32</v>
      </c>
      <c r="CS294" s="13" t="s">
        <v>32</v>
      </c>
      <c r="CT294" s="15" t="s">
        <v>32</v>
      </c>
      <c r="CU294" s="14" t="s">
        <v>32</v>
      </c>
      <c r="CV294" s="13" t="s">
        <v>32</v>
      </c>
      <c r="CW294" s="15" t="s">
        <v>32</v>
      </c>
      <c r="CX294" s="14" t="s">
        <v>32</v>
      </c>
      <c r="CY294" s="13" t="s">
        <v>32</v>
      </c>
      <c r="CZ294" s="1" t="s">
        <v>32</v>
      </c>
      <c r="DA294" s="12" t="s">
        <v>32</v>
      </c>
      <c r="DB294" s="13" t="s">
        <v>32</v>
      </c>
      <c r="DC294" s="15" t="s">
        <v>32</v>
      </c>
      <c r="DD294" s="14" t="s">
        <v>32</v>
      </c>
      <c r="DE294" s="13" t="s">
        <v>32</v>
      </c>
      <c r="DF294" s="15" t="s">
        <v>32</v>
      </c>
      <c r="DG294" s="14" t="s">
        <v>32</v>
      </c>
      <c r="DH294" s="13">
        <v>3</v>
      </c>
      <c r="DI294" s="1" t="s">
        <v>32</v>
      </c>
    </row>
    <row r="295" spans="2:113" ht="15" customHeight="1">
      <c r="B295" s="16" t="s">
        <v>32</v>
      </c>
      <c r="C295" s="17" t="s">
        <v>32</v>
      </c>
      <c r="D295" s="18" t="s">
        <v>32</v>
      </c>
      <c r="E295" s="19" t="s">
        <v>32</v>
      </c>
      <c r="F295" s="17" t="s">
        <v>32</v>
      </c>
      <c r="G295" s="18" t="s">
        <v>32</v>
      </c>
      <c r="H295" s="19" t="s">
        <v>32</v>
      </c>
      <c r="I295" s="17" t="s">
        <v>32</v>
      </c>
      <c r="J295" s="20" t="s">
        <v>32</v>
      </c>
      <c r="K295" s="16" t="s">
        <v>32</v>
      </c>
      <c r="L295" s="17" t="s">
        <v>32</v>
      </c>
      <c r="M295" s="18" t="s">
        <v>32</v>
      </c>
      <c r="N295" s="19" t="s">
        <v>32</v>
      </c>
      <c r="O295" s="17" t="s">
        <v>32</v>
      </c>
      <c r="P295" s="18" t="s">
        <v>32</v>
      </c>
      <c r="Q295" s="19" t="s">
        <v>32</v>
      </c>
      <c r="R295" s="17" t="s">
        <v>32</v>
      </c>
      <c r="S295" s="20" t="s">
        <v>32</v>
      </c>
      <c r="T295" s="16" t="s">
        <v>32</v>
      </c>
      <c r="U295" s="17" t="s">
        <v>32</v>
      </c>
      <c r="V295" s="18" t="s">
        <v>32</v>
      </c>
      <c r="W295" s="19" t="s">
        <v>32</v>
      </c>
      <c r="X295" s="17" t="s">
        <v>32</v>
      </c>
      <c r="Y295" s="18" t="s">
        <v>32</v>
      </c>
      <c r="Z295" s="19" t="s">
        <v>32</v>
      </c>
      <c r="AA295" s="17" t="s">
        <v>32</v>
      </c>
      <c r="AB295" s="20" t="s">
        <v>32</v>
      </c>
      <c r="AC295"/>
      <c r="AD295" s="16" t="s">
        <v>32</v>
      </c>
      <c r="AE295" s="17" t="s">
        <v>32</v>
      </c>
      <c r="AF295" s="18" t="s">
        <v>32</v>
      </c>
      <c r="AG295" s="19" t="s">
        <v>32</v>
      </c>
      <c r="AH295" s="17" t="s">
        <v>32</v>
      </c>
      <c r="AI295" s="18" t="s">
        <v>32</v>
      </c>
      <c r="AJ295" s="19" t="s">
        <v>32</v>
      </c>
      <c r="AK295" s="17" t="s">
        <v>32</v>
      </c>
      <c r="AL295" s="20" t="s">
        <v>32</v>
      </c>
      <c r="AM295" s="16" t="s">
        <v>32</v>
      </c>
      <c r="AN295" s="17" t="s">
        <v>32</v>
      </c>
      <c r="AO295" s="18" t="s">
        <v>32</v>
      </c>
      <c r="AP295" s="19" t="s">
        <v>32</v>
      </c>
      <c r="AQ295" s="17" t="s">
        <v>32</v>
      </c>
      <c r="AR295" s="18" t="s">
        <v>32</v>
      </c>
      <c r="AS295" s="19" t="s">
        <v>32</v>
      </c>
      <c r="AT295" s="17" t="s">
        <v>32</v>
      </c>
      <c r="AU295" s="20" t="s">
        <v>32</v>
      </c>
      <c r="AV295" s="16" t="s">
        <v>32</v>
      </c>
      <c r="AW295" s="17" t="s">
        <v>32</v>
      </c>
      <c r="AX295" s="18" t="s">
        <v>32</v>
      </c>
      <c r="AY295" s="19" t="s">
        <v>32</v>
      </c>
      <c r="AZ295" s="17" t="s">
        <v>32</v>
      </c>
      <c r="BA295" s="18" t="s">
        <v>32</v>
      </c>
      <c r="BB295" s="19" t="s">
        <v>32</v>
      </c>
      <c r="BC295" s="17" t="s">
        <v>32</v>
      </c>
      <c r="BD295" s="20" t="s">
        <v>32</v>
      </c>
      <c r="BG295" s="16" t="s">
        <v>32</v>
      </c>
      <c r="BH295" s="17">
        <v>0</v>
      </c>
      <c r="BI295" s="18" t="s">
        <v>32</v>
      </c>
      <c r="BJ295" s="19" t="s">
        <v>32</v>
      </c>
      <c r="BK295" s="17" t="s">
        <v>32</v>
      </c>
      <c r="BL295" s="18" t="s">
        <v>32</v>
      </c>
      <c r="BM295" s="19" t="s">
        <v>32</v>
      </c>
      <c r="BN295" s="17" t="s">
        <v>32</v>
      </c>
      <c r="BO295" s="20" t="s">
        <v>32</v>
      </c>
      <c r="BP295" s="16" t="s">
        <v>32</v>
      </c>
      <c r="BQ295" s="17" t="s">
        <v>32</v>
      </c>
      <c r="BR295" s="18" t="s">
        <v>32</v>
      </c>
      <c r="BS295" s="19" t="s">
        <v>32</v>
      </c>
      <c r="BT295" s="17" t="s">
        <v>32</v>
      </c>
      <c r="BU295" s="18" t="s">
        <v>32</v>
      </c>
      <c r="BV295" s="19" t="s">
        <v>32</v>
      </c>
      <c r="BW295" s="17" t="s">
        <v>32</v>
      </c>
      <c r="BX295" s="20" t="s">
        <v>32</v>
      </c>
      <c r="BY295" s="16" t="s">
        <v>32</v>
      </c>
      <c r="BZ295" s="17" t="s">
        <v>32</v>
      </c>
      <c r="CA295" s="18" t="s">
        <v>32</v>
      </c>
      <c r="CB295" s="19" t="s">
        <v>32</v>
      </c>
      <c r="CC295" s="17" t="s">
        <v>32</v>
      </c>
      <c r="CD295" s="18" t="s">
        <v>32</v>
      </c>
      <c r="CE295" s="19" t="s">
        <v>32</v>
      </c>
      <c r="CF295" s="17" t="s">
        <v>32</v>
      </c>
      <c r="CG295" s="20" t="s">
        <v>32</v>
      </c>
      <c r="CI295" s="16" t="s">
        <v>32</v>
      </c>
      <c r="CJ295" s="17">
        <v>5</v>
      </c>
      <c r="CK295" s="18" t="s">
        <v>32</v>
      </c>
      <c r="CL295" s="19" t="s">
        <v>32</v>
      </c>
      <c r="CM295" s="17" t="s">
        <v>32</v>
      </c>
      <c r="CN295" s="18" t="s">
        <v>32</v>
      </c>
      <c r="CO295" s="19" t="s">
        <v>32</v>
      </c>
      <c r="CP295" s="17" t="s">
        <v>32</v>
      </c>
      <c r="CQ295" s="20" t="s">
        <v>32</v>
      </c>
      <c r="CR295" s="16" t="s">
        <v>32</v>
      </c>
      <c r="CS295" s="17" t="s">
        <v>32</v>
      </c>
      <c r="CT295" s="18" t="s">
        <v>32</v>
      </c>
      <c r="CU295" s="19" t="s">
        <v>32</v>
      </c>
      <c r="CV295" s="17" t="s">
        <v>32</v>
      </c>
      <c r="CW295" s="18" t="s">
        <v>32</v>
      </c>
      <c r="CX295" s="19" t="s">
        <v>32</v>
      </c>
      <c r="CY295" s="17" t="s">
        <v>32</v>
      </c>
      <c r="CZ295" s="20" t="s">
        <v>32</v>
      </c>
      <c r="DA295" s="16" t="s">
        <v>32</v>
      </c>
      <c r="DB295" s="17" t="s">
        <v>32</v>
      </c>
      <c r="DC295" s="18" t="s">
        <v>32</v>
      </c>
      <c r="DD295" s="19" t="s">
        <v>32</v>
      </c>
      <c r="DE295" s="17" t="s">
        <v>32</v>
      </c>
      <c r="DF295" s="18" t="s">
        <v>32</v>
      </c>
      <c r="DG295" s="19" t="s">
        <v>32</v>
      </c>
      <c r="DH295" s="17" t="s">
        <v>32</v>
      </c>
      <c r="DI295" s="20" t="s">
        <v>32</v>
      </c>
    </row>
    <row r="296" spans="2:113" ht="15" customHeight="1">
      <c r="B296" s="11" t="s">
        <v>32</v>
      </c>
      <c r="C296" s="7" t="s">
        <v>32</v>
      </c>
      <c r="D296" s="9" t="s">
        <v>32</v>
      </c>
      <c r="E296" s="8" t="s">
        <v>32</v>
      </c>
      <c r="F296" s="7" t="s">
        <v>32</v>
      </c>
      <c r="G296" s="9" t="s">
        <v>32</v>
      </c>
      <c r="H296" s="8" t="s">
        <v>32</v>
      </c>
      <c r="I296" s="7" t="s">
        <v>32</v>
      </c>
      <c r="J296" s="10" t="s">
        <v>32</v>
      </c>
      <c r="K296" s="11" t="s">
        <v>32</v>
      </c>
      <c r="L296" s="7" t="s">
        <v>32</v>
      </c>
      <c r="M296" s="9" t="s">
        <v>32</v>
      </c>
      <c r="N296" s="8" t="s">
        <v>32</v>
      </c>
      <c r="O296" s="7" t="s">
        <v>32</v>
      </c>
      <c r="P296" s="9" t="s">
        <v>32</v>
      </c>
      <c r="Q296" s="8" t="s">
        <v>32</v>
      </c>
      <c r="R296" s="7" t="s">
        <v>32</v>
      </c>
      <c r="S296" s="10" t="s">
        <v>32</v>
      </c>
      <c r="T296" s="11" t="s">
        <v>32</v>
      </c>
      <c r="U296" s="7" t="s">
        <v>32</v>
      </c>
      <c r="V296" s="9" t="s">
        <v>32</v>
      </c>
      <c r="W296" s="8" t="s">
        <v>32</v>
      </c>
      <c r="X296" s="7" t="s">
        <v>32</v>
      </c>
      <c r="Y296" s="9" t="s">
        <v>32</v>
      </c>
      <c r="Z296" s="8" t="s">
        <v>32</v>
      </c>
      <c r="AA296" s="7" t="s">
        <v>32</v>
      </c>
      <c r="AB296" s="10" t="s">
        <v>32</v>
      </c>
      <c r="AC296"/>
      <c r="AD296" s="11" t="s">
        <v>32</v>
      </c>
      <c r="AE296" s="7" t="s">
        <v>32</v>
      </c>
      <c r="AF296" s="9" t="s">
        <v>32</v>
      </c>
      <c r="AG296" s="8" t="s">
        <v>32</v>
      </c>
      <c r="AH296" s="7" t="s">
        <v>32</v>
      </c>
      <c r="AI296" s="9" t="s">
        <v>32</v>
      </c>
      <c r="AJ296" s="8" t="s">
        <v>32</v>
      </c>
      <c r="AK296" s="7" t="s">
        <v>32</v>
      </c>
      <c r="AL296" s="10" t="s">
        <v>32</v>
      </c>
      <c r="AM296" s="11" t="s">
        <v>32</v>
      </c>
      <c r="AN296" s="7" t="s">
        <v>32</v>
      </c>
      <c r="AO296" s="9" t="s">
        <v>32</v>
      </c>
      <c r="AP296" s="8" t="s">
        <v>32</v>
      </c>
      <c r="AQ296" s="7" t="s">
        <v>32</v>
      </c>
      <c r="AR296" s="9" t="s">
        <v>32</v>
      </c>
      <c r="AS296" s="8" t="s">
        <v>32</v>
      </c>
      <c r="AT296" s="7" t="s">
        <v>32</v>
      </c>
      <c r="AU296" s="10" t="s">
        <v>32</v>
      </c>
      <c r="AV296" s="11" t="s">
        <v>32</v>
      </c>
      <c r="AW296" s="7" t="s">
        <v>32</v>
      </c>
      <c r="AX296" s="9" t="s">
        <v>32</v>
      </c>
      <c r="AY296" s="8" t="s">
        <v>32</v>
      </c>
      <c r="AZ296" s="7" t="s">
        <v>32</v>
      </c>
      <c r="BA296" s="9" t="s">
        <v>32</v>
      </c>
      <c r="BB296" s="8" t="s">
        <v>32</v>
      </c>
      <c r="BC296" s="7" t="s">
        <v>32</v>
      </c>
      <c r="BD296" s="10" t="s">
        <v>32</v>
      </c>
      <c r="BG296" s="11" t="s">
        <v>32</v>
      </c>
      <c r="BH296" s="7" t="s">
        <v>32</v>
      </c>
      <c r="BI296" s="9" t="s">
        <v>32</v>
      </c>
      <c r="BJ296" s="8" t="s">
        <v>32</v>
      </c>
      <c r="BK296" s="7" t="s">
        <v>32</v>
      </c>
      <c r="BL296" s="9" t="s">
        <v>32</v>
      </c>
      <c r="BM296" s="8" t="s">
        <v>32</v>
      </c>
      <c r="BN296" s="7" t="s">
        <v>32</v>
      </c>
      <c r="BO296" s="10" t="s">
        <v>32</v>
      </c>
      <c r="BP296" s="11" t="s">
        <v>32</v>
      </c>
      <c r="BQ296" s="7" t="s">
        <v>32</v>
      </c>
      <c r="BR296" s="9" t="s">
        <v>32</v>
      </c>
      <c r="BS296" s="8" t="s">
        <v>32</v>
      </c>
      <c r="BT296" s="7" t="s">
        <v>32</v>
      </c>
      <c r="BU296" s="9" t="s">
        <v>32</v>
      </c>
      <c r="BV296" s="8" t="s">
        <v>32</v>
      </c>
      <c r="BW296" s="7" t="s">
        <v>32</v>
      </c>
      <c r="BX296" s="10" t="s">
        <v>32</v>
      </c>
      <c r="BY296" s="11" t="s">
        <v>32</v>
      </c>
      <c r="BZ296" s="7" t="s">
        <v>32</v>
      </c>
      <c r="CA296" s="9" t="s">
        <v>32</v>
      </c>
      <c r="CB296" s="8" t="s">
        <v>32</v>
      </c>
      <c r="CC296" s="7" t="s">
        <v>32</v>
      </c>
      <c r="CD296" s="9" t="s">
        <v>32</v>
      </c>
      <c r="CE296" s="8" t="s">
        <v>32</v>
      </c>
      <c r="CF296" s="7" t="s">
        <v>32</v>
      </c>
      <c r="CG296" s="10" t="s">
        <v>32</v>
      </c>
      <c r="CI296" s="11" t="s">
        <v>32</v>
      </c>
      <c r="CJ296" s="7" t="s">
        <v>32</v>
      </c>
      <c r="CK296" s="9" t="s">
        <v>32</v>
      </c>
      <c r="CL296" s="8" t="s">
        <v>32</v>
      </c>
      <c r="CM296" s="7" t="s">
        <v>32</v>
      </c>
      <c r="CN296" s="9" t="s">
        <v>32</v>
      </c>
      <c r="CO296" s="8" t="s">
        <v>32</v>
      </c>
      <c r="CP296" s="7" t="s">
        <v>32</v>
      </c>
      <c r="CQ296" s="10" t="s">
        <v>32</v>
      </c>
      <c r="CR296" s="11" t="s">
        <v>32</v>
      </c>
      <c r="CS296" s="7" t="s">
        <v>32</v>
      </c>
      <c r="CT296" s="9" t="s">
        <v>32</v>
      </c>
      <c r="CU296" s="8" t="s">
        <v>32</v>
      </c>
      <c r="CV296" s="7" t="s">
        <v>32</v>
      </c>
      <c r="CW296" s="9" t="s">
        <v>32</v>
      </c>
      <c r="CX296" s="8" t="s">
        <v>32</v>
      </c>
      <c r="CY296" s="7" t="s">
        <v>32</v>
      </c>
      <c r="CZ296" s="10" t="s">
        <v>32</v>
      </c>
      <c r="DA296" s="11" t="s">
        <v>32</v>
      </c>
      <c r="DB296" s="7" t="s">
        <v>32</v>
      </c>
      <c r="DC296" s="9" t="s">
        <v>32</v>
      </c>
      <c r="DD296" s="8" t="s">
        <v>32</v>
      </c>
      <c r="DE296" s="7" t="s">
        <v>32</v>
      </c>
      <c r="DF296" s="9" t="s">
        <v>32</v>
      </c>
      <c r="DG296" s="8" t="s">
        <v>32</v>
      </c>
      <c r="DH296" s="7" t="s">
        <v>32</v>
      </c>
      <c r="DI296" s="10" t="s">
        <v>32</v>
      </c>
    </row>
    <row r="297" spans="2:113" ht="15" customHeight="1" thickBot="1">
      <c r="B297" s="21" t="s">
        <v>32</v>
      </c>
      <c r="C297" s="22" t="s">
        <v>32</v>
      </c>
      <c r="D297" s="23" t="s">
        <v>32</v>
      </c>
      <c r="E297" s="24" t="s">
        <v>32</v>
      </c>
      <c r="F297" s="22" t="s">
        <v>32</v>
      </c>
      <c r="G297" s="23" t="s">
        <v>32</v>
      </c>
      <c r="H297" s="24" t="s">
        <v>32</v>
      </c>
      <c r="I297" s="22" t="s">
        <v>32</v>
      </c>
      <c r="J297" s="25" t="s">
        <v>32</v>
      </c>
      <c r="K297" s="21" t="s">
        <v>32</v>
      </c>
      <c r="L297" s="22" t="s">
        <v>32</v>
      </c>
      <c r="M297" s="23" t="s">
        <v>32</v>
      </c>
      <c r="N297" s="24" t="s">
        <v>32</v>
      </c>
      <c r="O297" s="22" t="s">
        <v>32</v>
      </c>
      <c r="P297" s="23" t="s">
        <v>32</v>
      </c>
      <c r="Q297" s="24" t="s">
        <v>32</v>
      </c>
      <c r="R297" s="22" t="s">
        <v>32</v>
      </c>
      <c r="S297" s="25" t="s">
        <v>32</v>
      </c>
      <c r="T297" s="21" t="s">
        <v>32</v>
      </c>
      <c r="U297" s="22" t="s">
        <v>32</v>
      </c>
      <c r="V297" s="23" t="s">
        <v>32</v>
      </c>
      <c r="W297" s="24" t="s">
        <v>32</v>
      </c>
      <c r="X297" s="22" t="s">
        <v>32</v>
      </c>
      <c r="Y297" s="23" t="s">
        <v>32</v>
      </c>
      <c r="Z297" s="24" t="s">
        <v>32</v>
      </c>
      <c r="AA297" s="22" t="s">
        <v>32</v>
      </c>
      <c r="AB297" s="25" t="s">
        <v>32</v>
      </c>
      <c r="AC297"/>
      <c r="AD297" s="21" t="s">
        <v>32</v>
      </c>
      <c r="AE297" s="22" t="s">
        <v>32</v>
      </c>
      <c r="AF297" s="23" t="s">
        <v>32</v>
      </c>
      <c r="AG297" s="24" t="s">
        <v>32</v>
      </c>
      <c r="AH297" s="22" t="s">
        <v>32</v>
      </c>
      <c r="AI297" s="23" t="s">
        <v>32</v>
      </c>
      <c r="AJ297" s="24" t="s">
        <v>32</v>
      </c>
      <c r="AK297" s="22" t="s">
        <v>32</v>
      </c>
      <c r="AL297" s="25" t="s">
        <v>32</v>
      </c>
      <c r="AM297" s="21" t="s">
        <v>32</v>
      </c>
      <c r="AN297" s="22" t="s">
        <v>32</v>
      </c>
      <c r="AO297" s="23" t="s">
        <v>32</v>
      </c>
      <c r="AP297" s="24" t="s">
        <v>32</v>
      </c>
      <c r="AQ297" s="22" t="s">
        <v>32</v>
      </c>
      <c r="AR297" s="23" t="s">
        <v>32</v>
      </c>
      <c r="AS297" s="24" t="s">
        <v>32</v>
      </c>
      <c r="AT297" s="22" t="s">
        <v>32</v>
      </c>
      <c r="AU297" s="25" t="s">
        <v>32</v>
      </c>
      <c r="AV297" s="21" t="s">
        <v>32</v>
      </c>
      <c r="AW297" s="22" t="s">
        <v>32</v>
      </c>
      <c r="AX297" s="23" t="s">
        <v>32</v>
      </c>
      <c r="AY297" s="24" t="s">
        <v>32</v>
      </c>
      <c r="AZ297" s="22" t="s">
        <v>32</v>
      </c>
      <c r="BA297" s="23" t="s">
        <v>32</v>
      </c>
      <c r="BB297" s="24" t="s">
        <v>32</v>
      </c>
      <c r="BC297" s="22" t="s">
        <v>32</v>
      </c>
      <c r="BD297" s="25" t="s">
        <v>32</v>
      </c>
      <c r="BG297" s="21" t="s">
        <v>32</v>
      </c>
      <c r="BH297" s="22" t="s">
        <v>32</v>
      </c>
      <c r="BI297" s="23" t="s">
        <v>32</v>
      </c>
      <c r="BJ297" s="24" t="s">
        <v>32</v>
      </c>
      <c r="BK297" s="22" t="s">
        <v>32</v>
      </c>
      <c r="BL297" s="23" t="s">
        <v>32</v>
      </c>
      <c r="BM297" s="24" t="s">
        <v>32</v>
      </c>
      <c r="BN297" s="22" t="s">
        <v>32</v>
      </c>
      <c r="BO297" s="25" t="s">
        <v>32</v>
      </c>
      <c r="BP297" s="21" t="s">
        <v>32</v>
      </c>
      <c r="BQ297" s="22" t="s">
        <v>32</v>
      </c>
      <c r="BR297" s="23" t="s">
        <v>32</v>
      </c>
      <c r="BS297" s="24" t="s">
        <v>32</v>
      </c>
      <c r="BT297" s="22" t="s">
        <v>32</v>
      </c>
      <c r="BU297" s="23" t="s">
        <v>32</v>
      </c>
      <c r="BV297" s="24" t="s">
        <v>32</v>
      </c>
      <c r="BW297" s="22" t="s">
        <v>32</v>
      </c>
      <c r="BX297" s="25" t="s">
        <v>32</v>
      </c>
      <c r="BY297" s="21" t="s">
        <v>32</v>
      </c>
      <c r="BZ297" s="22" t="s">
        <v>32</v>
      </c>
      <c r="CA297" s="23" t="s">
        <v>32</v>
      </c>
      <c r="CB297" s="24" t="s">
        <v>32</v>
      </c>
      <c r="CC297" s="22" t="s">
        <v>32</v>
      </c>
      <c r="CD297" s="23" t="s">
        <v>32</v>
      </c>
      <c r="CE297" s="24" t="s">
        <v>32</v>
      </c>
      <c r="CF297" s="22" t="s">
        <v>32</v>
      </c>
      <c r="CG297" s="25" t="s">
        <v>32</v>
      </c>
      <c r="CI297" s="21" t="s">
        <v>32</v>
      </c>
      <c r="CJ297" s="22" t="s">
        <v>32</v>
      </c>
      <c r="CK297" s="23" t="s">
        <v>32</v>
      </c>
      <c r="CL297" s="24" t="s">
        <v>32</v>
      </c>
      <c r="CM297" s="22" t="s">
        <v>32</v>
      </c>
      <c r="CN297" s="23" t="s">
        <v>32</v>
      </c>
      <c r="CO297" s="24" t="s">
        <v>32</v>
      </c>
      <c r="CP297" s="22" t="s">
        <v>32</v>
      </c>
      <c r="CQ297" s="25" t="s">
        <v>32</v>
      </c>
      <c r="CR297" s="21" t="s">
        <v>32</v>
      </c>
      <c r="CS297" s="22" t="s">
        <v>32</v>
      </c>
      <c r="CT297" s="23" t="s">
        <v>32</v>
      </c>
      <c r="CU297" s="24" t="s">
        <v>32</v>
      </c>
      <c r="CV297" s="22" t="s">
        <v>32</v>
      </c>
      <c r="CW297" s="23" t="s">
        <v>32</v>
      </c>
      <c r="CX297" s="24" t="s">
        <v>32</v>
      </c>
      <c r="CY297" s="22" t="s">
        <v>32</v>
      </c>
      <c r="CZ297" s="25" t="s">
        <v>32</v>
      </c>
      <c r="DA297" s="21" t="s">
        <v>32</v>
      </c>
      <c r="DB297" s="22" t="s">
        <v>32</v>
      </c>
      <c r="DC297" s="23" t="s">
        <v>32</v>
      </c>
      <c r="DD297" s="24" t="s">
        <v>32</v>
      </c>
      <c r="DE297" s="22" t="s">
        <v>32</v>
      </c>
      <c r="DF297" s="23" t="s">
        <v>32</v>
      </c>
      <c r="DG297" s="24" t="s">
        <v>32</v>
      </c>
      <c r="DH297" s="22" t="s">
        <v>32</v>
      </c>
      <c r="DI297" s="25" t="s">
        <v>32</v>
      </c>
    </row>
    <row r="298" spans="2:113" ht="15" customHeight="1">
      <c r="B298" s="2" t="s">
        <v>32</v>
      </c>
      <c r="C298" s="5" t="s">
        <v>32</v>
      </c>
      <c r="D298" s="3" t="s">
        <v>32</v>
      </c>
      <c r="E298" s="4" t="s">
        <v>32</v>
      </c>
      <c r="F298" s="5" t="s">
        <v>32</v>
      </c>
      <c r="G298" s="3" t="s">
        <v>32</v>
      </c>
      <c r="H298" s="4" t="s">
        <v>32</v>
      </c>
      <c r="I298" s="5" t="s">
        <v>32</v>
      </c>
      <c r="J298" s="6" t="s">
        <v>32</v>
      </c>
      <c r="K298" s="2" t="s">
        <v>32</v>
      </c>
      <c r="L298" s="5" t="s">
        <v>32</v>
      </c>
      <c r="M298" s="3" t="s">
        <v>32</v>
      </c>
      <c r="N298" s="4" t="s">
        <v>32</v>
      </c>
      <c r="O298" s="5" t="s">
        <v>32</v>
      </c>
      <c r="P298" s="3" t="s">
        <v>32</v>
      </c>
      <c r="Q298" s="4" t="s">
        <v>32</v>
      </c>
      <c r="R298" s="5" t="s">
        <v>32</v>
      </c>
      <c r="S298" s="6" t="s">
        <v>32</v>
      </c>
      <c r="T298" s="2" t="s">
        <v>32</v>
      </c>
      <c r="U298" s="5" t="s">
        <v>32</v>
      </c>
      <c r="V298" s="3" t="s">
        <v>32</v>
      </c>
      <c r="W298" s="4" t="s">
        <v>32</v>
      </c>
      <c r="X298" s="5" t="s">
        <v>32</v>
      </c>
      <c r="Y298" s="3" t="s">
        <v>32</v>
      </c>
      <c r="Z298" s="4" t="s">
        <v>32</v>
      </c>
      <c r="AA298" s="5" t="s">
        <v>32</v>
      </c>
      <c r="AB298" s="6" t="s">
        <v>32</v>
      </c>
      <c r="AC298"/>
      <c r="AD298" s="2" t="s">
        <v>32</v>
      </c>
      <c r="AE298" s="5" t="s">
        <v>32</v>
      </c>
      <c r="AF298" s="3" t="s">
        <v>32</v>
      </c>
      <c r="AG298" s="4" t="s">
        <v>32</v>
      </c>
      <c r="AH298" s="5" t="s">
        <v>32</v>
      </c>
      <c r="AI298" s="3" t="s">
        <v>32</v>
      </c>
      <c r="AJ298" s="4" t="s">
        <v>32</v>
      </c>
      <c r="AK298" s="5" t="s">
        <v>32</v>
      </c>
      <c r="AL298" s="6" t="s">
        <v>32</v>
      </c>
      <c r="AM298" s="2" t="s">
        <v>32</v>
      </c>
      <c r="AN298" s="5" t="s">
        <v>32</v>
      </c>
      <c r="AO298" s="3" t="s">
        <v>32</v>
      </c>
      <c r="AP298" s="4" t="s">
        <v>32</v>
      </c>
      <c r="AQ298" s="5" t="s">
        <v>32</v>
      </c>
      <c r="AR298" s="3" t="s">
        <v>32</v>
      </c>
      <c r="AS298" s="4" t="s">
        <v>32</v>
      </c>
      <c r="AT298" s="5" t="s">
        <v>32</v>
      </c>
      <c r="AU298" s="6" t="s">
        <v>32</v>
      </c>
      <c r="AV298" s="2" t="s">
        <v>32</v>
      </c>
      <c r="AW298" s="5" t="s">
        <v>32</v>
      </c>
      <c r="AX298" s="3" t="s">
        <v>32</v>
      </c>
      <c r="AY298" s="4" t="s">
        <v>32</v>
      </c>
      <c r="AZ298" s="5" t="s">
        <v>32</v>
      </c>
      <c r="BA298" s="3" t="s">
        <v>32</v>
      </c>
      <c r="BB298" s="4" t="s">
        <v>32</v>
      </c>
      <c r="BC298" s="5" t="s">
        <v>32</v>
      </c>
      <c r="BD298" s="6" t="s">
        <v>32</v>
      </c>
      <c r="BG298" s="2" t="s">
        <v>32</v>
      </c>
      <c r="BH298" s="5" t="s">
        <v>32</v>
      </c>
      <c r="BI298" s="3" t="s">
        <v>32</v>
      </c>
      <c r="BJ298" s="4" t="s">
        <v>32</v>
      </c>
      <c r="BK298" s="5" t="s">
        <v>32</v>
      </c>
      <c r="BL298" s="3" t="s">
        <v>32</v>
      </c>
      <c r="BM298" s="4" t="s">
        <v>32</v>
      </c>
      <c r="BN298" s="5" t="s">
        <v>32</v>
      </c>
      <c r="BO298" s="6" t="s">
        <v>32</v>
      </c>
      <c r="BP298" s="2" t="s">
        <v>32</v>
      </c>
      <c r="BQ298" s="5">
        <v>0</v>
      </c>
      <c r="BR298" s="3">
        <v>0</v>
      </c>
      <c r="BS298" s="4" t="s">
        <v>32</v>
      </c>
      <c r="BT298" s="5" t="s">
        <v>32</v>
      </c>
      <c r="BU298" s="3" t="s">
        <v>32</v>
      </c>
      <c r="BV298" s="4" t="s">
        <v>32</v>
      </c>
      <c r="BW298" s="5" t="s">
        <v>32</v>
      </c>
      <c r="BX298" s="6" t="s">
        <v>32</v>
      </c>
      <c r="BY298" s="2" t="s">
        <v>32</v>
      </c>
      <c r="BZ298" s="5" t="s">
        <v>32</v>
      </c>
      <c r="CA298" s="3" t="s">
        <v>32</v>
      </c>
      <c r="CB298" s="4" t="s">
        <v>32</v>
      </c>
      <c r="CC298" s="5" t="s">
        <v>32</v>
      </c>
      <c r="CD298" s="3" t="s">
        <v>32</v>
      </c>
      <c r="CE298" s="4" t="s">
        <v>32</v>
      </c>
      <c r="CF298" s="5" t="s">
        <v>32</v>
      </c>
      <c r="CG298" s="6" t="s">
        <v>32</v>
      </c>
      <c r="CI298" s="2" t="s">
        <v>32</v>
      </c>
      <c r="CJ298" s="5" t="s">
        <v>32</v>
      </c>
      <c r="CK298" s="3" t="s">
        <v>32</v>
      </c>
      <c r="CL298" s="4" t="s">
        <v>32</v>
      </c>
      <c r="CM298" s="5" t="s">
        <v>32</v>
      </c>
      <c r="CN298" s="3" t="s">
        <v>32</v>
      </c>
      <c r="CO298" s="4" t="s">
        <v>32</v>
      </c>
      <c r="CP298" s="5" t="s">
        <v>32</v>
      </c>
      <c r="CQ298" s="6" t="s">
        <v>32</v>
      </c>
      <c r="CR298" s="2" t="s">
        <v>32</v>
      </c>
      <c r="CS298" s="5">
        <v>8</v>
      </c>
      <c r="CT298" s="3">
        <v>2</v>
      </c>
      <c r="CU298" s="4" t="s">
        <v>32</v>
      </c>
      <c r="CV298" s="5" t="s">
        <v>32</v>
      </c>
      <c r="CW298" s="3" t="s">
        <v>32</v>
      </c>
      <c r="CX298" s="4" t="s">
        <v>32</v>
      </c>
      <c r="CY298" s="5" t="s">
        <v>32</v>
      </c>
      <c r="CZ298" s="6" t="s">
        <v>32</v>
      </c>
      <c r="DA298" s="2" t="s">
        <v>32</v>
      </c>
      <c r="DB298" s="5" t="s">
        <v>32</v>
      </c>
      <c r="DC298" s="3" t="s">
        <v>32</v>
      </c>
      <c r="DD298" s="4" t="s">
        <v>32</v>
      </c>
      <c r="DE298" s="5" t="s">
        <v>32</v>
      </c>
      <c r="DF298" s="3" t="s">
        <v>32</v>
      </c>
      <c r="DG298" s="4" t="s">
        <v>32</v>
      </c>
      <c r="DH298" s="5" t="s">
        <v>32</v>
      </c>
      <c r="DI298" s="6" t="s">
        <v>32</v>
      </c>
    </row>
    <row r="299" spans="2:113" ht="15" customHeight="1">
      <c r="B299" s="11" t="s">
        <v>32</v>
      </c>
      <c r="C299" s="7" t="s">
        <v>32</v>
      </c>
      <c r="D299" s="9" t="s">
        <v>32</v>
      </c>
      <c r="E299" s="8" t="s">
        <v>32</v>
      </c>
      <c r="F299" s="7" t="s">
        <v>32</v>
      </c>
      <c r="G299" s="9" t="s">
        <v>32</v>
      </c>
      <c r="H299" s="8" t="s">
        <v>32</v>
      </c>
      <c r="I299" s="7" t="s">
        <v>32</v>
      </c>
      <c r="J299" s="10" t="s">
        <v>32</v>
      </c>
      <c r="K299" s="11" t="s">
        <v>32</v>
      </c>
      <c r="L299" s="7" t="s">
        <v>32</v>
      </c>
      <c r="M299" s="9" t="s">
        <v>32</v>
      </c>
      <c r="N299" s="8" t="s">
        <v>32</v>
      </c>
      <c r="O299" s="7" t="s">
        <v>32</v>
      </c>
      <c r="P299" s="9" t="s">
        <v>32</v>
      </c>
      <c r="Q299" s="8" t="s">
        <v>32</v>
      </c>
      <c r="R299" s="7" t="s">
        <v>32</v>
      </c>
      <c r="S299" s="10" t="s">
        <v>32</v>
      </c>
      <c r="T299" s="11" t="s">
        <v>32</v>
      </c>
      <c r="U299" s="7" t="s">
        <v>32</v>
      </c>
      <c r="V299" s="9" t="s">
        <v>32</v>
      </c>
      <c r="W299" s="8" t="s">
        <v>32</v>
      </c>
      <c r="X299" s="7" t="s">
        <v>32</v>
      </c>
      <c r="Y299" s="9" t="s">
        <v>32</v>
      </c>
      <c r="Z299" s="8" t="s">
        <v>32</v>
      </c>
      <c r="AA299" s="7" t="s">
        <v>32</v>
      </c>
      <c r="AB299" s="10" t="s">
        <v>32</v>
      </c>
      <c r="AC299"/>
      <c r="AD299" s="11" t="s">
        <v>32</v>
      </c>
      <c r="AE299" s="7" t="s">
        <v>32</v>
      </c>
      <c r="AF299" s="9" t="s">
        <v>32</v>
      </c>
      <c r="AG299" s="8" t="s">
        <v>32</v>
      </c>
      <c r="AH299" s="7" t="s">
        <v>32</v>
      </c>
      <c r="AI299" s="9" t="s">
        <v>32</v>
      </c>
      <c r="AJ299" s="8" t="s">
        <v>32</v>
      </c>
      <c r="AK299" s="7" t="s">
        <v>32</v>
      </c>
      <c r="AL299" s="10" t="s">
        <v>32</v>
      </c>
      <c r="AM299" s="11" t="s">
        <v>32</v>
      </c>
      <c r="AN299" s="7" t="s">
        <v>32</v>
      </c>
      <c r="AO299" s="9" t="s">
        <v>32</v>
      </c>
      <c r="AP299" s="8" t="s">
        <v>32</v>
      </c>
      <c r="AQ299" s="7" t="s">
        <v>32</v>
      </c>
      <c r="AR299" s="9" t="s">
        <v>32</v>
      </c>
      <c r="AS299" s="8" t="s">
        <v>32</v>
      </c>
      <c r="AT299" s="7" t="s">
        <v>32</v>
      </c>
      <c r="AU299" s="10" t="s">
        <v>32</v>
      </c>
      <c r="AV299" s="11" t="s">
        <v>32</v>
      </c>
      <c r="AW299" s="7" t="s">
        <v>32</v>
      </c>
      <c r="AX299" s="9" t="s">
        <v>32</v>
      </c>
      <c r="AY299" s="8" t="s">
        <v>32</v>
      </c>
      <c r="AZ299" s="7" t="s">
        <v>32</v>
      </c>
      <c r="BA299" s="9" t="s">
        <v>32</v>
      </c>
      <c r="BB299" s="8" t="s">
        <v>32</v>
      </c>
      <c r="BC299" s="7" t="s">
        <v>32</v>
      </c>
      <c r="BD299" s="10" t="s">
        <v>32</v>
      </c>
      <c r="BG299" s="11">
        <v>0</v>
      </c>
      <c r="BH299" s="7" t="s">
        <v>32</v>
      </c>
      <c r="BI299" s="9">
        <v>0</v>
      </c>
      <c r="BJ299" s="8" t="s">
        <v>32</v>
      </c>
      <c r="BK299" s="7" t="s">
        <v>32</v>
      </c>
      <c r="BL299" s="9" t="s">
        <v>32</v>
      </c>
      <c r="BM299" s="8" t="s">
        <v>32</v>
      </c>
      <c r="BN299" s="7" t="s">
        <v>32</v>
      </c>
      <c r="BO299" s="10" t="s">
        <v>32</v>
      </c>
      <c r="BP299" s="11" t="s">
        <v>32</v>
      </c>
      <c r="BQ299" s="7" t="s">
        <v>32</v>
      </c>
      <c r="BR299" s="9" t="s">
        <v>32</v>
      </c>
      <c r="BS299" s="8">
        <v>0</v>
      </c>
      <c r="BT299" s="7" t="s">
        <v>32</v>
      </c>
      <c r="BU299" s="9" t="s">
        <v>32</v>
      </c>
      <c r="BV299" s="8" t="s">
        <v>32</v>
      </c>
      <c r="BW299" s="7" t="s">
        <v>32</v>
      </c>
      <c r="BX299" s="10" t="s">
        <v>32</v>
      </c>
      <c r="BY299" s="11" t="s">
        <v>32</v>
      </c>
      <c r="BZ299" s="7" t="s">
        <v>32</v>
      </c>
      <c r="CA299" s="9" t="s">
        <v>32</v>
      </c>
      <c r="CB299" s="8" t="s">
        <v>32</v>
      </c>
      <c r="CC299" s="7" t="s">
        <v>32</v>
      </c>
      <c r="CD299" s="9" t="s">
        <v>32</v>
      </c>
      <c r="CE299" s="8" t="s">
        <v>32</v>
      </c>
      <c r="CF299" s="7" t="s">
        <v>32</v>
      </c>
      <c r="CG299" s="10" t="s">
        <v>32</v>
      </c>
      <c r="CI299" s="11">
        <v>5</v>
      </c>
      <c r="CJ299" s="7" t="s">
        <v>32</v>
      </c>
      <c r="CK299" s="9">
        <v>3</v>
      </c>
      <c r="CL299" s="8" t="s">
        <v>32</v>
      </c>
      <c r="CM299" s="7" t="s">
        <v>32</v>
      </c>
      <c r="CN299" s="9" t="s">
        <v>32</v>
      </c>
      <c r="CO299" s="8" t="s">
        <v>32</v>
      </c>
      <c r="CP299" s="7" t="s">
        <v>32</v>
      </c>
      <c r="CQ299" s="10" t="s">
        <v>32</v>
      </c>
      <c r="CR299" s="11" t="s">
        <v>32</v>
      </c>
      <c r="CS299" s="7" t="s">
        <v>32</v>
      </c>
      <c r="CT299" s="9" t="s">
        <v>32</v>
      </c>
      <c r="CU299" s="8">
        <v>9</v>
      </c>
      <c r="CV299" s="7" t="s">
        <v>32</v>
      </c>
      <c r="CW299" s="9" t="s">
        <v>32</v>
      </c>
      <c r="CX299" s="8" t="s">
        <v>32</v>
      </c>
      <c r="CY299" s="7" t="s">
        <v>32</v>
      </c>
      <c r="CZ299" s="10" t="s">
        <v>32</v>
      </c>
      <c r="DA299" s="11" t="s">
        <v>32</v>
      </c>
      <c r="DB299" s="7" t="s">
        <v>32</v>
      </c>
      <c r="DC299" s="9" t="s">
        <v>32</v>
      </c>
      <c r="DD299" s="8" t="s">
        <v>32</v>
      </c>
      <c r="DE299" s="7" t="s">
        <v>32</v>
      </c>
      <c r="DF299" s="9" t="s">
        <v>32</v>
      </c>
      <c r="DG299" s="8" t="s">
        <v>32</v>
      </c>
      <c r="DH299" s="7" t="s">
        <v>32</v>
      </c>
      <c r="DI299" s="10" t="s">
        <v>32</v>
      </c>
    </row>
    <row r="300" spans="2:113" ht="15" customHeight="1">
      <c r="B300" s="12" t="s">
        <v>32</v>
      </c>
      <c r="C300" s="13" t="s">
        <v>32</v>
      </c>
      <c r="D300" s="15" t="s">
        <v>32</v>
      </c>
      <c r="E300" s="14" t="s">
        <v>32</v>
      </c>
      <c r="F300" s="13" t="s">
        <v>32</v>
      </c>
      <c r="G300" s="15" t="s">
        <v>32</v>
      </c>
      <c r="H300" s="14" t="s">
        <v>32</v>
      </c>
      <c r="I300" s="13" t="s">
        <v>32</v>
      </c>
      <c r="J300" s="1" t="s">
        <v>32</v>
      </c>
      <c r="K300" s="12" t="s">
        <v>32</v>
      </c>
      <c r="L300" s="13" t="s">
        <v>32</v>
      </c>
      <c r="M300" s="15" t="s">
        <v>32</v>
      </c>
      <c r="N300" s="14" t="s">
        <v>32</v>
      </c>
      <c r="O300" s="13" t="s">
        <v>32</v>
      </c>
      <c r="P300" s="15" t="s">
        <v>32</v>
      </c>
      <c r="Q300" s="14" t="s">
        <v>32</v>
      </c>
      <c r="R300" s="13" t="s">
        <v>32</v>
      </c>
      <c r="S300" s="1" t="s">
        <v>32</v>
      </c>
      <c r="T300" s="12" t="s">
        <v>32</v>
      </c>
      <c r="U300" s="13" t="s">
        <v>32</v>
      </c>
      <c r="V300" s="15" t="s">
        <v>32</v>
      </c>
      <c r="W300" s="14" t="s">
        <v>32</v>
      </c>
      <c r="X300" s="13" t="s">
        <v>32</v>
      </c>
      <c r="Y300" s="15" t="s">
        <v>32</v>
      </c>
      <c r="Z300" s="14" t="s">
        <v>32</v>
      </c>
      <c r="AA300" s="13" t="s">
        <v>32</v>
      </c>
      <c r="AB300" s="1" t="s">
        <v>32</v>
      </c>
      <c r="AC300"/>
      <c r="AD300" s="12" t="s">
        <v>32</v>
      </c>
      <c r="AE300" s="13" t="s">
        <v>32</v>
      </c>
      <c r="AF300" s="15" t="s">
        <v>32</v>
      </c>
      <c r="AG300" s="14" t="s">
        <v>32</v>
      </c>
      <c r="AH300" s="13" t="s">
        <v>32</v>
      </c>
      <c r="AI300" s="15" t="s">
        <v>32</v>
      </c>
      <c r="AJ300" s="14" t="s">
        <v>32</v>
      </c>
      <c r="AK300" s="13" t="s">
        <v>32</v>
      </c>
      <c r="AL300" s="1" t="s">
        <v>32</v>
      </c>
      <c r="AM300" s="12" t="s">
        <v>32</v>
      </c>
      <c r="AN300" s="13" t="s">
        <v>32</v>
      </c>
      <c r="AO300" s="15" t="s">
        <v>32</v>
      </c>
      <c r="AP300" s="14" t="s">
        <v>32</v>
      </c>
      <c r="AQ300" s="13" t="s">
        <v>32</v>
      </c>
      <c r="AR300" s="15" t="s">
        <v>32</v>
      </c>
      <c r="AS300" s="14" t="s">
        <v>32</v>
      </c>
      <c r="AT300" s="13" t="s">
        <v>32</v>
      </c>
      <c r="AU300" s="1" t="s">
        <v>32</v>
      </c>
      <c r="AV300" s="12" t="s">
        <v>32</v>
      </c>
      <c r="AW300" s="13" t="s">
        <v>32</v>
      </c>
      <c r="AX300" s="15" t="s">
        <v>32</v>
      </c>
      <c r="AY300" s="14" t="s">
        <v>32</v>
      </c>
      <c r="AZ300" s="13" t="s">
        <v>32</v>
      </c>
      <c r="BA300" s="15" t="s">
        <v>32</v>
      </c>
      <c r="BB300" s="14" t="s">
        <v>32</v>
      </c>
      <c r="BC300" s="13" t="s">
        <v>32</v>
      </c>
      <c r="BD300" s="1" t="s">
        <v>32</v>
      </c>
      <c r="BG300" s="12" t="s">
        <v>32</v>
      </c>
      <c r="BH300" s="13">
        <v>0</v>
      </c>
      <c r="BI300" s="15">
        <v>0</v>
      </c>
      <c r="BJ300" s="14" t="s">
        <v>32</v>
      </c>
      <c r="BK300" s="13" t="s">
        <v>32</v>
      </c>
      <c r="BL300" s="15" t="s">
        <v>32</v>
      </c>
      <c r="BM300" s="14" t="s">
        <v>32</v>
      </c>
      <c r="BN300" s="13" t="s">
        <v>32</v>
      </c>
      <c r="BO300" s="1" t="s">
        <v>32</v>
      </c>
      <c r="BP300" s="12" t="s">
        <v>32</v>
      </c>
      <c r="BQ300" s="13" t="s">
        <v>32</v>
      </c>
      <c r="BR300" s="15" t="s">
        <v>32</v>
      </c>
      <c r="BS300" s="14" t="s">
        <v>32</v>
      </c>
      <c r="BT300" s="13">
        <v>3</v>
      </c>
      <c r="BU300" s="15" t="s">
        <v>32</v>
      </c>
      <c r="BV300" s="14" t="s">
        <v>32</v>
      </c>
      <c r="BW300" s="13" t="s">
        <v>32</v>
      </c>
      <c r="BX300" s="1" t="s">
        <v>32</v>
      </c>
      <c r="BY300" s="12" t="s">
        <v>32</v>
      </c>
      <c r="BZ300" s="13" t="s">
        <v>32</v>
      </c>
      <c r="CA300" s="15" t="s">
        <v>32</v>
      </c>
      <c r="CB300" s="14" t="s">
        <v>32</v>
      </c>
      <c r="CC300" s="13" t="s">
        <v>32</v>
      </c>
      <c r="CD300" s="15">
        <v>0</v>
      </c>
      <c r="CE300" s="14" t="s">
        <v>32</v>
      </c>
      <c r="CF300" s="13" t="s">
        <v>32</v>
      </c>
      <c r="CG300" s="1" t="s">
        <v>32</v>
      </c>
      <c r="CI300" s="12" t="s">
        <v>32</v>
      </c>
      <c r="CJ300" s="13">
        <v>9</v>
      </c>
      <c r="CK300" s="15">
        <v>1</v>
      </c>
      <c r="CL300" s="14" t="s">
        <v>32</v>
      </c>
      <c r="CM300" s="13" t="s">
        <v>32</v>
      </c>
      <c r="CN300" s="15" t="s">
        <v>32</v>
      </c>
      <c r="CO300" s="14" t="s">
        <v>32</v>
      </c>
      <c r="CP300" s="13" t="s">
        <v>32</v>
      </c>
      <c r="CQ300" s="1" t="s">
        <v>32</v>
      </c>
      <c r="CR300" s="12" t="s">
        <v>32</v>
      </c>
      <c r="CS300" s="13" t="s">
        <v>32</v>
      </c>
      <c r="CT300" s="15" t="s">
        <v>32</v>
      </c>
      <c r="CU300" s="14" t="s">
        <v>32</v>
      </c>
      <c r="CV300" s="212">
        <v>3</v>
      </c>
      <c r="CW300" s="15" t="s">
        <v>32</v>
      </c>
      <c r="CX300" s="14" t="s">
        <v>32</v>
      </c>
      <c r="CY300" s="13" t="s">
        <v>32</v>
      </c>
      <c r="CZ300" s="1" t="s">
        <v>32</v>
      </c>
      <c r="DA300" s="12" t="s">
        <v>32</v>
      </c>
      <c r="DB300" s="13" t="s">
        <v>32</v>
      </c>
      <c r="DC300" s="15" t="s">
        <v>32</v>
      </c>
      <c r="DD300" s="14" t="s">
        <v>32</v>
      </c>
      <c r="DE300" s="13" t="s">
        <v>32</v>
      </c>
      <c r="DF300" s="15">
        <v>6</v>
      </c>
      <c r="DG300" s="14" t="s">
        <v>32</v>
      </c>
      <c r="DH300" s="13" t="s">
        <v>32</v>
      </c>
      <c r="DI300" s="1" t="s">
        <v>32</v>
      </c>
    </row>
    <row r="301" spans="2:113" ht="15" customHeight="1">
      <c r="B301" s="16">
        <v>2</v>
      </c>
      <c r="C301" s="17">
        <v>3</v>
      </c>
      <c r="D301" s="18">
        <v>0</v>
      </c>
      <c r="E301" s="19" t="s">
        <v>32</v>
      </c>
      <c r="F301" s="17" t="s">
        <v>32</v>
      </c>
      <c r="G301" s="18" t="s">
        <v>32</v>
      </c>
      <c r="H301" s="19" t="s">
        <v>32</v>
      </c>
      <c r="I301" s="17" t="s">
        <v>32</v>
      </c>
      <c r="J301" s="20" t="s">
        <v>32</v>
      </c>
      <c r="K301" s="16" t="s">
        <v>32</v>
      </c>
      <c r="L301" s="17" t="s">
        <v>32</v>
      </c>
      <c r="M301" s="18" t="s">
        <v>32</v>
      </c>
      <c r="N301" s="19">
        <v>0</v>
      </c>
      <c r="O301" s="17">
        <v>0</v>
      </c>
      <c r="P301" s="18">
        <v>0</v>
      </c>
      <c r="Q301" s="19" t="s">
        <v>32</v>
      </c>
      <c r="R301" s="17" t="s">
        <v>32</v>
      </c>
      <c r="S301" s="20" t="s">
        <v>32</v>
      </c>
      <c r="T301" s="16" t="s">
        <v>32</v>
      </c>
      <c r="U301" s="17" t="s">
        <v>32</v>
      </c>
      <c r="V301" s="18" t="s">
        <v>32</v>
      </c>
      <c r="W301" s="19" t="s">
        <v>32</v>
      </c>
      <c r="X301" s="17" t="s">
        <v>32</v>
      </c>
      <c r="Y301" s="18" t="s">
        <v>32</v>
      </c>
      <c r="Z301" s="19">
        <v>0</v>
      </c>
      <c r="AA301" s="17">
        <v>9</v>
      </c>
      <c r="AB301" s="20">
        <v>8</v>
      </c>
      <c r="AC301"/>
      <c r="AD301" s="426">
        <v>2</v>
      </c>
      <c r="AE301" s="211">
        <v>3</v>
      </c>
      <c r="AF301" s="18">
        <v>5</v>
      </c>
      <c r="AG301" s="19" t="s">
        <v>32</v>
      </c>
      <c r="AH301" s="17" t="s">
        <v>32</v>
      </c>
      <c r="AI301" s="18" t="s">
        <v>32</v>
      </c>
      <c r="AJ301" s="19" t="s">
        <v>32</v>
      </c>
      <c r="AK301" s="17" t="s">
        <v>32</v>
      </c>
      <c r="AL301" s="20" t="s">
        <v>32</v>
      </c>
      <c r="AM301" s="16" t="s">
        <v>32</v>
      </c>
      <c r="AN301" s="17" t="s">
        <v>32</v>
      </c>
      <c r="AO301" s="18" t="s">
        <v>32</v>
      </c>
      <c r="AP301" s="19">
        <v>1</v>
      </c>
      <c r="AQ301" s="17">
        <v>7</v>
      </c>
      <c r="AR301" s="18">
        <v>6</v>
      </c>
      <c r="AS301" s="19" t="s">
        <v>32</v>
      </c>
      <c r="AT301" s="17" t="s">
        <v>32</v>
      </c>
      <c r="AU301" s="20" t="s">
        <v>32</v>
      </c>
      <c r="AV301" s="16" t="s">
        <v>32</v>
      </c>
      <c r="AW301" s="17" t="s">
        <v>32</v>
      </c>
      <c r="AX301" s="18" t="s">
        <v>32</v>
      </c>
      <c r="AY301" s="19" t="s">
        <v>32</v>
      </c>
      <c r="AZ301" s="17" t="s">
        <v>32</v>
      </c>
      <c r="BA301" s="18" t="s">
        <v>32</v>
      </c>
      <c r="BB301" s="19">
        <v>4</v>
      </c>
      <c r="BC301" s="211">
        <v>9</v>
      </c>
      <c r="BD301" s="427">
        <v>8</v>
      </c>
      <c r="BG301" s="16" t="s">
        <v>32</v>
      </c>
      <c r="BH301" s="17">
        <v>0</v>
      </c>
      <c r="BI301" s="18">
        <v>0</v>
      </c>
      <c r="BJ301" s="19" t="s">
        <v>32</v>
      </c>
      <c r="BK301" s="17" t="s">
        <v>32</v>
      </c>
      <c r="BL301" s="18" t="s">
        <v>32</v>
      </c>
      <c r="BM301" s="19" t="s">
        <v>32</v>
      </c>
      <c r="BN301" s="17" t="s">
        <v>32</v>
      </c>
      <c r="BO301" s="20" t="s">
        <v>32</v>
      </c>
      <c r="BP301" s="16" t="s">
        <v>32</v>
      </c>
      <c r="BQ301" s="17" t="s">
        <v>32</v>
      </c>
      <c r="BR301" s="18" t="s">
        <v>32</v>
      </c>
      <c r="BS301" s="19">
        <v>0</v>
      </c>
      <c r="BT301" s="17">
        <v>0</v>
      </c>
      <c r="BU301" s="18" t="s">
        <v>32</v>
      </c>
      <c r="BV301" s="19" t="s">
        <v>32</v>
      </c>
      <c r="BW301" s="17" t="s">
        <v>32</v>
      </c>
      <c r="BX301" s="20" t="s">
        <v>32</v>
      </c>
      <c r="BY301" s="16" t="s">
        <v>32</v>
      </c>
      <c r="BZ301" s="17" t="s">
        <v>32</v>
      </c>
      <c r="CA301" s="18" t="s">
        <v>32</v>
      </c>
      <c r="CB301" s="19" t="s">
        <v>32</v>
      </c>
      <c r="CC301" s="17" t="s">
        <v>32</v>
      </c>
      <c r="CD301" s="18">
        <v>0</v>
      </c>
      <c r="CE301" s="19">
        <v>0</v>
      </c>
      <c r="CF301" s="17">
        <v>0</v>
      </c>
      <c r="CG301" s="20" t="s">
        <v>32</v>
      </c>
      <c r="CI301" s="16" t="s">
        <v>32</v>
      </c>
      <c r="CJ301" s="17">
        <v>4</v>
      </c>
      <c r="CK301" s="18">
        <v>7</v>
      </c>
      <c r="CL301" s="19" t="s">
        <v>32</v>
      </c>
      <c r="CM301" s="17" t="s">
        <v>32</v>
      </c>
      <c r="CN301" s="18" t="s">
        <v>32</v>
      </c>
      <c r="CO301" s="19" t="s">
        <v>32</v>
      </c>
      <c r="CP301" s="17" t="s">
        <v>32</v>
      </c>
      <c r="CQ301" s="20" t="s">
        <v>32</v>
      </c>
      <c r="CR301" s="16" t="s">
        <v>32</v>
      </c>
      <c r="CS301" s="17" t="s">
        <v>32</v>
      </c>
      <c r="CT301" s="18" t="s">
        <v>32</v>
      </c>
      <c r="CU301" s="19">
        <v>1</v>
      </c>
      <c r="CV301" s="17">
        <v>6</v>
      </c>
      <c r="CW301" s="18" t="s">
        <v>32</v>
      </c>
      <c r="CX301" s="19" t="s">
        <v>32</v>
      </c>
      <c r="CY301" s="17" t="s">
        <v>32</v>
      </c>
      <c r="CZ301" s="20" t="s">
        <v>32</v>
      </c>
      <c r="DA301" s="16" t="s">
        <v>32</v>
      </c>
      <c r="DB301" s="17" t="s">
        <v>32</v>
      </c>
      <c r="DC301" s="18" t="s">
        <v>32</v>
      </c>
      <c r="DD301" s="19" t="s">
        <v>32</v>
      </c>
      <c r="DE301" s="17" t="s">
        <v>32</v>
      </c>
      <c r="DF301" s="18">
        <v>2</v>
      </c>
      <c r="DG301" s="19">
        <v>3</v>
      </c>
      <c r="DH301" s="17">
        <v>5</v>
      </c>
      <c r="DI301" s="20" t="s">
        <v>32</v>
      </c>
    </row>
    <row r="302" spans="2:113" ht="15" customHeight="1">
      <c r="B302" s="11">
        <v>0</v>
      </c>
      <c r="C302" s="7">
        <v>0</v>
      </c>
      <c r="D302" s="9">
        <v>0</v>
      </c>
      <c r="E302" s="8" t="s">
        <v>32</v>
      </c>
      <c r="F302" s="7" t="s">
        <v>32</v>
      </c>
      <c r="G302" s="9" t="s">
        <v>32</v>
      </c>
      <c r="H302" s="8" t="s">
        <v>32</v>
      </c>
      <c r="I302" s="7" t="s">
        <v>32</v>
      </c>
      <c r="J302" s="10" t="s">
        <v>32</v>
      </c>
      <c r="K302" s="11" t="s">
        <v>32</v>
      </c>
      <c r="L302" s="7" t="s">
        <v>32</v>
      </c>
      <c r="M302" s="9" t="s">
        <v>32</v>
      </c>
      <c r="N302" s="8">
        <v>0</v>
      </c>
      <c r="O302" s="7">
        <v>5</v>
      </c>
      <c r="P302" s="9">
        <v>0</v>
      </c>
      <c r="Q302" s="8" t="s">
        <v>32</v>
      </c>
      <c r="R302" s="7" t="s">
        <v>32</v>
      </c>
      <c r="S302" s="10" t="s">
        <v>32</v>
      </c>
      <c r="T302" s="11" t="s">
        <v>32</v>
      </c>
      <c r="U302" s="7" t="s">
        <v>32</v>
      </c>
      <c r="V302" s="9" t="s">
        <v>32</v>
      </c>
      <c r="W302" s="8" t="s">
        <v>32</v>
      </c>
      <c r="X302" s="7" t="s">
        <v>32</v>
      </c>
      <c r="Y302" s="9" t="s">
        <v>32</v>
      </c>
      <c r="Z302" s="8">
        <v>0</v>
      </c>
      <c r="AA302" s="7">
        <v>0</v>
      </c>
      <c r="AB302" s="10">
        <v>0</v>
      </c>
      <c r="AC302"/>
      <c r="AD302" s="11">
        <v>8</v>
      </c>
      <c r="AE302" s="7">
        <v>9</v>
      </c>
      <c r="AF302" s="9">
        <v>6</v>
      </c>
      <c r="AG302" s="8" t="s">
        <v>32</v>
      </c>
      <c r="AH302" s="7" t="s">
        <v>32</v>
      </c>
      <c r="AI302" s="9" t="s">
        <v>32</v>
      </c>
      <c r="AJ302" s="8" t="s">
        <v>32</v>
      </c>
      <c r="AK302" s="7" t="s">
        <v>32</v>
      </c>
      <c r="AL302" s="10" t="s">
        <v>32</v>
      </c>
      <c r="AM302" s="11" t="s">
        <v>32</v>
      </c>
      <c r="AN302" s="7" t="s">
        <v>32</v>
      </c>
      <c r="AO302" s="9" t="s">
        <v>32</v>
      </c>
      <c r="AP302" s="8">
        <v>2</v>
      </c>
      <c r="AQ302" s="204">
        <v>5</v>
      </c>
      <c r="AR302" s="9">
        <v>4</v>
      </c>
      <c r="AS302" s="8" t="s">
        <v>32</v>
      </c>
      <c r="AT302" s="7" t="s">
        <v>32</v>
      </c>
      <c r="AU302" s="10" t="s">
        <v>32</v>
      </c>
      <c r="AV302" s="11" t="s">
        <v>32</v>
      </c>
      <c r="AW302" s="7" t="s">
        <v>32</v>
      </c>
      <c r="AX302" s="9" t="s">
        <v>32</v>
      </c>
      <c r="AY302" s="8" t="s">
        <v>32</v>
      </c>
      <c r="AZ302" s="7" t="s">
        <v>32</v>
      </c>
      <c r="BA302" s="9" t="s">
        <v>32</v>
      </c>
      <c r="BB302" s="8">
        <v>1</v>
      </c>
      <c r="BC302" s="7">
        <v>3</v>
      </c>
      <c r="BD302" s="10">
        <v>7</v>
      </c>
      <c r="BG302" s="11" t="s">
        <v>32</v>
      </c>
      <c r="BH302" s="7" t="s">
        <v>32</v>
      </c>
      <c r="BI302" s="9">
        <v>6</v>
      </c>
      <c r="BJ302" s="8">
        <v>0</v>
      </c>
      <c r="BK302" s="7" t="s">
        <v>32</v>
      </c>
      <c r="BL302" s="9" t="s">
        <v>32</v>
      </c>
      <c r="BM302" s="8" t="s">
        <v>32</v>
      </c>
      <c r="BN302" s="7" t="s">
        <v>32</v>
      </c>
      <c r="BO302" s="10" t="s">
        <v>32</v>
      </c>
      <c r="BP302" s="11" t="s">
        <v>32</v>
      </c>
      <c r="BQ302" s="7" t="s">
        <v>32</v>
      </c>
      <c r="BR302" s="9" t="s">
        <v>32</v>
      </c>
      <c r="BS302" s="8" t="s">
        <v>32</v>
      </c>
      <c r="BT302" s="7">
        <v>0</v>
      </c>
      <c r="BU302" s="9" t="s">
        <v>32</v>
      </c>
      <c r="BV302" s="8" t="s">
        <v>32</v>
      </c>
      <c r="BW302" s="7" t="s">
        <v>32</v>
      </c>
      <c r="BX302" s="10" t="s">
        <v>32</v>
      </c>
      <c r="BY302" s="11" t="s">
        <v>32</v>
      </c>
      <c r="BZ302" s="7" t="s">
        <v>32</v>
      </c>
      <c r="CA302" s="9" t="s">
        <v>32</v>
      </c>
      <c r="CB302" s="8" t="s">
        <v>32</v>
      </c>
      <c r="CC302" s="7" t="s">
        <v>32</v>
      </c>
      <c r="CD302" s="9">
        <v>0</v>
      </c>
      <c r="CE302" s="8">
        <v>8</v>
      </c>
      <c r="CF302" s="7" t="s">
        <v>32</v>
      </c>
      <c r="CG302" s="10">
        <v>0</v>
      </c>
      <c r="CI302" s="11" t="s">
        <v>32</v>
      </c>
      <c r="CJ302" s="7" t="s">
        <v>32</v>
      </c>
      <c r="CK302" s="205">
        <v>6</v>
      </c>
      <c r="CL302" s="8">
        <v>2</v>
      </c>
      <c r="CM302" s="7" t="s">
        <v>32</v>
      </c>
      <c r="CN302" s="9" t="s">
        <v>32</v>
      </c>
      <c r="CO302" s="8" t="s">
        <v>32</v>
      </c>
      <c r="CP302" s="7" t="s">
        <v>32</v>
      </c>
      <c r="CQ302" s="10" t="s">
        <v>32</v>
      </c>
      <c r="CR302" s="11" t="s">
        <v>32</v>
      </c>
      <c r="CS302" s="7" t="s">
        <v>32</v>
      </c>
      <c r="CT302" s="9" t="s">
        <v>32</v>
      </c>
      <c r="CU302" s="8" t="s">
        <v>32</v>
      </c>
      <c r="CV302" s="7">
        <v>5</v>
      </c>
      <c r="CW302" s="9" t="s">
        <v>32</v>
      </c>
      <c r="CX302" s="8" t="s">
        <v>32</v>
      </c>
      <c r="CY302" s="7" t="s">
        <v>32</v>
      </c>
      <c r="CZ302" s="10" t="s">
        <v>32</v>
      </c>
      <c r="DA302" s="11" t="s">
        <v>32</v>
      </c>
      <c r="DB302" s="7" t="s">
        <v>32</v>
      </c>
      <c r="DC302" s="9" t="s">
        <v>32</v>
      </c>
      <c r="DD302" s="8" t="s">
        <v>32</v>
      </c>
      <c r="DE302" s="7" t="s">
        <v>32</v>
      </c>
      <c r="DF302" s="9">
        <v>4</v>
      </c>
      <c r="DG302" s="206">
        <v>8</v>
      </c>
      <c r="DH302" s="7" t="s">
        <v>32</v>
      </c>
      <c r="DI302" s="10">
        <v>7</v>
      </c>
    </row>
    <row r="303" spans="2:113" ht="15" customHeight="1">
      <c r="B303" s="12">
        <v>4</v>
      </c>
      <c r="C303" s="13">
        <v>1</v>
      </c>
      <c r="D303" s="15">
        <v>0</v>
      </c>
      <c r="E303" s="14" t="s">
        <v>32</v>
      </c>
      <c r="F303" s="13" t="s">
        <v>32</v>
      </c>
      <c r="G303" s="15" t="s">
        <v>32</v>
      </c>
      <c r="H303" s="14" t="s">
        <v>32</v>
      </c>
      <c r="I303" s="13" t="s">
        <v>32</v>
      </c>
      <c r="J303" s="1" t="s">
        <v>32</v>
      </c>
      <c r="K303" s="12" t="s">
        <v>32</v>
      </c>
      <c r="L303" s="13" t="s">
        <v>32</v>
      </c>
      <c r="M303" s="15" t="s">
        <v>32</v>
      </c>
      <c r="N303" s="14">
        <v>0</v>
      </c>
      <c r="O303" s="13">
        <v>0</v>
      </c>
      <c r="P303" s="15">
        <v>0</v>
      </c>
      <c r="Q303" s="14" t="s">
        <v>32</v>
      </c>
      <c r="R303" s="13" t="s">
        <v>32</v>
      </c>
      <c r="S303" s="1" t="s">
        <v>32</v>
      </c>
      <c r="T303" s="12" t="s">
        <v>32</v>
      </c>
      <c r="U303" s="13" t="s">
        <v>32</v>
      </c>
      <c r="V303" s="15" t="s">
        <v>32</v>
      </c>
      <c r="W303" s="14" t="s">
        <v>32</v>
      </c>
      <c r="X303" s="13" t="s">
        <v>32</v>
      </c>
      <c r="Y303" s="15" t="s">
        <v>32</v>
      </c>
      <c r="Z303" s="14">
        <v>0</v>
      </c>
      <c r="AA303" s="13">
        <v>2</v>
      </c>
      <c r="AB303" s="1">
        <v>6</v>
      </c>
      <c r="AC303"/>
      <c r="AD303" s="424">
        <v>4</v>
      </c>
      <c r="AE303" s="212">
        <v>1</v>
      </c>
      <c r="AF303" s="15">
        <v>7</v>
      </c>
      <c r="AG303" s="14" t="s">
        <v>32</v>
      </c>
      <c r="AH303" s="13" t="s">
        <v>32</v>
      </c>
      <c r="AI303" s="15" t="s">
        <v>32</v>
      </c>
      <c r="AJ303" s="14" t="s">
        <v>32</v>
      </c>
      <c r="AK303" s="13" t="s">
        <v>32</v>
      </c>
      <c r="AL303" s="1" t="s">
        <v>32</v>
      </c>
      <c r="AM303" s="12" t="s">
        <v>32</v>
      </c>
      <c r="AN303" s="13" t="s">
        <v>32</v>
      </c>
      <c r="AO303" s="15" t="s">
        <v>32</v>
      </c>
      <c r="AP303" s="14">
        <v>8</v>
      </c>
      <c r="AQ303" s="13">
        <v>9</v>
      </c>
      <c r="AR303" s="15">
        <v>3</v>
      </c>
      <c r="AS303" s="14" t="s">
        <v>32</v>
      </c>
      <c r="AT303" s="13" t="s">
        <v>32</v>
      </c>
      <c r="AU303" s="1" t="s">
        <v>32</v>
      </c>
      <c r="AV303" s="12" t="s">
        <v>32</v>
      </c>
      <c r="AW303" s="13" t="s">
        <v>32</v>
      </c>
      <c r="AX303" s="15" t="s">
        <v>32</v>
      </c>
      <c r="AY303" s="14" t="s">
        <v>32</v>
      </c>
      <c r="AZ303" s="13" t="s">
        <v>32</v>
      </c>
      <c r="BA303" s="15" t="s">
        <v>32</v>
      </c>
      <c r="BB303" s="14">
        <v>5</v>
      </c>
      <c r="BC303" s="212">
        <v>2</v>
      </c>
      <c r="BD303" s="425">
        <v>6</v>
      </c>
      <c r="BG303" s="12" t="s">
        <v>32</v>
      </c>
      <c r="BH303" s="13" t="s">
        <v>32</v>
      </c>
      <c r="BI303" s="15" t="s">
        <v>32</v>
      </c>
      <c r="BJ303" s="14">
        <v>0</v>
      </c>
      <c r="BK303" s="13" t="s">
        <v>32</v>
      </c>
      <c r="BL303" s="15" t="s">
        <v>32</v>
      </c>
      <c r="BM303" s="14" t="s">
        <v>32</v>
      </c>
      <c r="BN303" s="13" t="s">
        <v>32</v>
      </c>
      <c r="BO303" s="1" t="s">
        <v>32</v>
      </c>
      <c r="BP303" s="12" t="s">
        <v>32</v>
      </c>
      <c r="BQ303" s="13" t="s">
        <v>32</v>
      </c>
      <c r="BR303" s="15" t="s">
        <v>32</v>
      </c>
      <c r="BS303" s="14" t="s">
        <v>32</v>
      </c>
      <c r="BT303" s="13" t="s">
        <v>32</v>
      </c>
      <c r="BU303" s="15">
        <v>0</v>
      </c>
      <c r="BV303" s="14" t="s">
        <v>32</v>
      </c>
      <c r="BW303" s="13" t="s">
        <v>32</v>
      </c>
      <c r="BX303" s="1" t="s">
        <v>32</v>
      </c>
      <c r="BY303" s="12" t="s">
        <v>32</v>
      </c>
      <c r="BZ303" s="13" t="s">
        <v>32</v>
      </c>
      <c r="CA303" s="15" t="s">
        <v>32</v>
      </c>
      <c r="CB303" s="14" t="s">
        <v>32</v>
      </c>
      <c r="CC303" s="13">
        <v>0</v>
      </c>
      <c r="CD303" s="15" t="s">
        <v>32</v>
      </c>
      <c r="CE303" s="14" t="s">
        <v>32</v>
      </c>
      <c r="CF303" s="13" t="s">
        <v>32</v>
      </c>
      <c r="CG303" s="1" t="s">
        <v>32</v>
      </c>
      <c r="CI303" s="12" t="s">
        <v>32</v>
      </c>
      <c r="CJ303" s="13" t="s">
        <v>32</v>
      </c>
      <c r="CK303" s="15" t="s">
        <v>32</v>
      </c>
      <c r="CL303" s="14">
        <v>8</v>
      </c>
      <c r="CM303" s="13" t="s">
        <v>32</v>
      </c>
      <c r="CN303" s="15" t="s">
        <v>32</v>
      </c>
      <c r="CO303" s="14" t="s">
        <v>32</v>
      </c>
      <c r="CP303" s="13" t="s">
        <v>32</v>
      </c>
      <c r="CQ303" s="1" t="s">
        <v>32</v>
      </c>
      <c r="CR303" s="12" t="s">
        <v>32</v>
      </c>
      <c r="CS303" s="13" t="s">
        <v>32</v>
      </c>
      <c r="CT303" s="15" t="s">
        <v>32</v>
      </c>
      <c r="CU303" s="14" t="s">
        <v>32</v>
      </c>
      <c r="CV303" s="13" t="s">
        <v>32</v>
      </c>
      <c r="CW303" s="15">
        <v>7</v>
      </c>
      <c r="CX303" s="14" t="s">
        <v>32</v>
      </c>
      <c r="CY303" s="13" t="s">
        <v>32</v>
      </c>
      <c r="CZ303" s="1" t="s">
        <v>32</v>
      </c>
      <c r="DA303" s="12" t="s">
        <v>32</v>
      </c>
      <c r="DB303" s="13" t="s">
        <v>32</v>
      </c>
      <c r="DC303" s="15" t="s">
        <v>32</v>
      </c>
      <c r="DD303" s="14" t="s">
        <v>32</v>
      </c>
      <c r="DE303" s="13">
        <v>1</v>
      </c>
      <c r="DF303" s="15" t="s">
        <v>32</v>
      </c>
      <c r="DG303" s="14" t="s">
        <v>32</v>
      </c>
      <c r="DH303" s="13" t="s">
        <v>32</v>
      </c>
      <c r="DI303" s="1" t="s">
        <v>32</v>
      </c>
    </row>
    <row r="304" spans="2:113" ht="15" customHeight="1">
      <c r="B304" s="16" t="s">
        <v>32</v>
      </c>
      <c r="C304" s="17" t="s">
        <v>32</v>
      </c>
      <c r="D304" s="18" t="s">
        <v>32</v>
      </c>
      <c r="E304" s="19" t="s">
        <v>32</v>
      </c>
      <c r="F304" s="17" t="s">
        <v>32</v>
      </c>
      <c r="G304" s="18" t="s">
        <v>32</v>
      </c>
      <c r="H304" s="19" t="s">
        <v>32</v>
      </c>
      <c r="I304" s="17" t="s">
        <v>32</v>
      </c>
      <c r="J304" s="20" t="s">
        <v>32</v>
      </c>
      <c r="K304" s="16" t="s">
        <v>32</v>
      </c>
      <c r="L304" s="17" t="s">
        <v>32</v>
      </c>
      <c r="M304" s="18" t="s">
        <v>32</v>
      </c>
      <c r="N304" s="19" t="s">
        <v>32</v>
      </c>
      <c r="O304" s="17" t="s">
        <v>32</v>
      </c>
      <c r="P304" s="18" t="s">
        <v>32</v>
      </c>
      <c r="Q304" s="19" t="s">
        <v>32</v>
      </c>
      <c r="R304" s="17" t="s">
        <v>32</v>
      </c>
      <c r="S304" s="20" t="s">
        <v>32</v>
      </c>
      <c r="T304" s="16" t="s">
        <v>32</v>
      </c>
      <c r="U304" s="17" t="s">
        <v>32</v>
      </c>
      <c r="V304" s="18" t="s">
        <v>32</v>
      </c>
      <c r="W304" s="19" t="s">
        <v>32</v>
      </c>
      <c r="X304" s="17" t="s">
        <v>32</v>
      </c>
      <c r="Y304" s="18" t="s">
        <v>32</v>
      </c>
      <c r="Z304" s="19" t="s">
        <v>32</v>
      </c>
      <c r="AA304" s="17" t="s">
        <v>32</v>
      </c>
      <c r="AB304" s="20" t="s">
        <v>32</v>
      </c>
      <c r="AC304"/>
      <c r="AD304" s="16" t="s">
        <v>32</v>
      </c>
      <c r="AE304" s="17" t="s">
        <v>32</v>
      </c>
      <c r="AF304" s="18" t="s">
        <v>32</v>
      </c>
      <c r="AG304" s="19" t="s">
        <v>32</v>
      </c>
      <c r="AH304" s="17" t="s">
        <v>32</v>
      </c>
      <c r="AI304" s="18" t="s">
        <v>32</v>
      </c>
      <c r="AJ304" s="19" t="s">
        <v>32</v>
      </c>
      <c r="AK304" s="17" t="s">
        <v>32</v>
      </c>
      <c r="AL304" s="20" t="s">
        <v>32</v>
      </c>
      <c r="AM304" s="16" t="s">
        <v>32</v>
      </c>
      <c r="AN304" s="17" t="s">
        <v>32</v>
      </c>
      <c r="AO304" s="18" t="s">
        <v>32</v>
      </c>
      <c r="AP304" s="19" t="s">
        <v>32</v>
      </c>
      <c r="AQ304" s="17" t="s">
        <v>32</v>
      </c>
      <c r="AR304" s="18" t="s">
        <v>32</v>
      </c>
      <c r="AS304" s="19" t="s">
        <v>32</v>
      </c>
      <c r="AT304" s="17" t="s">
        <v>32</v>
      </c>
      <c r="AU304" s="20" t="s">
        <v>32</v>
      </c>
      <c r="AV304" s="16" t="s">
        <v>32</v>
      </c>
      <c r="AW304" s="17" t="s">
        <v>32</v>
      </c>
      <c r="AX304" s="18" t="s">
        <v>32</v>
      </c>
      <c r="AY304" s="19" t="s">
        <v>32</v>
      </c>
      <c r="AZ304" s="17" t="s">
        <v>32</v>
      </c>
      <c r="BA304" s="18" t="s">
        <v>32</v>
      </c>
      <c r="BB304" s="19" t="s">
        <v>32</v>
      </c>
      <c r="BC304" s="17" t="s">
        <v>32</v>
      </c>
      <c r="BD304" s="20" t="s">
        <v>32</v>
      </c>
      <c r="BG304" s="16" t="s">
        <v>32</v>
      </c>
      <c r="BH304" s="17" t="s">
        <v>32</v>
      </c>
      <c r="BI304" s="18" t="s">
        <v>32</v>
      </c>
      <c r="BJ304" s="19" t="s">
        <v>32</v>
      </c>
      <c r="BK304" s="17" t="s">
        <v>32</v>
      </c>
      <c r="BL304" s="18" t="s">
        <v>32</v>
      </c>
      <c r="BM304" s="19" t="s">
        <v>32</v>
      </c>
      <c r="BN304" s="17" t="s">
        <v>32</v>
      </c>
      <c r="BO304" s="20" t="s">
        <v>32</v>
      </c>
      <c r="BP304" s="16" t="s">
        <v>32</v>
      </c>
      <c r="BQ304" s="17" t="s">
        <v>32</v>
      </c>
      <c r="BR304" s="18" t="s">
        <v>32</v>
      </c>
      <c r="BS304" s="19" t="s">
        <v>32</v>
      </c>
      <c r="BT304" s="17" t="s">
        <v>32</v>
      </c>
      <c r="BU304" s="18" t="s">
        <v>32</v>
      </c>
      <c r="BV304" s="19">
        <v>0</v>
      </c>
      <c r="BW304" s="17" t="s">
        <v>32</v>
      </c>
      <c r="BX304" s="20" t="s">
        <v>32</v>
      </c>
      <c r="BY304" s="16" t="s">
        <v>32</v>
      </c>
      <c r="BZ304" s="17" t="s">
        <v>32</v>
      </c>
      <c r="CA304" s="18" t="s">
        <v>32</v>
      </c>
      <c r="CB304" s="19" t="s">
        <v>32</v>
      </c>
      <c r="CC304" s="17" t="s">
        <v>32</v>
      </c>
      <c r="CD304" s="18">
        <v>0</v>
      </c>
      <c r="CE304" s="19" t="s">
        <v>32</v>
      </c>
      <c r="CF304" s="17" t="s">
        <v>32</v>
      </c>
      <c r="CG304" s="20" t="s">
        <v>32</v>
      </c>
      <c r="CI304" s="16" t="s">
        <v>32</v>
      </c>
      <c r="CJ304" s="17" t="s">
        <v>32</v>
      </c>
      <c r="CK304" s="18" t="s">
        <v>32</v>
      </c>
      <c r="CL304" s="19" t="s">
        <v>32</v>
      </c>
      <c r="CM304" s="17" t="s">
        <v>32</v>
      </c>
      <c r="CN304" s="18" t="s">
        <v>32</v>
      </c>
      <c r="CO304" s="19" t="s">
        <v>32</v>
      </c>
      <c r="CP304" s="17" t="s">
        <v>32</v>
      </c>
      <c r="CQ304" s="20" t="s">
        <v>32</v>
      </c>
      <c r="CR304" s="16" t="s">
        <v>32</v>
      </c>
      <c r="CS304" s="17" t="s">
        <v>32</v>
      </c>
      <c r="CT304" s="18" t="s">
        <v>32</v>
      </c>
      <c r="CU304" s="19" t="s">
        <v>32</v>
      </c>
      <c r="CV304" s="17" t="s">
        <v>32</v>
      </c>
      <c r="CW304" s="18" t="s">
        <v>32</v>
      </c>
      <c r="CX304" s="19">
        <v>4</v>
      </c>
      <c r="CY304" s="17" t="s">
        <v>32</v>
      </c>
      <c r="CZ304" s="20" t="s">
        <v>32</v>
      </c>
      <c r="DA304" s="16" t="s">
        <v>32</v>
      </c>
      <c r="DB304" s="17" t="s">
        <v>32</v>
      </c>
      <c r="DC304" s="18" t="s">
        <v>32</v>
      </c>
      <c r="DD304" s="19" t="s">
        <v>32</v>
      </c>
      <c r="DE304" s="17" t="s">
        <v>32</v>
      </c>
      <c r="DF304" s="18">
        <v>9</v>
      </c>
      <c r="DG304" s="19" t="s">
        <v>32</v>
      </c>
      <c r="DH304" s="17" t="s">
        <v>32</v>
      </c>
      <c r="DI304" s="20" t="s">
        <v>32</v>
      </c>
    </row>
    <row r="305" spans="2:113" ht="15" customHeight="1">
      <c r="B305" s="11" t="s">
        <v>32</v>
      </c>
      <c r="C305" s="7" t="s">
        <v>32</v>
      </c>
      <c r="D305" s="9" t="s">
        <v>32</v>
      </c>
      <c r="E305" s="8" t="s">
        <v>32</v>
      </c>
      <c r="F305" s="7" t="s">
        <v>32</v>
      </c>
      <c r="G305" s="9" t="s">
        <v>32</v>
      </c>
      <c r="H305" s="8" t="s">
        <v>32</v>
      </c>
      <c r="I305" s="7" t="s">
        <v>32</v>
      </c>
      <c r="J305" s="10" t="s">
        <v>32</v>
      </c>
      <c r="K305" s="11" t="s">
        <v>32</v>
      </c>
      <c r="L305" s="7" t="s">
        <v>32</v>
      </c>
      <c r="M305" s="9" t="s">
        <v>32</v>
      </c>
      <c r="N305" s="8" t="s">
        <v>32</v>
      </c>
      <c r="O305" s="7" t="s">
        <v>32</v>
      </c>
      <c r="P305" s="9" t="s">
        <v>32</v>
      </c>
      <c r="Q305" s="8" t="s">
        <v>32</v>
      </c>
      <c r="R305" s="7" t="s">
        <v>32</v>
      </c>
      <c r="S305" s="10" t="s">
        <v>32</v>
      </c>
      <c r="T305" s="11" t="s">
        <v>32</v>
      </c>
      <c r="U305" s="7" t="s">
        <v>32</v>
      </c>
      <c r="V305" s="9" t="s">
        <v>32</v>
      </c>
      <c r="W305" s="8" t="s">
        <v>32</v>
      </c>
      <c r="X305" s="7" t="s">
        <v>32</v>
      </c>
      <c r="Y305" s="9" t="s">
        <v>32</v>
      </c>
      <c r="Z305" s="8" t="s">
        <v>32</v>
      </c>
      <c r="AA305" s="7" t="s">
        <v>32</v>
      </c>
      <c r="AB305" s="10" t="s">
        <v>32</v>
      </c>
      <c r="AC305"/>
      <c r="AD305" s="11" t="s">
        <v>32</v>
      </c>
      <c r="AE305" s="7" t="s">
        <v>32</v>
      </c>
      <c r="AF305" s="9" t="s">
        <v>32</v>
      </c>
      <c r="AG305" s="8" t="s">
        <v>32</v>
      </c>
      <c r="AH305" s="7" t="s">
        <v>32</v>
      </c>
      <c r="AI305" s="9" t="s">
        <v>32</v>
      </c>
      <c r="AJ305" s="8" t="s">
        <v>32</v>
      </c>
      <c r="AK305" s="7" t="s">
        <v>32</v>
      </c>
      <c r="AL305" s="10" t="s">
        <v>32</v>
      </c>
      <c r="AM305" s="11" t="s">
        <v>32</v>
      </c>
      <c r="AN305" s="7" t="s">
        <v>32</v>
      </c>
      <c r="AO305" s="9" t="s">
        <v>32</v>
      </c>
      <c r="AP305" s="8" t="s">
        <v>32</v>
      </c>
      <c r="AQ305" s="7" t="s">
        <v>32</v>
      </c>
      <c r="AR305" s="9" t="s">
        <v>32</v>
      </c>
      <c r="AS305" s="8" t="s">
        <v>32</v>
      </c>
      <c r="AT305" s="7" t="s">
        <v>32</v>
      </c>
      <c r="AU305" s="10" t="s">
        <v>32</v>
      </c>
      <c r="AV305" s="11" t="s">
        <v>32</v>
      </c>
      <c r="AW305" s="7" t="s">
        <v>32</v>
      </c>
      <c r="AX305" s="9" t="s">
        <v>32</v>
      </c>
      <c r="AY305" s="8" t="s">
        <v>32</v>
      </c>
      <c r="AZ305" s="7" t="s">
        <v>32</v>
      </c>
      <c r="BA305" s="9" t="s">
        <v>32</v>
      </c>
      <c r="BB305" s="8" t="s">
        <v>32</v>
      </c>
      <c r="BC305" s="7" t="s">
        <v>32</v>
      </c>
      <c r="BD305" s="10" t="s">
        <v>32</v>
      </c>
      <c r="BG305" s="11" t="s">
        <v>32</v>
      </c>
      <c r="BH305" s="7" t="s">
        <v>32</v>
      </c>
      <c r="BI305" s="9" t="s">
        <v>32</v>
      </c>
      <c r="BJ305" s="8" t="s">
        <v>32</v>
      </c>
      <c r="BK305" s="7" t="s">
        <v>32</v>
      </c>
      <c r="BL305" s="9" t="s">
        <v>32</v>
      </c>
      <c r="BM305" s="8" t="s">
        <v>32</v>
      </c>
      <c r="BN305" s="7" t="s">
        <v>32</v>
      </c>
      <c r="BO305" s="10" t="s">
        <v>32</v>
      </c>
      <c r="BP305" s="11" t="s">
        <v>32</v>
      </c>
      <c r="BQ305" s="7" t="s">
        <v>32</v>
      </c>
      <c r="BR305" s="9" t="s">
        <v>32</v>
      </c>
      <c r="BS305" s="8" t="s">
        <v>32</v>
      </c>
      <c r="BT305" s="7" t="s">
        <v>32</v>
      </c>
      <c r="BU305" s="9" t="s">
        <v>32</v>
      </c>
      <c r="BV305" s="8" t="s">
        <v>32</v>
      </c>
      <c r="BW305" s="7" t="s">
        <v>32</v>
      </c>
      <c r="BX305" s="10" t="s">
        <v>32</v>
      </c>
      <c r="BY305" s="11" t="s">
        <v>32</v>
      </c>
      <c r="BZ305" s="7" t="s">
        <v>32</v>
      </c>
      <c r="CA305" s="9" t="s">
        <v>32</v>
      </c>
      <c r="CB305" s="8" t="s">
        <v>32</v>
      </c>
      <c r="CC305" s="7" t="s">
        <v>32</v>
      </c>
      <c r="CD305" s="9" t="s">
        <v>32</v>
      </c>
      <c r="CE305" s="8" t="s">
        <v>32</v>
      </c>
      <c r="CF305" s="7" t="s">
        <v>32</v>
      </c>
      <c r="CG305" s="10" t="s">
        <v>32</v>
      </c>
      <c r="CI305" s="11" t="s">
        <v>32</v>
      </c>
      <c r="CJ305" s="7" t="s">
        <v>32</v>
      </c>
      <c r="CK305" s="9" t="s">
        <v>32</v>
      </c>
      <c r="CL305" s="8" t="s">
        <v>32</v>
      </c>
      <c r="CM305" s="7" t="s">
        <v>32</v>
      </c>
      <c r="CN305" s="9" t="s">
        <v>32</v>
      </c>
      <c r="CO305" s="8" t="s">
        <v>32</v>
      </c>
      <c r="CP305" s="7" t="s">
        <v>32</v>
      </c>
      <c r="CQ305" s="10" t="s">
        <v>32</v>
      </c>
      <c r="CR305" s="11" t="s">
        <v>32</v>
      </c>
      <c r="CS305" s="7" t="s">
        <v>32</v>
      </c>
      <c r="CT305" s="9" t="s">
        <v>32</v>
      </c>
      <c r="CU305" s="8" t="s">
        <v>32</v>
      </c>
      <c r="CV305" s="7" t="s">
        <v>32</v>
      </c>
      <c r="CW305" s="9" t="s">
        <v>32</v>
      </c>
      <c r="CX305" s="8" t="s">
        <v>32</v>
      </c>
      <c r="CY305" s="7" t="s">
        <v>32</v>
      </c>
      <c r="CZ305" s="10" t="s">
        <v>32</v>
      </c>
      <c r="DA305" s="11" t="s">
        <v>32</v>
      </c>
      <c r="DB305" s="7" t="s">
        <v>32</v>
      </c>
      <c r="DC305" s="9" t="s">
        <v>32</v>
      </c>
      <c r="DD305" s="8" t="s">
        <v>32</v>
      </c>
      <c r="DE305" s="7" t="s">
        <v>32</v>
      </c>
      <c r="DF305" s="9" t="s">
        <v>32</v>
      </c>
      <c r="DG305" s="8" t="s">
        <v>32</v>
      </c>
      <c r="DH305" s="7" t="s">
        <v>32</v>
      </c>
      <c r="DI305" s="10" t="s">
        <v>32</v>
      </c>
    </row>
    <row r="306" spans="2:113" ht="15" customHeight="1" thickBot="1">
      <c r="B306" s="21" t="s">
        <v>32</v>
      </c>
      <c r="C306" s="22" t="s">
        <v>32</v>
      </c>
      <c r="D306" s="23" t="s">
        <v>32</v>
      </c>
      <c r="E306" s="24" t="s">
        <v>32</v>
      </c>
      <c r="F306" s="22" t="s">
        <v>32</v>
      </c>
      <c r="G306" s="23" t="s">
        <v>32</v>
      </c>
      <c r="H306" s="24" t="s">
        <v>32</v>
      </c>
      <c r="I306" s="22" t="s">
        <v>32</v>
      </c>
      <c r="J306" s="25" t="s">
        <v>32</v>
      </c>
      <c r="K306" s="21" t="s">
        <v>32</v>
      </c>
      <c r="L306" s="22" t="s">
        <v>32</v>
      </c>
      <c r="M306" s="23" t="s">
        <v>32</v>
      </c>
      <c r="N306" s="24" t="s">
        <v>32</v>
      </c>
      <c r="O306" s="22" t="s">
        <v>32</v>
      </c>
      <c r="P306" s="23" t="s">
        <v>32</v>
      </c>
      <c r="Q306" s="24" t="s">
        <v>32</v>
      </c>
      <c r="R306" s="22" t="s">
        <v>32</v>
      </c>
      <c r="S306" s="25" t="s">
        <v>32</v>
      </c>
      <c r="T306" s="21" t="s">
        <v>32</v>
      </c>
      <c r="U306" s="22" t="s">
        <v>32</v>
      </c>
      <c r="V306" s="23" t="s">
        <v>32</v>
      </c>
      <c r="W306" s="24" t="s">
        <v>32</v>
      </c>
      <c r="X306" s="22" t="s">
        <v>32</v>
      </c>
      <c r="Y306" s="23" t="s">
        <v>32</v>
      </c>
      <c r="Z306" s="24" t="s">
        <v>32</v>
      </c>
      <c r="AA306" s="22" t="s">
        <v>32</v>
      </c>
      <c r="AB306" s="25" t="s">
        <v>32</v>
      </c>
      <c r="AC306"/>
      <c r="AD306" s="21" t="s">
        <v>32</v>
      </c>
      <c r="AE306" s="22" t="s">
        <v>32</v>
      </c>
      <c r="AF306" s="23" t="s">
        <v>32</v>
      </c>
      <c r="AG306" s="24" t="s">
        <v>32</v>
      </c>
      <c r="AH306" s="22" t="s">
        <v>32</v>
      </c>
      <c r="AI306" s="23" t="s">
        <v>32</v>
      </c>
      <c r="AJ306" s="24" t="s">
        <v>32</v>
      </c>
      <c r="AK306" s="22" t="s">
        <v>32</v>
      </c>
      <c r="AL306" s="25" t="s">
        <v>32</v>
      </c>
      <c r="AM306" s="21" t="s">
        <v>32</v>
      </c>
      <c r="AN306" s="22" t="s">
        <v>32</v>
      </c>
      <c r="AO306" s="23" t="s">
        <v>32</v>
      </c>
      <c r="AP306" s="24" t="s">
        <v>32</v>
      </c>
      <c r="AQ306" s="22" t="s">
        <v>32</v>
      </c>
      <c r="AR306" s="23" t="s">
        <v>32</v>
      </c>
      <c r="AS306" s="24" t="s">
        <v>32</v>
      </c>
      <c r="AT306" s="22" t="s">
        <v>32</v>
      </c>
      <c r="AU306" s="25" t="s">
        <v>32</v>
      </c>
      <c r="AV306" s="21" t="s">
        <v>32</v>
      </c>
      <c r="AW306" s="22" t="s">
        <v>32</v>
      </c>
      <c r="AX306" s="23" t="s">
        <v>32</v>
      </c>
      <c r="AY306" s="24" t="s">
        <v>32</v>
      </c>
      <c r="AZ306" s="22" t="s">
        <v>32</v>
      </c>
      <c r="BA306" s="23" t="s">
        <v>32</v>
      </c>
      <c r="BB306" s="24" t="s">
        <v>32</v>
      </c>
      <c r="BC306" s="22" t="s">
        <v>32</v>
      </c>
      <c r="BD306" s="25" t="s">
        <v>32</v>
      </c>
      <c r="BG306" s="21" t="s">
        <v>32</v>
      </c>
      <c r="BH306" s="22" t="s">
        <v>32</v>
      </c>
      <c r="BI306" s="23" t="s">
        <v>32</v>
      </c>
      <c r="BJ306" s="24" t="s">
        <v>32</v>
      </c>
      <c r="BK306" s="22" t="s">
        <v>32</v>
      </c>
      <c r="BL306" s="23" t="s">
        <v>32</v>
      </c>
      <c r="BM306" s="24" t="s">
        <v>32</v>
      </c>
      <c r="BN306" s="22" t="s">
        <v>32</v>
      </c>
      <c r="BO306" s="25" t="s">
        <v>32</v>
      </c>
      <c r="BP306" s="21" t="s">
        <v>32</v>
      </c>
      <c r="BQ306" s="22" t="s">
        <v>32</v>
      </c>
      <c r="BR306" s="23" t="s">
        <v>32</v>
      </c>
      <c r="BS306" s="24" t="s">
        <v>32</v>
      </c>
      <c r="BT306" s="22" t="s">
        <v>32</v>
      </c>
      <c r="BU306" s="23" t="s">
        <v>32</v>
      </c>
      <c r="BV306" s="24" t="s">
        <v>32</v>
      </c>
      <c r="BW306" s="22" t="s">
        <v>32</v>
      </c>
      <c r="BX306" s="25" t="s">
        <v>32</v>
      </c>
      <c r="BY306" s="21" t="s">
        <v>32</v>
      </c>
      <c r="BZ306" s="22" t="s">
        <v>32</v>
      </c>
      <c r="CA306" s="23" t="s">
        <v>32</v>
      </c>
      <c r="CB306" s="24" t="s">
        <v>32</v>
      </c>
      <c r="CC306" s="22" t="s">
        <v>32</v>
      </c>
      <c r="CD306" s="23" t="s">
        <v>32</v>
      </c>
      <c r="CE306" s="24" t="s">
        <v>32</v>
      </c>
      <c r="CF306" s="22" t="s">
        <v>32</v>
      </c>
      <c r="CG306" s="25" t="s">
        <v>32</v>
      </c>
      <c r="CI306" s="21" t="s">
        <v>32</v>
      </c>
      <c r="CJ306" s="22" t="s">
        <v>32</v>
      </c>
      <c r="CK306" s="23" t="s">
        <v>32</v>
      </c>
      <c r="CL306" s="24" t="s">
        <v>32</v>
      </c>
      <c r="CM306" s="22" t="s">
        <v>32</v>
      </c>
      <c r="CN306" s="23" t="s">
        <v>32</v>
      </c>
      <c r="CO306" s="24" t="s">
        <v>32</v>
      </c>
      <c r="CP306" s="22" t="s">
        <v>32</v>
      </c>
      <c r="CQ306" s="25" t="s">
        <v>32</v>
      </c>
      <c r="CR306" s="21" t="s">
        <v>32</v>
      </c>
      <c r="CS306" s="22" t="s">
        <v>32</v>
      </c>
      <c r="CT306" s="23" t="s">
        <v>32</v>
      </c>
      <c r="CU306" s="24" t="s">
        <v>32</v>
      </c>
      <c r="CV306" s="22" t="s">
        <v>32</v>
      </c>
      <c r="CW306" s="23" t="s">
        <v>32</v>
      </c>
      <c r="CX306" s="24" t="s">
        <v>32</v>
      </c>
      <c r="CY306" s="22" t="s">
        <v>32</v>
      </c>
      <c r="CZ306" s="25" t="s">
        <v>32</v>
      </c>
      <c r="DA306" s="21" t="s">
        <v>32</v>
      </c>
      <c r="DB306" s="22" t="s">
        <v>32</v>
      </c>
      <c r="DC306" s="23" t="s">
        <v>32</v>
      </c>
      <c r="DD306" s="24" t="s">
        <v>32</v>
      </c>
      <c r="DE306" s="22" t="s">
        <v>32</v>
      </c>
      <c r="DF306" s="23" t="s">
        <v>32</v>
      </c>
      <c r="DG306" s="24" t="s">
        <v>32</v>
      </c>
      <c r="DH306" s="22" t="s">
        <v>32</v>
      </c>
      <c r="DI306" s="25" t="s">
        <v>32</v>
      </c>
    </row>
    <row r="307" spans="2:113" ht="15" customHeight="1">
      <c r="B307" s="2" t="s">
        <v>32</v>
      </c>
      <c r="C307" s="5" t="s">
        <v>32</v>
      </c>
      <c r="D307" s="3" t="s">
        <v>32</v>
      </c>
      <c r="E307" s="4" t="s">
        <v>32</v>
      </c>
      <c r="F307" s="5" t="s">
        <v>32</v>
      </c>
      <c r="G307" s="3" t="s">
        <v>32</v>
      </c>
      <c r="H307" s="4" t="s">
        <v>32</v>
      </c>
      <c r="I307" s="5" t="s">
        <v>32</v>
      </c>
      <c r="J307" s="6" t="s">
        <v>32</v>
      </c>
      <c r="K307" s="2" t="s">
        <v>32</v>
      </c>
      <c r="L307" s="5" t="s">
        <v>32</v>
      </c>
      <c r="M307" s="3" t="s">
        <v>32</v>
      </c>
      <c r="N307" s="4" t="s">
        <v>32</v>
      </c>
      <c r="O307" s="5" t="s">
        <v>32</v>
      </c>
      <c r="P307" s="3" t="s">
        <v>32</v>
      </c>
      <c r="Q307" s="4" t="s">
        <v>32</v>
      </c>
      <c r="R307" s="5" t="s">
        <v>32</v>
      </c>
      <c r="S307" s="6" t="s">
        <v>32</v>
      </c>
      <c r="T307" s="2" t="s">
        <v>32</v>
      </c>
      <c r="U307" s="5" t="s">
        <v>32</v>
      </c>
      <c r="V307" s="3" t="s">
        <v>32</v>
      </c>
      <c r="W307" s="4" t="s">
        <v>32</v>
      </c>
      <c r="X307" s="5" t="s">
        <v>32</v>
      </c>
      <c r="Y307" s="3" t="s">
        <v>32</v>
      </c>
      <c r="Z307" s="4" t="s">
        <v>32</v>
      </c>
      <c r="AA307" s="5" t="s">
        <v>32</v>
      </c>
      <c r="AB307" s="6" t="s">
        <v>32</v>
      </c>
      <c r="AC307"/>
      <c r="AD307" s="2" t="s">
        <v>32</v>
      </c>
      <c r="AE307" s="5" t="s">
        <v>32</v>
      </c>
      <c r="AF307" s="3" t="s">
        <v>32</v>
      </c>
      <c r="AG307" s="4" t="s">
        <v>32</v>
      </c>
      <c r="AH307" s="5" t="s">
        <v>32</v>
      </c>
      <c r="AI307" s="3" t="s">
        <v>32</v>
      </c>
      <c r="AJ307" s="4" t="s">
        <v>32</v>
      </c>
      <c r="AK307" s="5" t="s">
        <v>32</v>
      </c>
      <c r="AL307" s="6" t="s">
        <v>32</v>
      </c>
      <c r="AM307" s="2" t="s">
        <v>32</v>
      </c>
      <c r="AN307" s="5" t="s">
        <v>32</v>
      </c>
      <c r="AO307" s="3" t="s">
        <v>32</v>
      </c>
      <c r="AP307" s="4" t="s">
        <v>32</v>
      </c>
      <c r="AQ307" s="5" t="s">
        <v>32</v>
      </c>
      <c r="AR307" s="3" t="s">
        <v>32</v>
      </c>
      <c r="AS307" s="4" t="s">
        <v>32</v>
      </c>
      <c r="AT307" s="5" t="s">
        <v>32</v>
      </c>
      <c r="AU307" s="6" t="s">
        <v>32</v>
      </c>
      <c r="AV307" s="2" t="s">
        <v>32</v>
      </c>
      <c r="AW307" s="5" t="s">
        <v>32</v>
      </c>
      <c r="AX307" s="3" t="s">
        <v>32</v>
      </c>
      <c r="AY307" s="4" t="s">
        <v>32</v>
      </c>
      <c r="AZ307" s="5" t="s">
        <v>32</v>
      </c>
      <c r="BA307" s="3" t="s">
        <v>32</v>
      </c>
      <c r="BB307" s="4" t="s">
        <v>32</v>
      </c>
      <c r="BC307" s="5" t="s">
        <v>32</v>
      </c>
      <c r="BD307" s="6" t="s">
        <v>32</v>
      </c>
      <c r="BG307" s="2" t="s">
        <v>32</v>
      </c>
      <c r="BH307" s="5" t="s">
        <v>32</v>
      </c>
      <c r="BI307" s="3" t="s">
        <v>32</v>
      </c>
      <c r="BJ307" s="4" t="s">
        <v>32</v>
      </c>
      <c r="BK307" s="5" t="s">
        <v>32</v>
      </c>
      <c r="BL307" s="3" t="s">
        <v>32</v>
      </c>
      <c r="BM307" s="4" t="s">
        <v>32</v>
      </c>
      <c r="BN307" s="5" t="s">
        <v>32</v>
      </c>
      <c r="BO307" s="6" t="s">
        <v>32</v>
      </c>
      <c r="BP307" s="2" t="s">
        <v>32</v>
      </c>
      <c r="BQ307" s="5" t="s">
        <v>32</v>
      </c>
      <c r="BR307" s="3" t="s">
        <v>32</v>
      </c>
      <c r="BS307" s="4" t="s">
        <v>32</v>
      </c>
      <c r="BT307" s="5" t="s">
        <v>32</v>
      </c>
      <c r="BU307" s="3" t="s">
        <v>32</v>
      </c>
      <c r="BV307" s="4" t="s">
        <v>32</v>
      </c>
      <c r="BW307" s="5" t="s">
        <v>32</v>
      </c>
      <c r="BX307" s="6" t="s">
        <v>32</v>
      </c>
      <c r="BY307" s="2" t="s">
        <v>32</v>
      </c>
      <c r="BZ307" s="5" t="s">
        <v>32</v>
      </c>
      <c r="CA307" s="3" t="s">
        <v>32</v>
      </c>
      <c r="CB307" s="4" t="s">
        <v>32</v>
      </c>
      <c r="CC307" s="5" t="s">
        <v>32</v>
      </c>
      <c r="CD307" s="3" t="s">
        <v>32</v>
      </c>
      <c r="CE307" s="4" t="s">
        <v>32</v>
      </c>
      <c r="CF307" s="5" t="s">
        <v>32</v>
      </c>
      <c r="CG307" s="6" t="s">
        <v>32</v>
      </c>
      <c r="CI307" s="2" t="s">
        <v>32</v>
      </c>
      <c r="CJ307" s="5" t="s">
        <v>32</v>
      </c>
      <c r="CK307" s="3" t="s">
        <v>32</v>
      </c>
      <c r="CL307" s="4" t="s">
        <v>32</v>
      </c>
      <c r="CM307" s="5" t="s">
        <v>32</v>
      </c>
      <c r="CN307" s="3" t="s">
        <v>32</v>
      </c>
      <c r="CO307" s="4" t="s">
        <v>32</v>
      </c>
      <c r="CP307" s="5" t="s">
        <v>32</v>
      </c>
      <c r="CQ307" s="6" t="s">
        <v>32</v>
      </c>
      <c r="CR307" s="2" t="s">
        <v>32</v>
      </c>
      <c r="CS307" s="5" t="s">
        <v>32</v>
      </c>
      <c r="CT307" s="3" t="s">
        <v>32</v>
      </c>
      <c r="CU307" s="4" t="s">
        <v>32</v>
      </c>
      <c r="CV307" s="5" t="s">
        <v>32</v>
      </c>
      <c r="CW307" s="3" t="s">
        <v>32</v>
      </c>
      <c r="CX307" s="4" t="s">
        <v>32</v>
      </c>
      <c r="CY307" s="5" t="s">
        <v>32</v>
      </c>
      <c r="CZ307" s="6" t="s">
        <v>32</v>
      </c>
      <c r="DA307" s="2" t="s">
        <v>32</v>
      </c>
      <c r="DB307" s="5" t="s">
        <v>32</v>
      </c>
      <c r="DC307" s="3" t="s">
        <v>32</v>
      </c>
      <c r="DD307" s="4" t="s">
        <v>32</v>
      </c>
      <c r="DE307" s="5" t="s">
        <v>32</v>
      </c>
      <c r="DF307" s="3" t="s">
        <v>32</v>
      </c>
      <c r="DG307" s="4" t="s">
        <v>32</v>
      </c>
      <c r="DH307" s="5" t="s">
        <v>32</v>
      </c>
      <c r="DI307" s="6" t="s">
        <v>32</v>
      </c>
    </row>
    <row r="308" spans="2:113" ht="15" customHeight="1">
      <c r="B308" s="11" t="s">
        <v>32</v>
      </c>
      <c r="C308" s="7" t="s">
        <v>32</v>
      </c>
      <c r="D308" s="9" t="s">
        <v>32</v>
      </c>
      <c r="E308" s="8" t="s">
        <v>32</v>
      </c>
      <c r="F308" s="7" t="s">
        <v>32</v>
      </c>
      <c r="G308" s="9" t="s">
        <v>32</v>
      </c>
      <c r="H308" s="8" t="s">
        <v>32</v>
      </c>
      <c r="I308" s="7" t="s">
        <v>32</v>
      </c>
      <c r="J308" s="10" t="s">
        <v>32</v>
      </c>
      <c r="K308" s="11" t="s">
        <v>32</v>
      </c>
      <c r="L308" s="7" t="s">
        <v>32</v>
      </c>
      <c r="M308" s="9" t="s">
        <v>32</v>
      </c>
      <c r="N308" s="8" t="s">
        <v>32</v>
      </c>
      <c r="O308" s="7" t="s">
        <v>32</v>
      </c>
      <c r="P308" s="9" t="s">
        <v>32</v>
      </c>
      <c r="Q308" s="8" t="s">
        <v>32</v>
      </c>
      <c r="R308" s="7" t="s">
        <v>32</v>
      </c>
      <c r="S308" s="10" t="s">
        <v>32</v>
      </c>
      <c r="T308" s="11" t="s">
        <v>32</v>
      </c>
      <c r="U308" s="7" t="s">
        <v>32</v>
      </c>
      <c r="V308" s="9" t="s">
        <v>32</v>
      </c>
      <c r="W308" s="8" t="s">
        <v>32</v>
      </c>
      <c r="X308" s="7" t="s">
        <v>32</v>
      </c>
      <c r="Y308" s="9" t="s">
        <v>32</v>
      </c>
      <c r="Z308" s="8" t="s">
        <v>32</v>
      </c>
      <c r="AA308" s="7" t="s">
        <v>32</v>
      </c>
      <c r="AB308" s="10" t="s">
        <v>32</v>
      </c>
      <c r="AC308"/>
      <c r="AD308" s="11" t="s">
        <v>32</v>
      </c>
      <c r="AE308" s="7" t="s">
        <v>32</v>
      </c>
      <c r="AF308" s="9" t="s">
        <v>32</v>
      </c>
      <c r="AG308" s="8" t="s">
        <v>32</v>
      </c>
      <c r="AH308" s="7" t="s">
        <v>32</v>
      </c>
      <c r="AI308" s="9" t="s">
        <v>32</v>
      </c>
      <c r="AJ308" s="8" t="s">
        <v>32</v>
      </c>
      <c r="AK308" s="7" t="s">
        <v>32</v>
      </c>
      <c r="AL308" s="10" t="s">
        <v>32</v>
      </c>
      <c r="AM308" s="11" t="s">
        <v>32</v>
      </c>
      <c r="AN308" s="7" t="s">
        <v>32</v>
      </c>
      <c r="AO308" s="9" t="s">
        <v>32</v>
      </c>
      <c r="AP308" s="8" t="s">
        <v>32</v>
      </c>
      <c r="AQ308" s="7" t="s">
        <v>32</v>
      </c>
      <c r="AR308" s="9" t="s">
        <v>32</v>
      </c>
      <c r="AS308" s="8" t="s">
        <v>32</v>
      </c>
      <c r="AT308" s="7" t="s">
        <v>32</v>
      </c>
      <c r="AU308" s="10" t="s">
        <v>32</v>
      </c>
      <c r="AV308" s="11" t="s">
        <v>32</v>
      </c>
      <c r="AW308" s="7" t="s">
        <v>32</v>
      </c>
      <c r="AX308" s="9" t="s">
        <v>32</v>
      </c>
      <c r="AY308" s="8" t="s">
        <v>32</v>
      </c>
      <c r="AZ308" s="7" t="s">
        <v>32</v>
      </c>
      <c r="BA308" s="9" t="s">
        <v>32</v>
      </c>
      <c r="BB308" s="8" t="s">
        <v>32</v>
      </c>
      <c r="BC308" s="7" t="s">
        <v>32</v>
      </c>
      <c r="BD308" s="10" t="s">
        <v>32</v>
      </c>
      <c r="BG308" s="11" t="s">
        <v>32</v>
      </c>
      <c r="BH308" s="7" t="s">
        <v>32</v>
      </c>
      <c r="BI308" s="9" t="s">
        <v>32</v>
      </c>
      <c r="BJ308" s="8" t="s">
        <v>32</v>
      </c>
      <c r="BK308" s="7" t="s">
        <v>32</v>
      </c>
      <c r="BL308" s="9" t="s">
        <v>32</v>
      </c>
      <c r="BM308" s="8" t="s">
        <v>32</v>
      </c>
      <c r="BN308" s="7" t="s">
        <v>32</v>
      </c>
      <c r="BO308" s="10" t="s">
        <v>32</v>
      </c>
      <c r="BP308" s="11" t="s">
        <v>32</v>
      </c>
      <c r="BQ308" s="7" t="s">
        <v>32</v>
      </c>
      <c r="BR308" s="9" t="s">
        <v>32</v>
      </c>
      <c r="BS308" s="8" t="s">
        <v>32</v>
      </c>
      <c r="BT308" s="7" t="s">
        <v>32</v>
      </c>
      <c r="BU308" s="9" t="s">
        <v>32</v>
      </c>
      <c r="BV308" s="8" t="s">
        <v>32</v>
      </c>
      <c r="BW308" s="7" t="s">
        <v>32</v>
      </c>
      <c r="BX308" s="10" t="s">
        <v>32</v>
      </c>
      <c r="BY308" s="11" t="s">
        <v>32</v>
      </c>
      <c r="BZ308" s="7" t="s">
        <v>32</v>
      </c>
      <c r="CA308" s="9" t="s">
        <v>32</v>
      </c>
      <c r="CB308" s="8" t="s">
        <v>32</v>
      </c>
      <c r="CC308" s="7" t="s">
        <v>32</v>
      </c>
      <c r="CD308" s="9" t="s">
        <v>32</v>
      </c>
      <c r="CE308" s="8" t="s">
        <v>32</v>
      </c>
      <c r="CF308" s="7" t="s">
        <v>32</v>
      </c>
      <c r="CG308" s="10" t="s">
        <v>32</v>
      </c>
      <c r="CI308" s="11" t="s">
        <v>32</v>
      </c>
      <c r="CJ308" s="7" t="s">
        <v>32</v>
      </c>
      <c r="CK308" s="9" t="s">
        <v>32</v>
      </c>
      <c r="CL308" s="8" t="s">
        <v>32</v>
      </c>
      <c r="CM308" s="7" t="s">
        <v>32</v>
      </c>
      <c r="CN308" s="9" t="s">
        <v>32</v>
      </c>
      <c r="CO308" s="8" t="s">
        <v>32</v>
      </c>
      <c r="CP308" s="7" t="s">
        <v>32</v>
      </c>
      <c r="CQ308" s="10" t="s">
        <v>32</v>
      </c>
      <c r="CR308" s="11" t="s">
        <v>32</v>
      </c>
      <c r="CS308" s="7" t="s">
        <v>32</v>
      </c>
      <c r="CT308" s="9" t="s">
        <v>32</v>
      </c>
      <c r="CU308" s="8" t="s">
        <v>32</v>
      </c>
      <c r="CV308" s="7" t="s">
        <v>32</v>
      </c>
      <c r="CW308" s="9" t="s">
        <v>32</v>
      </c>
      <c r="CX308" s="8" t="s">
        <v>32</v>
      </c>
      <c r="CY308" s="7" t="s">
        <v>32</v>
      </c>
      <c r="CZ308" s="10" t="s">
        <v>32</v>
      </c>
      <c r="DA308" s="11" t="s">
        <v>32</v>
      </c>
      <c r="DB308" s="7" t="s">
        <v>32</v>
      </c>
      <c r="DC308" s="9" t="s">
        <v>32</v>
      </c>
      <c r="DD308" s="8" t="s">
        <v>32</v>
      </c>
      <c r="DE308" s="7" t="s">
        <v>32</v>
      </c>
      <c r="DF308" s="9" t="s">
        <v>32</v>
      </c>
      <c r="DG308" s="8" t="s">
        <v>32</v>
      </c>
      <c r="DH308" s="7" t="s">
        <v>32</v>
      </c>
      <c r="DI308" s="10" t="s">
        <v>32</v>
      </c>
    </row>
    <row r="309" spans="2:113" ht="15" customHeight="1">
      <c r="B309" s="12" t="s">
        <v>32</v>
      </c>
      <c r="C309" s="13" t="s">
        <v>32</v>
      </c>
      <c r="D309" s="15" t="s">
        <v>32</v>
      </c>
      <c r="E309" s="14" t="s">
        <v>32</v>
      </c>
      <c r="F309" s="13" t="s">
        <v>32</v>
      </c>
      <c r="G309" s="15" t="s">
        <v>32</v>
      </c>
      <c r="H309" s="14" t="s">
        <v>32</v>
      </c>
      <c r="I309" s="13" t="s">
        <v>32</v>
      </c>
      <c r="J309" s="1" t="s">
        <v>32</v>
      </c>
      <c r="K309" s="12" t="s">
        <v>32</v>
      </c>
      <c r="L309" s="13" t="s">
        <v>32</v>
      </c>
      <c r="M309" s="15" t="s">
        <v>32</v>
      </c>
      <c r="N309" s="14" t="s">
        <v>32</v>
      </c>
      <c r="O309" s="13" t="s">
        <v>32</v>
      </c>
      <c r="P309" s="15" t="s">
        <v>32</v>
      </c>
      <c r="Q309" s="14" t="s">
        <v>32</v>
      </c>
      <c r="R309" s="13" t="s">
        <v>32</v>
      </c>
      <c r="S309" s="1" t="s">
        <v>32</v>
      </c>
      <c r="T309" s="12" t="s">
        <v>32</v>
      </c>
      <c r="U309" s="13" t="s">
        <v>32</v>
      </c>
      <c r="V309" s="15" t="s">
        <v>32</v>
      </c>
      <c r="W309" s="14" t="s">
        <v>32</v>
      </c>
      <c r="X309" s="13" t="s">
        <v>32</v>
      </c>
      <c r="Y309" s="15" t="s">
        <v>32</v>
      </c>
      <c r="Z309" s="14" t="s">
        <v>32</v>
      </c>
      <c r="AA309" s="13" t="s">
        <v>32</v>
      </c>
      <c r="AB309" s="1" t="s">
        <v>32</v>
      </c>
      <c r="AC309"/>
      <c r="AD309" s="12" t="s">
        <v>32</v>
      </c>
      <c r="AE309" s="13" t="s">
        <v>32</v>
      </c>
      <c r="AF309" s="15" t="s">
        <v>32</v>
      </c>
      <c r="AG309" s="14" t="s">
        <v>32</v>
      </c>
      <c r="AH309" s="13" t="s">
        <v>32</v>
      </c>
      <c r="AI309" s="15" t="s">
        <v>32</v>
      </c>
      <c r="AJ309" s="14" t="s">
        <v>32</v>
      </c>
      <c r="AK309" s="13" t="s">
        <v>32</v>
      </c>
      <c r="AL309" s="1" t="s">
        <v>32</v>
      </c>
      <c r="AM309" s="12" t="s">
        <v>32</v>
      </c>
      <c r="AN309" s="13" t="s">
        <v>32</v>
      </c>
      <c r="AO309" s="15" t="s">
        <v>32</v>
      </c>
      <c r="AP309" s="14" t="s">
        <v>32</v>
      </c>
      <c r="AQ309" s="13" t="s">
        <v>32</v>
      </c>
      <c r="AR309" s="15" t="s">
        <v>32</v>
      </c>
      <c r="AS309" s="14" t="s">
        <v>32</v>
      </c>
      <c r="AT309" s="13" t="s">
        <v>32</v>
      </c>
      <c r="AU309" s="1" t="s">
        <v>32</v>
      </c>
      <c r="AV309" s="12" t="s">
        <v>32</v>
      </c>
      <c r="AW309" s="13" t="s">
        <v>32</v>
      </c>
      <c r="AX309" s="15" t="s">
        <v>32</v>
      </c>
      <c r="AY309" s="14" t="s">
        <v>32</v>
      </c>
      <c r="AZ309" s="13" t="s">
        <v>32</v>
      </c>
      <c r="BA309" s="15" t="s">
        <v>32</v>
      </c>
      <c r="BB309" s="14" t="s">
        <v>32</v>
      </c>
      <c r="BC309" s="13" t="s">
        <v>32</v>
      </c>
      <c r="BD309" s="1" t="s">
        <v>32</v>
      </c>
      <c r="BG309" s="12" t="s">
        <v>32</v>
      </c>
      <c r="BH309" s="13" t="s">
        <v>32</v>
      </c>
      <c r="BI309" s="15" t="s">
        <v>32</v>
      </c>
      <c r="BJ309" s="14" t="s">
        <v>32</v>
      </c>
      <c r="BK309" s="13" t="s">
        <v>32</v>
      </c>
      <c r="BL309" s="15" t="s">
        <v>32</v>
      </c>
      <c r="BM309" s="14" t="s">
        <v>32</v>
      </c>
      <c r="BN309" s="13" t="s">
        <v>32</v>
      </c>
      <c r="BO309" s="1" t="s">
        <v>32</v>
      </c>
      <c r="BP309" s="12" t="s">
        <v>32</v>
      </c>
      <c r="BQ309" s="13" t="s">
        <v>32</v>
      </c>
      <c r="BR309" s="15" t="s">
        <v>32</v>
      </c>
      <c r="BS309" s="14" t="s">
        <v>32</v>
      </c>
      <c r="BT309" s="13" t="s">
        <v>32</v>
      </c>
      <c r="BU309" s="15" t="s">
        <v>32</v>
      </c>
      <c r="BV309" s="14" t="s">
        <v>32</v>
      </c>
      <c r="BW309" s="13" t="s">
        <v>32</v>
      </c>
      <c r="BX309" s="1" t="s">
        <v>32</v>
      </c>
      <c r="BY309" s="12" t="s">
        <v>32</v>
      </c>
      <c r="BZ309" s="13" t="s">
        <v>32</v>
      </c>
      <c r="CA309" s="15" t="s">
        <v>32</v>
      </c>
      <c r="CB309" s="14" t="s">
        <v>32</v>
      </c>
      <c r="CC309" s="13" t="s">
        <v>32</v>
      </c>
      <c r="CD309" s="15" t="s">
        <v>32</v>
      </c>
      <c r="CE309" s="14" t="s">
        <v>32</v>
      </c>
      <c r="CF309" s="13" t="s">
        <v>32</v>
      </c>
      <c r="CG309" s="1" t="s">
        <v>32</v>
      </c>
      <c r="CI309" s="12" t="s">
        <v>32</v>
      </c>
      <c r="CJ309" s="13" t="s">
        <v>32</v>
      </c>
      <c r="CK309" s="15" t="s">
        <v>32</v>
      </c>
      <c r="CL309" s="14" t="s">
        <v>32</v>
      </c>
      <c r="CM309" s="13" t="s">
        <v>32</v>
      </c>
      <c r="CN309" s="15" t="s">
        <v>32</v>
      </c>
      <c r="CO309" s="14" t="s">
        <v>32</v>
      </c>
      <c r="CP309" s="13" t="s">
        <v>32</v>
      </c>
      <c r="CQ309" s="1" t="s">
        <v>32</v>
      </c>
      <c r="CR309" s="12" t="s">
        <v>32</v>
      </c>
      <c r="CS309" s="13" t="s">
        <v>32</v>
      </c>
      <c r="CT309" s="15" t="s">
        <v>32</v>
      </c>
      <c r="CU309" s="14" t="s">
        <v>32</v>
      </c>
      <c r="CV309" s="13" t="s">
        <v>32</v>
      </c>
      <c r="CW309" s="15" t="s">
        <v>32</v>
      </c>
      <c r="CX309" s="14" t="s">
        <v>32</v>
      </c>
      <c r="CY309" s="13" t="s">
        <v>32</v>
      </c>
      <c r="CZ309" s="1" t="s">
        <v>32</v>
      </c>
      <c r="DA309" s="12" t="s">
        <v>32</v>
      </c>
      <c r="DB309" s="13" t="s">
        <v>32</v>
      </c>
      <c r="DC309" s="15" t="s">
        <v>32</v>
      </c>
      <c r="DD309" s="14" t="s">
        <v>32</v>
      </c>
      <c r="DE309" s="13" t="s">
        <v>32</v>
      </c>
      <c r="DF309" s="15" t="s">
        <v>32</v>
      </c>
      <c r="DG309" s="14" t="s">
        <v>32</v>
      </c>
      <c r="DH309" s="13" t="s">
        <v>32</v>
      </c>
      <c r="DI309" s="1" t="s">
        <v>32</v>
      </c>
    </row>
    <row r="310" spans="2:113" ht="15" customHeight="1">
      <c r="B310" s="16" t="s">
        <v>32</v>
      </c>
      <c r="C310" s="17" t="s">
        <v>32</v>
      </c>
      <c r="D310" s="18" t="s">
        <v>32</v>
      </c>
      <c r="E310" s="19" t="s">
        <v>32</v>
      </c>
      <c r="F310" s="17" t="s">
        <v>32</v>
      </c>
      <c r="G310" s="18" t="s">
        <v>32</v>
      </c>
      <c r="H310" s="19" t="s">
        <v>32</v>
      </c>
      <c r="I310" s="17" t="s">
        <v>32</v>
      </c>
      <c r="J310" s="20" t="s">
        <v>32</v>
      </c>
      <c r="K310" s="16" t="s">
        <v>32</v>
      </c>
      <c r="L310" s="17" t="s">
        <v>32</v>
      </c>
      <c r="M310" s="18" t="s">
        <v>32</v>
      </c>
      <c r="N310" s="19" t="s">
        <v>32</v>
      </c>
      <c r="O310" s="17" t="s">
        <v>32</v>
      </c>
      <c r="P310" s="18" t="s">
        <v>32</v>
      </c>
      <c r="Q310" s="19" t="s">
        <v>32</v>
      </c>
      <c r="R310" s="17" t="s">
        <v>32</v>
      </c>
      <c r="S310" s="20" t="s">
        <v>32</v>
      </c>
      <c r="T310" s="16" t="s">
        <v>32</v>
      </c>
      <c r="U310" s="17" t="s">
        <v>32</v>
      </c>
      <c r="V310" s="18" t="s">
        <v>32</v>
      </c>
      <c r="W310" s="19" t="s">
        <v>32</v>
      </c>
      <c r="X310" s="17" t="s">
        <v>32</v>
      </c>
      <c r="Y310" s="18" t="s">
        <v>32</v>
      </c>
      <c r="Z310" s="19" t="s">
        <v>32</v>
      </c>
      <c r="AA310" s="17" t="s">
        <v>32</v>
      </c>
      <c r="AB310" s="20" t="s">
        <v>32</v>
      </c>
      <c r="AC310"/>
      <c r="AD310" s="16" t="s">
        <v>32</v>
      </c>
      <c r="AE310" s="17" t="s">
        <v>32</v>
      </c>
      <c r="AF310" s="18" t="s">
        <v>32</v>
      </c>
      <c r="AG310" s="19" t="s">
        <v>32</v>
      </c>
      <c r="AH310" s="17" t="s">
        <v>32</v>
      </c>
      <c r="AI310" s="18" t="s">
        <v>32</v>
      </c>
      <c r="AJ310" s="19" t="s">
        <v>32</v>
      </c>
      <c r="AK310" s="17" t="s">
        <v>32</v>
      </c>
      <c r="AL310" s="20" t="s">
        <v>32</v>
      </c>
      <c r="AM310" s="16" t="s">
        <v>32</v>
      </c>
      <c r="AN310" s="17" t="s">
        <v>32</v>
      </c>
      <c r="AO310" s="18" t="s">
        <v>32</v>
      </c>
      <c r="AP310" s="19" t="s">
        <v>32</v>
      </c>
      <c r="AQ310" s="17" t="s">
        <v>32</v>
      </c>
      <c r="AR310" s="18" t="s">
        <v>32</v>
      </c>
      <c r="AS310" s="19" t="s">
        <v>32</v>
      </c>
      <c r="AT310" s="17" t="s">
        <v>32</v>
      </c>
      <c r="AU310" s="20" t="s">
        <v>32</v>
      </c>
      <c r="AV310" s="16" t="s">
        <v>32</v>
      </c>
      <c r="AW310" s="17" t="s">
        <v>32</v>
      </c>
      <c r="AX310" s="18" t="s">
        <v>32</v>
      </c>
      <c r="AY310" s="19" t="s">
        <v>32</v>
      </c>
      <c r="AZ310" s="17" t="s">
        <v>32</v>
      </c>
      <c r="BA310" s="18" t="s">
        <v>32</v>
      </c>
      <c r="BB310" s="19" t="s">
        <v>32</v>
      </c>
      <c r="BC310" s="17" t="s">
        <v>32</v>
      </c>
      <c r="BD310" s="20" t="s">
        <v>32</v>
      </c>
      <c r="BG310" s="16" t="s">
        <v>32</v>
      </c>
      <c r="BH310" s="17" t="s">
        <v>32</v>
      </c>
      <c r="BI310" s="18" t="s">
        <v>32</v>
      </c>
      <c r="BJ310" s="19" t="s">
        <v>32</v>
      </c>
      <c r="BK310" s="17" t="s">
        <v>32</v>
      </c>
      <c r="BL310" s="18" t="s">
        <v>32</v>
      </c>
      <c r="BM310" s="19" t="s">
        <v>32</v>
      </c>
      <c r="BN310" s="17" t="s">
        <v>32</v>
      </c>
      <c r="BO310" s="20" t="s">
        <v>32</v>
      </c>
      <c r="BP310" s="16" t="s">
        <v>32</v>
      </c>
      <c r="BQ310" s="17" t="s">
        <v>32</v>
      </c>
      <c r="BR310" s="18" t="s">
        <v>32</v>
      </c>
      <c r="BS310" s="19" t="s">
        <v>32</v>
      </c>
      <c r="BT310" s="17" t="s">
        <v>32</v>
      </c>
      <c r="BU310" s="18" t="s">
        <v>32</v>
      </c>
      <c r="BV310" s="19" t="s">
        <v>32</v>
      </c>
      <c r="BW310" s="17" t="s">
        <v>32</v>
      </c>
      <c r="BX310" s="20" t="s">
        <v>32</v>
      </c>
      <c r="BY310" s="16" t="s">
        <v>32</v>
      </c>
      <c r="BZ310" s="17" t="s">
        <v>32</v>
      </c>
      <c r="CA310" s="18" t="s">
        <v>32</v>
      </c>
      <c r="CB310" s="19" t="s">
        <v>32</v>
      </c>
      <c r="CC310" s="17" t="s">
        <v>32</v>
      </c>
      <c r="CD310" s="18" t="s">
        <v>32</v>
      </c>
      <c r="CE310" s="19" t="s">
        <v>32</v>
      </c>
      <c r="CF310" s="17" t="s">
        <v>32</v>
      </c>
      <c r="CG310" s="20" t="s">
        <v>32</v>
      </c>
      <c r="CI310" s="16" t="s">
        <v>32</v>
      </c>
      <c r="CJ310" s="17" t="s">
        <v>32</v>
      </c>
      <c r="CK310" s="18" t="s">
        <v>32</v>
      </c>
      <c r="CL310" s="19" t="s">
        <v>32</v>
      </c>
      <c r="CM310" s="17" t="s">
        <v>32</v>
      </c>
      <c r="CN310" s="18" t="s">
        <v>32</v>
      </c>
      <c r="CO310" s="19" t="s">
        <v>32</v>
      </c>
      <c r="CP310" s="17" t="s">
        <v>32</v>
      </c>
      <c r="CQ310" s="20" t="s">
        <v>32</v>
      </c>
      <c r="CR310" s="16" t="s">
        <v>32</v>
      </c>
      <c r="CS310" s="17" t="s">
        <v>32</v>
      </c>
      <c r="CT310" s="18" t="s">
        <v>32</v>
      </c>
      <c r="CU310" s="19" t="s">
        <v>32</v>
      </c>
      <c r="CV310" s="17" t="s">
        <v>32</v>
      </c>
      <c r="CW310" s="18" t="s">
        <v>32</v>
      </c>
      <c r="CX310" s="19" t="s">
        <v>32</v>
      </c>
      <c r="CY310" s="17" t="s">
        <v>32</v>
      </c>
      <c r="CZ310" s="20" t="s">
        <v>32</v>
      </c>
      <c r="DA310" s="16" t="s">
        <v>32</v>
      </c>
      <c r="DB310" s="17" t="s">
        <v>32</v>
      </c>
      <c r="DC310" s="18" t="s">
        <v>32</v>
      </c>
      <c r="DD310" s="19" t="s">
        <v>32</v>
      </c>
      <c r="DE310" s="17" t="s">
        <v>32</v>
      </c>
      <c r="DF310" s="18" t="s">
        <v>32</v>
      </c>
      <c r="DG310" s="19" t="s">
        <v>32</v>
      </c>
      <c r="DH310" s="17" t="s">
        <v>32</v>
      </c>
      <c r="DI310" s="20" t="s">
        <v>32</v>
      </c>
    </row>
    <row r="311" spans="2:113" ht="15" customHeight="1">
      <c r="B311" s="11" t="s">
        <v>32</v>
      </c>
      <c r="C311" s="7" t="s">
        <v>32</v>
      </c>
      <c r="D311" s="9" t="s">
        <v>32</v>
      </c>
      <c r="E311" s="8" t="s">
        <v>32</v>
      </c>
      <c r="F311" s="7" t="s">
        <v>32</v>
      </c>
      <c r="G311" s="9" t="s">
        <v>32</v>
      </c>
      <c r="H311" s="8" t="s">
        <v>32</v>
      </c>
      <c r="I311" s="7" t="s">
        <v>32</v>
      </c>
      <c r="J311" s="10" t="s">
        <v>32</v>
      </c>
      <c r="K311" s="11" t="s">
        <v>32</v>
      </c>
      <c r="L311" s="7" t="s">
        <v>32</v>
      </c>
      <c r="M311" s="9" t="s">
        <v>32</v>
      </c>
      <c r="N311" s="8" t="s">
        <v>32</v>
      </c>
      <c r="O311" s="7" t="s">
        <v>32</v>
      </c>
      <c r="P311" s="9" t="s">
        <v>32</v>
      </c>
      <c r="Q311" s="8" t="s">
        <v>32</v>
      </c>
      <c r="R311" s="7" t="s">
        <v>32</v>
      </c>
      <c r="S311" s="10" t="s">
        <v>32</v>
      </c>
      <c r="T311" s="11" t="s">
        <v>32</v>
      </c>
      <c r="U311" s="7" t="s">
        <v>32</v>
      </c>
      <c r="V311" s="9" t="s">
        <v>32</v>
      </c>
      <c r="W311" s="8" t="s">
        <v>32</v>
      </c>
      <c r="X311" s="7" t="s">
        <v>32</v>
      </c>
      <c r="Y311" s="9" t="s">
        <v>32</v>
      </c>
      <c r="Z311" s="8" t="s">
        <v>32</v>
      </c>
      <c r="AA311" s="7" t="s">
        <v>32</v>
      </c>
      <c r="AB311" s="10" t="s">
        <v>32</v>
      </c>
      <c r="AC311"/>
      <c r="AD311" s="11" t="s">
        <v>32</v>
      </c>
      <c r="AE311" s="7" t="s">
        <v>32</v>
      </c>
      <c r="AF311" s="9" t="s">
        <v>32</v>
      </c>
      <c r="AG311" s="8" t="s">
        <v>32</v>
      </c>
      <c r="AH311" s="7" t="s">
        <v>32</v>
      </c>
      <c r="AI311" s="9" t="s">
        <v>32</v>
      </c>
      <c r="AJ311" s="8" t="s">
        <v>32</v>
      </c>
      <c r="AK311" s="7" t="s">
        <v>32</v>
      </c>
      <c r="AL311" s="10" t="s">
        <v>32</v>
      </c>
      <c r="AM311" s="11" t="s">
        <v>32</v>
      </c>
      <c r="AN311" s="7" t="s">
        <v>32</v>
      </c>
      <c r="AO311" s="9" t="s">
        <v>32</v>
      </c>
      <c r="AP311" s="8" t="s">
        <v>32</v>
      </c>
      <c r="AQ311" s="7" t="s">
        <v>32</v>
      </c>
      <c r="AR311" s="9" t="s">
        <v>32</v>
      </c>
      <c r="AS311" s="8" t="s">
        <v>32</v>
      </c>
      <c r="AT311" s="7" t="s">
        <v>32</v>
      </c>
      <c r="AU311" s="10" t="s">
        <v>32</v>
      </c>
      <c r="AV311" s="11" t="s">
        <v>32</v>
      </c>
      <c r="AW311" s="7" t="s">
        <v>32</v>
      </c>
      <c r="AX311" s="9" t="s">
        <v>32</v>
      </c>
      <c r="AY311" s="8" t="s">
        <v>32</v>
      </c>
      <c r="AZ311" s="7" t="s">
        <v>32</v>
      </c>
      <c r="BA311" s="9" t="s">
        <v>32</v>
      </c>
      <c r="BB311" s="8" t="s">
        <v>32</v>
      </c>
      <c r="BC311" s="7" t="s">
        <v>32</v>
      </c>
      <c r="BD311" s="10" t="s">
        <v>32</v>
      </c>
      <c r="BG311" s="11" t="s">
        <v>32</v>
      </c>
      <c r="BH311" s="7" t="s">
        <v>32</v>
      </c>
      <c r="BI311" s="9" t="s">
        <v>32</v>
      </c>
      <c r="BJ311" s="8" t="s">
        <v>32</v>
      </c>
      <c r="BK311" s="7" t="s">
        <v>32</v>
      </c>
      <c r="BL311" s="9" t="s">
        <v>32</v>
      </c>
      <c r="BM311" s="8" t="s">
        <v>32</v>
      </c>
      <c r="BN311" s="7" t="s">
        <v>32</v>
      </c>
      <c r="BO311" s="10" t="s">
        <v>32</v>
      </c>
      <c r="BP311" s="11" t="s">
        <v>32</v>
      </c>
      <c r="BQ311" s="7" t="s">
        <v>32</v>
      </c>
      <c r="BR311" s="9" t="s">
        <v>32</v>
      </c>
      <c r="BS311" s="8" t="s">
        <v>32</v>
      </c>
      <c r="BT311" s="7" t="s">
        <v>32</v>
      </c>
      <c r="BU311" s="9" t="s">
        <v>32</v>
      </c>
      <c r="BV311" s="8" t="s">
        <v>32</v>
      </c>
      <c r="BW311" s="7" t="s">
        <v>32</v>
      </c>
      <c r="BX311" s="10" t="s">
        <v>32</v>
      </c>
      <c r="BY311" s="11" t="s">
        <v>32</v>
      </c>
      <c r="BZ311" s="7" t="s">
        <v>32</v>
      </c>
      <c r="CA311" s="9" t="s">
        <v>32</v>
      </c>
      <c r="CB311" s="8" t="s">
        <v>32</v>
      </c>
      <c r="CC311" s="7" t="s">
        <v>32</v>
      </c>
      <c r="CD311" s="9" t="s">
        <v>32</v>
      </c>
      <c r="CE311" s="8" t="s">
        <v>32</v>
      </c>
      <c r="CF311" s="7" t="s">
        <v>32</v>
      </c>
      <c r="CG311" s="10" t="s">
        <v>32</v>
      </c>
      <c r="CI311" s="11" t="s">
        <v>32</v>
      </c>
      <c r="CJ311" s="7" t="s">
        <v>32</v>
      </c>
      <c r="CK311" s="9" t="s">
        <v>32</v>
      </c>
      <c r="CL311" s="8" t="s">
        <v>32</v>
      </c>
      <c r="CM311" s="7" t="s">
        <v>32</v>
      </c>
      <c r="CN311" s="9" t="s">
        <v>32</v>
      </c>
      <c r="CO311" s="8" t="s">
        <v>32</v>
      </c>
      <c r="CP311" s="7" t="s">
        <v>32</v>
      </c>
      <c r="CQ311" s="10" t="s">
        <v>32</v>
      </c>
      <c r="CR311" s="11" t="s">
        <v>32</v>
      </c>
      <c r="CS311" s="7" t="s">
        <v>32</v>
      </c>
      <c r="CT311" s="9" t="s">
        <v>32</v>
      </c>
      <c r="CU311" s="8" t="s">
        <v>32</v>
      </c>
      <c r="CV311" s="7" t="s">
        <v>32</v>
      </c>
      <c r="CW311" s="9" t="s">
        <v>32</v>
      </c>
      <c r="CX311" s="8" t="s">
        <v>32</v>
      </c>
      <c r="CY311" s="7" t="s">
        <v>32</v>
      </c>
      <c r="CZ311" s="10" t="s">
        <v>32</v>
      </c>
      <c r="DA311" s="11" t="s">
        <v>32</v>
      </c>
      <c r="DB311" s="7" t="s">
        <v>32</v>
      </c>
      <c r="DC311" s="9" t="s">
        <v>32</v>
      </c>
      <c r="DD311" s="8" t="s">
        <v>32</v>
      </c>
      <c r="DE311" s="7" t="s">
        <v>32</v>
      </c>
      <c r="DF311" s="9" t="s">
        <v>32</v>
      </c>
      <c r="DG311" s="8" t="s">
        <v>32</v>
      </c>
      <c r="DH311" s="7" t="s">
        <v>32</v>
      </c>
      <c r="DI311" s="10" t="s">
        <v>32</v>
      </c>
    </row>
    <row r="312" spans="2:113" ht="15" customHeight="1">
      <c r="B312" s="12" t="s">
        <v>32</v>
      </c>
      <c r="C312" s="13" t="s">
        <v>32</v>
      </c>
      <c r="D312" s="15" t="s">
        <v>32</v>
      </c>
      <c r="E312" s="14" t="s">
        <v>32</v>
      </c>
      <c r="F312" s="13" t="s">
        <v>32</v>
      </c>
      <c r="G312" s="15" t="s">
        <v>32</v>
      </c>
      <c r="H312" s="14" t="s">
        <v>32</v>
      </c>
      <c r="I312" s="13" t="s">
        <v>32</v>
      </c>
      <c r="J312" s="1" t="s">
        <v>32</v>
      </c>
      <c r="K312" s="12" t="s">
        <v>32</v>
      </c>
      <c r="L312" s="13" t="s">
        <v>32</v>
      </c>
      <c r="M312" s="15" t="s">
        <v>32</v>
      </c>
      <c r="N312" s="14" t="s">
        <v>32</v>
      </c>
      <c r="O312" s="13" t="s">
        <v>32</v>
      </c>
      <c r="P312" s="15" t="s">
        <v>32</v>
      </c>
      <c r="Q312" s="14" t="s">
        <v>32</v>
      </c>
      <c r="R312" s="13" t="s">
        <v>32</v>
      </c>
      <c r="S312" s="1" t="s">
        <v>32</v>
      </c>
      <c r="T312" s="12" t="s">
        <v>32</v>
      </c>
      <c r="U312" s="13" t="s">
        <v>32</v>
      </c>
      <c r="V312" s="15" t="s">
        <v>32</v>
      </c>
      <c r="W312" s="14" t="s">
        <v>32</v>
      </c>
      <c r="X312" s="13" t="s">
        <v>32</v>
      </c>
      <c r="Y312" s="15" t="s">
        <v>32</v>
      </c>
      <c r="Z312" s="14" t="s">
        <v>32</v>
      </c>
      <c r="AA312" s="13" t="s">
        <v>32</v>
      </c>
      <c r="AB312" s="1" t="s">
        <v>32</v>
      </c>
      <c r="AC312"/>
      <c r="AD312" s="12" t="s">
        <v>32</v>
      </c>
      <c r="AE312" s="13" t="s">
        <v>32</v>
      </c>
      <c r="AF312" s="15" t="s">
        <v>32</v>
      </c>
      <c r="AG312" s="14" t="s">
        <v>32</v>
      </c>
      <c r="AH312" s="13" t="s">
        <v>32</v>
      </c>
      <c r="AI312" s="15" t="s">
        <v>32</v>
      </c>
      <c r="AJ312" s="14" t="s">
        <v>32</v>
      </c>
      <c r="AK312" s="13" t="s">
        <v>32</v>
      </c>
      <c r="AL312" s="1" t="s">
        <v>32</v>
      </c>
      <c r="AM312" s="12" t="s">
        <v>32</v>
      </c>
      <c r="AN312" s="13" t="s">
        <v>32</v>
      </c>
      <c r="AO312" s="15" t="s">
        <v>32</v>
      </c>
      <c r="AP312" s="14" t="s">
        <v>32</v>
      </c>
      <c r="AQ312" s="13" t="s">
        <v>32</v>
      </c>
      <c r="AR312" s="15" t="s">
        <v>32</v>
      </c>
      <c r="AS312" s="14" t="s">
        <v>32</v>
      </c>
      <c r="AT312" s="13" t="s">
        <v>32</v>
      </c>
      <c r="AU312" s="1" t="s">
        <v>32</v>
      </c>
      <c r="AV312" s="12" t="s">
        <v>32</v>
      </c>
      <c r="AW312" s="13" t="s">
        <v>32</v>
      </c>
      <c r="AX312" s="15" t="s">
        <v>32</v>
      </c>
      <c r="AY312" s="14" t="s">
        <v>32</v>
      </c>
      <c r="AZ312" s="13" t="s">
        <v>32</v>
      </c>
      <c r="BA312" s="15" t="s">
        <v>32</v>
      </c>
      <c r="BB312" s="14" t="s">
        <v>32</v>
      </c>
      <c r="BC312" s="13" t="s">
        <v>32</v>
      </c>
      <c r="BD312" s="1" t="s">
        <v>32</v>
      </c>
      <c r="BG312" s="12" t="s">
        <v>32</v>
      </c>
      <c r="BH312" s="13" t="s">
        <v>32</v>
      </c>
      <c r="BI312" s="15">
        <v>0</v>
      </c>
      <c r="BJ312" s="14" t="s">
        <v>32</v>
      </c>
      <c r="BK312" s="13" t="s">
        <v>32</v>
      </c>
      <c r="BL312" s="15" t="s">
        <v>32</v>
      </c>
      <c r="BM312" s="14" t="s">
        <v>32</v>
      </c>
      <c r="BN312" s="13" t="s">
        <v>32</v>
      </c>
      <c r="BO312" s="1" t="s">
        <v>32</v>
      </c>
      <c r="BP312" s="12" t="s">
        <v>32</v>
      </c>
      <c r="BQ312" s="13" t="s">
        <v>32</v>
      </c>
      <c r="BR312" s="15" t="s">
        <v>32</v>
      </c>
      <c r="BS312" s="14" t="s">
        <v>32</v>
      </c>
      <c r="BT312" s="13" t="s">
        <v>32</v>
      </c>
      <c r="BU312" s="15" t="s">
        <v>32</v>
      </c>
      <c r="BV312" s="14">
        <v>0</v>
      </c>
      <c r="BW312" s="13" t="s">
        <v>32</v>
      </c>
      <c r="BX312" s="1">
        <v>4</v>
      </c>
      <c r="BY312" s="12" t="s">
        <v>32</v>
      </c>
      <c r="BZ312" s="13" t="s">
        <v>32</v>
      </c>
      <c r="CA312" s="15" t="s">
        <v>32</v>
      </c>
      <c r="CB312" s="14" t="s">
        <v>32</v>
      </c>
      <c r="CC312" s="13" t="s">
        <v>32</v>
      </c>
      <c r="CD312" s="15" t="s">
        <v>32</v>
      </c>
      <c r="CE312" s="14" t="s">
        <v>32</v>
      </c>
      <c r="CF312" s="13" t="s">
        <v>32</v>
      </c>
      <c r="CG312" s="1" t="s">
        <v>32</v>
      </c>
      <c r="CI312" s="12" t="s">
        <v>32</v>
      </c>
      <c r="CJ312" s="13" t="s">
        <v>32</v>
      </c>
      <c r="CK312" s="15">
        <v>5</v>
      </c>
      <c r="CL312" s="14" t="s">
        <v>32</v>
      </c>
      <c r="CM312" s="13" t="s">
        <v>32</v>
      </c>
      <c r="CN312" s="15" t="s">
        <v>32</v>
      </c>
      <c r="CO312" s="14" t="s">
        <v>32</v>
      </c>
      <c r="CP312" s="13" t="s">
        <v>32</v>
      </c>
      <c r="CQ312" s="1" t="s">
        <v>32</v>
      </c>
      <c r="CR312" s="12" t="s">
        <v>32</v>
      </c>
      <c r="CS312" s="13" t="s">
        <v>32</v>
      </c>
      <c r="CT312" s="15" t="s">
        <v>32</v>
      </c>
      <c r="CU312" s="14" t="s">
        <v>32</v>
      </c>
      <c r="CV312" s="13" t="s">
        <v>32</v>
      </c>
      <c r="CW312" s="15" t="s">
        <v>32</v>
      </c>
      <c r="CX312" s="14">
        <v>9</v>
      </c>
      <c r="CY312" s="13" t="s">
        <v>32</v>
      </c>
      <c r="CZ312" s="425">
        <v>4</v>
      </c>
      <c r="DA312" s="12" t="s">
        <v>32</v>
      </c>
      <c r="DB312" s="13" t="s">
        <v>32</v>
      </c>
      <c r="DC312" s="15" t="s">
        <v>32</v>
      </c>
      <c r="DD312" s="14" t="s">
        <v>32</v>
      </c>
      <c r="DE312" s="13" t="s">
        <v>32</v>
      </c>
      <c r="DF312" s="15" t="s">
        <v>32</v>
      </c>
      <c r="DG312" s="14" t="s">
        <v>32</v>
      </c>
      <c r="DH312" s="13" t="s">
        <v>32</v>
      </c>
      <c r="DI312" s="1" t="s">
        <v>32</v>
      </c>
    </row>
    <row r="313" spans="2:113" ht="15" customHeight="1">
      <c r="B313" s="16">
        <v>0</v>
      </c>
      <c r="C313" s="17">
        <v>5</v>
      </c>
      <c r="D313" s="18">
        <v>0</v>
      </c>
      <c r="E313" s="19" t="s">
        <v>32</v>
      </c>
      <c r="F313" s="17" t="s">
        <v>32</v>
      </c>
      <c r="G313" s="18" t="s">
        <v>32</v>
      </c>
      <c r="H313" s="19" t="s">
        <v>32</v>
      </c>
      <c r="I313" s="17" t="s">
        <v>32</v>
      </c>
      <c r="J313" s="20" t="s">
        <v>32</v>
      </c>
      <c r="K313" s="16" t="s">
        <v>32</v>
      </c>
      <c r="L313" s="17" t="s">
        <v>32</v>
      </c>
      <c r="M313" s="18" t="s">
        <v>32</v>
      </c>
      <c r="N313" s="19">
        <v>3</v>
      </c>
      <c r="O313" s="17">
        <v>0</v>
      </c>
      <c r="P313" s="18">
        <v>2</v>
      </c>
      <c r="Q313" s="19" t="s">
        <v>32</v>
      </c>
      <c r="R313" s="17" t="s">
        <v>32</v>
      </c>
      <c r="S313" s="20" t="s">
        <v>32</v>
      </c>
      <c r="T313" s="16" t="s">
        <v>32</v>
      </c>
      <c r="U313" s="17" t="s">
        <v>32</v>
      </c>
      <c r="V313" s="18" t="s">
        <v>32</v>
      </c>
      <c r="W313" s="19" t="s">
        <v>32</v>
      </c>
      <c r="X313" s="17" t="s">
        <v>32</v>
      </c>
      <c r="Y313" s="18" t="s">
        <v>32</v>
      </c>
      <c r="Z313" s="19">
        <v>0</v>
      </c>
      <c r="AA313" s="17">
        <v>7</v>
      </c>
      <c r="AB313" s="20">
        <v>0</v>
      </c>
      <c r="AC313"/>
      <c r="AD313" s="16">
        <v>1</v>
      </c>
      <c r="AE313" s="211">
        <v>5</v>
      </c>
      <c r="AF313" s="18">
        <v>4</v>
      </c>
      <c r="AG313" s="19" t="s">
        <v>32</v>
      </c>
      <c r="AH313" s="17" t="s">
        <v>32</v>
      </c>
      <c r="AI313" s="18" t="s">
        <v>32</v>
      </c>
      <c r="AJ313" s="19" t="s">
        <v>32</v>
      </c>
      <c r="AK313" s="17" t="s">
        <v>32</v>
      </c>
      <c r="AL313" s="20" t="s">
        <v>32</v>
      </c>
      <c r="AM313" s="16" t="s">
        <v>32</v>
      </c>
      <c r="AN313" s="17" t="s">
        <v>32</v>
      </c>
      <c r="AO313" s="18" t="s">
        <v>32</v>
      </c>
      <c r="AP313" s="210">
        <v>3</v>
      </c>
      <c r="AQ313" s="17">
        <v>8</v>
      </c>
      <c r="AR313" s="209">
        <v>2</v>
      </c>
      <c r="AS313" s="19" t="s">
        <v>32</v>
      </c>
      <c r="AT313" s="17" t="s">
        <v>32</v>
      </c>
      <c r="AU313" s="20" t="s">
        <v>32</v>
      </c>
      <c r="AV313" s="16" t="s">
        <v>32</v>
      </c>
      <c r="AW313" s="17" t="s">
        <v>32</v>
      </c>
      <c r="AX313" s="18" t="s">
        <v>32</v>
      </c>
      <c r="AY313" s="19" t="s">
        <v>32</v>
      </c>
      <c r="AZ313" s="17" t="s">
        <v>32</v>
      </c>
      <c r="BA313" s="18" t="s">
        <v>32</v>
      </c>
      <c r="BB313" s="19">
        <v>6</v>
      </c>
      <c r="BC313" s="211">
        <v>7</v>
      </c>
      <c r="BD313" s="20">
        <v>9</v>
      </c>
      <c r="BG313" s="16">
        <v>0</v>
      </c>
      <c r="BH313" s="17" t="s">
        <v>32</v>
      </c>
      <c r="BI313" s="18">
        <v>0</v>
      </c>
      <c r="BJ313" s="19" t="s">
        <v>32</v>
      </c>
      <c r="BK313" s="17" t="s">
        <v>32</v>
      </c>
      <c r="BL313" s="18" t="s">
        <v>32</v>
      </c>
      <c r="BM313" s="19" t="s">
        <v>32</v>
      </c>
      <c r="BN313" s="17" t="s">
        <v>32</v>
      </c>
      <c r="BO313" s="20" t="s">
        <v>32</v>
      </c>
      <c r="BP313" s="16" t="s">
        <v>32</v>
      </c>
      <c r="BQ313" s="17" t="s">
        <v>32</v>
      </c>
      <c r="BR313" s="18" t="s">
        <v>32</v>
      </c>
      <c r="BS313" s="19" t="s">
        <v>32</v>
      </c>
      <c r="BT313" s="17" t="s">
        <v>32</v>
      </c>
      <c r="BU313" s="18" t="s">
        <v>32</v>
      </c>
      <c r="BV313" s="19" t="s">
        <v>32</v>
      </c>
      <c r="BW313" s="17">
        <v>0</v>
      </c>
      <c r="BX313" s="20" t="s">
        <v>32</v>
      </c>
      <c r="BY313" s="16" t="s">
        <v>32</v>
      </c>
      <c r="BZ313" s="17" t="s">
        <v>32</v>
      </c>
      <c r="CA313" s="18" t="s">
        <v>32</v>
      </c>
      <c r="CB313" s="19">
        <v>0</v>
      </c>
      <c r="CC313" s="17">
        <v>2</v>
      </c>
      <c r="CD313" s="18" t="s">
        <v>32</v>
      </c>
      <c r="CE313" s="19" t="s">
        <v>32</v>
      </c>
      <c r="CF313" s="17" t="s">
        <v>32</v>
      </c>
      <c r="CG313" s="20">
        <v>0</v>
      </c>
      <c r="CI313" s="16">
        <v>7</v>
      </c>
      <c r="CJ313" s="17" t="s">
        <v>32</v>
      </c>
      <c r="CK313" s="18">
        <v>8</v>
      </c>
      <c r="CL313" s="19" t="s">
        <v>32</v>
      </c>
      <c r="CM313" s="17" t="s">
        <v>32</v>
      </c>
      <c r="CN313" s="18" t="s">
        <v>32</v>
      </c>
      <c r="CO313" s="19" t="s">
        <v>32</v>
      </c>
      <c r="CP313" s="17" t="s">
        <v>32</v>
      </c>
      <c r="CQ313" s="20" t="s">
        <v>32</v>
      </c>
      <c r="CR313" s="16" t="s">
        <v>32</v>
      </c>
      <c r="CS313" s="17" t="s">
        <v>32</v>
      </c>
      <c r="CT313" s="18" t="s">
        <v>32</v>
      </c>
      <c r="CU313" s="19" t="s">
        <v>32</v>
      </c>
      <c r="CV313" s="17" t="s">
        <v>32</v>
      </c>
      <c r="CW313" s="18" t="s">
        <v>32</v>
      </c>
      <c r="CX313" s="19" t="s">
        <v>32</v>
      </c>
      <c r="CY313" s="17">
        <v>6</v>
      </c>
      <c r="CZ313" s="20" t="s">
        <v>32</v>
      </c>
      <c r="DA313" s="16" t="s">
        <v>32</v>
      </c>
      <c r="DB313" s="17" t="s">
        <v>32</v>
      </c>
      <c r="DC313" s="18" t="s">
        <v>32</v>
      </c>
      <c r="DD313" s="19">
        <v>3</v>
      </c>
      <c r="DE313" s="211">
        <v>2</v>
      </c>
      <c r="DF313" s="18" t="s">
        <v>32</v>
      </c>
      <c r="DG313" s="19" t="s">
        <v>32</v>
      </c>
      <c r="DH313" s="17" t="s">
        <v>32</v>
      </c>
      <c r="DI313" s="20">
        <v>1</v>
      </c>
    </row>
    <row r="314" spans="2:113" ht="15" customHeight="1">
      <c r="B314" s="11">
        <v>9</v>
      </c>
      <c r="C314" s="7">
        <v>0</v>
      </c>
      <c r="D314" s="9">
        <v>0</v>
      </c>
      <c r="E314" s="8" t="s">
        <v>32</v>
      </c>
      <c r="F314" s="7" t="s">
        <v>32</v>
      </c>
      <c r="G314" s="9" t="s">
        <v>32</v>
      </c>
      <c r="H314" s="8" t="s">
        <v>32</v>
      </c>
      <c r="I314" s="7" t="s">
        <v>32</v>
      </c>
      <c r="J314" s="10" t="s">
        <v>32</v>
      </c>
      <c r="K314" s="11" t="s">
        <v>32</v>
      </c>
      <c r="L314" s="7" t="s">
        <v>32</v>
      </c>
      <c r="M314" s="9" t="s">
        <v>32</v>
      </c>
      <c r="N314" s="8">
        <v>7</v>
      </c>
      <c r="O314" s="7">
        <v>0</v>
      </c>
      <c r="P314" s="9">
        <v>5</v>
      </c>
      <c r="Q314" s="8" t="s">
        <v>32</v>
      </c>
      <c r="R314" s="7" t="s">
        <v>32</v>
      </c>
      <c r="S314" s="10" t="s">
        <v>32</v>
      </c>
      <c r="T314" s="11" t="s">
        <v>32</v>
      </c>
      <c r="U314" s="7" t="s">
        <v>32</v>
      </c>
      <c r="V314" s="9" t="s">
        <v>32</v>
      </c>
      <c r="W314" s="8" t="s">
        <v>32</v>
      </c>
      <c r="X314" s="7" t="s">
        <v>32</v>
      </c>
      <c r="Y314" s="9" t="s">
        <v>32</v>
      </c>
      <c r="Z314" s="8">
        <v>0</v>
      </c>
      <c r="AA314" s="7">
        <v>0</v>
      </c>
      <c r="AB314" s="10">
        <v>4</v>
      </c>
      <c r="AC314"/>
      <c r="AD314" s="213">
        <v>9</v>
      </c>
      <c r="AE314" s="7">
        <v>8</v>
      </c>
      <c r="AF314" s="9">
        <v>3</v>
      </c>
      <c r="AG314" s="8" t="s">
        <v>32</v>
      </c>
      <c r="AH314" s="7" t="s">
        <v>32</v>
      </c>
      <c r="AI314" s="9" t="s">
        <v>32</v>
      </c>
      <c r="AJ314" s="8" t="s">
        <v>32</v>
      </c>
      <c r="AK314" s="7" t="s">
        <v>32</v>
      </c>
      <c r="AL314" s="10" t="s">
        <v>32</v>
      </c>
      <c r="AM314" s="11" t="s">
        <v>32</v>
      </c>
      <c r="AN314" s="7" t="s">
        <v>32</v>
      </c>
      <c r="AO314" s="9" t="s">
        <v>32</v>
      </c>
      <c r="AP314" s="206">
        <v>7</v>
      </c>
      <c r="AQ314" s="7">
        <v>6</v>
      </c>
      <c r="AR314" s="205">
        <v>5</v>
      </c>
      <c r="AS314" s="8" t="s">
        <v>32</v>
      </c>
      <c r="AT314" s="7" t="s">
        <v>32</v>
      </c>
      <c r="AU314" s="10" t="s">
        <v>32</v>
      </c>
      <c r="AV314" s="11" t="s">
        <v>32</v>
      </c>
      <c r="AW314" s="7" t="s">
        <v>32</v>
      </c>
      <c r="AX314" s="9" t="s">
        <v>32</v>
      </c>
      <c r="AY314" s="8" t="s">
        <v>32</v>
      </c>
      <c r="AZ314" s="7" t="s">
        <v>32</v>
      </c>
      <c r="BA314" s="9" t="s">
        <v>32</v>
      </c>
      <c r="BB314" s="8">
        <v>2</v>
      </c>
      <c r="BC314" s="7">
        <v>1</v>
      </c>
      <c r="BD314" s="214">
        <v>4</v>
      </c>
      <c r="BG314" s="11">
        <v>0</v>
      </c>
      <c r="BH314" s="7">
        <v>1</v>
      </c>
      <c r="BI314" s="9">
        <v>0</v>
      </c>
      <c r="BJ314" s="8" t="s">
        <v>32</v>
      </c>
      <c r="BK314" s="7" t="s">
        <v>32</v>
      </c>
      <c r="BL314" s="9" t="s">
        <v>32</v>
      </c>
      <c r="BM314" s="8" t="s">
        <v>32</v>
      </c>
      <c r="BN314" s="7" t="s">
        <v>32</v>
      </c>
      <c r="BO314" s="10" t="s">
        <v>32</v>
      </c>
      <c r="BP314" s="11" t="s">
        <v>32</v>
      </c>
      <c r="BQ314" s="7" t="s">
        <v>32</v>
      </c>
      <c r="BR314" s="9" t="s">
        <v>32</v>
      </c>
      <c r="BS314" s="8" t="s">
        <v>32</v>
      </c>
      <c r="BT314" s="7" t="s">
        <v>32</v>
      </c>
      <c r="BU314" s="9" t="s">
        <v>32</v>
      </c>
      <c r="BV314" s="8" t="s">
        <v>32</v>
      </c>
      <c r="BW314" s="7" t="s">
        <v>32</v>
      </c>
      <c r="BX314" s="10">
        <v>0</v>
      </c>
      <c r="BY314" s="11" t="s">
        <v>32</v>
      </c>
      <c r="BZ314" s="7" t="s">
        <v>32</v>
      </c>
      <c r="CA314" s="9" t="s">
        <v>32</v>
      </c>
      <c r="CB314" s="8">
        <v>0</v>
      </c>
      <c r="CC314" s="7">
        <v>0</v>
      </c>
      <c r="CD314" s="9">
        <v>0</v>
      </c>
      <c r="CE314" s="8">
        <v>0</v>
      </c>
      <c r="CF314" s="7">
        <v>8</v>
      </c>
      <c r="CG314" s="10" t="s">
        <v>32</v>
      </c>
      <c r="CI314" s="11">
        <v>2</v>
      </c>
      <c r="CJ314" s="204">
        <v>1</v>
      </c>
      <c r="CK314" s="9">
        <v>9</v>
      </c>
      <c r="CL314" s="8" t="s">
        <v>32</v>
      </c>
      <c r="CM314" s="7" t="s">
        <v>32</v>
      </c>
      <c r="CN314" s="9" t="s">
        <v>32</v>
      </c>
      <c r="CO314" s="8" t="s">
        <v>32</v>
      </c>
      <c r="CP314" s="7" t="s">
        <v>32</v>
      </c>
      <c r="CQ314" s="10" t="s">
        <v>32</v>
      </c>
      <c r="CR314" s="11" t="s">
        <v>32</v>
      </c>
      <c r="CS314" s="7" t="s">
        <v>32</v>
      </c>
      <c r="CT314" s="9" t="s">
        <v>32</v>
      </c>
      <c r="CU314" s="8" t="s">
        <v>32</v>
      </c>
      <c r="CV314" s="7" t="s">
        <v>32</v>
      </c>
      <c r="CW314" s="9" t="s">
        <v>32</v>
      </c>
      <c r="CX314" s="8" t="s">
        <v>32</v>
      </c>
      <c r="CY314" s="7" t="s">
        <v>32</v>
      </c>
      <c r="CZ314" s="10">
        <v>3</v>
      </c>
      <c r="DA314" s="11" t="s">
        <v>32</v>
      </c>
      <c r="DB314" s="7" t="s">
        <v>32</v>
      </c>
      <c r="DC314" s="9" t="s">
        <v>32</v>
      </c>
      <c r="DD314" s="8">
        <v>4</v>
      </c>
      <c r="DE314" s="7">
        <v>7</v>
      </c>
      <c r="DF314" s="9">
        <v>5</v>
      </c>
      <c r="DG314" s="8">
        <v>6</v>
      </c>
      <c r="DH314" s="204">
        <v>8</v>
      </c>
      <c r="DI314" s="10" t="s">
        <v>32</v>
      </c>
    </row>
    <row r="315" spans="2:113" ht="15" customHeight="1" thickBot="1">
      <c r="B315" s="21">
        <v>0</v>
      </c>
      <c r="C315" s="22">
        <v>0</v>
      </c>
      <c r="D315" s="23">
        <v>2</v>
      </c>
      <c r="E315" s="24" t="s">
        <v>32</v>
      </c>
      <c r="F315" s="22" t="s">
        <v>32</v>
      </c>
      <c r="G315" s="23" t="s">
        <v>32</v>
      </c>
      <c r="H315" s="24" t="s">
        <v>32</v>
      </c>
      <c r="I315" s="22" t="s">
        <v>32</v>
      </c>
      <c r="J315" s="25" t="s">
        <v>32</v>
      </c>
      <c r="K315" s="21" t="s">
        <v>32</v>
      </c>
      <c r="L315" s="22" t="s">
        <v>32</v>
      </c>
      <c r="M315" s="23" t="s">
        <v>32</v>
      </c>
      <c r="N315" s="24">
        <v>0</v>
      </c>
      <c r="O315" s="22">
        <v>0</v>
      </c>
      <c r="P315" s="23">
        <v>0</v>
      </c>
      <c r="Q315" s="24" t="s">
        <v>32</v>
      </c>
      <c r="R315" s="22" t="s">
        <v>32</v>
      </c>
      <c r="S315" s="25" t="s">
        <v>32</v>
      </c>
      <c r="T315" s="21" t="s">
        <v>32</v>
      </c>
      <c r="U315" s="22" t="s">
        <v>32</v>
      </c>
      <c r="V315" s="23" t="s">
        <v>32</v>
      </c>
      <c r="W315" s="24" t="s">
        <v>32</v>
      </c>
      <c r="X315" s="22" t="s">
        <v>32</v>
      </c>
      <c r="Y315" s="23" t="s">
        <v>32</v>
      </c>
      <c r="Z315" s="24">
        <v>3</v>
      </c>
      <c r="AA315" s="22">
        <v>0</v>
      </c>
      <c r="AB315" s="25">
        <v>0</v>
      </c>
      <c r="AC315"/>
      <c r="AD315" s="21">
        <v>6</v>
      </c>
      <c r="AE315" s="22">
        <v>7</v>
      </c>
      <c r="AF315" s="223">
        <v>2</v>
      </c>
      <c r="AG315" s="24" t="s">
        <v>32</v>
      </c>
      <c r="AH315" s="22" t="s">
        <v>32</v>
      </c>
      <c r="AI315" s="23" t="s">
        <v>32</v>
      </c>
      <c r="AJ315" s="24" t="s">
        <v>32</v>
      </c>
      <c r="AK315" s="22" t="s">
        <v>32</v>
      </c>
      <c r="AL315" s="25" t="s">
        <v>32</v>
      </c>
      <c r="AM315" s="21" t="s">
        <v>32</v>
      </c>
      <c r="AN315" s="22" t="s">
        <v>32</v>
      </c>
      <c r="AO315" s="23" t="s">
        <v>32</v>
      </c>
      <c r="AP315" s="24">
        <v>9</v>
      </c>
      <c r="AQ315" s="22">
        <v>4</v>
      </c>
      <c r="AR315" s="23">
        <v>1</v>
      </c>
      <c r="AS315" s="24" t="s">
        <v>32</v>
      </c>
      <c r="AT315" s="22" t="s">
        <v>32</v>
      </c>
      <c r="AU315" s="25" t="s">
        <v>32</v>
      </c>
      <c r="AV315" s="21" t="s">
        <v>32</v>
      </c>
      <c r="AW315" s="22" t="s">
        <v>32</v>
      </c>
      <c r="AX315" s="23" t="s">
        <v>32</v>
      </c>
      <c r="AY315" s="24" t="s">
        <v>32</v>
      </c>
      <c r="AZ315" s="22" t="s">
        <v>32</v>
      </c>
      <c r="BA315" s="23" t="s">
        <v>32</v>
      </c>
      <c r="BB315" s="225">
        <v>3</v>
      </c>
      <c r="BC315" s="22">
        <v>8</v>
      </c>
      <c r="BD315" s="25">
        <v>5</v>
      </c>
      <c r="BG315" s="21">
        <v>3</v>
      </c>
      <c r="BH315" s="22">
        <v>0</v>
      </c>
      <c r="BI315" s="23">
        <v>0</v>
      </c>
      <c r="BJ315" s="24" t="s">
        <v>32</v>
      </c>
      <c r="BK315" s="22" t="s">
        <v>32</v>
      </c>
      <c r="BL315" s="23" t="s">
        <v>32</v>
      </c>
      <c r="BM315" s="24" t="s">
        <v>32</v>
      </c>
      <c r="BN315" s="22" t="s">
        <v>32</v>
      </c>
      <c r="BO315" s="25" t="s">
        <v>32</v>
      </c>
      <c r="BP315" s="21" t="s">
        <v>32</v>
      </c>
      <c r="BQ315" s="22" t="s">
        <v>32</v>
      </c>
      <c r="BR315" s="23" t="s">
        <v>32</v>
      </c>
      <c r="BS315" s="24">
        <v>5</v>
      </c>
      <c r="BT315" s="22">
        <v>0</v>
      </c>
      <c r="BU315" s="23">
        <v>1</v>
      </c>
      <c r="BV315" s="24">
        <v>0</v>
      </c>
      <c r="BW315" s="22">
        <v>0</v>
      </c>
      <c r="BX315" s="25" t="s">
        <v>32</v>
      </c>
      <c r="BY315" s="21" t="s">
        <v>32</v>
      </c>
      <c r="BZ315" s="22" t="s">
        <v>32</v>
      </c>
      <c r="CA315" s="23" t="s">
        <v>32</v>
      </c>
      <c r="CB315" s="24" t="s">
        <v>32</v>
      </c>
      <c r="CC315" s="22" t="s">
        <v>32</v>
      </c>
      <c r="CD315" s="23" t="s">
        <v>32</v>
      </c>
      <c r="CE315" s="24" t="s">
        <v>32</v>
      </c>
      <c r="CF315" s="22" t="s">
        <v>32</v>
      </c>
      <c r="CG315" s="25">
        <v>9</v>
      </c>
      <c r="CI315" s="218">
        <v>3</v>
      </c>
      <c r="CJ315" s="22">
        <v>6</v>
      </c>
      <c r="CK315" s="23">
        <v>4</v>
      </c>
      <c r="CL315" s="24" t="s">
        <v>32</v>
      </c>
      <c r="CM315" s="22" t="s">
        <v>32</v>
      </c>
      <c r="CN315" s="23" t="s">
        <v>32</v>
      </c>
      <c r="CO315" s="24" t="s">
        <v>32</v>
      </c>
      <c r="CP315" s="22" t="s">
        <v>32</v>
      </c>
      <c r="CQ315" s="25" t="s">
        <v>32</v>
      </c>
      <c r="CR315" s="21" t="s">
        <v>32</v>
      </c>
      <c r="CS315" s="22" t="s">
        <v>32</v>
      </c>
      <c r="CT315" s="23" t="s">
        <v>32</v>
      </c>
      <c r="CU315" s="225">
        <v>5</v>
      </c>
      <c r="CV315" s="22">
        <v>8</v>
      </c>
      <c r="CW315" s="223">
        <v>1</v>
      </c>
      <c r="CX315" s="24">
        <v>7</v>
      </c>
      <c r="CY315" s="22">
        <v>2</v>
      </c>
      <c r="CZ315" s="25" t="s">
        <v>32</v>
      </c>
      <c r="DA315" s="21" t="s">
        <v>32</v>
      </c>
      <c r="DB315" s="22" t="s">
        <v>32</v>
      </c>
      <c r="DC315" s="23" t="s">
        <v>32</v>
      </c>
      <c r="DD315" s="24" t="s">
        <v>32</v>
      </c>
      <c r="DE315" s="22" t="s">
        <v>32</v>
      </c>
      <c r="DF315" s="23" t="s">
        <v>32</v>
      </c>
      <c r="DG315" s="24" t="s">
        <v>32</v>
      </c>
      <c r="DH315" s="22" t="s">
        <v>32</v>
      </c>
      <c r="DI315" s="220">
        <v>9</v>
      </c>
    </row>
    <row r="317" spans="2:113" ht="15" customHeight="1" thickBot="1">
      <c r="B317" s="33" t="s">
        <v>94</v>
      </c>
      <c r="AD317" s="33" t="s">
        <v>86</v>
      </c>
      <c r="BG317" s="33" t="s">
        <v>95</v>
      </c>
      <c r="CI317" s="33" t="s">
        <v>86</v>
      </c>
    </row>
    <row r="318" spans="2:113" ht="15" customHeight="1">
      <c r="B318" s="2">
        <v>0</v>
      </c>
      <c r="C318" s="5">
        <v>0</v>
      </c>
      <c r="D318" s="3">
        <v>0</v>
      </c>
      <c r="E318" s="4">
        <v>0</v>
      </c>
      <c r="F318" s="5" t="s">
        <v>32</v>
      </c>
      <c r="G318" s="3" t="s">
        <v>32</v>
      </c>
      <c r="H318" s="4" t="s">
        <v>32</v>
      </c>
      <c r="I318" s="5" t="s">
        <v>32</v>
      </c>
      <c r="J318" s="6" t="s">
        <v>32</v>
      </c>
      <c r="K318" s="2" t="s">
        <v>32</v>
      </c>
      <c r="L318" s="5" t="s">
        <v>32</v>
      </c>
      <c r="M318" s="3" t="s">
        <v>32</v>
      </c>
      <c r="N318" s="4" t="s">
        <v>32</v>
      </c>
      <c r="O318" s="216">
        <v>4</v>
      </c>
      <c r="P318" s="3">
        <v>0</v>
      </c>
      <c r="Q318" s="4">
        <v>0</v>
      </c>
      <c r="R318" s="5" t="s">
        <v>32</v>
      </c>
      <c r="S318" s="6" t="s">
        <v>32</v>
      </c>
      <c r="T318" s="2" t="s">
        <v>32</v>
      </c>
      <c r="U318" s="5" t="s">
        <v>32</v>
      </c>
      <c r="V318" s="3" t="s">
        <v>32</v>
      </c>
      <c r="W318" s="4" t="s">
        <v>32</v>
      </c>
      <c r="X318" s="5" t="s">
        <v>32</v>
      </c>
      <c r="Y318" s="3" t="s">
        <v>32</v>
      </c>
      <c r="Z318" s="4" t="s">
        <v>32</v>
      </c>
      <c r="AA318" s="5">
        <v>0</v>
      </c>
      <c r="AB318" s="6">
        <v>0</v>
      </c>
      <c r="AD318" s="2">
        <v>7</v>
      </c>
      <c r="AE318" s="5">
        <v>6</v>
      </c>
      <c r="AF318" s="3">
        <v>2</v>
      </c>
      <c r="AG318" s="4">
        <v>9</v>
      </c>
      <c r="AH318" s="5" t="s">
        <v>32</v>
      </c>
      <c r="AI318" s="3" t="s">
        <v>32</v>
      </c>
      <c r="AJ318" s="4" t="s">
        <v>32</v>
      </c>
      <c r="AK318" s="5" t="s">
        <v>32</v>
      </c>
      <c r="AL318" s="6" t="s">
        <v>32</v>
      </c>
      <c r="AM318" s="2" t="s">
        <v>32</v>
      </c>
      <c r="AN318" s="5" t="s">
        <v>32</v>
      </c>
      <c r="AO318" s="3" t="s">
        <v>32</v>
      </c>
      <c r="AP318" s="4" t="s">
        <v>32</v>
      </c>
      <c r="AQ318" s="216">
        <v>4</v>
      </c>
      <c r="AR318" s="3">
        <v>8</v>
      </c>
      <c r="AS318" s="4">
        <v>1</v>
      </c>
      <c r="AT318" s="5" t="s">
        <v>32</v>
      </c>
      <c r="AU318" s="6" t="s">
        <v>32</v>
      </c>
      <c r="AV318" s="2" t="s">
        <v>32</v>
      </c>
      <c r="AW318" s="5" t="s">
        <v>32</v>
      </c>
      <c r="AX318" s="3" t="s">
        <v>32</v>
      </c>
      <c r="AY318" s="4" t="s">
        <v>32</v>
      </c>
      <c r="AZ318" s="5" t="s">
        <v>32</v>
      </c>
      <c r="BA318" s="3" t="s">
        <v>32</v>
      </c>
      <c r="BB318" s="4" t="s">
        <v>32</v>
      </c>
      <c r="BC318" s="5">
        <v>5</v>
      </c>
      <c r="BD318" s="6">
        <v>3</v>
      </c>
      <c r="BG318" s="2">
        <v>0</v>
      </c>
      <c r="BH318" s="5">
        <v>0</v>
      </c>
      <c r="BI318" s="3">
        <v>0</v>
      </c>
      <c r="BJ318" s="4" t="s">
        <v>32</v>
      </c>
      <c r="BK318" s="5" t="s">
        <v>32</v>
      </c>
      <c r="BL318" s="3" t="s">
        <v>32</v>
      </c>
      <c r="BM318" s="4" t="s">
        <v>32</v>
      </c>
      <c r="BN318" s="5" t="s">
        <v>32</v>
      </c>
      <c r="BO318" s="6" t="s">
        <v>32</v>
      </c>
      <c r="BP318" s="2" t="s">
        <v>32</v>
      </c>
      <c r="BQ318" s="5" t="s">
        <v>32</v>
      </c>
      <c r="BR318" s="3" t="s">
        <v>32</v>
      </c>
      <c r="BS318" s="4">
        <v>0</v>
      </c>
      <c r="BT318" s="216">
        <v>6</v>
      </c>
      <c r="BU318" s="3">
        <v>0</v>
      </c>
      <c r="BV318" s="4" t="s">
        <v>32</v>
      </c>
      <c r="BW318" s="5" t="s">
        <v>32</v>
      </c>
      <c r="BX318" s="6" t="s">
        <v>32</v>
      </c>
      <c r="BY318" s="2" t="s">
        <v>32</v>
      </c>
      <c r="BZ318" s="5" t="s">
        <v>32</v>
      </c>
      <c r="CA318" s="3" t="s">
        <v>32</v>
      </c>
      <c r="CB318" s="4" t="s">
        <v>32</v>
      </c>
      <c r="CC318" s="5" t="s">
        <v>32</v>
      </c>
      <c r="CD318" s="3" t="s">
        <v>32</v>
      </c>
      <c r="CE318" s="4" t="s">
        <v>32</v>
      </c>
      <c r="CF318" s="5">
        <v>0</v>
      </c>
      <c r="CG318" s="6" t="s">
        <v>32</v>
      </c>
      <c r="CI318" s="2">
        <v>7</v>
      </c>
      <c r="CJ318" s="5">
        <v>1</v>
      </c>
      <c r="CK318" s="3">
        <v>4</v>
      </c>
      <c r="CL318" s="4" t="s">
        <v>32</v>
      </c>
      <c r="CM318" s="5" t="s">
        <v>32</v>
      </c>
      <c r="CN318" s="3" t="s">
        <v>32</v>
      </c>
      <c r="CO318" s="4" t="s">
        <v>32</v>
      </c>
      <c r="CP318" s="5" t="s">
        <v>32</v>
      </c>
      <c r="CQ318" s="6" t="s">
        <v>32</v>
      </c>
      <c r="CR318" s="2" t="s">
        <v>32</v>
      </c>
      <c r="CS318" s="5" t="s">
        <v>32</v>
      </c>
      <c r="CT318" s="3" t="s">
        <v>32</v>
      </c>
      <c r="CU318" s="4">
        <v>3</v>
      </c>
      <c r="CV318" s="216">
        <v>6</v>
      </c>
      <c r="CW318" s="3">
        <v>2</v>
      </c>
      <c r="CX318" s="4" t="s">
        <v>32</v>
      </c>
      <c r="CY318" s="5" t="s">
        <v>32</v>
      </c>
      <c r="CZ318" s="6" t="s">
        <v>32</v>
      </c>
      <c r="DA318" s="2" t="s">
        <v>32</v>
      </c>
      <c r="DB318" s="5" t="s">
        <v>32</v>
      </c>
      <c r="DC318" s="3" t="s">
        <v>32</v>
      </c>
      <c r="DD318" s="4" t="s">
        <v>32</v>
      </c>
      <c r="DE318" s="5" t="s">
        <v>32</v>
      </c>
      <c r="DF318" s="3" t="s">
        <v>32</v>
      </c>
      <c r="DG318" s="4" t="s">
        <v>32</v>
      </c>
      <c r="DH318" s="5">
        <v>8</v>
      </c>
      <c r="DI318" s="6" t="s">
        <v>32</v>
      </c>
    </row>
    <row r="319" spans="2:113" ht="15" customHeight="1">
      <c r="B319" s="213">
        <v>1</v>
      </c>
      <c r="C319" s="204">
        <v>3</v>
      </c>
      <c r="D319" s="9">
        <v>0</v>
      </c>
      <c r="E319" s="8" t="s">
        <v>32</v>
      </c>
      <c r="F319" s="7" t="s">
        <v>32</v>
      </c>
      <c r="G319" s="9" t="s">
        <v>32</v>
      </c>
      <c r="H319" s="8" t="s">
        <v>32</v>
      </c>
      <c r="I319" s="7" t="s">
        <v>32</v>
      </c>
      <c r="J319" s="10" t="s">
        <v>32</v>
      </c>
      <c r="K319" s="11" t="s">
        <v>32</v>
      </c>
      <c r="L319" s="7" t="s">
        <v>32</v>
      </c>
      <c r="M319" s="9" t="s">
        <v>32</v>
      </c>
      <c r="N319" s="8">
        <v>0</v>
      </c>
      <c r="O319" s="7" t="s">
        <v>32</v>
      </c>
      <c r="P319" s="9" t="s">
        <v>32</v>
      </c>
      <c r="Q319" s="8" t="s">
        <v>32</v>
      </c>
      <c r="R319" s="204">
        <v>9</v>
      </c>
      <c r="S319" s="10" t="s">
        <v>32</v>
      </c>
      <c r="T319" s="11" t="s">
        <v>32</v>
      </c>
      <c r="U319" s="7" t="s">
        <v>32</v>
      </c>
      <c r="V319" s="9" t="s">
        <v>32</v>
      </c>
      <c r="W319" s="8" t="s">
        <v>32</v>
      </c>
      <c r="X319" s="7">
        <v>0</v>
      </c>
      <c r="Y319" s="9">
        <v>0</v>
      </c>
      <c r="Z319" s="8">
        <v>0</v>
      </c>
      <c r="AA319" s="7" t="s">
        <v>32</v>
      </c>
      <c r="AB319" s="214">
        <v>6</v>
      </c>
      <c r="AD319" s="213">
        <v>1</v>
      </c>
      <c r="AE319" s="204">
        <v>3</v>
      </c>
      <c r="AF319" s="9">
        <v>8</v>
      </c>
      <c r="AG319" s="8" t="s">
        <v>32</v>
      </c>
      <c r="AH319" s="7" t="s">
        <v>32</v>
      </c>
      <c r="AI319" s="9" t="s">
        <v>32</v>
      </c>
      <c r="AJ319" s="8" t="s">
        <v>32</v>
      </c>
      <c r="AK319" s="7" t="s">
        <v>32</v>
      </c>
      <c r="AL319" s="10" t="s">
        <v>32</v>
      </c>
      <c r="AM319" s="11" t="s">
        <v>32</v>
      </c>
      <c r="AN319" s="7" t="s">
        <v>32</v>
      </c>
      <c r="AO319" s="9" t="s">
        <v>32</v>
      </c>
      <c r="AP319" s="8">
        <v>5</v>
      </c>
      <c r="AQ319" s="7" t="s">
        <v>32</v>
      </c>
      <c r="AR319" s="9" t="s">
        <v>32</v>
      </c>
      <c r="AS319" s="8" t="s">
        <v>32</v>
      </c>
      <c r="AT319" s="204">
        <v>9</v>
      </c>
      <c r="AU319" s="10" t="s">
        <v>32</v>
      </c>
      <c r="AV319" s="11" t="s">
        <v>32</v>
      </c>
      <c r="AW319" s="7" t="s">
        <v>32</v>
      </c>
      <c r="AX319" s="9" t="s">
        <v>32</v>
      </c>
      <c r="AY319" s="8" t="s">
        <v>32</v>
      </c>
      <c r="AZ319" s="7">
        <v>2</v>
      </c>
      <c r="BA319" s="9">
        <v>4</v>
      </c>
      <c r="BB319" s="8">
        <v>7</v>
      </c>
      <c r="BC319" s="7" t="s">
        <v>32</v>
      </c>
      <c r="BD319" s="214">
        <v>6</v>
      </c>
      <c r="BG319" s="11">
        <v>0</v>
      </c>
      <c r="BH319" s="7" t="s">
        <v>32</v>
      </c>
      <c r="BI319" s="9" t="s">
        <v>32</v>
      </c>
      <c r="BJ319" s="8" t="s">
        <v>32</v>
      </c>
      <c r="BK319" s="7" t="s">
        <v>32</v>
      </c>
      <c r="BL319" s="9" t="s">
        <v>32</v>
      </c>
      <c r="BM319" s="8" t="s">
        <v>32</v>
      </c>
      <c r="BN319" s="7" t="s">
        <v>32</v>
      </c>
      <c r="BO319" s="10" t="s">
        <v>32</v>
      </c>
      <c r="BP319" s="11" t="s">
        <v>32</v>
      </c>
      <c r="BQ319" s="7" t="s">
        <v>32</v>
      </c>
      <c r="BR319" s="9" t="s">
        <v>32</v>
      </c>
      <c r="BS319" s="8">
        <v>0</v>
      </c>
      <c r="BT319" s="204">
        <v>9</v>
      </c>
      <c r="BU319" s="9" t="s">
        <v>32</v>
      </c>
      <c r="BV319" s="8" t="s">
        <v>32</v>
      </c>
      <c r="BW319" s="7" t="s">
        <v>32</v>
      </c>
      <c r="BX319" s="10" t="s">
        <v>32</v>
      </c>
      <c r="BY319" s="11" t="s">
        <v>32</v>
      </c>
      <c r="BZ319" s="7" t="s">
        <v>32</v>
      </c>
      <c r="CA319" s="9" t="s">
        <v>32</v>
      </c>
      <c r="CB319" s="8" t="s">
        <v>32</v>
      </c>
      <c r="CC319" s="7" t="s">
        <v>32</v>
      </c>
      <c r="CD319" s="9" t="s">
        <v>32</v>
      </c>
      <c r="CE319" s="8" t="s">
        <v>32</v>
      </c>
      <c r="CF319" s="7" t="s">
        <v>32</v>
      </c>
      <c r="CG319" s="10">
        <v>0</v>
      </c>
      <c r="CI319" s="11">
        <v>2</v>
      </c>
      <c r="CJ319" s="7" t="s">
        <v>32</v>
      </c>
      <c r="CK319" s="9" t="s">
        <v>32</v>
      </c>
      <c r="CL319" s="8" t="s">
        <v>32</v>
      </c>
      <c r="CM319" s="7" t="s">
        <v>32</v>
      </c>
      <c r="CN319" s="9" t="s">
        <v>32</v>
      </c>
      <c r="CO319" s="8" t="s">
        <v>32</v>
      </c>
      <c r="CP319" s="7" t="s">
        <v>32</v>
      </c>
      <c r="CQ319" s="10" t="s">
        <v>32</v>
      </c>
      <c r="CR319" s="11" t="s">
        <v>32</v>
      </c>
      <c r="CS319" s="7" t="s">
        <v>32</v>
      </c>
      <c r="CT319" s="9" t="s">
        <v>32</v>
      </c>
      <c r="CU319" s="8">
        <v>4</v>
      </c>
      <c r="CV319" s="204">
        <v>9</v>
      </c>
      <c r="CW319" s="9" t="s">
        <v>32</v>
      </c>
      <c r="CX319" s="8" t="s">
        <v>32</v>
      </c>
      <c r="CY319" s="7" t="s">
        <v>32</v>
      </c>
      <c r="CZ319" s="10" t="s">
        <v>32</v>
      </c>
      <c r="DA319" s="11" t="s">
        <v>32</v>
      </c>
      <c r="DB319" s="7" t="s">
        <v>32</v>
      </c>
      <c r="DC319" s="9" t="s">
        <v>32</v>
      </c>
      <c r="DD319" s="8" t="s">
        <v>32</v>
      </c>
      <c r="DE319" s="7" t="s">
        <v>32</v>
      </c>
      <c r="DF319" s="9" t="s">
        <v>32</v>
      </c>
      <c r="DG319" s="8" t="s">
        <v>32</v>
      </c>
      <c r="DH319" s="7" t="s">
        <v>32</v>
      </c>
      <c r="DI319" s="10">
        <v>6</v>
      </c>
    </row>
    <row r="320" spans="2:113" ht="15" customHeight="1">
      <c r="B320" s="12">
        <v>0</v>
      </c>
      <c r="C320" s="13" t="s">
        <v>32</v>
      </c>
      <c r="D320" s="15" t="s">
        <v>32</v>
      </c>
      <c r="E320" s="14" t="s">
        <v>32</v>
      </c>
      <c r="F320" s="13" t="s">
        <v>32</v>
      </c>
      <c r="G320" s="15" t="s">
        <v>32</v>
      </c>
      <c r="H320" s="14" t="s">
        <v>32</v>
      </c>
      <c r="I320" s="13" t="s">
        <v>32</v>
      </c>
      <c r="J320" s="1" t="s">
        <v>32</v>
      </c>
      <c r="K320" s="12" t="s">
        <v>32</v>
      </c>
      <c r="L320" s="13" t="s">
        <v>32</v>
      </c>
      <c r="M320" s="15">
        <v>0</v>
      </c>
      <c r="N320" s="14" t="s">
        <v>32</v>
      </c>
      <c r="O320" s="13" t="s">
        <v>32</v>
      </c>
      <c r="P320" s="15" t="s">
        <v>32</v>
      </c>
      <c r="Q320" s="14" t="s">
        <v>32</v>
      </c>
      <c r="R320" s="13">
        <v>0</v>
      </c>
      <c r="S320" s="1">
        <v>0</v>
      </c>
      <c r="T320" s="12" t="s">
        <v>32</v>
      </c>
      <c r="U320" s="13" t="s">
        <v>32</v>
      </c>
      <c r="V320" s="15" t="s">
        <v>32</v>
      </c>
      <c r="W320" s="14">
        <v>0</v>
      </c>
      <c r="X320" s="212">
        <v>9</v>
      </c>
      <c r="Y320" s="15">
        <v>0</v>
      </c>
      <c r="Z320" s="14" t="s">
        <v>32</v>
      </c>
      <c r="AA320" s="13" t="s">
        <v>32</v>
      </c>
      <c r="AB320" s="1" t="s">
        <v>32</v>
      </c>
      <c r="AD320" s="12">
        <v>4</v>
      </c>
      <c r="AE320" s="13" t="s">
        <v>32</v>
      </c>
      <c r="AF320" s="15" t="s">
        <v>32</v>
      </c>
      <c r="AG320" s="14" t="s">
        <v>32</v>
      </c>
      <c r="AH320" s="13" t="s">
        <v>32</v>
      </c>
      <c r="AI320" s="15" t="s">
        <v>32</v>
      </c>
      <c r="AJ320" s="14" t="s">
        <v>32</v>
      </c>
      <c r="AK320" s="13" t="s">
        <v>32</v>
      </c>
      <c r="AL320" s="1" t="s">
        <v>32</v>
      </c>
      <c r="AM320" s="12" t="s">
        <v>32</v>
      </c>
      <c r="AN320" s="13" t="s">
        <v>32</v>
      </c>
      <c r="AO320" s="15">
        <v>3</v>
      </c>
      <c r="AP320" s="14" t="s">
        <v>32</v>
      </c>
      <c r="AQ320" s="13" t="s">
        <v>32</v>
      </c>
      <c r="AR320" s="15" t="s">
        <v>32</v>
      </c>
      <c r="AS320" s="14" t="s">
        <v>32</v>
      </c>
      <c r="AT320" s="13">
        <v>7</v>
      </c>
      <c r="AU320" s="1">
        <v>2</v>
      </c>
      <c r="AV320" s="12" t="s">
        <v>32</v>
      </c>
      <c r="AW320" s="13" t="s">
        <v>32</v>
      </c>
      <c r="AX320" s="15" t="s">
        <v>32</v>
      </c>
      <c r="AY320" s="14">
        <v>8</v>
      </c>
      <c r="AZ320" s="212">
        <v>9</v>
      </c>
      <c r="BA320" s="15">
        <v>1</v>
      </c>
      <c r="BB320" s="14" t="s">
        <v>32</v>
      </c>
      <c r="BC320" s="13" t="s">
        <v>32</v>
      </c>
      <c r="BD320" s="1" t="s">
        <v>32</v>
      </c>
      <c r="BG320" s="424">
        <v>8</v>
      </c>
      <c r="BH320" s="13" t="s">
        <v>32</v>
      </c>
      <c r="BI320" s="15" t="s">
        <v>32</v>
      </c>
      <c r="BJ320" s="14" t="s">
        <v>32</v>
      </c>
      <c r="BK320" s="13" t="s">
        <v>32</v>
      </c>
      <c r="BL320" s="15" t="s">
        <v>32</v>
      </c>
      <c r="BM320" s="14" t="s">
        <v>32</v>
      </c>
      <c r="BN320" s="13" t="s">
        <v>32</v>
      </c>
      <c r="BO320" s="1" t="s">
        <v>32</v>
      </c>
      <c r="BP320" s="12" t="s">
        <v>32</v>
      </c>
      <c r="BQ320" s="13" t="s">
        <v>32</v>
      </c>
      <c r="BR320" s="15">
        <v>0</v>
      </c>
      <c r="BS320" s="14" t="s">
        <v>32</v>
      </c>
      <c r="BT320" s="13" t="s">
        <v>32</v>
      </c>
      <c r="BU320" s="15" t="s">
        <v>32</v>
      </c>
      <c r="BV320" s="14" t="s">
        <v>32</v>
      </c>
      <c r="BW320" s="13" t="s">
        <v>32</v>
      </c>
      <c r="BX320" s="1" t="s">
        <v>32</v>
      </c>
      <c r="BY320" s="12" t="s">
        <v>32</v>
      </c>
      <c r="BZ320" s="13" t="s">
        <v>32</v>
      </c>
      <c r="CA320" s="15" t="s">
        <v>32</v>
      </c>
      <c r="CB320" s="14" t="s">
        <v>32</v>
      </c>
      <c r="CC320" s="13" t="s">
        <v>32</v>
      </c>
      <c r="CD320" s="15" t="s">
        <v>32</v>
      </c>
      <c r="CE320" s="14" t="s">
        <v>32</v>
      </c>
      <c r="CF320" s="13">
        <v>0</v>
      </c>
      <c r="CG320" s="1">
        <v>0</v>
      </c>
      <c r="CI320" s="424">
        <v>8</v>
      </c>
      <c r="CJ320" s="13" t="s">
        <v>32</v>
      </c>
      <c r="CK320" s="15" t="s">
        <v>32</v>
      </c>
      <c r="CL320" s="14" t="s">
        <v>32</v>
      </c>
      <c r="CM320" s="13" t="s">
        <v>32</v>
      </c>
      <c r="CN320" s="15" t="s">
        <v>32</v>
      </c>
      <c r="CO320" s="14" t="s">
        <v>32</v>
      </c>
      <c r="CP320" s="13" t="s">
        <v>32</v>
      </c>
      <c r="CQ320" s="1" t="s">
        <v>32</v>
      </c>
      <c r="CR320" s="12" t="s">
        <v>32</v>
      </c>
      <c r="CS320" s="13" t="s">
        <v>32</v>
      </c>
      <c r="CT320" s="15">
        <v>1</v>
      </c>
      <c r="CU320" s="14" t="s">
        <v>32</v>
      </c>
      <c r="CV320" s="13" t="s">
        <v>32</v>
      </c>
      <c r="CW320" s="15" t="s">
        <v>32</v>
      </c>
      <c r="CX320" s="14" t="s">
        <v>32</v>
      </c>
      <c r="CY320" s="13" t="s">
        <v>32</v>
      </c>
      <c r="CZ320" s="1" t="s">
        <v>32</v>
      </c>
      <c r="DA320" s="12" t="s">
        <v>32</v>
      </c>
      <c r="DB320" s="13" t="s">
        <v>32</v>
      </c>
      <c r="DC320" s="15" t="s">
        <v>32</v>
      </c>
      <c r="DD320" s="14" t="s">
        <v>32</v>
      </c>
      <c r="DE320" s="13" t="s">
        <v>32</v>
      </c>
      <c r="DF320" s="15" t="s">
        <v>32</v>
      </c>
      <c r="DG320" s="14" t="s">
        <v>32</v>
      </c>
      <c r="DH320" s="13">
        <v>5</v>
      </c>
      <c r="DI320" s="1">
        <v>4</v>
      </c>
    </row>
    <row r="321" spans="2:113" ht="15" customHeight="1">
      <c r="B321" s="16">
        <v>0</v>
      </c>
      <c r="C321" s="17" t="s">
        <v>32</v>
      </c>
      <c r="D321" s="18" t="s">
        <v>32</v>
      </c>
      <c r="E321" s="19" t="s">
        <v>32</v>
      </c>
      <c r="F321" s="17" t="s">
        <v>32</v>
      </c>
      <c r="G321" s="18" t="s">
        <v>32</v>
      </c>
      <c r="H321" s="19" t="s">
        <v>32</v>
      </c>
      <c r="I321" s="17" t="s">
        <v>32</v>
      </c>
      <c r="J321" s="20" t="s">
        <v>32</v>
      </c>
      <c r="K321" s="16" t="s">
        <v>32</v>
      </c>
      <c r="L321" s="17" t="s">
        <v>32</v>
      </c>
      <c r="M321" s="18" t="s">
        <v>32</v>
      </c>
      <c r="N321" s="210">
        <v>6</v>
      </c>
      <c r="O321" s="17" t="s">
        <v>32</v>
      </c>
      <c r="P321" s="18" t="s">
        <v>32</v>
      </c>
      <c r="Q321" s="19" t="s">
        <v>32</v>
      </c>
      <c r="R321" s="17" t="s">
        <v>32</v>
      </c>
      <c r="S321" s="20" t="s">
        <v>32</v>
      </c>
      <c r="T321" s="16" t="s">
        <v>32</v>
      </c>
      <c r="U321" s="17" t="s">
        <v>32</v>
      </c>
      <c r="V321" s="18" t="s">
        <v>32</v>
      </c>
      <c r="W321" s="19" t="s">
        <v>32</v>
      </c>
      <c r="X321" s="17" t="s">
        <v>32</v>
      </c>
      <c r="Y321" s="18" t="s">
        <v>32</v>
      </c>
      <c r="Z321" s="19" t="s">
        <v>32</v>
      </c>
      <c r="AA321" s="17" t="s">
        <v>32</v>
      </c>
      <c r="AB321" s="20" t="s">
        <v>32</v>
      </c>
      <c r="AD321" s="16">
        <v>5</v>
      </c>
      <c r="AE321" s="17" t="s">
        <v>32</v>
      </c>
      <c r="AF321" s="18" t="s">
        <v>32</v>
      </c>
      <c r="AG321" s="19" t="s">
        <v>32</v>
      </c>
      <c r="AH321" s="17" t="s">
        <v>32</v>
      </c>
      <c r="AI321" s="18" t="s">
        <v>32</v>
      </c>
      <c r="AJ321" s="19" t="s">
        <v>32</v>
      </c>
      <c r="AK321" s="17" t="s">
        <v>32</v>
      </c>
      <c r="AL321" s="20" t="s">
        <v>32</v>
      </c>
      <c r="AM321" s="16" t="s">
        <v>32</v>
      </c>
      <c r="AN321" s="17" t="s">
        <v>32</v>
      </c>
      <c r="AO321" s="18" t="s">
        <v>32</v>
      </c>
      <c r="AP321" s="210">
        <v>6</v>
      </c>
      <c r="AQ321" s="17" t="s">
        <v>32</v>
      </c>
      <c r="AR321" s="18" t="s">
        <v>32</v>
      </c>
      <c r="AS321" s="19" t="s">
        <v>32</v>
      </c>
      <c r="AT321" s="17" t="s">
        <v>32</v>
      </c>
      <c r="AU321" s="20" t="s">
        <v>32</v>
      </c>
      <c r="AV321" s="16" t="s">
        <v>32</v>
      </c>
      <c r="AW321" s="17" t="s">
        <v>32</v>
      </c>
      <c r="AX321" s="18" t="s">
        <v>32</v>
      </c>
      <c r="AY321" s="19" t="s">
        <v>32</v>
      </c>
      <c r="AZ321" s="17" t="s">
        <v>32</v>
      </c>
      <c r="BA321" s="18" t="s">
        <v>32</v>
      </c>
      <c r="BB321" s="19" t="s">
        <v>32</v>
      </c>
      <c r="BC321" s="17" t="s">
        <v>32</v>
      </c>
      <c r="BD321" s="20" t="s">
        <v>32</v>
      </c>
      <c r="BG321" s="16">
        <v>0</v>
      </c>
      <c r="BH321" s="17">
        <v>0</v>
      </c>
      <c r="BI321" s="18" t="s">
        <v>32</v>
      </c>
      <c r="BJ321" s="19" t="s">
        <v>32</v>
      </c>
      <c r="BK321" s="17" t="s">
        <v>32</v>
      </c>
      <c r="BL321" s="18" t="s">
        <v>32</v>
      </c>
      <c r="BM321" s="19" t="s">
        <v>32</v>
      </c>
      <c r="BN321" s="17" t="s">
        <v>32</v>
      </c>
      <c r="BO321" s="20" t="s">
        <v>32</v>
      </c>
      <c r="BP321" s="16" t="s">
        <v>32</v>
      </c>
      <c r="BQ321" s="17" t="s">
        <v>32</v>
      </c>
      <c r="BR321" s="18" t="s">
        <v>32</v>
      </c>
      <c r="BS321" s="19">
        <v>0</v>
      </c>
      <c r="BT321" s="17" t="s">
        <v>32</v>
      </c>
      <c r="BU321" s="18" t="s">
        <v>32</v>
      </c>
      <c r="BV321" s="19" t="s">
        <v>32</v>
      </c>
      <c r="BW321" s="17" t="s">
        <v>32</v>
      </c>
      <c r="BX321" s="20" t="s">
        <v>32</v>
      </c>
      <c r="BY321" s="16" t="s">
        <v>32</v>
      </c>
      <c r="BZ321" s="17" t="s">
        <v>32</v>
      </c>
      <c r="CA321" s="18" t="s">
        <v>32</v>
      </c>
      <c r="CB321" s="19" t="s">
        <v>32</v>
      </c>
      <c r="CC321" s="17" t="s">
        <v>32</v>
      </c>
      <c r="CD321" s="18" t="s">
        <v>32</v>
      </c>
      <c r="CE321" s="19" t="s">
        <v>32</v>
      </c>
      <c r="CF321" s="17">
        <v>0</v>
      </c>
      <c r="CG321" s="20">
        <v>0</v>
      </c>
      <c r="CI321" s="16">
        <v>9</v>
      </c>
      <c r="CJ321" s="17">
        <v>5</v>
      </c>
      <c r="CK321" s="18" t="s">
        <v>32</v>
      </c>
      <c r="CL321" s="19" t="s">
        <v>32</v>
      </c>
      <c r="CM321" s="17" t="s">
        <v>32</v>
      </c>
      <c r="CN321" s="18" t="s">
        <v>32</v>
      </c>
      <c r="CO321" s="19" t="s">
        <v>32</v>
      </c>
      <c r="CP321" s="17" t="s">
        <v>32</v>
      </c>
      <c r="CQ321" s="20" t="s">
        <v>32</v>
      </c>
      <c r="CR321" s="16" t="s">
        <v>32</v>
      </c>
      <c r="CS321" s="17" t="s">
        <v>32</v>
      </c>
      <c r="CT321" s="18" t="s">
        <v>32</v>
      </c>
      <c r="CU321" s="19">
        <v>7</v>
      </c>
      <c r="CV321" s="17" t="s">
        <v>32</v>
      </c>
      <c r="CW321" s="18" t="s">
        <v>32</v>
      </c>
      <c r="CX321" s="19" t="s">
        <v>32</v>
      </c>
      <c r="CY321" s="17" t="s">
        <v>32</v>
      </c>
      <c r="CZ321" s="20" t="s">
        <v>32</v>
      </c>
      <c r="DA321" s="16" t="s">
        <v>32</v>
      </c>
      <c r="DB321" s="17" t="s">
        <v>32</v>
      </c>
      <c r="DC321" s="18" t="s">
        <v>32</v>
      </c>
      <c r="DD321" s="19" t="s">
        <v>32</v>
      </c>
      <c r="DE321" s="17" t="s">
        <v>32</v>
      </c>
      <c r="DF321" s="18" t="s">
        <v>32</v>
      </c>
      <c r="DG321" s="19" t="s">
        <v>32</v>
      </c>
      <c r="DH321" s="17">
        <v>2</v>
      </c>
      <c r="DI321" s="20">
        <v>3</v>
      </c>
    </row>
    <row r="322" spans="2:113" ht="15" customHeight="1">
      <c r="B322" s="11" t="s">
        <v>32</v>
      </c>
      <c r="C322" s="7" t="s">
        <v>32</v>
      </c>
      <c r="D322" s="9" t="s">
        <v>32</v>
      </c>
      <c r="E322" s="8" t="s">
        <v>32</v>
      </c>
      <c r="F322" s="7" t="s">
        <v>32</v>
      </c>
      <c r="G322" s="9" t="s">
        <v>32</v>
      </c>
      <c r="H322" s="8" t="s">
        <v>32</v>
      </c>
      <c r="I322" s="7" t="s">
        <v>32</v>
      </c>
      <c r="J322" s="10" t="s">
        <v>32</v>
      </c>
      <c r="K322" s="11" t="s">
        <v>32</v>
      </c>
      <c r="L322" s="7" t="s">
        <v>32</v>
      </c>
      <c r="M322" s="9" t="s">
        <v>32</v>
      </c>
      <c r="N322" s="8" t="s">
        <v>32</v>
      </c>
      <c r="O322" s="7" t="s">
        <v>32</v>
      </c>
      <c r="P322" s="9" t="s">
        <v>32</v>
      </c>
      <c r="Q322" s="8" t="s">
        <v>32</v>
      </c>
      <c r="R322" s="7" t="s">
        <v>32</v>
      </c>
      <c r="S322" s="10" t="s">
        <v>32</v>
      </c>
      <c r="T322" s="11" t="s">
        <v>32</v>
      </c>
      <c r="U322" s="7" t="s">
        <v>32</v>
      </c>
      <c r="V322" s="9" t="s">
        <v>32</v>
      </c>
      <c r="W322" s="8" t="s">
        <v>32</v>
      </c>
      <c r="X322" s="7" t="s">
        <v>32</v>
      </c>
      <c r="Y322" s="9" t="s">
        <v>32</v>
      </c>
      <c r="Z322" s="8" t="s">
        <v>32</v>
      </c>
      <c r="AA322" s="7" t="s">
        <v>32</v>
      </c>
      <c r="AB322" s="10" t="s">
        <v>32</v>
      </c>
      <c r="AD322" s="11" t="s">
        <v>32</v>
      </c>
      <c r="AE322" s="7" t="s">
        <v>32</v>
      </c>
      <c r="AF322" s="9" t="s">
        <v>32</v>
      </c>
      <c r="AG322" s="8" t="s">
        <v>32</v>
      </c>
      <c r="AH322" s="7" t="s">
        <v>32</v>
      </c>
      <c r="AI322" s="9" t="s">
        <v>32</v>
      </c>
      <c r="AJ322" s="8" t="s">
        <v>32</v>
      </c>
      <c r="AK322" s="7" t="s">
        <v>32</v>
      </c>
      <c r="AL322" s="10" t="s">
        <v>32</v>
      </c>
      <c r="AM322" s="11" t="s">
        <v>32</v>
      </c>
      <c r="AN322" s="7" t="s">
        <v>32</v>
      </c>
      <c r="AO322" s="9" t="s">
        <v>32</v>
      </c>
      <c r="AP322" s="8" t="s">
        <v>32</v>
      </c>
      <c r="AQ322" s="7" t="s">
        <v>32</v>
      </c>
      <c r="AR322" s="9" t="s">
        <v>32</v>
      </c>
      <c r="AS322" s="8" t="s">
        <v>32</v>
      </c>
      <c r="AT322" s="7" t="s">
        <v>32</v>
      </c>
      <c r="AU322" s="10" t="s">
        <v>32</v>
      </c>
      <c r="AV322" s="11" t="s">
        <v>32</v>
      </c>
      <c r="AW322" s="7" t="s">
        <v>32</v>
      </c>
      <c r="AX322" s="9" t="s">
        <v>32</v>
      </c>
      <c r="AY322" s="8" t="s">
        <v>32</v>
      </c>
      <c r="AZ322" s="7" t="s">
        <v>32</v>
      </c>
      <c r="BA322" s="9" t="s">
        <v>32</v>
      </c>
      <c r="BB322" s="8" t="s">
        <v>32</v>
      </c>
      <c r="BC322" s="7" t="s">
        <v>32</v>
      </c>
      <c r="BD322" s="10" t="s">
        <v>32</v>
      </c>
      <c r="BG322" s="213">
        <v>6</v>
      </c>
      <c r="BH322" s="204">
        <v>3</v>
      </c>
      <c r="BI322" s="9" t="s">
        <v>32</v>
      </c>
      <c r="BJ322" s="8" t="s">
        <v>32</v>
      </c>
      <c r="BK322" s="7" t="s">
        <v>32</v>
      </c>
      <c r="BL322" s="9" t="s">
        <v>32</v>
      </c>
      <c r="BM322" s="8" t="s">
        <v>32</v>
      </c>
      <c r="BN322" s="7" t="s">
        <v>32</v>
      </c>
      <c r="BO322" s="10" t="s">
        <v>32</v>
      </c>
      <c r="BP322" s="11" t="s">
        <v>32</v>
      </c>
      <c r="BQ322" s="7" t="s">
        <v>32</v>
      </c>
      <c r="BR322" s="9" t="s">
        <v>32</v>
      </c>
      <c r="BS322" s="8" t="s">
        <v>32</v>
      </c>
      <c r="BT322" s="7">
        <v>0</v>
      </c>
      <c r="BU322" s="9">
        <v>0</v>
      </c>
      <c r="BV322" s="8" t="s">
        <v>32</v>
      </c>
      <c r="BW322" s="7" t="s">
        <v>32</v>
      </c>
      <c r="BX322" s="10" t="s">
        <v>32</v>
      </c>
      <c r="BY322" s="11" t="s">
        <v>32</v>
      </c>
      <c r="BZ322" s="7" t="s">
        <v>32</v>
      </c>
      <c r="CA322" s="9" t="s">
        <v>32</v>
      </c>
      <c r="CB322" s="8" t="s">
        <v>32</v>
      </c>
      <c r="CC322" s="7" t="s">
        <v>32</v>
      </c>
      <c r="CD322" s="9" t="s">
        <v>32</v>
      </c>
      <c r="CE322" s="8" t="s">
        <v>32</v>
      </c>
      <c r="CF322" s="7" t="s">
        <v>32</v>
      </c>
      <c r="CG322" s="214">
        <v>1</v>
      </c>
      <c r="CI322" s="213">
        <v>6</v>
      </c>
      <c r="CJ322" s="204">
        <v>3</v>
      </c>
      <c r="CK322" s="9" t="s">
        <v>32</v>
      </c>
      <c r="CL322" s="8" t="s">
        <v>32</v>
      </c>
      <c r="CM322" s="7" t="s">
        <v>32</v>
      </c>
      <c r="CN322" s="9" t="s">
        <v>32</v>
      </c>
      <c r="CO322" s="8" t="s">
        <v>32</v>
      </c>
      <c r="CP322" s="7" t="s">
        <v>32</v>
      </c>
      <c r="CQ322" s="10" t="s">
        <v>32</v>
      </c>
      <c r="CR322" s="11" t="s">
        <v>32</v>
      </c>
      <c r="CS322" s="7" t="s">
        <v>32</v>
      </c>
      <c r="CT322" s="9" t="s">
        <v>32</v>
      </c>
      <c r="CU322" s="8" t="s">
        <v>32</v>
      </c>
      <c r="CV322" s="7">
        <v>8</v>
      </c>
      <c r="CW322" s="9">
        <v>5</v>
      </c>
      <c r="CX322" s="8" t="s">
        <v>32</v>
      </c>
      <c r="CY322" s="7" t="s">
        <v>32</v>
      </c>
      <c r="CZ322" s="10" t="s">
        <v>32</v>
      </c>
      <c r="DA322" s="11" t="s">
        <v>32</v>
      </c>
      <c r="DB322" s="7" t="s">
        <v>32</v>
      </c>
      <c r="DC322" s="9" t="s">
        <v>32</v>
      </c>
      <c r="DD322" s="8" t="s">
        <v>32</v>
      </c>
      <c r="DE322" s="7" t="s">
        <v>32</v>
      </c>
      <c r="DF322" s="9" t="s">
        <v>32</v>
      </c>
      <c r="DG322" s="8" t="s">
        <v>32</v>
      </c>
      <c r="DH322" s="7" t="s">
        <v>32</v>
      </c>
      <c r="DI322" s="214">
        <v>1</v>
      </c>
    </row>
    <row r="323" spans="2:113" ht="15" customHeight="1">
      <c r="B323" s="12" t="s">
        <v>32</v>
      </c>
      <c r="C323" s="13" t="s">
        <v>32</v>
      </c>
      <c r="D323" s="15" t="s">
        <v>32</v>
      </c>
      <c r="E323" s="14" t="s">
        <v>32</v>
      </c>
      <c r="F323" s="13" t="s">
        <v>32</v>
      </c>
      <c r="G323" s="15" t="s">
        <v>32</v>
      </c>
      <c r="H323" s="14" t="s">
        <v>32</v>
      </c>
      <c r="I323" s="13" t="s">
        <v>32</v>
      </c>
      <c r="J323" s="1" t="s">
        <v>32</v>
      </c>
      <c r="K323" s="12" t="s">
        <v>32</v>
      </c>
      <c r="L323" s="13" t="s">
        <v>32</v>
      </c>
      <c r="M323" s="15" t="s">
        <v>32</v>
      </c>
      <c r="N323" s="14" t="s">
        <v>32</v>
      </c>
      <c r="O323" s="13" t="s">
        <v>32</v>
      </c>
      <c r="P323" s="15" t="s">
        <v>32</v>
      </c>
      <c r="Q323" s="14" t="s">
        <v>32</v>
      </c>
      <c r="R323" s="13" t="s">
        <v>32</v>
      </c>
      <c r="S323" s="1" t="s">
        <v>32</v>
      </c>
      <c r="T323" s="12" t="s">
        <v>32</v>
      </c>
      <c r="U323" s="13" t="s">
        <v>32</v>
      </c>
      <c r="V323" s="15" t="s">
        <v>32</v>
      </c>
      <c r="W323" s="14" t="s">
        <v>32</v>
      </c>
      <c r="X323" s="13" t="s">
        <v>32</v>
      </c>
      <c r="Y323" s="15" t="s">
        <v>32</v>
      </c>
      <c r="Z323" s="14" t="s">
        <v>32</v>
      </c>
      <c r="AA323" s="13" t="s">
        <v>32</v>
      </c>
      <c r="AB323" s="1" t="s">
        <v>32</v>
      </c>
      <c r="AD323" s="12" t="s">
        <v>32</v>
      </c>
      <c r="AE323" s="13" t="s">
        <v>32</v>
      </c>
      <c r="AF323" s="15" t="s">
        <v>32</v>
      </c>
      <c r="AG323" s="14" t="s">
        <v>32</v>
      </c>
      <c r="AH323" s="13" t="s">
        <v>32</v>
      </c>
      <c r="AI323" s="15" t="s">
        <v>32</v>
      </c>
      <c r="AJ323" s="14" t="s">
        <v>32</v>
      </c>
      <c r="AK323" s="13" t="s">
        <v>32</v>
      </c>
      <c r="AL323" s="1" t="s">
        <v>32</v>
      </c>
      <c r="AM323" s="12" t="s">
        <v>32</v>
      </c>
      <c r="AN323" s="13" t="s">
        <v>32</v>
      </c>
      <c r="AO323" s="15" t="s">
        <v>32</v>
      </c>
      <c r="AP323" s="14" t="s">
        <v>32</v>
      </c>
      <c r="AQ323" s="13" t="s">
        <v>32</v>
      </c>
      <c r="AR323" s="15" t="s">
        <v>32</v>
      </c>
      <c r="AS323" s="14" t="s">
        <v>32</v>
      </c>
      <c r="AT323" s="13" t="s">
        <v>32</v>
      </c>
      <c r="AU323" s="1" t="s">
        <v>32</v>
      </c>
      <c r="AV323" s="12" t="s">
        <v>32</v>
      </c>
      <c r="AW323" s="13" t="s">
        <v>32</v>
      </c>
      <c r="AX323" s="15" t="s">
        <v>32</v>
      </c>
      <c r="AY323" s="14" t="s">
        <v>32</v>
      </c>
      <c r="AZ323" s="13" t="s">
        <v>32</v>
      </c>
      <c r="BA323" s="15" t="s">
        <v>32</v>
      </c>
      <c r="BB323" s="14" t="s">
        <v>32</v>
      </c>
      <c r="BC323" s="13" t="s">
        <v>32</v>
      </c>
      <c r="BD323" s="1" t="s">
        <v>32</v>
      </c>
      <c r="BG323" s="12" t="s">
        <v>32</v>
      </c>
      <c r="BH323" s="13" t="s">
        <v>32</v>
      </c>
      <c r="BI323" s="15" t="s">
        <v>32</v>
      </c>
      <c r="BJ323" s="14" t="s">
        <v>32</v>
      </c>
      <c r="BK323" s="13" t="s">
        <v>32</v>
      </c>
      <c r="BL323" s="15" t="s">
        <v>32</v>
      </c>
      <c r="BM323" s="14" t="s">
        <v>32</v>
      </c>
      <c r="BN323" s="13" t="s">
        <v>32</v>
      </c>
      <c r="BO323" s="1" t="s">
        <v>32</v>
      </c>
      <c r="BP323" s="12" t="s">
        <v>32</v>
      </c>
      <c r="BQ323" s="13" t="s">
        <v>32</v>
      </c>
      <c r="BR323" s="15" t="s">
        <v>32</v>
      </c>
      <c r="BS323" s="14" t="s">
        <v>32</v>
      </c>
      <c r="BT323" s="13" t="s">
        <v>32</v>
      </c>
      <c r="BU323" s="15" t="s">
        <v>32</v>
      </c>
      <c r="BV323" s="14" t="s">
        <v>32</v>
      </c>
      <c r="BW323" s="13" t="s">
        <v>32</v>
      </c>
      <c r="BX323" s="1" t="s">
        <v>32</v>
      </c>
      <c r="BY323" s="12" t="s">
        <v>32</v>
      </c>
      <c r="BZ323" s="13" t="s">
        <v>32</v>
      </c>
      <c r="CA323" s="15" t="s">
        <v>32</v>
      </c>
      <c r="CB323" s="14" t="s">
        <v>32</v>
      </c>
      <c r="CC323" s="13" t="s">
        <v>32</v>
      </c>
      <c r="CD323" s="15" t="s">
        <v>32</v>
      </c>
      <c r="CE323" s="14" t="s">
        <v>32</v>
      </c>
      <c r="CF323" s="13" t="s">
        <v>32</v>
      </c>
      <c r="CG323" s="1">
        <v>0</v>
      </c>
      <c r="CI323" s="12" t="s">
        <v>32</v>
      </c>
      <c r="CJ323" s="13" t="s">
        <v>32</v>
      </c>
      <c r="CK323" s="15" t="s">
        <v>32</v>
      </c>
      <c r="CL323" s="14" t="s">
        <v>32</v>
      </c>
      <c r="CM323" s="13" t="s">
        <v>32</v>
      </c>
      <c r="CN323" s="15" t="s">
        <v>32</v>
      </c>
      <c r="CO323" s="14" t="s">
        <v>32</v>
      </c>
      <c r="CP323" s="13" t="s">
        <v>32</v>
      </c>
      <c r="CQ323" s="1" t="s">
        <v>32</v>
      </c>
      <c r="CR323" s="12" t="s">
        <v>32</v>
      </c>
      <c r="CS323" s="13" t="s">
        <v>32</v>
      </c>
      <c r="CT323" s="15" t="s">
        <v>32</v>
      </c>
      <c r="CU323" s="14" t="s">
        <v>32</v>
      </c>
      <c r="CV323" s="13" t="s">
        <v>32</v>
      </c>
      <c r="CW323" s="15" t="s">
        <v>32</v>
      </c>
      <c r="CX323" s="14" t="s">
        <v>32</v>
      </c>
      <c r="CY323" s="13" t="s">
        <v>32</v>
      </c>
      <c r="CZ323" s="1" t="s">
        <v>32</v>
      </c>
      <c r="DA323" s="12" t="s">
        <v>32</v>
      </c>
      <c r="DB323" s="13" t="s">
        <v>32</v>
      </c>
      <c r="DC323" s="15" t="s">
        <v>32</v>
      </c>
      <c r="DD323" s="14" t="s">
        <v>32</v>
      </c>
      <c r="DE323" s="13" t="s">
        <v>32</v>
      </c>
      <c r="DF323" s="15" t="s">
        <v>32</v>
      </c>
      <c r="DG323" s="14" t="s">
        <v>32</v>
      </c>
      <c r="DH323" s="13" t="s">
        <v>32</v>
      </c>
      <c r="DI323" s="1">
        <v>9</v>
      </c>
    </row>
    <row r="324" spans="2:113" ht="15" customHeight="1">
      <c r="B324" s="16" t="s">
        <v>32</v>
      </c>
      <c r="C324" s="17" t="s">
        <v>32</v>
      </c>
      <c r="D324" s="18" t="s">
        <v>32</v>
      </c>
      <c r="E324" s="19" t="s">
        <v>32</v>
      </c>
      <c r="F324" s="17" t="s">
        <v>32</v>
      </c>
      <c r="G324" s="18" t="s">
        <v>32</v>
      </c>
      <c r="H324" s="19" t="s">
        <v>32</v>
      </c>
      <c r="I324" s="17" t="s">
        <v>32</v>
      </c>
      <c r="J324" s="20" t="s">
        <v>32</v>
      </c>
      <c r="K324" s="16" t="s">
        <v>32</v>
      </c>
      <c r="L324" s="17" t="s">
        <v>32</v>
      </c>
      <c r="M324" s="18" t="s">
        <v>32</v>
      </c>
      <c r="N324" s="19" t="s">
        <v>32</v>
      </c>
      <c r="O324" s="17" t="s">
        <v>32</v>
      </c>
      <c r="P324" s="18" t="s">
        <v>32</v>
      </c>
      <c r="Q324" s="19" t="s">
        <v>32</v>
      </c>
      <c r="R324" s="17" t="s">
        <v>32</v>
      </c>
      <c r="S324" s="20" t="s">
        <v>32</v>
      </c>
      <c r="T324" s="16" t="s">
        <v>32</v>
      </c>
      <c r="U324" s="17" t="s">
        <v>32</v>
      </c>
      <c r="V324" s="18" t="s">
        <v>32</v>
      </c>
      <c r="W324" s="19" t="s">
        <v>32</v>
      </c>
      <c r="X324" s="17" t="s">
        <v>32</v>
      </c>
      <c r="Y324" s="18" t="s">
        <v>32</v>
      </c>
      <c r="Z324" s="19" t="s">
        <v>32</v>
      </c>
      <c r="AA324" s="17" t="s">
        <v>32</v>
      </c>
      <c r="AB324" s="20" t="s">
        <v>32</v>
      </c>
      <c r="AD324" s="16" t="s">
        <v>32</v>
      </c>
      <c r="AE324" s="17" t="s">
        <v>32</v>
      </c>
      <c r="AF324" s="18" t="s">
        <v>32</v>
      </c>
      <c r="AG324" s="19" t="s">
        <v>32</v>
      </c>
      <c r="AH324" s="17" t="s">
        <v>32</v>
      </c>
      <c r="AI324" s="18" t="s">
        <v>32</v>
      </c>
      <c r="AJ324" s="19" t="s">
        <v>32</v>
      </c>
      <c r="AK324" s="17" t="s">
        <v>32</v>
      </c>
      <c r="AL324" s="20" t="s">
        <v>32</v>
      </c>
      <c r="AM324" s="16" t="s">
        <v>32</v>
      </c>
      <c r="AN324" s="17" t="s">
        <v>32</v>
      </c>
      <c r="AO324" s="18" t="s">
        <v>32</v>
      </c>
      <c r="AP324" s="19" t="s">
        <v>32</v>
      </c>
      <c r="AQ324" s="17" t="s">
        <v>32</v>
      </c>
      <c r="AR324" s="18" t="s">
        <v>32</v>
      </c>
      <c r="AS324" s="19" t="s">
        <v>32</v>
      </c>
      <c r="AT324" s="17" t="s">
        <v>32</v>
      </c>
      <c r="AU324" s="20" t="s">
        <v>32</v>
      </c>
      <c r="AV324" s="16" t="s">
        <v>32</v>
      </c>
      <c r="AW324" s="17" t="s">
        <v>32</v>
      </c>
      <c r="AX324" s="18" t="s">
        <v>32</v>
      </c>
      <c r="AY324" s="19" t="s">
        <v>32</v>
      </c>
      <c r="AZ324" s="17" t="s">
        <v>32</v>
      </c>
      <c r="BA324" s="18" t="s">
        <v>32</v>
      </c>
      <c r="BB324" s="19" t="s">
        <v>32</v>
      </c>
      <c r="BC324" s="17" t="s">
        <v>32</v>
      </c>
      <c r="BD324" s="20" t="s">
        <v>32</v>
      </c>
      <c r="BG324" s="16" t="s">
        <v>32</v>
      </c>
      <c r="BH324" s="17" t="s">
        <v>32</v>
      </c>
      <c r="BI324" s="18" t="s">
        <v>32</v>
      </c>
      <c r="BJ324" s="19" t="s">
        <v>32</v>
      </c>
      <c r="BK324" s="17" t="s">
        <v>32</v>
      </c>
      <c r="BL324" s="18" t="s">
        <v>32</v>
      </c>
      <c r="BM324" s="19" t="s">
        <v>32</v>
      </c>
      <c r="BN324" s="17" t="s">
        <v>32</v>
      </c>
      <c r="BO324" s="20" t="s">
        <v>32</v>
      </c>
      <c r="BP324" s="16" t="s">
        <v>32</v>
      </c>
      <c r="BQ324" s="17" t="s">
        <v>32</v>
      </c>
      <c r="BR324" s="18" t="s">
        <v>32</v>
      </c>
      <c r="BS324" s="19" t="s">
        <v>32</v>
      </c>
      <c r="BT324" s="17" t="s">
        <v>32</v>
      </c>
      <c r="BU324" s="18" t="s">
        <v>32</v>
      </c>
      <c r="BV324" s="19" t="s">
        <v>32</v>
      </c>
      <c r="BW324" s="17" t="s">
        <v>32</v>
      </c>
      <c r="BX324" s="20" t="s">
        <v>32</v>
      </c>
      <c r="BY324" s="16" t="s">
        <v>32</v>
      </c>
      <c r="BZ324" s="17" t="s">
        <v>32</v>
      </c>
      <c r="CA324" s="18" t="s">
        <v>32</v>
      </c>
      <c r="CB324" s="19" t="s">
        <v>32</v>
      </c>
      <c r="CC324" s="17" t="s">
        <v>32</v>
      </c>
      <c r="CD324" s="18" t="s">
        <v>32</v>
      </c>
      <c r="CE324" s="19" t="s">
        <v>32</v>
      </c>
      <c r="CF324" s="17" t="s">
        <v>32</v>
      </c>
      <c r="CG324" s="427">
        <v>7</v>
      </c>
      <c r="CI324" s="16" t="s">
        <v>32</v>
      </c>
      <c r="CJ324" s="17" t="s">
        <v>32</v>
      </c>
      <c r="CK324" s="18" t="s">
        <v>32</v>
      </c>
      <c r="CL324" s="19" t="s">
        <v>32</v>
      </c>
      <c r="CM324" s="17" t="s">
        <v>32</v>
      </c>
      <c r="CN324" s="18" t="s">
        <v>32</v>
      </c>
      <c r="CO324" s="19" t="s">
        <v>32</v>
      </c>
      <c r="CP324" s="17" t="s">
        <v>32</v>
      </c>
      <c r="CQ324" s="20" t="s">
        <v>32</v>
      </c>
      <c r="CR324" s="16" t="s">
        <v>32</v>
      </c>
      <c r="CS324" s="17" t="s">
        <v>32</v>
      </c>
      <c r="CT324" s="18" t="s">
        <v>32</v>
      </c>
      <c r="CU324" s="19" t="s">
        <v>32</v>
      </c>
      <c r="CV324" s="17" t="s">
        <v>32</v>
      </c>
      <c r="CW324" s="18" t="s">
        <v>32</v>
      </c>
      <c r="CX324" s="19" t="s">
        <v>32</v>
      </c>
      <c r="CY324" s="17" t="s">
        <v>32</v>
      </c>
      <c r="CZ324" s="20" t="s">
        <v>32</v>
      </c>
      <c r="DA324" s="16" t="s">
        <v>32</v>
      </c>
      <c r="DB324" s="17" t="s">
        <v>32</v>
      </c>
      <c r="DC324" s="18" t="s">
        <v>32</v>
      </c>
      <c r="DD324" s="19" t="s">
        <v>32</v>
      </c>
      <c r="DE324" s="17" t="s">
        <v>32</v>
      </c>
      <c r="DF324" s="18" t="s">
        <v>32</v>
      </c>
      <c r="DG324" s="19" t="s">
        <v>32</v>
      </c>
      <c r="DH324" s="17" t="s">
        <v>32</v>
      </c>
      <c r="DI324" s="427">
        <v>7</v>
      </c>
    </row>
    <row r="325" spans="2:113" ht="15" customHeight="1">
      <c r="B325" s="11" t="s">
        <v>32</v>
      </c>
      <c r="C325" s="7" t="s">
        <v>32</v>
      </c>
      <c r="D325" s="9" t="s">
        <v>32</v>
      </c>
      <c r="E325" s="8" t="s">
        <v>32</v>
      </c>
      <c r="F325" s="7" t="s">
        <v>32</v>
      </c>
      <c r="G325" s="9" t="s">
        <v>32</v>
      </c>
      <c r="H325" s="8" t="s">
        <v>32</v>
      </c>
      <c r="I325" s="7" t="s">
        <v>32</v>
      </c>
      <c r="J325" s="10" t="s">
        <v>32</v>
      </c>
      <c r="K325" s="11" t="s">
        <v>32</v>
      </c>
      <c r="L325" s="7" t="s">
        <v>32</v>
      </c>
      <c r="M325" s="9" t="s">
        <v>32</v>
      </c>
      <c r="N325" s="8" t="s">
        <v>32</v>
      </c>
      <c r="O325" s="7" t="s">
        <v>32</v>
      </c>
      <c r="P325" s="9" t="s">
        <v>32</v>
      </c>
      <c r="Q325" s="8" t="s">
        <v>32</v>
      </c>
      <c r="R325" s="7" t="s">
        <v>32</v>
      </c>
      <c r="S325" s="10" t="s">
        <v>32</v>
      </c>
      <c r="T325" s="11" t="s">
        <v>32</v>
      </c>
      <c r="U325" s="7" t="s">
        <v>32</v>
      </c>
      <c r="V325" s="9" t="s">
        <v>32</v>
      </c>
      <c r="W325" s="8" t="s">
        <v>32</v>
      </c>
      <c r="X325" s="7" t="s">
        <v>32</v>
      </c>
      <c r="Y325" s="9" t="s">
        <v>32</v>
      </c>
      <c r="Z325" s="8" t="s">
        <v>32</v>
      </c>
      <c r="AA325" s="7" t="s">
        <v>32</v>
      </c>
      <c r="AB325" s="10" t="s">
        <v>32</v>
      </c>
      <c r="AD325" s="11" t="s">
        <v>32</v>
      </c>
      <c r="AE325" s="7" t="s">
        <v>32</v>
      </c>
      <c r="AF325" s="9" t="s">
        <v>32</v>
      </c>
      <c r="AG325" s="8" t="s">
        <v>32</v>
      </c>
      <c r="AH325" s="7" t="s">
        <v>32</v>
      </c>
      <c r="AI325" s="9" t="s">
        <v>32</v>
      </c>
      <c r="AJ325" s="8" t="s">
        <v>32</v>
      </c>
      <c r="AK325" s="7" t="s">
        <v>32</v>
      </c>
      <c r="AL325" s="10" t="s">
        <v>32</v>
      </c>
      <c r="AM325" s="11" t="s">
        <v>32</v>
      </c>
      <c r="AN325" s="7" t="s">
        <v>32</v>
      </c>
      <c r="AO325" s="9" t="s">
        <v>32</v>
      </c>
      <c r="AP325" s="8" t="s">
        <v>32</v>
      </c>
      <c r="AQ325" s="7" t="s">
        <v>32</v>
      </c>
      <c r="AR325" s="9" t="s">
        <v>32</v>
      </c>
      <c r="AS325" s="8" t="s">
        <v>32</v>
      </c>
      <c r="AT325" s="7" t="s">
        <v>32</v>
      </c>
      <c r="AU325" s="10" t="s">
        <v>32</v>
      </c>
      <c r="AV325" s="11" t="s">
        <v>32</v>
      </c>
      <c r="AW325" s="7" t="s">
        <v>32</v>
      </c>
      <c r="AX325" s="9" t="s">
        <v>32</v>
      </c>
      <c r="AY325" s="8" t="s">
        <v>32</v>
      </c>
      <c r="AZ325" s="7" t="s">
        <v>32</v>
      </c>
      <c r="BA325" s="9" t="s">
        <v>32</v>
      </c>
      <c r="BB325" s="8" t="s">
        <v>32</v>
      </c>
      <c r="BC325" s="7" t="s">
        <v>32</v>
      </c>
      <c r="BD325" s="10" t="s">
        <v>32</v>
      </c>
      <c r="BG325" s="11" t="s">
        <v>32</v>
      </c>
      <c r="BH325" s="7" t="s">
        <v>32</v>
      </c>
      <c r="BI325" s="9" t="s">
        <v>32</v>
      </c>
      <c r="BJ325" s="8" t="s">
        <v>32</v>
      </c>
      <c r="BK325" s="7" t="s">
        <v>32</v>
      </c>
      <c r="BL325" s="9" t="s">
        <v>32</v>
      </c>
      <c r="BM325" s="8" t="s">
        <v>32</v>
      </c>
      <c r="BN325" s="7" t="s">
        <v>32</v>
      </c>
      <c r="BO325" s="10" t="s">
        <v>32</v>
      </c>
      <c r="BP325" s="11" t="s">
        <v>32</v>
      </c>
      <c r="BQ325" s="7" t="s">
        <v>32</v>
      </c>
      <c r="BR325" s="9" t="s">
        <v>32</v>
      </c>
      <c r="BS325" s="8" t="s">
        <v>32</v>
      </c>
      <c r="BT325" s="7" t="s">
        <v>32</v>
      </c>
      <c r="BU325" s="9" t="s">
        <v>32</v>
      </c>
      <c r="BV325" s="8" t="s">
        <v>32</v>
      </c>
      <c r="BW325" s="7" t="s">
        <v>32</v>
      </c>
      <c r="BX325" s="10" t="s">
        <v>32</v>
      </c>
      <c r="BY325" s="11" t="s">
        <v>32</v>
      </c>
      <c r="BZ325" s="7" t="s">
        <v>32</v>
      </c>
      <c r="CA325" s="9" t="s">
        <v>32</v>
      </c>
      <c r="CB325" s="8" t="s">
        <v>32</v>
      </c>
      <c r="CC325" s="7" t="s">
        <v>32</v>
      </c>
      <c r="CD325" s="9" t="s">
        <v>32</v>
      </c>
      <c r="CE325" s="8" t="s">
        <v>32</v>
      </c>
      <c r="CF325" s="7" t="s">
        <v>32</v>
      </c>
      <c r="CG325" s="10" t="s">
        <v>32</v>
      </c>
      <c r="CI325" s="11" t="s">
        <v>32</v>
      </c>
      <c r="CJ325" s="7" t="s">
        <v>32</v>
      </c>
      <c r="CK325" s="9" t="s">
        <v>32</v>
      </c>
      <c r="CL325" s="8" t="s">
        <v>32</v>
      </c>
      <c r="CM325" s="7" t="s">
        <v>32</v>
      </c>
      <c r="CN325" s="9" t="s">
        <v>32</v>
      </c>
      <c r="CO325" s="8" t="s">
        <v>32</v>
      </c>
      <c r="CP325" s="7" t="s">
        <v>32</v>
      </c>
      <c r="CQ325" s="10" t="s">
        <v>32</v>
      </c>
      <c r="CR325" s="11" t="s">
        <v>32</v>
      </c>
      <c r="CS325" s="7" t="s">
        <v>32</v>
      </c>
      <c r="CT325" s="9" t="s">
        <v>32</v>
      </c>
      <c r="CU325" s="8" t="s">
        <v>32</v>
      </c>
      <c r="CV325" s="7" t="s">
        <v>32</v>
      </c>
      <c r="CW325" s="9" t="s">
        <v>32</v>
      </c>
      <c r="CX325" s="8" t="s">
        <v>32</v>
      </c>
      <c r="CY325" s="7" t="s">
        <v>32</v>
      </c>
      <c r="CZ325" s="10" t="s">
        <v>32</v>
      </c>
      <c r="DA325" s="11" t="s">
        <v>32</v>
      </c>
      <c r="DB325" s="7" t="s">
        <v>32</v>
      </c>
      <c r="DC325" s="9" t="s">
        <v>32</v>
      </c>
      <c r="DD325" s="8" t="s">
        <v>32</v>
      </c>
      <c r="DE325" s="7" t="s">
        <v>32</v>
      </c>
      <c r="DF325" s="9" t="s">
        <v>32</v>
      </c>
      <c r="DG325" s="8" t="s">
        <v>32</v>
      </c>
      <c r="DH325" s="7" t="s">
        <v>32</v>
      </c>
      <c r="DI325" s="10" t="s">
        <v>32</v>
      </c>
    </row>
    <row r="326" spans="2:113" ht="15" customHeight="1" thickBot="1">
      <c r="B326" s="21" t="s">
        <v>32</v>
      </c>
      <c r="C326" s="22" t="s">
        <v>32</v>
      </c>
      <c r="D326" s="23" t="s">
        <v>32</v>
      </c>
      <c r="E326" s="24" t="s">
        <v>32</v>
      </c>
      <c r="F326" s="22" t="s">
        <v>32</v>
      </c>
      <c r="G326" s="23" t="s">
        <v>32</v>
      </c>
      <c r="H326" s="24" t="s">
        <v>32</v>
      </c>
      <c r="I326" s="22" t="s">
        <v>32</v>
      </c>
      <c r="J326" s="25" t="s">
        <v>32</v>
      </c>
      <c r="K326" s="21" t="s">
        <v>32</v>
      </c>
      <c r="L326" s="22" t="s">
        <v>32</v>
      </c>
      <c r="M326" s="23" t="s">
        <v>32</v>
      </c>
      <c r="N326" s="24" t="s">
        <v>32</v>
      </c>
      <c r="O326" s="22" t="s">
        <v>32</v>
      </c>
      <c r="P326" s="23" t="s">
        <v>32</v>
      </c>
      <c r="Q326" s="24" t="s">
        <v>32</v>
      </c>
      <c r="R326" s="22" t="s">
        <v>32</v>
      </c>
      <c r="S326" s="25" t="s">
        <v>32</v>
      </c>
      <c r="T326" s="21" t="s">
        <v>32</v>
      </c>
      <c r="U326" s="22" t="s">
        <v>32</v>
      </c>
      <c r="V326" s="23" t="s">
        <v>32</v>
      </c>
      <c r="W326" s="24" t="s">
        <v>32</v>
      </c>
      <c r="X326" s="22" t="s">
        <v>32</v>
      </c>
      <c r="Y326" s="23" t="s">
        <v>32</v>
      </c>
      <c r="Z326" s="24" t="s">
        <v>32</v>
      </c>
      <c r="AA326" s="22" t="s">
        <v>32</v>
      </c>
      <c r="AB326" s="25" t="s">
        <v>32</v>
      </c>
      <c r="AD326" s="21" t="s">
        <v>32</v>
      </c>
      <c r="AE326" s="22" t="s">
        <v>32</v>
      </c>
      <c r="AF326" s="23" t="s">
        <v>32</v>
      </c>
      <c r="AG326" s="24" t="s">
        <v>32</v>
      </c>
      <c r="AH326" s="22" t="s">
        <v>32</v>
      </c>
      <c r="AI326" s="23" t="s">
        <v>32</v>
      </c>
      <c r="AJ326" s="24" t="s">
        <v>32</v>
      </c>
      <c r="AK326" s="22" t="s">
        <v>32</v>
      </c>
      <c r="AL326" s="25" t="s">
        <v>32</v>
      </c>
      <c r="AM326" s="21" t="s">
        <v>32</v>
      </c>
      <c r="AN326" s="22" t="s">
        <v>32</v>
      </c>
      <c r="AO326" s="23" t="s">
        <v>32</v>
      </c>
      <c r="AP326" s="24" t="s">
        <v>32</v>
      </c>
      <c r="AQ326" s="22" t="s">
        <v>32</v>
      </c>
      <c r="AR326" s="23" t="s">
        <v>32</v>
      </c>
      <c r="AS326" s="24" t="s">
        <v>32</v>
      </c>
      <c r="AT326" s="22" t="s">
        <v>32</v>
      </c>
      <c r="AU326" s="25" t="s">
        <v>32</v>
      </c>
      <c r="AV326" s="21" t="s">
        <v>32</v>
      </c>
      <c r="AW326" s="22" t="s">
        <v>32</v>
      </c>
      <c r="AX326" s="23" t="s">
        <v>32</v>
      </c>
      <c r="AY326" s="24" t="s">
        <v>32</v>
      </c>
      <c r="AZ326" s="22" t="s">
        <v>32</v>
      </c>
      <c r="BA326" s="23" t="s">
        <v>32</v>
      </c>
      <c r="BB326" s="24" t="s">
        <v>32</v>
      </c>
      <c r="BC326" s="22" t="s">
        <v>32</v>
      </c>
      <c r="BD326" s="25" t="s">
        <v>32</v>
      </c>
      <c r="BG326" s="21" t="s">
        <v>32</v>
      </c>
      <c r="BH326" s="22" t="s">
        <v>32</v>
      </c>
      <c r="BI326" s="23" t="s">
        <v>32</v>
      </c>
      <c r="BJ326" s="24" t="s">
        <v>32</v>
      </c>
      <c r="BK326" s="22" t="s">
        <v>32</v>
      </c>
      <c r="BL326" s="23" t="s">
        <v>32</v>
      </c>
      <c r="BM326" s="24" t="s">
        <v>32</v>
      </c>
      <c r="BN326" s="22" t="s">
        <v>32</v>
      </c>
      <c r="BO326" s="25" t="s">
        <v>32</v>
      </c>
      <c r="BP326" s="21" t="s">
        <v>32</v>
      </c>
      <c r="BQ326" s="22" t="s">
        <v>32</v>
      </c>
      <c r="BR326" s="23" t="s">
        <v>32</v>
      </c>
      <c r="BS326" s="24" t="s">
        <v>32</v>
      </c>
      <c r="BT326" s="22" t="s">
        <v>32</v>
      </c>
      <c r="BU326" s="23" t="s">
        <v>32</v>
      </c>
      <c r="BV326" s="24" t="s">
        <v>32</v>
      </c>
      <c r="BW326" s="22" t="s">
        <v>32</v>
      </c>
      <c r="BX326" s="25" t="s">
        <v>32</v>
      </c>
      <c r="BY326" s="21" t="s">
        <v>32</v>
      </c>
      <c r="BZ326" s="22" t="s">
        <v>32</v>
      </c>
      <c r="CA326" s="23" t="s">
        <v>32</v>
      </c>
      <c r="CB326" s="24" t="s">
        <v>32</v>
      </c>
      <c r="CC326" s="22" t="s">
        <v>32</v>
      </c>
      <c r="CD326" s="23" t="s">
        <v>32</v>
      </c>
      <c r="CE326" s="24" t="s">
        <v>32</v>
      </c>
      <c r="CF326" s="22" t="s">
        <v>32</v>
      </c>
      <c r="CG326" s="25" t="s">
        <v>32</v>
      </c>
      <c r="CI326" s="21" t="s">
        <v>32</v>
      </c>
      <c r="CJ326" s="22" t="s">
        <v>32</v>
      </c>
      <c r="CK326" s="23" t="s">
        <v>32</v>
      </c>
      <c r="CL326" s="24" t="s">
        <v>32</v>
      </c>
      <c r="CM326" s="22" t="s">
        <v>32</v>
      </c>
      <c r="CN326" s="23" t="s">
        <v>32</v>
      </c>
      <c r="CO326" s="24" t="s">
        <v>32</v>
      </c>
      <c r="CP326" s="22" t="s">
        <v>32</v>
      </c>
      <c r="CQ326" s="25" t="s">
        <v>32</v>
      </c>
      <c r="CR326" s="21" t="s">
        <v>32</v>
      </c>
      <c r="CS326" s="22" t="s">
        <v>32</v>
      </c>
      <c r="CT326" s="23" t="s">
        <v>32</v>
      </c>
      <c r="CU326" s="24" t="s">
        <v>32</v>
      </c>
      <c r="CV326" s="22" t="s">
        <v>32</v>
      </c>
      <c r="CW326" s="23" t="s">
        <v>32</v>
      </c>
      <c r="CX326" s="24" t="s">
        <v>32</v>
      </c>
      <c r="CY326" s="22" t="s">
        <v>32</v>
      </c>
      <c r="CZ326" s="25" t="s">
        <v>32</v>
      </c>
      <c r="DA326" s="21" t="s">
        <v>32</v>
      </c>
      <c r="DB326" s="22" t="s">
        <v>32</v>
      </c>
      <c r="DC326" s="23" t="s">
        <v>32</v>
      </c>
      <c r="DD326" s="24" t="s">
        <v>32</v>
      </c>
      <c r="DE326" s="22" t="s">
        <v>32</v>
      </c>
      <c r="DF326" s="23" t="s">
        <v>32</v>
      </c>
      <c r="DG326" s="24" t="s">
        <v>32</v>
      </c>
      <c r="DH326" s="22" t="s">
        <v>32</v>
      </c>
      <c r="DI326" s="25" t="s">
        <v>32</v>
      </c>
    </row>
    <row r="327" spans="2:113" ht="15" customHeight="1">
      <c r="B327" s="2" t="s">
        <v>32</v>
      </c>
      <c r="C327" s="5" t="s">
        <v>32</v>
      </c>
      <c r="D327" s="3" t="s">
        <v>32</v>
      </c>
      <c r="E327" s="4" t="s">
        <v>32</v>
      </c>
      <c r="F327" s="5" t="s">
        <v>32</v>
      </c>
      <c r="G327" s="3" t="s">
        <v>32</v>
      </c>
      <c r="H327" s="4" t="s">
        <v>32</v>
      </c>
      <c r="I327" s="5" t="s">
        <v>32</v>
      </c>
      <c r="J327" s="6" t="s">
        <v>32</v>
      </c>
      <c r="K327" s="2" t="s">
        <v>32</v>
      </c>
      <c r="L327" s="5" t="s">
        <v>32</v>
      </c>
      <c r="M327" s="3" t="s">
        <v>32</v>
      </c>
      <c r="N327" s="4" t="s">
        <v>32</v>
      </c>
      <c r="O327" s="5" t="s">
        <v>32</v>
      </c>
      <c r="P327" s="3" t="s">
        <v>32</v>
      </c>
      <c r="Q327" s="4" t="s">
        <v>32</v>
      </c>
      <c r="R327" s="5" t="s">
        <v>32</v>
      </c>
      <c r="S327" s="6" t="s">
        <v>32</v>
      </c>
      <c r="T327" s="2" t="s">
        <v>32</v>
      </c>
      <c r="U327" s="5" t="s">
        <v>32</v>
      </c>
      <c r="V327" s="3" t="s">
        <v>32</v>
      </c>
      <c r="W327" s="4" t="s">
        <v>32</v>
      </c>
      <c r="X327" s="5" t="s">
        <v>32</v>
      </c>
      <c r="Y327" s="3" t="s">
        <v>32</v>
      </c>
      <c r="Z327" s="4" t="s">
        <v>32</v>
      </c>
      <c r="AA327" s="5" t="s">
        <v>32</v>
      </c>
      <c r="AB327" s="6" t="s">
        <v>32</v>
      </c>
      <c r="AD327" s="2" t="s">
        <v>32</v>
      </c>
      <c r="AE327" s="5" t="s">
        <v>32</v>
      </c>
      <c r="AF327" s="3" t="s">
        <v>32</v>
      </c>
      <c r="AG327" s="4" t="s">
        <v>32</v>
      </c>
      <c r="AH327" s="5" t="s">
        <v>32</v>
      </c>
      <c r="AI327" s="3" t="s">
        <v>32</v>
      </c>
      <c r="AJ327" s="4" t="s">
        <v>32</v>
      </c>
      <c r="AK327" s="5" t="s">
        <v>32</v>
      </c>
      <c r="AL327" s="6" t="s">
        <v>32</v>
      </c>
      <c r="AM327" s="2" t="s">
        <v>32</v>
      </c>
      <c r="AN327" s="5" t="s">
        <v>32</v>
      </c>
      <c r="AO327" s="3" t="s">
        <v>32</v>
      </c>
      <c r="AP327" s="4" t="s">
        <v>32</v>
      </c>
      <c r="AQ327" s="5" t="s">
        <v>32</v>
      </c>
      <c r="AR327" s="3" t="s">
        <v>32</v>
      </c>
      <c r="AS327" s="4" t="s">
        <v>32</v>
      </c>
      <c r="AT327" s="5" t="s">
        <v>32</v>
      </c>
      <c r="AU327" s="6" t="s">
        <v>32</v>
      </c>
      <c r="AV327" s="2" t="s">
        <v>32</v>
      </c>
      <c r="AW327" s="5" t="s">
        <v>32</v>
      </c>
      <c r="AX327" s="3" t="s">
        <v>32</v>
      </c>
      <c r="AY327" s="4" t="s">
        <v>32</v>
      </c>
      <c r="AZ327" s="5" t="s">
        <v>32</v>
      </c>
      <c r="BA327" s="3" t="s">
        <v>32</v>
      </c>
      <c r="BB327" s="4" t="s">
        <v>32</v>
      </c>
      <c r="BC327" s="5" t="s">
        <v>32</v>
      </c>
      <c r="BD327" s="6" t="s">
        <v>32</v>
      </c>
      <c r="BG327" s="2" t="s">
        <v>32</v>
      </c>
      <c r="BH327" s="5" t="s">
        <v>32</v>
      </c>
      <c r="BI327" s="3" t="s">
        <v>32</v>
      </c>
      <c r="BJ327" s="4" t="s">
        <v>32</v>
      </c>
      <c r="BK327" s="5" t="s">
        <v>32</v>
      </c>
      <c r="BL327" s="3" t="s">
        <v>32</v>
      </c>
      <c r="BM327" s="4" t="s">
        <v>32</v>
      </c>
      <c r="BN327" s="5" t="s">
        <v>32</v>
      </c>
      <c r="BO327" s="6" t="s">
        <v>32</v>
      </c>
      <c r="BP327" s="2" t="s">
        <v>32</v>
      </c>
      <c r="BQ327" s="5" t="s">
        <v>32</v>
      </c>
      <c r="BR327" s="3" t="s">
        <v>32</v>
      </c>
      <c r="BS327" s="4" t="s">
        <v>32</v>
      </c>
      <c r="BT327" s="5" t="s">
        <v>32</v>
      </c>
      <c r="BU327" s="3" t="s">
        <v>32</v>
      </c>
      <c r="BV327" s="4" t="s">
        <v>32</v>
      </c>
      <c r="BW327" s="5" t="s">
        <v>32</v>
      </c>
      <c r="BX327" s="6" t="s">
        <v>32</v>
      </c>
      <c r="BY327" s="2" t="s">
        <v>32</v>
      </c>
      <c r="BZ327" s="5" t="s">
        <v>32</v>
      </c>
      <c r="CA327" s="3" t="s">
        <v>32</v>
      </c>
      <c r="CB327" s="4" t="s">
        <v>32</v>
      </c>
      <c r="CC327" s="5" t="s">
        <v>32</v>
      </c>
      <c r="CD327" s="3" t="s">
        <v>32</v>
      </c>
      <c r="CE327" s="222">
        <v>9</v>
      </c>
      <c r="CF327" s="5" t="s">
        <v>32</v>
      </c>
      <c r="CG327" s="6">
        <v>0</v>
      </c>
      <c r="CI327" s="2" t="s">
        <v>32</v>
      </c>
      <c r="CJ327" s="5" t="s">
        <v>32</v>
      </c>
      <c r="CK327" s="3" t="s">
        <v>32</v>
      </c>
      <c r="CL327" s="4" t="s">
        <v>32</v>
      </c>
      <c r="CM327" s="5" t="s">
        <v>32</v>
      </c>
      <c r="CN327" s="3" t="s">
        <v>32</v>
      </c>
      <c r="CO327" s="4" t="s">
        <v>32</v>
      </c>
      <c r="CP327" s="5" t="s">
        <v>32</v>
      </c>
      <c r="CQ327" s="6" t="s">
        <v>32</v>
      </c>
      <c r="CR327" s="2" t="s">
        <v>32</v>
      </c>
      <c r="CS327" s="5" t="s">
        <v>32</v>
      </c>
      <c r="CT327" s="3" t="s">
        <v>32</v>
      </c>
      <c r="CU327" s="4" t="s">
        <v>32</v>
      </c>
      <c r="CV327" s="5" t="s">
        <v>32</v>
      </c>
      <c r="CW327" s="3" t="s">
        <v>32</v>
      </c>
      <c r="CX327" s="4" t="s">
        <v>32</v>
      </c>
      <c r="CY327" s="5" t="s">
        <v>32</v>
      </c>
      <c r="CZ327" s="6" t="s">
        <v>32</v>
      </c>
      <c r="DA327" s="2" t="s">
        <v>32</v>
      </c>
      <c r="DB327" s="5" t="s">
        <v>32</v>
      </c>
      <c r="DC327" s="3" t="s">
        <v>32</v>
      </c>
      <c r="DD327" s="4" t="s">
        <v>32</v>
      </c>
      <c r="DE327" s="5" t="s">
        <v>32</v>
      </c>
      <c r="DF327" s="3" t="s">
        <v>32</v>
      </c>
      <c r="DG327" s="222">
        <v>9</v>
      </c>
      <c r="DH327" s="5" t="s">
        <v>32</v>
      </c>
      <c r="DI327" s="6">
        <v>5</v>
      </c>
    </row>
    <row r="328" spans="2:113" ht="15" customHeight="1">
      <c r="B328" s="11" t="s">
        <v>32</v>
      </c>
      <c r="C328" s="7" t="s">
        <v>32</v>
      </c>
      <c r="D328" s="9" t="s">
        <v>32</v>
      </c>
      <c r="E328" s="8" t="s">
        <v>32</v>
      </c>
      <c r="F328" s="7" t="s">
        <v>32</v>
      </c>
      <c r="G328" s="9" t="s">
        <v>32</v>
      </c>
      <c r="H328" s="8" t="s">
        <v>32</v>
      </c>
      <c r="I328" s="7" t="s">
        <v>32</v>
      </c>
      <c r="J328" s="10" t="s">
        <v>32</v>
      </c>
      <c r="K328" s="11" t="s">
        <v>32</v>
      </c>
      <c r="L328" s="7" t="s">
        <v>32</v>
      </c>
      <c r="M328" s="9" t="s">
        <v>32</v>
      </c>
      <c r="N328" s="8" t="s">
        <v>32</v>
      </c>
      <c r="O328" s="7" t="s">
        <v>32</v>
      </c>
      <c r="P328" s="9" t="s">
        <v>32</v>
      </c>
      <c r="Q328" s="8" t="s">
        <v>32</v>
      </c>
      <c r="R328" s="7" t="s">
        <v>32</v>
      </c>
      <c r="S328" s="10" t="s">
        <v>32</v>
      </c>
      <c r="T328" s="11" t="s">
        <v>32</v>
      </c>
      <c r="U328" s="7" t="s">
        <v>32</v>
      </c>
      <c r="V328" s="9" t="s">
        <v>32</v>
      </c>
      <c r="W328" s="8" t="s">
        <v>32</v>
      </c>
      <c r="X328" s="7" t="s">
        <v>32</v>
      </c>
      <c r="Y328" s="9" t="s">
        <v>32</v>
      </c>
      <c r="Z328" s="8" t="s">
        <v>32</v>
      </c>
      <c r="AA328" s="7" t="s">
        <v>32</v>
      </c>
      <c r="AB328" s="10" t="s">
        <v>32</v>
      </c>
      <c r="AD328" s="11" t="s">
        <v>32</v>
      </c>
      <c r="AE328" s="7" t="s">
        <v>32</v>
      </c>
      <c r="AF328" s="9" t="s">
        <v>32</v>
      </c>
      <c r="AG328" s="8" t="s">
        <v>32</v>
      </c>
      <c r="AH328" s="7" t="s">
        <v>32</v>
      </c>
      <c r="AI328" s="9" t="s">
        <v>32</v>
      </c>
      <c r="AJ328" s="8" t="s">
        <v>32</v>
      </c>
      <c r="AK328" s="7" t="s">
        <v>32</v>
      </c>
      <c r="AL328" s="10" t="s">
        <v>32</v>
      </c>
      <c r="AM328" s="11" t="s">
        <v>32</v>
      </c>
      <c r="AN328" s="7" t="s">
        <v>32</v>
      </c>
      <c r="AO328" s="9" t="s">
        <v>32</v>
      </c>
      <c r="AP328" s="8" t="s">
        <v>32</v>
      </c>
      <c r="AQ328" s="7" t="s">
        <v>32</v>
      </c>
      <c r="AR328" s="9" t="s">
        <v>32</v>
      </c>
      <c r="AS328" s="8" t="s">
        <v>32</v>
      </c>
      <c r="AT328" s="7" t="s">
        <v>32</v>
      </c>
      <c r="AU328" s="10" t="s">
        <v>32</v>
      </c>
      <c r="AV328" s="11" t="s">
        <v>32</v>
      </c>
      <c r="AW328" s="7" t="s">
        <v>32</v>
      </c>
      <c r="AX328" s="9" t="s">
        <v>32</v>
      </c>
      <c r="AY328" s="8" t="s">
        <v>32</v>
      </c>
      <c r="AZ328" s="7" t="s">
        <v>32</v>
      </c>
      <c r="BA328" s="9" t="s">
        <v>32</v>
      </c>
      <c r="BB328" s="8" t="s">
        <v>32</v>
      </c>
      <c r="BC328" s="7" t="s">
        <v>32</v>
      </c>
      <c r="BD328" s="10" t="s">
        <v>32</v>
      </c>
      <c r="BG328" s="11" t="s">
        <v>32</v>
      </c>
      <c r="BH328" s="7" t="s">
        <v>32</v>
      </c>
      <c r="BI328" s="9" t="s">
        <v>32</v>
      </c>
      <c r="BJ328" s="8" t="s">
        <v>32</v>
      </c>
      <c r="BK328" s="7" t="s">
        <v>32</v>
      </c>
      <c r="BL328" s="9" t="s">
        <v>32</v>
      </c>
      <c r="BM328" s="8" t="s">
        <v>32</v>
      </c>
      <c r="BN328" s="7" t="s">
        <v>32</v>
      </c>
      <c r="BO328" s="10" t="s">
        <v>32</v>
      </c>
      <c r="BP328" s="11" t="s">
        <v>32</v>
      </c>
      <c r="BQ328" s="7">
        <v>0</v>
      </c>
      <c r="BR328" s="9">
        <v>0</v>
      </c>
      <c r="BS328" s="8" t="s">
        <v>32</v>
      </c>
      <c r="BT328" s="7" t="s">
        <v>32</v>
      </c>
      <c r="BU328" s="9">
        <v>0</v>
      </c>
      <c r="BV328" s="206">
        <v>5</v>
      </c>
      <c r="BW328" s="7" t="s">
        <v>32</v>
      </c>
      <c r="BX328" s="10" t="s">
        <v>32</v>
      </c>
      <c r="BY328" s="11" t="s">
        <v>32</v>
      </c>
      <c r="BZ328" s="7" t="s">
        <v>32</v>
      </c>
      <c r="CA328" s="9" t="s">
        <v>32</v>
      </c>
      <c r="CB328" s="8" t="s">
        <v>32</v>
      </c>
      <c r="CC328" s="7" t="s">
        <v>32</v>
      </c>
      <c r="CD328" s="9" t="s">
        <v>32</v>
      </c>
      <c r="CE328" s="8" t="s">
        <v>32</v>
      </c>
      <c r="CF328" s="7">
        <v>0</v>
      </c>
      <c r="CG328" s="10" t="s">
        <v>32</v>
      </c>
      <c r="CI328" s="11" t="s">
        <v>32</v>
      </c>
      <c r="CJ328" s="7" t="s">
        <v>32</v>
      </c>
      <c r="CK328" s="9" t="s">
        <v>32</v>
      </c>
      <c r="CL328" s="8" t="s">
        <v>32</v>
      </c>
      <c r="CM328" s="7" t="s">
        <v>32</v>
      </c>
      <c r="CN328" s="9" t="s">
        <v>32</v>
      </c>
      <c r="CO328" s="8" t="s">
        <v>32</v>
      </c>
      <c r="CP328" s="7" t="s">
        <v>32</v>
      </c>
      <c r="CQ328" s="10" t="s">
        <v>32</v>
      </c>
      <c r="CR328" s="11" t="s">
        <v>32</v>
      </c>
      <c r="CS328" s="7">
        <v>7</v>
      </c>
      <c r="CT328" s="9">
        <v>8</v>
      </c>
      <c r="CU328" s="8" t="s">
        <v>32</v>
      </c>
      <c r="CV328" s="7" t="s">
        <v>32</v>
      </c>
      <c r="CW328" s="9">
        <v>1</v>
      </c>
      <c r="CX328" s="206">
        <v>5</v>
      </c>
      <c r="CY328" s="7" t="s">
        <v>32</v>
      </c>
      <c r="CZ328" s="10" t="s">
        <v>32</v>
      </c>
      <c r="DA328" s="11" t="s">
        <v>32</v>
      </c>
      <c r="DB328" s="7" t="s">
        <v>32</v>
      </c>
      <c r="DC328" s="9" t="s">
        <v>32</v>
      </c>
      <c r="DD328" s="8" t="s">
        <v>32</v>
      </c>
      <c r="DE328" s="7" t="s">
        <v>32</v>
      </c>
      <c r="DF328" s="9" t="s">
        <v>32</v>
      </c>
      <c r="DG328" s="8" t="s">
        <v>32</v>
      </c>
      <c r="DH328" s="7">
        <v>3</v>
      </c>
      <c r="DI328" s="10" t="s">
        <v>32</v>
      </c>
    </row>
    <row r="329" spans="2:113" ht="15" customHeight="1">
      <c r="B329" s="12" t="s">
        <v>32</v>
      </c>
      <c r="C329" s="13">
        <v>0</v>
      </c>
      <c r="D329" s="15" t="s">
        <v>32</v>
      </c>
      <c r="E329" s="14" t="s">
        <v>32</v>
      </c>
      <c r="F329" s="13" t="s">
        <v>32</v>
      </c>
      <c r="G329" s="15" t="s">
        <v>32</v>
      </c>
      <c r="H329" s="14" t="s">
        <v>32</v>
      </c>
      <c r="I329" s="13" t="s">
        <v>32</v>
      </c>
      <c r="J329" s="1" t="s">
        <v>32</v>
      </c>
      <c r="K329" s="12" t="s">
        <v>32</v>
      </c>
      <c r="L329" s="13" t="s">
        <v>32</v>
      </c>
      <c r="M329" s="15" t="s">
        <v>32</v>
      </c>
      <c r="N329" s="14" t="s">
        <v>32</v>
      </c>
      <c r="O329" s="13" t="s">
        <v>32</v>
      </c>
      <c r="P329" s="15" t="s">
        <v>32</v>
      </c>
      <c r="Q329" s="14" t="s">
        <v>32</v>
      </c>
      <c r="R329" s="13" t="s">
        <v>32</v>
      </c>
      <c r="S329" s="1" t="s">
        <v>32</v>
      </c>
      <c r="T329" s="12" t="s">
        <v>32</v>
      </c>
      <c r="U329" s="13" t="s">
        <v>32</v>
      </c>
      <c r="V329" s="15" t="s">
        <v>32</v>
      </c>
      <c r="W329" s="14" t="s">
        <v>32</v>
      </c>
      <c r="X329" s="13" t="s">
        <v>32</v>
      </c>
      <c r="Y329" s="15" t="s">
        <v>32</v>
      </c>
      <c r="Z329" s="14">
        <v>0</v>
      </c>
      <c r="AA329" s="13" t="s">
        <v>32</v>
      </c>
      <c r="AB329" s="1" t="s">
        <v>32</v>
      </c>
      <c r="AD329" s="12" t="s">
        <v>32</v>
      </c>
      <c r="AE329" s="13">
        <v>5</v>
      </c>
      <c r="AF329" s="15" t="s">
        <v>32</v>
      </c>
      <c r="AG329" s="14" t="s">
        <v>32</v>
      </c>
      <c r="AH329" s="13" t="s">
        <v>32</v>
      </c>
      <c r="AI329" s="15" t="s">
        <v>32</v>
      </c>
      <c r="AJ329" s="14" t="s">
        <v>32</v>
      </c>
      <c r="AK329" s="13" t="s">
        <v>32</v>
      </c>
      <c r="AL329" s="1" t="s">
        <v>32</v>
      </c>
      <c r="AM329" s="12" t="s">
        <v>32</v>
      </c>
      <c r="AN329" s="13" t="s">
        <v>32</v>
      </c>
      <c r="AO329" s="15" t="s">
        <v>32</v>
      </c>
      <c r="AP329" s="14" t="s">
        <v>32</v>
      </c>
      <c r="AQ329" s="13" t="s">
        <v>32</v>
      </c>
      <c r="AR329" s="15" t="s">
        <v>32</v>
      </c>
      <c r="AS329" s="14" t="s">
        <v>32</v>
      </c>
      <c r="AT329" s="13" t="s">
        <v>32</v>
      </c>
      <c r="AU329" s="1" t="s">
        <v>32</v>
      </c>
      <c r="AV329" s="12" t="s">
        <v>32</v>
      </c>
      <c r="AW329" s="13" t="s">
        <v>32</v>
      </c>
      <c r="AX329" s="15" t="s">
        <v>32</v>
      </c>
      <c r="AY329" s="14" t="s">
        <v>32</v>
      </c>
      <c r="AZ329" s="13" t="s">
        <v>32</v>
      </c>
      <c r="BA329" s="15" t="s">
        <v>32</v>
      </c>
      <c r="BB329" s="14">
        <v>6</v>
      </c>
      <c r="BC329" s="13" t="s">
        <v>32</v>
      </c>
      <c r="BD329" s="1" t="s">
        <v>32</v>
      </c>
      <c r="BG329" s="12" t="s">
        <v>32</v>
      </c>
      <c r="BH329" s="13" t="s">
        <v>32</v>
      </c>
      <c r="BI329" s="15" t="s">
        <v>32</v>
      </c>
      <c r="BJ329" s="14" t="s">
        <v>32</v>
      </c>
      <c r="BK329" s="13" t="s">
        <v>32</v>
      </c>
      <c r="BL329" s="15" t="s">
        <v>32</v>
      </c>
      <c r="BM329" s="14" t="s">
        <v>32</v>
      </c>
      <c r="BN329" s="13" t="s">
        <v>32</v>
      </c>
      <c r="BO329" s="1" t="s">
        <v>32</v>
      </c>
      <c r="BP329" s="12" t="s">
        <v>32</v>
      </c>
      <c r="BQ329" s="212">
        <v>9</v>
      </c>
      <c r="BR329" s="15" t="s">
        <v>32</v>
      </c>
      <c r="BS329" s="14">
        <v>0</v>
      </c>
      <c r="BT329" s="212">
        <v>3</v>
      </c>
      <c r="BU329" s="15" t="s">
        <v>32</v>
      </c>
      <c r="BV329" s="14" t="s">
        <v>32</v>
      </c>
      <c r="BW329" s="13" t="s">
        <v>32</v>
      </c>
      <c r="BX329" s="1" t="s">
        <v>32</v>
      </c>
      <c r="BY329" s="12" t="s">
        <v>32</v>
      </c>
      <c r="BZ329" s="13" t="s">
        <v>32</v>
      </c>
      <c r="CA329" s="15" t="s">
        <v>32</v>
      </c>
      <c r="CB329" s="14" t="s">
        <v>32</v>
      </c>
      <c r="CC329" s="13" t="s">
        <v>32</v>
      </c>
      <c r="CD329" s="15" t="s">
        <v>32</v>
      </c>
      <c r="CE329" s="14">
        <v>0</v>
      </c>
      <c r="CF329" s="13" t="s">
        <v>32</v>
      </c>
      <c r="CG329" s="1" t="s">
        <v>32</v>
      </c>
      <c r="CI329" s="12" t="s">
        <v>32</v>
      </c>
      <c r="CJ329" s="13" t="s">
        <v>32</v>
      </c>
      <c r="CK329" s="15" t="s">
        <v>32</v>
      </c>
      <c r="CL329" s="14" t="s">
        <v>32</v>
      </c>
      <c r="CM329" s="13" t="s">
        <v>32</v>
      </c>
      <c r="CN329" s="15" t="s">
        <v>32</v>
      </c>
      <c r="CO329" s="14" t="s">
        <v>32</v>
      </c>
      <c r="CP329" s="13" t="s">
        <v>32</v>
      </c>
      <c r="CQ329" s="1" t="s">
        <v>32</v>
      </c>
      <c r="CR329" s="12" t="s">
        <v>32</v>
      </c>
      <c r="CS329" s="212">
        <v>9</v>
      </c>
      <c r="CT329" s="15" t="s">
        <v>32</v>
      </c>
      <c r="CU329" s="14">
        <v>2</v>
      </c>
      <c r="CV329" s="212">
        <v>3</v>
      </c>
      <c r="CW329" s="15" t="s">
        <v>32</v>
      </c>
      <c r="CX329" s="14" t="s">
        <v>32</v>
      </c>
      <c r="CY329" s="13" t="s">
        <v>32</v>
      </c>
      <c r="CZ329" s="1" t="s">
        <v>32</v>
      </c>
      <c r="DA329" s="12" t="s">
        <v>32</v>
      </c>
      <c r="DB329" s="13" t="s">
        <v>32</v>
      </c>
      <c r="DC329" s="15" t="s">
        <v>32</v>
      </c>
      <c r="DD329" s="14" t="s">
        <v>32</v>
      </c>
      <c r="DE329" s="13" t="s">
        <v>32</v>
      </c>
      <c r="DF329" s="15" t="s">
        <v>32</v>
      </c>
      <c r="DG329" s="14">
        <v>6</v>
      </c>
      <c r="DH329" s="13" t="s">
        <v>32</v>
      </c>
      <c r="DI329" s="1" t="s">
        <v>32</v>
      </c>
    </row>
    <row r="330" spans="2:113" ht="15" customHeight="1">
      <c r="B330" s="16" t="s">
        <v>32</v>
      </c>
      <c r="C330" s="211">
        <v>9</v>
      </c>
      <c r="D330" s="18">
        <v>0</v>
      </c>
      <c r="E330" s="19" t="s">
        <v>32</v>
      </c>
      <c r="F330" s="17" t="s">
        <v>32</v>
      </c>
      <c r="G330" s="18" t="s">
        <v>32</v>
      </c>
      <c r="H330" s="19" t="s">
        <v>32</v>
      </c>
      <c r="I330" s="17" t="s">
        <v>32</v>
      </c>
      <c r="J330" s="20" t="s">
        <v>32</v>
      </c>
      <c r="K330" s="16" t="s">
        <v>32</v>
      </c>
      <c r="L330" s="17" t="s">
        <v>32</v>
      </c>
      <c r="M330" s="18" t="s">
        <v>32</v>
      </c>
      <c r="N330" s="19" t="s">
        <v>32</v>
      </c>
      <c r="O330" s="17" t="s">
        <v>32</v>
      </c>
      <c r="P330" s="18" t="s">
        <v>32</v>
      </c>
      <c r="Q330" s="19" t="s">
        <v>32</v>
      </c>
      <c r="R330" s="17" t="s">
        <v>32</v>
      </c>
      <c r="S330" s="20" t="s">
        <v>32</v>
      </c>
      <c r="T330" s="16" t="s">
        <v>32</v>
      </c>
      <c r="U330" s="17" t="s">
        <v>32</v>
      </c>
      <c r="V330" s="18" t="s">
        <v>32</v>
      </c>
      <c r="W330" s="19" t="s">
        <v>32</v>
      </c>
      <c r="X330" s="17" t="s">
        <v>32</v>
      </c>
      <c r="Y330" s="209">
        <v>2</v>
      </c>
      <c r="Z330" s="19">
        <v>0</v>
      </c>
      <c r="AA330" s="211">
        <v>1</v>
      </c>
      <c r="AB330" s="20">
        <v>0</v>
      </c>
      <c r="AD330" s="16" t="s">
        <v>32</v>
      </c>
      <c r="AE330" s="211">
        <v>9</v>
      </c>
      <c r="AF330" s="18">
        <v>7</v>
      </c>
      <c r="AG330" s="19" t="s">
        <v>32</v>
      </c>
      <c r="AH330" s="17" t="s">
        <v>32</v>
      </c>
      <c r="AI330" s="18" t="s">
        <v>32</v>
      </c>
      <c r="AJ330" s="19" t="s">
        <v>32</v>
      </c>
      <c r="AK330" s="17" t="s">
        <v>32</v>
      </c>
      <c r="AL330" s="20" t="s">
        <v>32</v>
      </c>
      <c r="AM330" s="16" t="s">
        <v>32</v>
      </c>
      <c r="AN330" s="17" t="s">
        <v>32</v>
      </c>
      <c r="AO330" s="18" t="s">
        <v>32</v>
      </c>
      <c r="AP330" s="19" t="s">
        <v>32</v>
      </c>
      <c r="AQ330" s="17" t="s">
        <v>32</v>
      </c>
      <c r="AR330" s="18" t="s">
        <v>32</v>
      </c>
      <c r="AS330" s="19" t="s">
        <v>32</v>
      </c>
      <c r="AT330" s="17" t="s">
        <v>32</v>
      </c>
      <c r="AU330" s="20" t="s">
        <v>32</v>
      </c>
      <c r="AV330" s="16" t="s">
        <v>32</v>
      </c>
      <c r="AW330" s="17" t="s">
        <v>32</v>
      </c>
      <c r="AX330" s="18" t="s">
        <v>32</v>
      </c>
      <c r="AY330" s="19" t="s">
        <v>32</v>
      </c>
      <c r="AZ330" s="17" t="s">
        <v>32</v>
      </c>
      <c r="BA330" s="209">
        <v>2</v>
      </c>
      <c r="BB330" s="19">
        <v>8</v>
      </c>
      <c r="BC330" s="211">
        <v>1</v>
      </c>
      <c r="BD330" s="20">
        <v>4</v>
      </c>
      <c r="BG330" s="16" t="s">
        <v>32</v>
      </c>
      <c r="BH330" s="17" t="s">
        <v>32</v>
      </c>
      <c r="BI330" s="18" t="s">
        <v>32</v>
      </c>
      <c r="BJ330" s="19" t="s">
        <v>32</v>
      </c>
      <c r="BK330" s="17" t="s">
        <v>32</v>
      </c>
      <c r="BL330" s="18" t="s">
        <v>32</v>
      </c>
      <c r="BM330" s="19" t="s">
        <v>32</v>
      </c>
      <c r="BN330" s="17" t="s">
        <v>32</v>
      </c>
      <c r="BO330" s="20" t="s">
        <v>32</v>
      </c>
      <c r="BP330" s="16" t="s">
        <v>32</v>
      </c>
      <c r="BQ330" s="17" t="s">
        <v>32</v>
      </c>
      <c r="BR330" s="18">
        <v>0</v>
      </c>
      <c r="BS330" s="19" t="s">
        <v>32</v>
      </c>
      <c r="BT330" s="17" t="s">
        <v>32</v>
      </c>
      <c r="BU330" s="18">
        <v>0</v>
      </c>
      <c r="BV330" s="19" t="s">
        <v>32</v>
      </c>
      <c r="BW330" s="17" t="s">
        <v>32</v>
      </c>
      <c r="BX330" s="20" t="s">
        <v>32</v>
      </c>
      <c r="BY330" s="16" t="s">
        <v>32</v>
      </c>
      <c r="BZ330" s="17" t="s">
        <v>32</v>
      </c>
      <c r="CA330" s="18" t="s">
        <v>32</v>
      </c>
      <c r="CB330" s="19" t="s">
        <v>32</v>
      </c>
      <c r="CC330" s="17" t="s">
        <v>32</v>
      </c>
      <c r="CD330" s="18" t="s">
        <v>32</v>
      </c>
      <c r="CE330" s="19">
        <v>0</v>
      </c>
      <c r="CF330" s="17" t="s">
        <v>32</v>
      </c>
      <c r="CG330" s="20" t="s">
        <v>32</v>
      </c>
      <c r="CI330" s="16" t="s">
        <v>32</v>
      </c>
      <c r="CJ330" s="17" t="s">
        <v>32</v>
      </c>
      <c r="CK330" s="18" t="s">
        <v>32</v>
      </c>
      <c r="CL330" s="19" t="s">
        <v>32</v>
      </c>
      <c r="CM330" s="17" t="s">
        <v>32</v>
      </c>
      <c r="CN330" s="18" t="s">
        <v>32</v>
      </c>
      <c r="CO330" s="19" t="s">
        <v>32</v>
      </c>
      <c r="CP330" s="17" t="s">
        <v>32</v>
      </c>
      <c r="CQ330" s="20" t="s">
        <v>32</v>
      </c>
      <c r="CR330" s="16" t="s">
        <v>32</v>
      </c>
      <c r="CS330" s="17" t="s">
        <v>32</v>
      </c>
      <c r="CT330" s="18">
        <v>6</v>
      </c>
      <c r="CU330" s="19" t="s">
        <v>32</v>
      </c>
      <c r="CV330" s="17" t="s">
        <v>32</v>
      </c>
      <c r="CW330" s="18">
        <v>4</v>
      </c>
      <c r="CX330" s="19" t="s">
        <v>32</v>
      </c>
      <c r="CY330" s="17" t="s">
        <v>32</v>
      </c>
      <c r="CZ330" s="20" t="s">
        <v>32</v>
      </c>
      <c r="DA330" s="16" t="s">
        <v>32</v>
      </c>
      <c r="DB330" s="17" t="s">
        <v>32</v>
      </c>
      <c r="DC330" s="18" t="s">
        <v>32</v>
      </c>
      <c r="DD330" s="19" t="s">
        <v>32</v>
      </c>
      <c r="DE330" s="17" t="s">
        <v>32</v>
      </c>
      <c r="DF330" s="18" t="s">
        <v>32</v>
      </c>
      <c r="DG330" s="19">
        <v>8</v>
      </c>
      <c r="DH330" s="17" t="s">
        <v>32</v>
      </c>
      <c r="DI330" s="20" t="s">
        <v>32</v>
      </c>
    </row>
    <row r="331" spans="2:113" ht="15" customHeight="1">
      <c r="B331" s="11">
        <v>0</v>
      </c>
      <c r="C331" s="7">
        <v>0</v>
      </c>
      <c r="D331" s="9">
        <v>0</v>
      </c>
      <c r="E331" s="8">
        <v>0</v>
      </c>
      <c r="F331" s="7" t="s">
        <v>32</v>
      </c>
      <c r="G331" s="9" t="s">
        <v>32</v>
      </c>
      <c r="H331" s="8" t="s">
        <v>32</v>
      </c>
      <c r="I331" s="7" t="s">
        <v>32</v>
      </c>
      <c r="J331" s="10" t="s">
        <v>32</v>
      </c>
      <c r="K331" s="11" t="s">
        <v>32</v>
      </c>
      <c r="L331" s="7" t="s">
        <v>32</v>
      </c>
      <c r="M331" s="9" t="s">
        <v>32</v>
      </c>
      <c r="N331" s="8" t="s">
        <v>32</v>
      </c>
      <c r="O331" s="7" t="s">
        <v>32</v>
      </c>
      <c r="P331" s="9" t="s">
        <v>32</v>
      </c>
      <c r="Q331" s="8" t="s">
        <v>32</v>
      </c>
      <c r="R331" s="7">
        <v>0</v>
      </c>
      <c r="S331" s="10">
        <v>0</v>
      </c>
      <c r="T331" s="11" t="s">
        <v>32</v>
      </c>
      <c r="U331" s="7" t="s">
        <v>32</v>
      </c>
      <c r="V331" s="9" t="s">
        <v>32</v>
      </c>
      <c r="W331" s="8" t="s">
        <v>32</v>
      </c>
      <c r="X331" s="7" t="s">
        <v>32</v>
      </c>
      <c r="Y331" s="9">
        <v>0</v>
      </c>
      <c r="Z331" s="8">
        <v>0</v>
      </c>
      <c r="AA331" s="7" t="s">
        <v>32</v>
      </c>
      <c r="AB331" s="10" t="s">
        <v>32</v>
      </c>
      <c r="AD331" s="11">
        <v>8</v>
      </c>
      <c r="AE331" s="7">
        <v>1</v>
      </c>
      <c r="AF331" s="9">
        <v>6</v>
      </c>
      <c r="AG331" s="8">
        <v>4</v>
      </c>
      <c r="AH331" s="7" t="s">
        <v>32</v>
      </c>
      <c r="AI331" s="9" t="s">
        <v>32</v>
      </c>
      <c r="AJ331" s="8" t="s">
        <v>32</v>
      </c>
      <c r="AK331" s="7" t="s">
        <v>32</v>
      </c>
      <c r="AL331" s="10" t="s">
        <v>32</v>
      </c>
      <c r="AM331" s="11" t="s">
        <v>32</v>
      </c>
      <c r="AN331" s="7" t="s">
        <v>32</v>
      </c>
      <c r="AO331" s="9" t="s">
        <v>32</v>
      </c>
      <c r="AP331" s="8" t="s">
        <v>32</v>
      </c>
      <c r="AQ331" s="7" t="s">
        <v>32</v>
      </c>
      <c r="AR331" s="9" t="s">
        <v>32</v>
      </c>
      <c r="AS331" s="8" t="s">
        <v>32</v>
      </c>
      <c r="AT331" s="7">
        <v>2</v>
      </c>
      <c r="AU331" s="10">
        <v>9</v>
      </c>
      <c r="AV331" s="11" t="s">
        <v>32</v>
      </c>
      <c r="AW331" s="7" t="s">
        <v>32</v>
      </c>
      <c r="AX331" s="9" t="s">
        <v>32</v>
      </c>
      <c r="AY331" s="8" t="s">
        <v>32</v>
      </c>
      <c r="AZ331" s="7" t="s">
        <v>32</v>
      </c>
      <c r="BA331" s="9">
        <v>5</v>
      </c>
      <c r="BB331" s="8">
        <v>3</v>
      </c>
      <c r="BC331" s="7" t="s">
        <v>32</v>
      </c>
      <c r="BD331" s="10" t="s">
        <v>32</v>
      </c>
      <c r="BG331" s="11" t="s">
        <v>32</v>
      </c>
      <c r="BH331" s="7" t="s">
        <v>32</v>
      </c>
      <c r="BI331" s="205">
        <v>7</v>
      </c>
      <c r="BJ331" s="8" t="s">
        <v>32</v>
      </c>
      <c r="BK331" s="7" t="s">
        <v>32</v>
      </c>
      <c r="BL331" s="9" t="s">
        <v>32</v>
      </c>
      <c r="BM331" s="8" t="s">
        <v>32</v>
      </c>
      <c r="BN331" s="7" t="s">
        <v>32</v>
      </c>
      <c r="BO331" s="10" t="s">
        <v>32</v>
      </c>
      <c r="BP331" s="11" t="s">
        <v>32</v>
      </c>
      <c r="BQ331" s="7" t="s">
        <v>32</v>
      </c>
      <c r="BR331" s="9" t="s">
        <v>32</v>
      </c>
      <c r="BS331" s="8" t="s">
        <v>32</v>
      </c>
      <c r="BT331" s="7" t="s">
        <v>32</v>
      </c>
      <c r="BU331" s="9" t="s">
        <v>32</v>
      </c>
      <c r="BV331" s="8" t="s">
        <v>32</v>
      </c>
      <c r="BW331" s="7" t="s">
        <v>32</v>
      </c>
      <c r="BX331" s="10" t="s">
        <v>32</v>
      </c>
      <c r="BY331" s="11" t="s">
        <v>32</v>
      </c>
      <c r="BZ331" s="7" t="s">
        <v>32</v>
      </c>
      <c r="CA331" s="9" t="s">
        <v>32</v>
      </c>
      <c r="CB331" s="8" t="s">
        <v>32</v>
      </c>
      <c r="CC331" s="7" t="s">
        <v>32</v>
      </c>
      <c r="CD331" s="9" t="s">
        <v>32</v>
      </c>
      <c r="CE331" s="206">
        <v>2</v>
      </c>
      <c r="CF331" s="204">
        <v>4</v>
      </c>
      <c r="CG331" s="10" t="s">
        <v>32</v>
      </c>
      <c r="CI331" s="11" t="s">
        <v>32</v>
      </c>
      <c r="CJ331" s="7" t="s">
        <v>32</v>
      </c>
      <c r="CK331" s="205">
        <v>7</v>
      </c>
      <c r="CL331" s="8" t="s">
        <v>32</v>
      </c>
      <c r="CM331" s="7" t="s">
        <v>32</v>
      </c>
      <c r="CN331" s="9" t="s">
        <v>32</v>
      </c>
      <c r="CO331" s="8" t="s">
        <v>32</v>
      </c>
      <c r="CP331" s="7" t="s">
        <v>32</v>
      </c>
      <c r="CQ331" s="10" t="s">
        <v>32</v>
      </c>
      <c r="CR331" s="11" t="s">
        <v>32</v>
      </c>
      <c r="CS331" s="7" t="s">
        <v>32</v>
      </c>
      <c r="CT331" s="9" t="s">
        <v>32</v>
      </c>
      <c r="CU331" s="8" t="s">
        <v>32</v>
      </c>
      <c r="CV331" s="7" t="s">
        <v>32</v>
      </c>
      <c r="CW331" s="9" t="s">
        <v>32</v>
      </c>
      <c r="CX331" s="8" t="s">
        <v>32</v>
      </c>
      <c r="CY331" s="7" t="s">
        <v>32</v>
      </c>
      <c r="CZ331" s="10" t="s">
        <v>32</v>
      </c>
      <c r="DA331" s="11" t="s">
        <v>32</v>
      </c>
      <c r="DB331" s="7" t="s">
        <v>32</v>
      </c>
      <c r="DC331" s="9" t="s">
        <v>32</v>
      </c>
      <c r="DD331" s="8" t="s">
        <v>32</v>
      </c>
      <c r="DE331" s="7" t="s">
        <v>32</v>
      </c>
      <c r="DF331" s="9" t="s">
        <v>32</v>
      </c>
      <c r="DG331" s="206">
        <v>2</v>
      </c>
      <c r="DH331" s="204">
        <v>4</v>
      </c>
      <c r="DI331" s="10" t="s">
        <v>32</v>
      </c>
    </row>
    <row r="332" spans="2:113" ht="15" customHeight="1">
      <c r="B332" s="12">
        <v>0</v>
      </c>
      <c r="C332" s="13" t="s">
        <v>32</v>
      </c>
      <c r="D332" s="15" t="s">
        <v>32</v>
      </c>
      <c r="E332" s="207">
        <v>3</v>
      </c>
      <c r="F332" s="13" t="s">
        <v>32</v>
      </c>
      <c r="G332" s="15" t="s">
        <v>32</v>
      </c>
      <c r="H332" s="14" t="s">
        <v>32</v>
      </c>
      <c r="I332" s="13" t="s">
        <v>32</v>
      </c>
      <c r="J332" s="1" t="s">
        <v>32</v>
      </c>
      <c r="K332" s="12" t="s">
        <v>32</v>
      </c>
      <c r="L332" s="13" t="s">
        <v>32</v>
      </c>
      <c r="M332" s="15" t="s">
        <v>32</v>
      </c>
      <c r="N332" s="14" t="s">
        <v>32</v>
      </c>
      <c r="O332" s="13" t="s">
        <v>32</v>
      </c>
      <c r="P332" s="15" t="s">
        <v>32</v>
      </c>
      <c r="Q332" s="14" t="s">
        <v>32</v>
      </c>
      <c r="R332" s="212">
        <v>8</v>
      </c>
      <c r="S332" s="1">
        <v>0</v>
      </c>
      <c r="T332" s="12" t="s">
        <v>32</v>
      </c>
      <c r="U332" s="13" t="s">
        <v>32</v>
      </c>
      <c r="V332" s="15" t="s">
        <v>32</v>
      </c>
      <c r="W332" s="14" t="s">
        <v>32</v>
      </c>
      <c r="X332" s="13" t="s">
        <v>32</v>
      </c>
      <c r="Y332" s="208">
        <v>7</v>
      </c>
      <c r="Z332" s="14">
        <v>0</v>
      </c>
      <c r="AA332" s="13" t="s">
        <v>32</v>
      </c>
      <c r="AB332" s="1" t="s">
        <v>32</v>
      </c>
      <c r="AD332" s="12">
        <v>2</v>
      </c>
      <c r="AE332" s="13" t="s">
        <v>32</v>
      </c>
      <c r="AF332" s="15" t="s">
        <v>32</v>
      </c>
      <c r="AG332" s="207">
        <v>3</v>
      </c>
      <c r="AH332" s="13" t="s">
        <v>32</v>
      </c>
      <c r="AI332" s="15" t="s">
        <v>32</v>
      </c>
      <c r="AJ332" s="14" t="s">
        <v>32</v>
      </c>
      <c r="AK332" s="13" t="s">
        <v>32</v>
      </c>
      <c r="AL332" s="1" t="s">
        <v>32</v>
      </c>
      <c r="AM332" s="12" t="s">
        <v>32</v>
      </c>
      <c r="AN332" s="13" t="s">
        <v>32</v>
      </c>
      <c r="AO332" s="15" t="s">
        <v>32</v>
      </c>
      <c r="AP332" s="14" t="s">
        <v>32</v>
      </c>
      <c r="AQ332" s="13" t="s">
        <v>32</v>
      </c>
      <c r="AR332" s="15" t="s">
        <v>32</v>
      </c>
      <c r="AS332" s="14" t="s">
        <v>32</v>
      </c>
      <c r="AT332" s="212">
        <v>8</v>
      </c>
      <c r="AU332" s="1">
        <v>1</v>
      </c>
      <c r="AV332" s="12" t="s">
        <v>32</v>
      </c>
      <c r="AW332" s="13" t="s">
        <v>32</v>
      </c>
      <c r="AX332" s="15" t="s">
        <v>32</v>
      </c>
      <c r="AY332" s="14" t="s">
        <v>32</v>
      </c>
      <c r="AZ332" s="13" t="s">
        <v>32</v>
      </c>
      <c r="BA332" s="208">
        <v>7</v>
      </c>
      <c r="BB332" s="14">
        <v>9</v>
      </c>
      <c r="BC332" s="13" t="s">
        <v>32</v>
      </c>
      <c r="BD332" s="1" t="s">
        <v>32</v>
      </c>
      <c r="BG332" s="12">
        <v>0</v>
      </c>
      <c r="BH332" s="13">
        <v>0</v>
      </c>
      <c r="BI332" s="15">
        <v>0</v>
      </c>
      <c r="BJ332" s="14">
        <v>0</v>
      </c>
      <c r="BK332" s="13" t="s">
        <v>32</v>
      </c>
      <c r="BL332" s="15" t="s">
        <v>32</v>
      </c>
      <c r="BM332" s="14" t="s">
        <v>32</v>
      </c>
      <c r="BN332" s="13" t="s">
        <v>32</v>
      </c>
      <c r="BO332" s="1" t="s">
        <v>32</v>
      </c>
      <c r="BP332" s="12" t="s">
        <v>32</v>
      </c>
      <c r="BQ332" s="13" t="s">
        <v>32</v>
      </c>
      <c r="BR332" s="15" t="s">
        <v>32</v>
      </c>
      <c r="BS332" s="14" t="s">
        <v>32</v>
      </c>
      <c r="BT332" s="13" t="s">
        <v>32</v>
      </c>
      <c r="BU332" s="15" t="s">
        <v>32</v>
      </c>
      <c r="BV332" s="14" t="s">
        <v>32</v>
      </c>
      <c r="BW332" s="13" t="s">
        <v>32</v>
      </c>
      <c r="BX332" s="1" t="s">
        <v>32</v>
      </c>
      <c r="BY332" s="12" t="s">
        <v>32</v>
      </c>
      <c r="BZ332" s="13" t="s">
        <v>32</v>
      </c>
      <c r="CA332" s="15" t="s">
        <v>32</v>
      </c>
      <c r="CB332" s="14" t="s">
        <v>32</v>
      </c>
      <c r="CC332" s="13" t="s">
        <v>32</v>
      </c>
      <c r="CD332" s="15" t="s">
        <v>32</v>
      </c>
      <c r="CE332" s="14" t="s">
        <v>32</v>
      </c>
      <c r="CF332" s="13">
        <v>0</v>
      </c>
      <c r="CG332" s="1" t="s">
        <v>32</v>
      </c>
      <c r="CI332" s="12">
        <v>1</v>
      </c>
      <c r="CJ332" s="13">
        <v>2</v>
      </c>
      <c r="CK332" s="15">
        <v>5</v>
      </c>
      <c r="CL332" s="14">
        <v>6</v>
      </c>
      <c r="CM332" s="13" t="s">
        <v>32</v>
      </c>
      <c r="CN332" s="15" t="s">
        <v>32</v>
      </c>
      <c r="CO332" s="14" t="s">
        <v>32</v>
      </c>
      <c r="CP332" s="13" t="s">
        <v>32</v>
      </c>
      <c r="CQ332" s="1" t="s">
        <v>32</v>
      </c>
      <c r="CR332" s="12" t="s">
        <v>32</v>
      </c>
      <c r="CS332" s="13" t="s">
        <v>32</v>
      </c>
      <c r="CT332" s="15" t="s">
        <v>32</v>
      </c>
      <c r="CU332" s="14" t="s">
        <v>32</v>
      </c>
      <c r="CV332" s="13" t="s">
        <v>32</v>
      </c>
      <c r="CW332" s="15" t="s">
        <v>32</v>
      </c>
      <c r="CX332" s="14" t="s">
        <v>32</v>
      </c>
      <c r="CY332" s="13" t="s">
        <v>32</v>
      </c>
      <c r="CZ332" s="1" t="s">
        <v>32</v>
      </c>
      <c r="DA332" s="12" t="s">
        <v>32</v>
      </c>
      <c r="DB332" s="13" t="s">
        <v>32</v>
      </c>
      <c r="DC332" s="15" t="s">
        <v>32</v>
      </c>
      <c r="DD332" s="14" t="s">
        <v>32</v>
      </c>
      <c r="DE332" s="13" t="s">
        <v>32</v>
      </c>
      <c r="DF332" s="15" t="s">
        <v>32</v>
      </c>
      <c r="DG332" s="14" t="s">
        <v>32</v>
      </c>
      <c r="DH332" s="13">
        <v>7</v>
      </c>
      <c r="DI332" s="1" t="s">
        <v>32</v>
      </c>
    </row>
    <row r="333" spans="2:113" ht="15" customHeight="1">
      <c r="B333" s="16" t="s">
        <v>32</v>
      </c>
      <c r="C333" s="17" t="s">
        <v>32</v>
      </c>
      <c r="D333" s="18" t="s">
        <v>32</v>
      </c>
      <c r="E333" s="19" t="s">
        <v>32</v>
      </c>
      <c r="F333" s="17" t="s">
        <v>32</v>
      </c>
      <c r="G333" s="18" t="s">
        <v>32</v>
      </c>
      <c r="H333" s="19" t="s">
        <v>32</v>
      </c>
      <c r="I333" s="17" t="s">
        <v>32</v>
      </c>
      <c r="J333" s="20" t="s">
        <v>32</v>
      </c>
      <c r="K333" s="16" t="s">
        <v>32</v>
      </c>
      <c r="L333" s="17" t="s">
        <v>32</v>
      </c>
      <c r="M333" s="18" t="s">
        <v>32</v>
      </c>
      <c r="N333" s="19" t="s">
        <v>32</v>
      </c>
      <c r="O333" s="17" t="s">
        <v>32</v>
      </c>
      <c r="P333" s="18" t="s">
        <v>32</v>
      </c>
      <c r="Q333" s="19">
        <v>0</v>
      </c>
      <c r="R333" s="17" t="s">
        <v>32</v>
      </c>
      <c r="S333" s="20">
        <v>0</v>
      </c>
      <c r="T333" s="16" t="s">
        <v>32</v>
      </c>
      <c r="U333" s="17" t="s">
        <v>32</v>
      </c>
      <c r="V333" s="18" t="s">
        <v>32</v>
      </c>
      <c r="W333" s="19" t="s">
        <v>32</v>
      </c>
      <c r="X333" s="17" t="s">
        <v>32</v>
      </c>
      <c r="Y333" s="18" t="s">
        <v>32</v>
      </c>
      <c r="Z333" s="19" t="s">
        <v>32</v>
      </c>
      <c r="AA333" s="17" t="s">
        <v>32</v>
      </c>
      <c r="AB333" s="20" t="s">
        <v>32</v>
      </c>
      <c r="AD333" s="16" t="s">
        <v>32</v>
      </c>
      <c r="AE333" s="17" t="s">
        <v>32</v>
      </c>
      <c r="AF333" s="18" t="s">
        <v>32</v>
      </c>
      <c r="AG333" s="19" t="s">
        <v>32</v>
      </c>
      <c r="AH333" s="17" t="s">
        <v>32</v>
      </c>
      <c r="AI333" s="18" t="s">
        <v>32</v>
      </c>
      <c r="AJ333" s="19" t="s">
        <v>32</v>
      </c>
      <c r="AK333" s="17" t="s">
        <v>32</v>
      </c>
      <c r="AL333" s="20" t="s">
        <v>32</v>
      </c>
      <c r="AM333" s="16" t="s">
        <v>32</v>
      </c>
      <c r="AN333" s="17" t="s">
        <v>32</v>
      </c>
      <c r="AO333" s="18" t="s">
        <v>32</v>
      </c>
      <c r="AP333" s="19" t="s">
        <v>32</v>
      </c>
      <c r="AQ333" s="17" t="s">
        <v>32</v>
      </c>
      <c r="AR333" s="18" t="s">
        <v>32</v>
      </c>
      <c r="AS333" s="19">
        <v>4</v>
      </c>
      <c r="AT333" s="17" t="s">
        <v>32</v>
      </c>
      <c r="AU333" s="20">
        <v>7</v>
      </c>
      <c r="AV333" s="16" t="s">
        <v>32</v>
      </c>
      <c r="AW333" s="17" t="s">
        <v>32</v>
      </c>
      <c r="AX333" s="18" t="s">
        <v>32</v>
      </c>
      <c r="AY333" s="19" t="s">
        <v>32</v>
      </c>
      <c r="AZ333" s="17" t="s">
        <v>32</v>
      </c>
      <c r="BA333" s="18" t="s">
        <v>32</v>
      </c>
      <c r="BB333" s="19" t="s">
        <v>32</v>
      </c>
      <c r="BC333" s="17" t="s">
        <v>32</v>
      </c>
      <c r="BD333" s="20" t="s">
        <v>32</v>
      </c>
      <c r="BG333" s="16">
        <v>0</v>
      </c>
      <c r="BH333" s="17">
        <v>0</v>
      </c>
      <c r="BI333" s="18">
        <v>0</v>
      </c>
      <c r="BJ333" s="19" t="s">
        <v>32</v>
      </c>
      <c r="BK333" s="17" t="s">
        <v>32</v>
      </c>
      <c r="BL333" s="18" t="s">
        <v>32</v>
      </c>
      <c r="BM333" s="19" t="s">
        <v>32</v>
      </c>
      <c r="BN333" s="17" t="s">
        <v>32</v>
      </c>
      <c r="BO333" s="20" t="s">
        <v>32</v>
      </c>
      <c r="BP333" s="16" t="s">
        <v>32</v>
      </c>
      <c r="BQ333" s="17" t="s">
        <v>32</v>
      </c>
      <c r="BR333" s="18" t="s">
        <v>32</v>
      </c>
      <c r="BS333" s="19" t="s">
        <v>32</v>
      </c>
      <c r="BT333" s="17" t="s">
        <v>32</v>
      </c>
      <c r="BU333" s="18" t="s">
        <v>32</v>
      </c>
      <c r="BV333" s="19" t="s">
        <v>32</v>
      </c>
      <c r="BW333" s="17" t="s">
        <v>32</v>
      </c>
      <c r="BX333" s="20" t="s">
        <v>32</v>
      </c>
      <c r="BY333" s="16" t="s">
        <v>32</v>
      </c>
      <c r="BZ333" s="17" t="s">
        <v>32</v>
      </c>
      <c r="CA333" s="18" t="s">
        <v>32</v>
      </c>
      <c r="CB333" s="19" t="s">
        <v>32</v>
      </c>
      <c r="CC333" s="17" t="s">
        <v>32</v>
      </c>
      <c r="CD333" s="18" t="s">
        <v>32</v>
      </c>
      <c r="CE333" s="19">
        <v>0</v>
      </c>
      <c r="CF333" s="17" t="s">
        <v>32</v>
      </c>
      <c r="CG333" s="20" t="s">
        <v>32</v>
      </c>
      <c r="CI333" s="16">
        <v>4</v>
      </c>
      <c r="CJ333" s="17">
        <v>8</v>
      </c>
      <c r="CK333" s="18">
        <v>3</v>
      </c>
      <c r="CL333" s="19" t="s">
        <v>32</v>
      </c>
      <c r="CM333" s="17" t="s">
        <v>32</v>
      </c>
      <c r="CN333" s="18" t="s">
        <v>32</v>
      </c>
      <c r="CO333" s="19" t="s">
        <v>32</v>
      </c>
      <c r="CP333" s="17" t="s">
        <v>32</v>
      </c>
      <c r="CQ333" s="20" t="s">
        <v>32</v>
      </c>
      <c r="CR333" s="16" t="s">
        <v>32</v>
      </c>
      <c r="CS333" s="17" t="s">
        <v>32</v>
      </c>
      <c r="CT333" s="18" t="s">
        <v>32</v>
      </c>
      <c r="CU333" s="19" t="s">
        <v>32</v>
      </c>
      <c r="CV333" s="17" t="s">
        <v>32</v>
      </c>
      <c r="CW333" s="18" t="s">
        <v>32</v>
      </c>
      <c r="CX333" s="19" t="s">
        <v>32</v>
      </c>
      <c r="CY333" s="17" t="s">
        <v>32</v>
      </c>
      <c r="CZ333" s="20" t="s">
        <v>32</v>
      </c>
      <c r="DA333" s="16" t="s">
        <v>32</v>
      </c>
      <c r="DB333" s="17" t="s">
        <v>32</v>
      </c>
      <c r="DC333" s="18" t="s">
        <v>32</v>
      </c>
      <c r="DD333" s="19" t="s">
        <v>32</v>
      </c>
      <c r="DE333" s="17" t="s">
        <v>32</v>
      </c>
      <c r="DF333" s="18" t="s">
        <v>32</v>
      </c>
      <c r="DG333" s="19">
        <v>1</v>
      </c>
      <c r="DH333" s="17" t="s">
        <v>32</v>
      </c>
      <c r="DI333" s="20" t="s">
        <v>32</v>
      </c>
    </row>
    <row r="334" spans="2:113" ht="15" customHeight="1">
      <c r="B334" s="11" t="s">
        <v>32</v>
      </c>
      <c r="C334" s="7" t="s">
        <v>32</v>
      </c>
      <c r="D334" s="9" t="s">
        <v>32</v>
      </c>
      <c r="E334" s="8" t="s">
        <v>32</v>
      </c>
      <c r="F334" s="7" t="s">
        <v>32</v>
      </c>
      <c r="G334" s="9" t="s">
        <v>32</v>
      </c>
      <c r="H334" s="8" t="s">
        <v>32</v>
      </c>
      <c r="I334" s="7" t="s">
        <v>32</v>
      </c>
      <c r="J334" s="10" t="s">
        <v>32</v>
      </c>
      <c r="K334" s="11" t="s">
        <v>32</v>
      </c>
      <c r="L334" s="7" t="s">
        <v>32</v>
      </c>
      <c r="M334" s="9" t="s">
        <v>32</v>
      </c>
      <c r="N334" s="8" t="s">
        <v>32</v>
      </c>
      <c r="O334" s="7" t="s">
        <v>32</v>
      </c>
      <c r="P334" s="9">
        <v>0</v>
      </c>
      <c r="Q334" s="8" t="s">
        <v>32</v>
      </c>
      <c r="R334" s="204">
        <v>3</v>
      </c>
      <c r="S334" s="10" t="s">
        <v>32</v>
      </c>
      <c r="T334" s="11" t="s">
        <v>32</v>
      </c>
      <c r="U334" s="7" t="s">
        <v>32</v>
      </c>
      <c r="V334" s="9" t="s">
        <v>32</v>
      </c>
      <c r="W334" s="8" t="s">
        <v>32</v>
      </c>
      <c r="X334" s="7" t="s">
        <v>32</v>
      </c>
      <c r="Y334" s="9" t="s">
        <v>32</v>
      </c>
      <c r="Z334" s="8" t="s">
        <v>32</v>
      </c>
      <c r="AA334" s="7" t="s">
        <v>32</v>
      </c>
      <c r="AB334" s="10" t="s">
        <v>32</v>
      </c>
      <c r="AD334" s="11" t="s">
        <v>32</v>
      </c>
      <c r="AE334" s="7" t="s">
        <v>32</v>
      </c>
      <c r="AF334" s="9" t="s">
        <v>32</v>
      </c>
      <c r="AG334" s="8" t="s">
        <v>32</v>
      </c>
      <c r="AH334" s="7" t="s">
        <v>32</v>
      </c>
      <c r="AI334" s="9" t="s">
        <v>32</v>
      </c>
      <c r="AJ334" s="8" t="s">
        <v>32</v>
      </c>
      <c r="AK334" s="7" t="s">
        <v>32</v>
      </c>
      <c r="AL334" s="10" t="s">
        <v>32</v>
      </c>
      <c r="AM334" s="11" t="s">
        <v>32</v>
      </c>
      <c r="AN334" s="7" t="s">
        <v>32</v>
      </c>
      <c r="AO334" s="9" t="s">
        <v>32</v>
      </c>
      <c r="AP334" s="8" t="s">
        <v>32</v>
      </c>
      <c r="AQ334" s="7" t="s">
        <v>32</v>
      </c>
      <c r="AR334" s="9">
        <v>6</v>
      </c>
      <c r="AS334" s="8" t="s">
        <v>32</v>
      </c>
      <c r="AT334" s="204">
        <v>3</v>
      </c>
      <c r="AU334" s="10" t="s">
        <v>32</v>
      </c>
      <c r="AV334" s="11" t="s">
        <v>32</v>
      </c>
      <c r="AW334" s="7" t="s">
        <v>32</v>
      </c>
      <c r="AX334" s="9" t="s">
        <v>32</v>
      </c>
      <c r="AY334" s="8" t="s">
        <v>32</v>
      </c>
      <c r="AZ334" s="7" t="s">
        <v>32</v>
      </c>
      <c r="BA334" s="9" t="s">
        <v>32</v>
      </c>
      <c r="BB334" s="8" t="s">
        <v>32</v>
      </c>
      <c r="BC334" s="7" t="s">
        <v>32</v>
      </c>
      <c r="BD334" s="10" t="s">
        <v>32</v>
      </c>
      <c r="BG334" s="11" t="s">
        <v>32</v>
      </c>
      <c r="BH334" s="7" t="s">
        <v>32</v>
      </c>
      <c r="BI334" s="205">
        <v>9</v>
      </c>
      <c r="BJ334" s="8" t="s">
        <v>32</v>
      </c>
      <c r="BK334" s="7" t="s">
        <v>32</v>
      </c>
      <c r="BL334" s="9" t="s">
        <v>32</v>
      </c>
      <c r="BM334" s="8" t="s">
        <v>32</v>
      </c>
      <c r="BN334" s="7" t="s">
        <v>32</v>
      </c>
      <c r="BO334" s="10" t="s">
        <v>32</v>
      </c>
      <c r="BP334" s="11" t="s">
        <v>32</v>
      </c>
      <c r="BQ334" s="7" t="s">
        <v>32</v>
      </c>
      <c r="BR334" s="9" t="s">
        <v>32</v>
      </c>
      <c r="BS334" s="8" t="s">
        <v>32</v>
      </c>
      <c r="BT334" s="7" t="s">
        <v>32</v>
      </c>
      <c r="BU334" s="9" t="s">
        <v>32</v>
      </c>
      <c r="BV334" s="8" t="s">
        <v>32</v>
      </c>
      <c r="BW334" s="7" t="s">
        <v>32</v>
      </c>
      <c r="BX334" s="10" t="s">
        <v>32</v>
      </c>
      <c r="BY334" s="11" t="s">
        <v>32</v>
      </c>
      <c r="BZ334" s="7" t="s">
        <v>32</v>
      </c>
      <c r="CA334" s="9" t="s">
        <v>32</v>
      </c>
      <c r="CB334" s="8" t="s">
        <v>32</v>
      </c>
      <c r="CC334" s="7" t="s">
        <v>32</v>
      </c>
      <c r="CD334" s="9" t="s">
        <v>32</v>
      </c>
      <c r="CE334" s="8" t="s">
        <v>32</v>
      </c>
      <c r="CF334" s="7" t="s">
        <v>32</v>
      </c>
      <c r="CG334" s="10" t="s">
        <v>32</v>
      </c>
      <c r="CI334" s="11" t="s">
        <v>32</v>
      </c>
      <c r="CJ334" s="7" t="s">
        <v>32</v>
      </c>
      <c r="CK334" s="205">
        <v>9</v>
      </c>
      <c r="CL334" s="8" t="s">
        <v>32</v>
      </c>
      <c r="CM334" s="7" t="s">
        <v>32</v>
      </c>
      <c r="CN334" s="9" t="s">
        <v>32</v>
      </c>
      <c r="CO334" s="8" t="s">
        <v>32</v>
      </c>
      <c r="CP334" s="7" t="s">
        <v>32</v>
      </c>
      <c r="CQ334" s="10" t="s">
        <v>32</v>
      </c>
      <c r="CR334" s="11" t="s">
        <v>32</v>
      </c>
      <c r="CS334" s="7" t="s">
        <v>32</v>
      </c>
      <c r="CT334" s="9" t="s">
        <v>32</v>
      </c>
      <c r="CU334" s="8" t="s">
        <v>32</v>
      </c>
      <c r="CV334" s="7" t="s">
        <v>32</v>
      </c>
      <c r="CW334" s="9" t="s">
        <v>32</v>
      </c>
      <c r="CX334" s="8" t="s">
        <v>32</v>
      </c>
      <c r="CY334" s="7" t="s">
        <v>32</v>
      </c>
      <c r="CZ334" s="10" t="s">
        <v>32</v>
      </c>
      <c r="DA334" s="11" t="s">
        <v>32</v>
      </c>
      <c r="DB334" s="7" t="s">
        <v>32</v>
      </c>
      <c r="DC334" s="9" t="s">
        <v>32</v>
      </c>
      <c r="DD334" s="8" t="s">
        <v>32</v>
      </c>
      <c r="DE334" s="7" t="s">
        <v>32</v>
      </c>
      <c r="DF334" s="9" t="s">
        <v>32</v>
      </c>
      <c r="DG334" s="8" t="s">
        <v>32</v>
      </c>
      <c r="DH334" s="7" t="s">
        <v>32</v>
      </c>
      <c r="DI334" s="10" t="s">
        <v>32</v>
      </c>
    </row>
    <row r="335" spans="2:113" ht="15" customHeight="1" thickBot="1">
      <c r="B335" s="21" t="s">
        <v>32</v>
      </c>
      <c r="C335" s="22" t="s">
        <v>32</v>
      </c>
      <c r="D335" s="23" t="s">
        <v>32</v>
      </c>
      <c r="E335" s="24" t="s">
        <v>32</v>
      </c>
      <c r="F335" s="22" t="s">
        <v>32</v>
      </c>
      <c r="G335" s="23" t="s">
        <v>32</v>
      </c>
      <c r="H335" s="24" t="s">
        <v>32</v>
      </c>
      <c r="I335" s="22" t="s">
        <v>32</v>
      </c>
      <c r="J335" s="25" t="s">
        <v>32</v>
      </c>
      <c r="K335" s="21" t="s">
        <v>32</v>
      </c>
      <c r="L335" s="22" t="s">
        <v>32</v>
      </c>
      <c r="M335" s="23" t="s">
        <v>32</v>
      </c>
      <c r="N335" s="24" t="s">
        <v>32</v>
      </c>
      <c r="O335" s="22" t="s">
        <v>32</v>
      </c>
      <c r="P335" s="23" t="s">
        <v>32</v>
      </c>
      <c r="Q335" s="24">
        <v>0</v>
      </c>
      <c r="R335" s="22" t="s">
        <v>32</v>
      </c>
      <c r="S335" s="25" t="s">
        <v>32</v>
      </c>
      <c r="T335" s="21" t="s">
        <v>32</v>
      </c>
      <c r="U335" s="22" t="s">
        <v>32</v>
      </c>
      <c r="V335" s="23" t="s">
        <v>32</v>
      </c>
      <c r="W335" s="24" t="s">
        <v>32</v>
      </c>
      <c r="X335" s="22" t="s">
        <v>32</v>
      </c>
      <c r="Y335" s="23" t="s">
        <v>32</v>
      </c>
      <c r="Z335" s="24" t="s">
        <v>32</v>
      </c>
      <c r="AA335" s="22" t="s">
        <v>32</v>
      </c>
      <c r="AB335" s="25" t="s">
        <v>32</v>
      </c>
      <c r="AD335" s="21" t="s">
        <v>32</v>
      </c>
      <c r="AE335" s="22" t="s">
        <v>32</v>
      </c>
      <c r="AF335" s="23" t="s">
        <v>32</v>
      </c>
      <c r="AG335" s="24" t="s">
        <v>32</v>
      </c>
      <c r="AH335" s="22" t="s">
        <v>32</v>
      </c>
      <c r="AI335" s="23" t="s">
        <v>32</v>
      </c>
      <c r="AJ335" s="24" t="s">
        <v>32</v>
      </c>
      <c r="AK335" s="22" t="s">
        <v>32</v>
      </c>
      <c r="AL335" s="25" t="s">
        <v>32</v>
      </c>
      <c r="AM335" s="21" t="s">
        <v>32</v>
      </c>
      <c r="AN335" s="22" t="s">
        <v>32</v>
      </c>
      <c r="AO335" s="23" t="s">
        <v>32</v>
      </c>
      <c r="AP335" s="24" t="s">
        <v>32</v>
      </c>
      <c r="AQ335" s="22" t="s">
        <v>32</v>
      </c>
      <c r="AR335" s="23" t="s">
        <v>32</v>
      </c>
      <c r="AS335" s="24">
        <v>5</v>
      </c>
      <c r="AT335" s="22" t="s">
        <v>32</v>
      </c>
      <c r="AU335" s="25" t="s">
        <v>32</v>
      </c>
      <c r="AV335" s="21" t="s">
        <v>32</v>
      </c>
      <c r="AW335" s="22" t="s">
        <v>32</v>
      </c>
      <c r="AX335" s="23" t="s">
        <v>32</v>
      </c>
      <c r="AY335" s="24" t="s">
        <v>32</v>
      </c>
      <c r="AZ335" s="22" t="s">
        <v>32</v>
      </c>
      <c r="BA335" s="23" t="s">
        <v>32</v>
      </c>
      <c r="BB335" s="24" t="s">
        <v>32</v>
      </c>
      <c r="BC335" s="22" t="s">
        <v>32</v>
      </c>
      <c r="BD335" s="25" t="s">
        <v>32</v>
      </c>
      <c r="BG335" s="21" t="s">
        <v>32</v>
      </c>
      <c r="BH335" s="22" t="s">
        <v>32</v>
      </c>
      <c r="BI335" s="23" t="s">
        <v>32</v>
      </c>
      <c r="BJ335" s="24" t="s">
        <v>32</v>
      </c>
      <c r="BK335" s="22" t="s">
        <v>32</v>
      </c>
      <c r="BL335" s="23" t="s">
        <v>32</v>
      </c>
      <c r="BM335" s="24" t="s">
        <v>32</v>
      </c>
      <c r="BN335" s="22" t="s">
        <v>32</v>
      </c>
      <c r="BO335" s="25" t="s">
        <v>32</v>
      </c>
      <c r="BP335" s="21" t="s">
        <v>32</v>
      </c>
      <c r="BQ335" s="22" t="s">
        <v>32</v>
      </c>
      <c r="BR335" s="23" t="s">
        <v>32</v>
      </c>
      <c r="BS335" s="24" t="s">
        <v>32</v>
      </c>
      <c r="BT335" s="22" t="s">
        <v>32</v>
      </c>
      <c r="BU335" s="23" t="s">
        <v>32</v>
      </c>
      <c r="BV335" s="24" t="s">
        <v>32</v>
      </c>
      <c r="BW335" s="22" t="s">
        <v>32</v>
      </c>
      <c r="BX335" s="25" t="s">
        <v>32</v>
      </c>
      <c r="BY335" s="21" t="s">
        <v>32</v>
      </c>
      <c r="BZ335" s="22" t="s">
        <v>32</v>
      </c>
      <c r="CA335" s="23" t="s">
        <v>32</v>
      </c>
      <c r="CB335" s="24" t="s">
        <v>32</v>
      </c>
      <c r="CC335" s="22" t="s">
        <v>32</v>
      </c>
      <c r="CD335" s="23" t="s">
        <v>32</v>
      </c>
      <c r="CE335" s="24" t="s">
        <v>32</v>
      </c>
      <c r="CF335" s="22" t="s">
        <v>32</v>
      </c>
      <c r="CG335" s="25" t="s">
        <v>32</v>
      </c>
      <c r="CI335" s="21" t="s">
        <v>32</v>
      </c>
      <c r="CJ335" s="22" t="s">
        <v>32</v>
      </c>
      <c r="CK335" s="23" t="s">
        <v>32</v>
      </c>
      <c r="CL335" s="24" t="s">
        <v>32</v>
      </c>
      <c r="CM335" s="22" t="s">
        <v>32</v>
      </c>
      <c r="CN335" s="23" t="s">
        <v>32</v>
      </c>
      <c r="CO335" s="24" t="s">
        <v>32</v>
      </c>
      <c r="CP335" s="22" t="s">
        <v>32</v>
      </c>
      <c r="CQ335" s="25" t="s">
        <v>32</v>
      </c>
      <c r="CR335" s="21" t="s">
        <v>32</v>
      </c>
      <c r="CS335" s="22" t="s">
        <v>32</v>
      </c>
      <c r="CT335" s="23" t="s">
        <v>32</v>
      </c>
      <c r="CU335" s="24" t="s">
        <v>32</v>
      </c>
      <c r="CV335" s="22" t="s">
        <v>32</v>
      </c>
      <c r="CW335" s="23" t="s">
        <v>32</v>
      </c>
      <c r="CX335" s="24" t="s">
        <v>32</v>
      </c>
      <c r="CY335" s="22" t="s">
        <v>32</v>
      </c>
      <c r="CZ335" s="25" t="s">
        <v>32</v>
      </c>
      <c r="DA335" s="21" t="s">
        <v>32</v>
      </c>
      <c r="DB335" s="22" t="s">
        <v>32</v>
      </c>
      <c r="DC335" s="23" t="s">
        <v>32</v>
      </c>
      <c r="DD335" s="24" t="s">
        <v>32</v>
      </c>
      <c r="DE335" s="22" t="s">
        <v>32</v>
      </c>
      <c r="DF335" s="23" t="s">
        <v>32</v>
      </c>
      <c r="DG335" s="24" t="s">
        <v>32</v>
      </c>
      <c r="DH335" s="22" t="s">
        <v>32</v>
      </c>
      <c r="DI335" s="25" t="s">
        <v>32</v>
      </c>
    </row>
    <row r="336" spans="2:113" ht="15" customHeight="1">
      <c r="B336" s="2" t="s">
        <v>32</v>
      </c>
      <c r="C336" s="5" t="s">
        <v>32</v>
      </c>
      <c r="D336" s="3" t="s">
        <v>32</v>
      </c>
      <c r="E336" s="4" t="s">
        <v>32</v>
      </c>
      <c r="F336" s="5" t="s">
        <v>32</v>
      </c>
      <c r="G336" s="3" t="s">
        <v>32</v>
      </c>
      <c r="H336" s="4" t="s">
        <v>32</v>
      </c>
      <c r="I336" s="5" t="s">
        <v>32</v>
      </c>
      <c r="J336" s="6" t="s">
        <v>32</v>
      </c>
      <c r="K336" s="2" t="s">
        <v>32</v>
      </c>
      <c r="L336" s="5" t="s">
        <v>32</v>
      </c>
      <c r="M336" s="3" t="s">
        <v>32</v>
      </c>
      <c r="N336" s="4" t="s">
        <v>32</v>
      </c>
      <c r="O336" s="5" t="s">
        <v>32</v>
      </c>
      <c r="P336" s="3" t="s">
        <v>32</v>
      </c>
      <c r="Q336" s="4" t="s">
        <v>32</v>
      </c>
      <c r="R336" s="5" t="s">
        <v>32</v>
      </c>
      <c r="S336" s="6" t="s">
        <v>32</v>
      </c>
      <c r="T336" s="2" t="s">
        <v>32</v>
      </c>
      <c r="U336" s="5" t="s">
        <v>32</v>
      </c>
      <c r="V336" s="3" t="s">
        <v>32</v>
      </c>
      <c r="W336" s="4" t="s">
        <v>32</v>
      </c>
      <c r="X336" s="5" t="s">
        <v>32</v>
      </c>
      <c r="Y336" s="3" t="s">
        <v>32</v>
      </c>
      <c r="Z336" s="4" t="s">
        <v>32</v>
      </c>
      <c r="AA336" s="5" t="s">
        <v>32</v>
      </c>
      <c r="AB336" s="6" t="s">
        <v>32</v>
      </c>
      <c r="AD336" s="2" t="s">
        <v>32</v>
      </c>
      <c r="AE336" s="5" t="s">
        <v>32</v>
      </c>
      <c r="AF336" s="3" t="s">
        <v>32</v>
      </c>
      <c r="AG336" s="4" t="s">
        <v>32</v>
      </c>
      <c r="AH336" s="5" t="s">
        <v>32</v>
      </c>
      <c r="AI336" s="3" t="s">
        <v>32</v>
      </c>
      <c r="AJ336" s="4" t="s">
        <v>32</v>
      </c>
      <c r="AK336" s="5" t="s">
        <v>32</v>
      </c>
      <c r="AL336" s="6" t="s">
        <v>32</v>
      </c>
      <c r="AM336" s="2" t="s">
        <v>32</v>
      </c>
      <c r="AN336" s="5" t="s">
        <v>32</v>
      </c>
      <c r="AO336" s="3" t="s">
        <v>32</v>
      </c>
      <c r="AP336" s="4" t="s">
        <v>32</v>
      </c>
      <c r="AQ336" s="5" t="s">
        <v>32</v>
      </c>
      <c r="AR336" s="3" t="s">
        <v>32</v>
      </c>
      <c r="AS336" s="4" t="s">
        <v>32</v>
      </c>
      <c r="AT336" s="5" t="s">
        <v>32</v>
      </c>
      <c r="AU336" s="6" t="s">
        <v>32</v>
      </c>
      <c r="AV336" s="2" t="s">
        <v>32</v>
      </c>
      <c r="AW336" s="5" t="s">
        <v>32</v>
      </c>
      <c r="AX336" s="3" t="s">
        <v>32</v>
      </c>
      <c r="AY336" s="4" t="s">
        <v>32</v>
      </c>
      <c r="AZ336" s="5" t="s">
        <v>32</v>
      </c>
      <c r="BA336" s="3" t="s">
        <v>32</v>
      </c>
      <c r="BB336" s="4" t="s">
        <v>32</v>
      </c>
      <c r="BC336" s="5" t="s">
        <v>32</v>
      </c>
      <c r="BD336" s="6" t="s">
        <v>32</v>
      </c>
      <c r="BG336" s="2" t="s">
        <v>32</v>
      </c>
      <c r="BH336" s="5" t="s">
        <v>32</v>
      </c>
      <c r="BI336" s="3" t="s">
        <v>32</v>
      </c>
      <c r="BJ336" s="4" t="s">
        <v>32</v>
      </c>
      <c r="BK336" s="5" t="s">
        <v>32</v>
      </c>
      <c r="BL336" s="3" t="s">
        <v>32</v>
      </c>
      <c r="BM336" s="4" t="s">
        <v>32</v>
      </c>
      <c r="BN336" s="5" t="s">
        <v>32</v>
      </c>
      <c r="BO336" s="6" t="s">
        <v>32</v>
      </c>
      <c r="BP336" s="2" t="s">
        <v>32</v>
      </c>
      <c r="BQ336" s="5" t="s">
        <v>32</v>
      </c>
      <c r="BR336" s="3" t="s">
        <v>32</v>
      </c>
      <c r="BS336" s="4" t="s">
        <v>32</v>
      </c>
      <c r="BT336" s="5" t="s">
        <v>32</v>
      </c>
      <c r="BU336" s="3" t="s">
        <v>32</v>
      </c>
      <c r="BV336" s="4" t="s">
        <v>32</v>
      </c>
      <c r="BW336" s="5" t="s">
        <v>32</v>
      </c>
      <c r="BX336" s="6" t="s">
        <v>32</v>
      </c>
      <c r="BY336" s="2" t="s">
        <v>32</v>
      </c>
      <c r="BZ336" s="5" t="s">
        <v>32</v>
      </c>
      <c r="CA336" s="3" t="s">
        <v>32</v>
      </c>
      <c r="CB336" s="4" t="s">
        <v>32</v>
      </c>
      <c r="CC336" s="5" t="s">
        <v>32</v>
      </c>
      <c r="CD336" s="3" t="s">
        <v>32</v>
      </c>
      <c r="CE336" s="4" t="s">
        <v>32</v>
      </c>
      <c r="CF336" s="5" t="s">
        <v>32</v>
      </c>
      <c r="CG336" s="6" t="s">
        <v>32</v>
      </c>
      <c r="CI336" s="2" t="s">
        <v>32</v>
      </c>
      <c r="CJ336" s="5" t="s">
        <v>32</v>
      </c>
      <c r="CK336" s="3" t="s">
        <v>32</v>
      </c>
      <c r="CL336" s="4" t="s">
        <v>32</v>
      </c>
      <c r="CM336" s="5" t="s">
        <v>32</v>
      </c>
      <c r="CN336" s="3" t="s">
        <v>32</v>
      </c>
      <c r="CO336" s="4" t="s">
        <v>32</v>
      </c>
      <c r="CP336" s="5" t="s">
        <v>32</v>
      </c>
      <c r="CQ336" s="6" t="s">
        <v>32</v>
      </c>
      <c r="CR336" s="2" t="s">
        <v>32</v>
      </c>
      <c r="CS336" s="5" t="s">
        <v>32</v>
      </c>
      <c r="CT336" s="3" t="s">
        <v>32</v>
      </c>
      <c r="CU336" s="4" t="s">
        <v>32</v>
      </c>
      <c r="CV336" s="5" t="s">
        <v>32</v>
      </c>
      <c r="CW336" s="3" t="s">
        <v>32</v>
      </c>
      <c r="CX336" s="4" t="s">
        <v>32</v>
      </c>
      <c r="CY336" s="5" t="s">
        <v>32</v>
      </c>
      <c r="CZ336" s="6" t="s">
        <v>32</v>
      </c>
      <c r="DA336" s="2" t="s">
        <v>32</v>
      </c>
      <c r="DB336" s="5" t="s">
        <v>32</v>
      </c>
      <c r="DC336" s="3" t="s">
        <v>32</v>
      </c>
      <c r="DD336" s="4" t="s">
        <v>32</v>
      </c>
      <c r="DE336" s="5" t="s">
        <v>32</v>
      </c>
      <c r="DF336" s="3" t="s">
        <v>32</v>
      </c>
      <c r="DG336" s="4" t="s">
        <v>32</v>
      </c>
      <c r="DH336" s="5" t="s">
        <v>32</v>
      </c>
      <c r="DI336" s="6" t="s">
        <v>32</v>
      </c>
    </row>
    <row r="337" spans="2:113" ht="15" customHeight="1">
      <c r="B337" s="11" t="s">
        <v>32</v>
      </c>
      <c r="C337" s="7" t="s">
        <v>32</v>
      </c>
      <c r="D337" s="9" t="s">
        <v>32</v>
      </c>
      <c r="E337" s="8" t="s">
        <v>32</v>
      </c>
      <c r="F337" s="7" t="s">
        <v>32</v>
      </c>
      <c r="G337" s="9" t="s">
        <v>32</v>
      </c>
      <c r="H337" s="8" t="s">
        <v>32</v>
      </c>
      <c r="I337" s="7" t="s">
        <v>32</v>
      </c>
      <c r="J337" s="10" t="s">
        <v>32</v>
      </c>
      <c r="K337" s="11" t="s">
        <v>32</v>
      </c>
      <c r="L337" s="7" t="s">
        <v>32</v>
      </c>
      <c r="M337" s="9" t="s">
        <v>32</v>
      </c>
      <c r="N337" s="8" t="s">
        <v>32</v>
      </c>
      <c r="O337" s="7" t="s">
        <v>32</v>
      </c>
      <c r="P337" s="9" t="s">
        <v>32</v>
      </c>
      <c r="Q337" s="8" t="s">
        <v>32</v>
      </c>
      <c r="R337" s="7" t="s">
        <v>32</v>
      </c>
      <c r="S337" s="10" t="s">
        <v>32</v>
      </c>
      <c r="T337" s="11" t="s">
        <v>32</v>
      </c>
      <c r="U337" s="7" t="s">
        <v>32</v>
      </c>
      <c r="V337" s="9" t="s">
        <v>32</v>
      </c>
      <c r="W337" s="8" t="s">
        <v>32</v>
      </c>
      <c r="X337" s="7" t="s">
        <v>32</v>
      </c>
      <c r="Y337" s="9" t="s">
        <v>32</v>
      </c>
      <c r="Z337" s="8" t="s">
        <v>32</v>
      </c>
      <c r="AA337" s="7" t="s">
        <v>32</v>
      </c>
      <c r="AB337" s="10" t="s">
        <v>32</v>
      </c>
      <c r="AD337" s="11" t="s">
        <v>32</v>
      </c>
      <c r="AE337" s="7" t="s">
        <v>32</v>
      </c>
      <c r="AF337" s="9" t="s">
        <v>32</v>
      </c>
      <c r="AG337" s="8" t="s">
        <v>32</v>
      </c>
      <c r="AH337" s="7" t="s">
        <v>32</v>
      </c>
      <c r="AI337" s="9" t="s">
        <v>32</v>
      </c>
      <c r="AJ337" s="8" t="s">
        <v>32</v>
      </c>
      <c r="AK337" s="7" t="s">
        <v>32</v>
      </c>
      <c r="AL337" s="10" t="s">
        <v>32</v>
      </c>
      <c r="AM337" s="11" t="s">
        <v>32</v>
      </c>
      <c r="AN337" s="7" t="s">
        <v>32</v>
      </c>
      <c r="AO337" s="9" t="s">
        <v>32</v>
      </c>
      <c r="AP337" s="8" t="s">
        <v>32</v>
      </c>
      <c r="AQ337" s="7" t="s">
        <v>32</v>
      </c>
      <c r="AR337" s="9" t="s">
        <v>32</v>
      </c>
      <c r="AS337" s="8" t="s">
        <v>32</v>
      </c>
      <c r="AT337" s="7" t="s">
        <v>32</v>
      </c>
      <c r="AU337" s="10" t="s">
        <v>32</v>
      </c>
      <c r="AV337" s="11" t="s">
        <v>32</v>
      </c>
      <c r="AW337" s="7" t="s">
        <v>32</v>
      </c>
      <c r="AX337" s="9" t="s">
        <v>32</v>
      </c>
      <c r="AY337" s="8" t="s">
        <v>32</v>
      </c>
      <c r="AZ337" s="7" t="s">
        <v>32</v>
      </c>
      <c r="BA337" s="9" t="s">
        <v>32</v>
      </c>
      <c r="BB337" s="8" t="s">
        <v>32</v>
      </c>
      <c r="BC337" s="7" t="s">
        <v>32</v>
      </c>
      <c r="BD337" s="10" t="s">
        <v>32</v>
      </c>
      <c r="BG337" s="11" t="s">
        <v>32</v>
      </c>
      <c r="BH337" s="7" t="s">
        <v>32</v>
      </c>
      <c r="BI337" s="9" t="s">
        <v>32</v>
      </c>
      <c r="BJ337" s="8" t="s">
        <v>32</v>
      </c>
      <c r="BK337" s="7" t="s">
        <v>32</v>
      </c>
      <c r="BL337" s="9" t="s">
        <v>32</v>
      </c>
      <c r="BM337" s="8" t="s">
        <v>32</v>
      </c>
      <c r="BN337" s="7" t="s">
        <v>32</v>
      </c>
      <c r="BO337" s="10" t="s">
        <v>32</v>
      </c>
      <c r="BP337" s="11" t="s">
        <v>32</v>
      </c>
      <c r="BQ337" s="7" t="s">
        <v>32</v>
      </c>
      <c r="BR337" s="9" t="s">
        <v>32</v>
      </c>
      <c r="BS337" s="8" t="s">
        <v>32</v>
      </c>
      <c r="BT337" s="7" t="s">
        <v>32</v>
      </c>
      <c r="BU337" s="9" t="s">
        <v>32</v>
      </c>
      <c r="BV337" s="8" t="s">
        <v>32</v>
      </c>
      <c r="BW337" s="7" t="s">
        <v>32</v>
      </c>
      <c r="BX337" s="10" t="s">
        <v>32</v>
      </c>
      <c r="BY337" s="11" t="s">
        <v>32</v>
      </c>
      <c r="BZ337" s="7" t="s">
        <v>32</v>
      </c>
      <c r="CA337" s="9" t="s">
        <v>32</v>
      </c>
      <c r="CB337" s="8" t="s">
        <v>32</v>
      </c>
      <c r="CC337" s="7" t="s">
        <v>32</v>
      </c>
      <c r="CD337" s="9" t="s">
        <v>32</v>
      </c>
      <c r="CE337" s="8" t="s">
        <v>32</v>
      </c>
      <c r="CF337" s="7" t="s">
        <v>32</v>
      </c>
      <c r="CG337" s="10" t="s">
        <v>32</v>
      </c>
      <c r="CI337" s="11" t="s">
        <v>32</v>
      </c>
      <c r="CJ337" s="7" t="s">
        <v>32</v>
      </c>
      <c r="CK337" s="9" t="s">
        <v>32</v>
      </c>
      <c r="CL337" s="8" t="s">
        <v>32</v>
      </c>
      <c r="CM337" s="7" t="s">
        <v>32</v>
      </c>
      <c r="CN337" s="9" t="s">
        <v>32</v>
      </c>
      <c r="CO337" s="8" t="s">
        <v>32</v>
      </c>
      <c r="CP337" s="7" t="s">
        <v>32</v>
      </c>
      <c r="CQ337" s="10" t="s">
        <v>32</v>
      </c>
      <c r="CR337" s="11" t="s">
        <v>32</v>
      </c>
      <c r="CS337" s="7" t="s">
        <v>32</v>
      </c>
      <c r="CT337" s="9" t="s">
        <v>32</v>
      </c>
      <c r="CU337" s="8" t="s">
        <v>32</v>
      </c>
      <c r="CV337" s="7" t="s">
        <v>32</v>
      </c>
      <c r="CW337" s="9" t="s">
        <v>32</v>
      </c>
      <c r="CX337" s="8" t="s">
        <v>32</v>
      </c>
      <c r="CY337" s="7" t="s">
        <v>32</v>
      </c>
      <c r="CZ337" s="10" t="s">
        <v>32</v>
      </c>
      <c r="DA337" s="11" t="s">
        <v>32</v>
      </c>
      <c r="DB337" s="7" t="s">
        <v>32</v>
      </c>
      <c r="DC337" s="9" t="s">
        <v>32</v>
      </c>
      <c r="DD337" s="8" t="s">
        <v>32</v>
      </c>
      <c r="DE337" s="7" t="s">
        <v>32</v>
      </c>
      <c r="DF337" s="9" t="s">
        <v>32</v>
      </c>
      <c r="DG337" s="8" t="s">
        <v>32</v>
      </c>
      <c r="DH337" s="7" t="s">
        <v>32</v>
      </c>
      <c r="DI337" s="10" t="s">
        <v>32</v>
      </c>
    </row>
    <row r="338" spans="2:113" ht="15" customHeight="1">
      <c r="B338" s="12" t="s">
        <v>32</v>
      </c>
      <c r="C338" s="13" t="s">
        <v>32</v>
      </c>
      <c r="D338" s="15" t="s">
        <v>32</v>
      </c>
      <c r="E338" s="14" t="s">
        <v>32</v>
      </c>
      <c r="F338" s="13" t="s">
        <v>32</v>
      </c>
      <c r="G338" s="15" t="s">
        <v>32</v>
      </c>
      <c r="H338" s="14" t="s">
        <v>32</v>
      </c>
      <c r="I338" s="13" t="s">
        <v>32</v>
      </c>
      <c r="J338" s="1" t="s">
        <v>32</v>
      </c>
      <c r="K338" s="12" t="s">
        <v>32</v>
      </c>
      <c r="L338" s="13" t="s">
        <v>32</v>
      </c>
      <c r="M338" s="15" t="s">
        <v>32</v>
      </c>
      <c r="N338" s="14" t="s">
        <v>32</v>
      </c>
      <c r="O338" s="13" t="s">
        <v>32</v>
      </c>
      <c r="P338" s="15" t="s">
        <v>32</v>
      </c>
      <c r="Q338" s="14" t="s">
        <v>32</v>
      </c>
      <c r="R338" s="13" t="s">
        <v>32</v>
      </c>
      <c r="S338" s="1" t="s">
        <v>32</v>
      </c>
      <c r="T338" s="12" t="s">
        <v>32</v>
      </c>
      <c r="U338" s="13" t="s">
        <v>32</v>
      </c>
      <c r="V338" s="15" t="s">
        <v>32</v>
      </c>
      <c r="W338" s="14" t="s">
        <v>32</v>
      </c>
      <c r="X338" s="13" t="s">
        <v>32</v>
      </c>
      <c r="Y338" s="15" t="s">
        <v>32</v>
      </c>
      <c r="Z338" s="14" t="s">
        <v>32</v>
      </c>
      <c r="AA338" s="13" t="s">
        <v>32</v>
      </c>
      <c r="AB338" s="1" t="s">
        <v>32</v>
      </c>
      <c r="AD338" s="12" t="s">
        <v>32</v>
      </c>
      <c r="AE338" s="13" t="s">
        <v>32</v>
      </c>
      <c r="AF338" s="15" t="s">
        <v>32</v>
      </c>
      <c r="AG338" s="14" t="s">
        <v>32</v>
      </c>
      <c r="AH338" s="13" t="s">
        <v>32</v>
      </c>
      <c r="AI338" s="15" t="s">
        <v>32</v>
      </c>
      <c r="AJ338" s="14" t="s">
        <v>32</v>
      </c>
      <c r="AK338" s="13" t="s">
        <v>32</v>
      </c>
      <c r="AL338" s="1" t="s">
        <v>32</v>
      </c>
      <c r="AM338" s="12" t="s">
        <v>32</v>
      </c>
      <c r="AN338" s="13" t="s">
        <v>32</v>
      </c>
      <c r="AO338" s="15" t="s">
        <v>32</v>
      </c>
      <c r="AP338" s="14" t="s">
        <v>32</v>
      </c>
      <c r="AQ338" s="13" t="s">
        <v>32</v>
      </c>
      <c r="AR338" s="15" t="s">
        <v>32</v>
      </c>
      <c r="AS338" s="14" t="s">
        <v>32</v>
      </c>
      <c r="AT338" s="13" t="s">
        <v>32</v>
      </c>
      <c r="AU338" s="1" t="s">
        <v>32</v>
      </c>
      <c r="AV338" s="12" t="s">
        <v>32</v>
      </c>
      <c r="AW338" s="13" t="s">
        <v>32</v>
      </c>
      <c r="AX338" s="15" t="s">
        <v>32</v>
      </c>
      <c r="AY338" s="14" t="s">
        <v>32</v>
      </c>
      <c r="AZ338" s="13" t="s">
        <v>32</v>
      </c>
      <c r="BA338" s="15" t="s">
        <v>32</v>
      </c>
      <c r="BB338" s="14" t="s">
        <v>32</v>
      </c>
      <c r="BC338" s="13" t="s">
        <v>32</v>
      </c>
      <c r="BD338" s="1" t="s">
        <v>32</v>
      </c>
      <c r="BG338" s="12" t="s">
        <v>32</v>
      </c>
      <c r="BH338" s="13" t="s">
        <v>32</v>
      </c>
      <c r="BI338" s="15" t="s">
        <v>32</v>
      </c>
      <c r="BJ338" s="14" t="s">
        <v>32</v>
      </c>
      <c r="BK338" s="13" t="s">
        <v>32</v>
      </c>
      <c r="BL338" s="15" t="s">
        <v>32</v>
      </c>
      <c r="BM338" s="14" t="s">
        <v>32</v>
      </c>
      <c r="BN338" s="13" t="s">
        <v>32</v>
      </c>
      <c r="BO338" s="1" t="s">
        <v>32</v>
      </c>
      <c r="BP338" s="12" t="s">
        <v>32</v>
      </c>
      <c r="BQ338" s="13" t="s">
        <v>32</v>
      </c>
      <c r="BR338" s="15" t="s">
        <v>32</v>
      </c>
      <c r="BS338" s="14" t="s">
        <v>32</v>
      </c>
      <c r="BT338" s="13" t="s">
        <v>32</v>
      </c>
      <c r="BU338" s="15">
        <v>0</v>
      </c>
      <c r="BV338" s="14" t="s">
        <v>32</v>
      </c>
      <c r="BW338" s="13" t="s">
        <v>32</v>
      </c>
      <c r="BX338" s="1" t="s">
        <v>32</v>
      </c>
      <c r="BY338" s="12" t="s">
        <v>32</v>
      </c>
      <c r="BZ338" s="13" t="s">
        <v>32</v>
      </c>
      <c r="CA338" s="15" t="s">
        <v>32</v>
      </c>
      <c r="CB338" s="14" t="s">
        <v>32</v>
      </c>
      <c r="CC338" s="13" t="s">
        <v>32</v>
      </c>
      <c r="CD338" s="15" t="s">
        <v>32</v>
      </c>
      <c r="CE338" s="14" t="s">
        <v>32</v>
      </c>
      <c r="CF338" s="13" t="s">
        <v>32</v>
      </c>
      <c r="CG338" s="1" t="s">
        <v>32</v>
      </c>
      <c r="CI338" s="12" t="s">
        <v>32</v>
      </c>
      <c r="CJ338" s="13" t="s">
        <v>32</v>
      </c>
      <c r="CK338" s="15" t="s">
        <v>32</v>
      </c>
      <c r="CL338" s="14" t="s">
        <v>32</v>
      </c>
      <c r="CM338" s="13" t="s">
        <v>32</v>
      </c>
      <c r="CN338" s="15" t="s">
        <v>32</v>
      </c>
      <c r="CO338" s="14" t="s">
        <v>32</v>
      </c>
      <c r="CP338" s="13" t="s">
        <v>32</v>
      </c>
      <c r="CQ338" s="1" t="s">
        <v>32</v>
      </c>
      <c r="CR338" s="12" t="s">
        <v>32</v>
      </c>
      <c r="CS338" s="13" t="s">
        <v>32</v>
      </c>
      <c r="CT338" s="15" t="s">
        <v>32</v>
      </c>
      <c r="CU338" s="14" t="s">
        <v>32</v>
      </c>
      <c r="CV338" s="13" t="s">
        <v>32</v>
      </c>
      <c r="CW338" s="15">
        <v>7</v>
      </c>
      <c r="CX338" s="14" t="s">
        <v>32</v>
      </c>
      <c r="CY338" s="13" t="s">
        <v>32</v>
      </c>
      <c r="CZ338" s="1" t="s">
        <v>32</v>
      </c>
      <c r="DA338" s="12" t="s">
        <v>32</v>
      </c>
      <c r="DB338" s="13" t="s">
        <v>32</v>
      </c>
      <c r="DC338" s="15" t="s">
        <v>32</v>
      </c>
      <c r="DD338" s="14" t="s">
        <v>32</v>
      </c>
      <c r="DE338" s="13" t="s">
        <v>32</v>
      </c>
      <c r="DF338" s="15" t="s">
        <v>32</v>
      </c>
      <c r="DG338" s="14" t="s">
        <v>32</v>
      </c>
      <c r="DH338" s="13" t="s">
        <v>32</v>
      </c>
      <c r="DI338" s="1" t="s">
        <v>32</v>
      </c>
    </row>
    <row r="339" spans="2:113" ht="15" customHeight="1">
      <c r="B339" s="16" t="s">
        <v>32</v>
      </c>
      <c r="C339" s="17" t="s">
        <v>32</v>
      </c>
      <c r="D339" s="18" t="s">
        <v>32</v>
      </c>
      <c r="E339" s="19" t="s">
        <v>32</v>
      </c>
      <c r="F339" s="17" t="s">
        <v>32</v>
      </c>
      <c r="G339" s="18" t="s">
        <v>32</v>
      </c>
      <c r="H339" s="19" t="s">
        <v>32</v>
      </c>
      <c r="I339" s="17" t="s">
        <v>32</v>
      </c>
      <c r="J339" s="20" t="s">
        <v>32</v>
      </c>
      <c r="K339" s="16" t="s">
        <v>32</v>
      </c>
      <c r="L339" s="17" t="s">
        <v>32</v>
      </c>
      <c r="M339" s="18" t="s">
        <v>32</v>
      </c>
      <c r="N339" s="19" t="s">
        <v>32</v>
      </c>
      <c r="O339" s="17">
        <v>0</v>
      </c>
      <c r="P339" s="18" t="s">
        <v>32</v>
      </c>
      <c r="Q339" s="19" t="s">
        <v>32</v>
      </c>
      <c r="R339" s="17" t="s">
        <v>32</v>
      </c>
      <c r="S339" s="20" t="s">
        <v>32</v>
      </c>
      <c r="T339" s="16" t="s">
        <v>32</v>
      </c>
      <c r="U339" s="17" t="s">
        <v>32</v>
      </c>
      <c r="V339" s="18" t="s">
        <v>32</v>
      </c>
      <c r="W339" s="19" t="s">
        <v>32</v>
      </c>
      <c r="X339" s="17" t="s">
        <v>32</v>
      </c>
      <c r="Y339" s="18" t="s">
        <v>32</v>
      </c>
      <c r="Z339" s="19" t="s">
        <v>32</v>
      </c>
      <c r="AA339" s="17" t="s">
        <v>32</v>
      </c>
      <c r="AB339" s="20" t="s">
        <v>32</v>
      </c>
      <c r="AD339" s="16" t="s">
        <v>32</v>
      </c>
      <c r="AE339" s="17" t="s">
        <v>32</v>
      </c>
      <c r="AF339" s="18" t="s">
        <v>32</v>
      </c>
      <c r="AG339" s="19" t="s">
        <v>32</v>
      </c>
      <c r="AH339" s="17" t="s">
        <v>32</v>
      </c>
      <c r="AI339" s="18" t="s">
        <v>32</v>
      </c>
      <c r="AJ339" s="19" t="s">
        <v>32</v>
      </c>
      <c r="AK339" s="17" t="s">
        <v>32</v>
      </c>
      <c r="AL339" s="20" t="s">
        <v>32</v>
      </c>
      <c r="AM339" s="16" t="s">
        <v>32</v>
      </c>
      <c r="AN339" s="17" t="s">
        <v>32</v>
      </c>
      <c r="AO339" s="18" t="s">
        <v>32</v>
      </c>
      <c r="AP339" s="19" t="s">
        <v>32</v>
      </c>
      <c r="AQ339" s="17">
        <v>3</v>
      </c>
      <c r="AR339" s="18" t="s">
        <v>32</v>
      </c>
      <c r="AS339" s="19" t="s">
        <v>32</v>
      </c>
      <c r="AT339" s="17" t="s">
        <v>32</v>
      </c>
      <c r="AU339" s="20" t="s">
        <v>32</v>
      </c>
      <c r="AV339" s="16" t="s">
        <v>32</v>
      </c>
      <c r="AW339" s="17" t="s">
        <v>32</v>
      </c>
      <c r="AX339" s="18" t="s">
        <v>32</v>
      </c>
      <c r="AY339" s="19" t="s">
        <v>32</v>
      </c>
      <c r="AZ339" s="17" t="s">
        <v>32</v>
      </c>
      <c r="BA339" s="18" t="s">
        <v>32</v>
      </c>
      <c r="BB339" s="19" t="s">
        <v>32</v>
      </c>
      <c r="BC339" s="17" t="s">
        <v>32</v>
      </c>
      <c r="BD339" s="20" t="s">
        <v>32</v>
      </c>
      <c r="BG339" s="16" t="s">
        <v>32</v>
      </c>
      <c r="BH339" s="17" t="s">
        <v>32</v>
      </c>
      <c r="BI339" s="18" t="s">
        <v>32</v>
      </c>
      <c r="BJ339" s="19" t="s">
        <v>32</v>
      </c>
      <c r="BK339" s="17" t="s">
        <v>32</v>
      </c>
      <c r="BL339" s="18" t="s">
        <v>32</v>
      </c>
      <c r="BM339" s="19" t="s">
        <v>32</v>
      </c>
      <c r="BN339" s="17" t="s">
        <v>32</v>
      </c>
      <c r="BO339" s="20" t="s">
        <v>32</v>
      </c>
      <c r="BP339" s="16" t="s">
        <v>32</v>
      </c>
      <c r="BQ339" s="17" t="s">
        <v>32</v>
      </c>
      <c r="BR339" s="18" t="s">
        <v>32</v>
      </c>
      <c r="BS339" s="19" t="s">
        <v>32</v>
      </c>
      <c r="BT339" s="17">
        <v>0</v>
      </c>
      <c r="BU339" s="18" t="s">
        <v>32</v>
      </c>
      <c r="BV339" s="19" t="s">
        <v>32</v>
      </c>
      <c r="BW339" s="17" t="s">
        <v>32</v>
      </c>
      <c r="BX339" s="20" t="s">
        <v>32</v>
      </c>
      <c r="BY339" s="16" t="s">
        <v>32</v>
      </c>
      <c r="BZ339" s="17" t="s">
        <v>32</v>
      </c>
      <c r="CA339" s="18" t="s">
        <v>32</v>
      </c>
      <c r="CB339" s="19" t="s">
        <v>32</v>
      </c>
      <c r="CC339" s="17" t="s">
        <v>32</v>
      </c>
      <c r="CD339" s="18" t="s">
        <v>32</v>
      </c>
      <c r="CE339" s="19" t="s">
        <v>32</v>
      </c>
      <c r="CF339" s="17" t="s">
        <v>32</v>
      </c>
      <c r="CG339" s="20" t="s">
        <v>32</v>
      </c>
      <c r="CI339" s="16" t="s">
        <v>32</v>
      </c>
      <c r="CJ339" s="17" t="s">
        <v>32</v>
      </c>
      <c r="CK339" s="18" t="s">
        <v>32</v>
      </c>
      <c r="CL339" s="19" t="s">
        <v>32</v>
      </c>
      <c r="CM339" s="17" t="s">
        <v>32</v>
      </c>
      <c r="CN339" s="18" t="s">
        <v>32</v>
      </c>
      <c r="CO339" s="19" t="s">
        <v>32</v>
      </c>
      <c r="CP339" s="17" t="s">
        <v>32</v>
      </c>
      <c r="CQ339" s="20" t="s">
        <v>32</v>
      </c>
      <c r="CR339" s="16" t="s">
        <v>32</v>
      </c>
      <c r="CS339" s="17" t="s">
        <v>32</v>
      </c>
      <c r="CT339" s="18" t="s">
        <v>32</v>
      </c>
      <c r="CU339" s="19" t="s">
        <v>32</v>
      </c>
      <c r="CV339" s="17">
        <v>1</v>
      </c>
      <c r="CW339" s="18" t="s">
        <v>32</v>
      </c>
      <c r="CX339" s="19" t="s">
        <v>32</v>
      </c>
      <c r="CY339" s="17" t="s">
        <v>32</v>
      </c>
      <c r="CZ339" s="20" t="s">
        <v>32</v>
      </c>
      <c r="DA339" s="16" t="s">
        <v>32</v>
      </c>
      <c r="DB339" s="17" t="s">
        <v>32</v>
      </c>
      <c r="DC339" s="18" t="s">
        <v>32</v>
      </c>
      <c r="DD339" s="19" t="s">
        <v>32</v>
      </c>
      <c r="DE339" s="17" t="s">
        <v>32</v>
      </c>
      <c r="DF339" s="18" t="s">
        <v>32</v>
      </c>
      <c r="DG339" s="19" t="s">
        <v>32</v>
      </c>
      <c r="DH339" s="17" t="s">
        <v>32</v>
      </c>
      <c r="DI339" s="20" t="s">
        <v>32</v>
      </c>
    </row>
    <row r="340" spans="2:113" ht="15" customHeight="1">
      <c r="B340" s="11" t="s">
        <v>32</v>
      </c>
      <c r="C340" s="7" t="s">
        <v>32</v>
      </c>
      <c r="D340" s="9" t="s">
        <v>32</v>
      </c>
      <c r="E340" s="8" t="s">
        <v>32</v>
      </c>
      <c r="F340" s="7" t="s">
        <v>32</v>
      </c>
      <c r="G340" s="9" t="s">
        <v>32</v>
      </c>
      <c r="H340" s="8" t="s">
        <v>32</v>
      </c>
      <c r="I340" s="7" t="s">
        <v>32</v>
      </c>
      <c r="J340" s="10" t="s">
        <v>32</v>
      </c>
      <c r="K340" s="11" t="s">
        <v>32</v>
      </c>
      <c r="L340" s="7" t="s">
        <v>32</v>
      </c>
      <c r="M340" s="9" t="s">
        <v>32</v>
      </c>
      <c r="N340" s="8" t="s">
        <v>32</v>
      </c>
      <c r="O340" s="7">
        <v>0</v>
      </c>
      <c r="P340" s="9" t="s">
        <v>32</v>
      </c>
      <c r="Q340" s="8" t="s">
        <v>32</v>
      </c>
      <c r="R340" s="7" t="s">
        <v>32</v>
      </c>
      <c r="S340" s="10" t="s">
        <v>32</v>
      </c>
      <c r="T340" s="11" t="s">
        <v>32</v>
      </c>
      <c r="U340" s="7" t="s">
        <v>32</v>
      </c>
      <c r="V340" s="9" t="s">
        <v>32</v>
      </c>
      <c r="W340" s="8" t="s">
        <v>32</v>
      </c>
      <c r="X340" s="7" t="s">
        <v>32</v>
      </c>
      <c r="Y340" s="9" t="s">
        <v>32</v>
      </c>
      <c r="Z340" s="8" t="s">
        <v>32</v>
      </c>
      <c r="AA340" s="7" t="s">
        <v>32</v>
      </c>
      <c r="AB340" s="10" t="s">
        <v>32</v>
      </c>
      <c r="AD340" s="11" t="s">
        <v>32</v>
      </c>
      <c r="AE340" s="7" t="s">
        <v>32</v>
      </c>
      <c r="AF340" s="9" t="s">
        <v>32</v>
      </c>
      <c r="AG340" s="8" t="s">
        <v>32</v>
      </c>
      <c r="AH340" s="7" t="s">
        <v>32</v>
      </c>
      <c r="AI340" s="9" t="s">
        <v>32</v>
      </c>
      <c r="AJ340" s="8" t="s">
        <v>32</v>
      </c>
      <c r="AK340" s="7" t="s">
        <v>32</v>
      </c>
      <c r="AL340" s="10" t="s">
        <v>32</v>
      </c>
      <c r="AM340" s="11" t="s">
        <v>32</v>
      </c>
      <c r="AN340" s="7" t="s">
        <v>32</v>
      </c>
      <c r="AO340" s="9" t="s">
        <v>32</v>
      </c>
      <c r="AP340" s="8" t="s">
        <v>32</v>
      </c>
      <c r="AQ340" s="7">
        <v>7</v>
      </c>
      <c r="AR340" s="9" t="s">
        <v>32</v>
      </c>
      <c r="AS340" s="8" t="s">
        <v>32</v>
      </c>
      <c r="AT340" s="7" t="s">
        <v>32</v>
      </c>
      <c r="AU340" s="10" t="s">
        <v>32</v>
      </c>
      <c r="AV340" s="11" t="s">
        <v>32</v>
      </c>
      <c r="AW340" s="7" t="s">
        <v>32</v>
      </c>
      <c r="AX340" s="9" t="s">
        <v>32</v>
      </c>
      <c r="AY340" s="8" t="s">
        <v>32</v>
      </c>
      <c r="AZ340" s="7" t="s">
        <v>32</v>
      </c>
      <c r="BA340" s="9" t="s">
        <v>32</v>
      </c>
      <c r="BB340" s="8" t="s">
        <v>32</v>
      </c>
      <c r="BC340" s="7" t="s">
        <v>32</v>
      </c>
      <c r="BD340" s="10" t="s">
        <v>32</v>
      </c>
      <c r="BG340" s="11" t="s">
        <v>32</v>
      </c>
      <c r="BH340" s="7" t="s">
        <v>32</v>
      </c>
      <c r="BI340" s="9" t="s">
        <v>32</v>
      </c>
      <c r="BJ340" s="8" t="s">
        <v>32</v>
      </c>
      <c r="BK340" s="7" t="s">
        <v>32</v>
      </c>
      <c r="BL340" s="9" t="s">
        <v>32</v>
      </c>
      <c r="BM340" s="8" t="s">
        <v>32</v>
      </c>
      <c r="BN340" s="7" t="s">
        <v>32</v>
      </c>
      <c r="BO340" s="10" t="s">
        <v>32</v>
      </c>
      <c r="BP340" s="11" t="s">
        <v>32</v>
      </c>
      <c r="BQ340" s="7" t="s">
        <v>32</v>
      </c>
      <c r="BR340" s="9" t="s">
        <v>32</v>
      </c>
      <c r="BS340" s="8">
        <v>0</v>
      </c>
      <c r="BT340" s="7" t="s">
        <v>32</v>
      </c>
      <c r="BU340" s="9" t="s">
        <v>32</v>
      </c>
      <c r="BV340" s="8" t="s">
        <v>32</v>
      </c>
      <c r="BW340" s="7" t="s">
        <v>32</v>
      </c>
      <c r="BX340" s="10" t="s">
        <v>32</v>
      </c>
      <c r="BY340" s="11" t="s">
        <v>32</v>
      </c>
      <c r="BZ340" s="7" t="s">
        <v>32</v>
      </c>
      <c r="CA340" s="9" t="s">
        <v>32</v>
      </c>
      <c r="CB340" s="8" t="s">
        <v>32</v>
      </c>
      <c r="CC340" s="7" t="s">
        <v>32</v>
      </c>
      <c r="CD340" s="9" t="s">
        <v>32</v>
      </c>
      <c r="CE340" s="8" t="s">
        <v>32</v>
      </c>
      <c r="CF340" s="7" t="s">
        <v>32</v>
      </c>
      <c r="CG340" s="10" t="s">
        <v>32</v>
      </c>
      <c r="CI340" s="11" t="s">
        <v>32</v>
      </c>
      <c r="CJ340" s="7" t="s">
        <v>32</v>
      </c>
      <c r="CK340" s="9" t="s">
        <v>32</v>
      </c>
      <c r="CL340" s="8" t="s">
        <v>32</v>
      </c>
      <c r="CM340" s="7" t="s">
        <v>32</v>
      </c>
      <c r="CN340" s="9" t="s">
        <v>32</v>
      </c>
      <c r="CO340" s="8" t="s">
        <v>32</v>
      </c>
      <c r="CP340" s="7" t="s">
        <v>32</v>
      </c>
      <c r="CQ340" s="10" t="s">
        <v>32</v>
      </c>
      <c r="CR340" s="11" t="s">
        <v>32</v>
      </c>
      <c r="CS340" s="7" t="s">
        <v>32</v>
      </c>
      <c r="CT340" s="9" t="s">
        <v>32</v>
      </c>
      <c r="CU340" s="8">
        <v>9</v>
      </c>
      <c r="CV340" s="7" t="s">
        <v>32</v>
      </c>
      <c r="CW340" s="9" t="s">
        <v>32</v>
      </c>
      <c r="CX340" s="8" t="s">
        <v>32</v>
      </c>
      <c r="CY340" s="7" t="s">
        <v>32</v>
      </c>
      <c r="CZ340" s="10" t="s">
        <v>32</v>
      </c>
      <c r="DA340" s="11" t="s">
        <v>32</v>
      </c>
      <c r="DB340" s="7" t="s">
        <v>32</v>
      </c>
      <c r="DC340" s="9" t="s">
        <v>32</v>
      </c>
      <c r="DD340" s="8" t="s">
        <v>32</v>
      </c>
      <c r="DE340" s="7" t="s">
        <v>32</v>
      </c>
      <c r="DF340" s="9" t="s">
        <v>32</v>
      </c>
      <c r="DG340" s="8" t="s">
        <v>32</v>
      </c>
      <c r="DH340" s="7" t="s">
        <v>32</v>
      </c>
      <c r="DI340" s="10" t="s">
        <v>32</v>
      </c>
    </row>
    <row r="341" spans="2:113" ht="15" customHeight="1">
      <c r="B341" s="12" t="s">
        <v>32</v>
      </c>
      <c r="C341" s="13" t="s">
        <v>32</v>
      </c>
      <c r="D341" s="15" t="s">
        <v>32</v>
      </c>
      <c r="E341" s="14" t="s">
        <v>32</v>
      </c>
      <c r="F341" s="13" t="s">
        <v>32</v>
      </c>
      <c r="G341" s="15" t="s">
        <v>32</v>
      </c>
      <c r="H341" s="14" t="s">
        <v>32</v>
      </c>
      <c r="I341" s="13" t="s">
        <v>32</v>
      </c>
      <c r="J341" s="1" t="s">
        <v>32</v>
      </c>
      <c r="K341" s="12" t="s">
        <v>32</v>
      </c>
      <c r="L341" s="212">
        <v>4</v>
      </c>
      <c r="M341" s="15">
        <v>0</v>
      </c>
      <c r="N341" s="14" t="s">
        <v>32</v>
      </c>
      <c r="O341" s="13">
        <v>0</v>
      </c>
      <c r="P341" s="15" t="s">
        <v>32</v>
      </c>
      <c r="Q341" s="14" t="s">
        <v>32</v>
      </c>
      <c r="R341" s="13" t="s">
        <v>32</v>
      </c>
      <c r="S341" s="1" t="s">
        <v>32</v>
      </c>
      <c r="T341" s="12" t="s">
        <v>32</v>
      </c>
      <c r="U341" s="13" t="s">
        <v>32</v>
      </c>
      <c r="V341" s="15" t="s">
        <v>32</v>
      </c>
      <c r="W341" s="14" t="s">
        <v>32</v>
      </c>
      <c r="X341" s="13" t="s">
        <v>32</v>
      </c>
      <c r="Y341" s="15" t="s">
        <v>32</v>
      </c>
      <c r="Z341" s="14" t="s">
        <v>32</v>
      </c>
      <c r="AA341" s="13" t="s">
        <v>32</v>
      </c>
      <c r="AB341" s="1" t="s">
        <v>32</v>
      </c>
      <c r="AD341" s="12" t="s">
        <v>32</v>
      </c>
      <c r="AE341" s="13" t="s">
        <v>32</v>
      </c>
      <c r="AF341" s="15" t="s">
        <v>32</v>
      </c>
      <c r="AG341" s="14" t="s">
        <v>32</v>
      </c>
      <c r="AH341" s="13" t="s">
        <v>32</v>
      </c>
      <c r="AI341" s="15" t="s">
        <v>32</v>
      </c>
      <c r="AJ341" s="14" t="s">
        <v>32</v>
      </c>
      <c r="AK341" s="13" t="s">
        <v>32</v>
      </c>
      <c r="AL341" s="1" t="s">
        <v>32</v>
      </c>
      <c r="AM341" s="12" t="s">
        <v>32</v>
      </c>
      <c r="AN341" s="212">
        <v>4</v>
      </c>
      <c r="AO341" s="15">
        <v>5</v>
      </c>
      <c r="AP341" s="14" t="s">
        <v>32</v>
      </c>
      <c r="AQ341" s="13">
        <v>6</v>
      </c>
      <c r="AR341" s="15" t="s">
        <v>32</v>
      </c>
      <c r="AS341" s="14" t="s">
        <v>32</v>
      </c>
      <c r="AT341" s="13" t="s">
        <v>32</v>
      </c>
      <c r="AU341" s="1" t="s">
        <v>32</v>
      </c>
      <c r="AV341" s="12" t="s">
        <v>32</v>
      </c>
      <c r="AW341" s="13" t="s">
        <v>32</v>
      </c>
      <c r="AX341" s="15" t="s">
        <v>32</v>
      </c>
      <c r="AY341" s="14" t="s">
        <v>32</v>
      </c>
      <c r="AZ341" s="13" t="s">
        <v>32</v>
      </c>
      <c r="BA341" s="15" t="s">
        <v>32</v>
      </c>
      <c r="BB341" s="14" t="s">
        <v>32</v>
      </c>
      <c r="BC341" s="13" t="s">
        <v>32</v>
      </c>
      <c r="BD341" s="1" t="s">
        <v>32</v>
      </c>
      <c r="BG341" s="12" t="s">
        <v>32</v>
      </c>
      <c r="BH341" s="13" t="s">
        <v>32</v>
      </c>
      <c r="BI341" s="15" t="s">
        <v>32</v>
      </c>
      <c r="BJ341" s="14" t="s">
        <v>32</v>
      </c>
      <c r="BK341" s="13" t="s">
        <v>32</v>
      </c>
      <c r="BL341" s="15" t="s">
        <v>32</v>
      </c>
      <c r="BM341" s="14" t="s">
        <v>32</v>
      </c>
      <c r="BN341" s="13" t="s">
        <v>32</v>
      </c>
      <c r="BO341" s="1" t="s">
        <v>32</v>
      </c>
      <c r="BP341" s="12" t="s">
        <v>32</v>
      </c>
      <c r="BQ341" s="13" t="s">
        <v>32</v>
      </c>
      <c r="BR341" s="15" t="s">
        <v>32</v>
      </c>
      <c r="BS341" s="14" t="s">
        <v>32</v>
      </c>
      <c r="BT341" s="13">
        <v>0</v>
      </c>
      <c r="BU341" s="15">
        <v>0</v>
      </c>
      <c r="BV341" s="14">
        <v>0</v>
      </c>
      <c r="BW341" s="13" t="s">
        <v>32</v>
      </c>
      <c r="BX341" s="1" t="s">
        <v>32</v>
      </c>
      <c r="BY341" s="12" t="s">
        <v>32</v>
      </c>
      <c r="BZ341" s="13" t="s">
        <v>32</v>
      </c>
      <c r="CA341" s="15" t="s">
        <v>32</v>
      </c>
      <c r="CB341" s="14" t="s">
        <v>32</v>
      </c>
      <c r="CC341" s="13" t="s">
        <v>32</v>
      </c>
      <c r="CD341" s="15" t="s">
        <v>32</v>
      </c>
      <c r="CE341" s="14" t="s">
        <v>32</v>
      </c>
      <c r="CF341" s="13" t="s">
        <v>32</v>
      </c>
      <c r="CG341" s="1" t="s">
        <v>32</v>
      </c>
      <c r="CI341" s="12" t="s">
        <v>32</v>
      </c>
      <c r="CJ341" s="13" t="s">
        <v>32</v>
      </c>
      <c r="CK341" s="15" t="s">
        <v>32</v>
      </c>
      <c r="CL341" s="14" t="s">
        <v>32</v>
      </c>
      <c r="CM341" s="13" t="s">
        <v>32</v>
      </c>
      <c r="CN341" s="15" t="s">
        <v>32</v>
      </c>
      <c r="CO341" s="14" t="s">
        <v>32</v>
      </c>
      <c r="CP341" s="13" t="s">
        <v>32</v>
      </c>
      <c r="CQ341" s="1" t="s">
        <v>32</v>
      </c>
      <c r="CR341" s="12" t="s">
        <v>32</v>
      </c>
      <c r="CS341" s="13" t="s">
        <v>32</v>
      </c>
      <c r="CT341" s="15" t="s">
        <v>32</v>
      </c>
      <c r="CU341" s="14" t="s">
        <v>32</v>
      </c>
      <c r="CV341" s="13">
        <v>4</v>
      </c>
      <c r="CW341" s="15">
        <v>8</v>
      </c>
      <c r="CX341" s="14">
        <v>3</v>
      </c>
      <c r="CY341" s="13" t="s">
        <v>32</v>
      </c>
      <c r="CZ341" s="1" t="s">
        <v>32</v>
      </c>
      <c r="DA341" s="12" t="s">
        <v>32</v>
      </c>
      <c r="DB341" s="13" t="s">
        <v>32</v>
      </c>
      <c r="DC341" s="15" t="s">
        <v>32</v>
      </c>
      <c r="DD341" s="14" t="s">
        <v>32</v>
      </c>
      <c r="DE341" s="13" t="s">
        <v>32</v>
      </c>
      <c r="DF341" s="15" t="s">
        <v>32</v>
      </c>
      <c r="DG341" s="14" t="s">
        <v>32</v>
      </c>
      <c r="DH341" s="13" t="s">
        <v>32</v>
      </c>
      <c r="DI341" s="1" t="s">
        <v>32</v>
      </c>
    </row>
    <row r="342" spans="2:113" ht="15" customHeight="1">
      <c r="B342" s="16">
        <v>0</v>
      </c>
      <c r="C342" s="17" t="s">
        <v>32</v>
      </c>
      <c r="D342" s="18" t="s">
        <v>32</v>
      </c>
      <c r="E342" s="19" t="s">
        <v>32</v>
      </c>
      <c r="F342" s="211">
        <v>5</v>
      </c>
      <c r="G342" s="18" t="s">
        <v>32</v>
      </c>
      <c r="H342" s="19" t="s">
        <v>32</v>
      </c>
      <c r="I342" s="17" t="s">
        <v>32</v>
      </c>
      <c r="J342" s="20" t="s">
        <v>32</v>
      </c>
      <c r="K342" s="16" t="s">
        <v>32</v>
      </c>
      <c r="L342" s="17">
        <v>0</v>
      </c>
      <c r="M342" s="18">
        <v>0</v>
      </c>
      <c r="N342" s="19">
        <v>0</v>
      </c>
      <c r="O342" s="17" t="s">
        <v>32</v>
      </c>
      <c r="P342" s="18" t="s">
        <v>32</v>
      </c>
      <c r="Q342" s="19" t="s">
        <v>32</v>
      </c>
      <c r="R342" s="17" t="s">
        <v>32</v>
      </c>
      <c r="S342" s="20" t="s">
        <v>32</v>
      </c>
      <c r="T342" s="16" t="s">
        <v>32</v>
      </c>
      <c r="U342" s="17" t="s">
        <v>32</v>
      </c>
      <c r="V342" s="18" t="s">
        <v>32</v>
      </c>
      <c r="W342" s="19" t="s">
        <v>32</v>
      </c>
      <c r="X342" s="17" t="s">
        <v>32</v>
      </c>
      <c r="Y342" s="18">
        <v>0</v>
      </c>
      <c r="Z342" s="19" t="s">
        <v>32</v>
      </c>
      <c r="AA342" s="17">
        <v>0</v>
      </c>
      <c r="AB342" s="20" t="s">
        <v>32</v>
      </c>
      <c r="AD342" s="16">
        <v>3</v>
      </c>
      <c r="AE342" s="17" t="s">
        <v>32</v>
      </c>
      <c r="AF342" s="18" t="s">
        <v>32</v>
      </c>
      <c r="AG342" s="19" t="s">
        <v>32</v>
      </c>
      <c r="AH342" s="211">
        <v>5</v>
      </c>
      <c r="AI342" s="18" t="s">
        <v>32</v>
      </c>
      <c r="AJ342" s="19" t="s">
        <v>32</v>
      </c>
      <c r="AK342" s="17" t="s">
        <v>32</v>
      </c>
      <c r="AL342" s="20" t="s">
        <v>32</v>
      </c>
      <c r="AM342" s="16" t="s">
        <v>32</v>
      </c>
      <c r="AN342" s="17">
        <v>8</v>
      </c>
      <c r="AO342" s="18">
        <v>1</v>
      </c>
      <c r="AP342" s="19">
        <v>2</v>
      </c>
      <c r="AQ342" s="17" t="s">
        <v>32</v>
      </c>
      <c r="AR342" s="18" t="s">
        <v>32</v>
      </c>
      <c r="AS342" s="19" t="s">
        <v>32</v>
      </c>
      <c r="AT342" s="17" t="s">
        <v>32</v>
      </c>
      <c r="AU342" s="20" t="s">
        <v>32</v>
      </c>
      <c r="AV342" s="16" t="s">
        <v>32</v>
      </c>
      <c r="AW342" s="17" t="s">
        <v>32</v>
      </c>
      <c r="AX342" s="18" t="s">
        <v>32</v>
      </c>
      <c r="AY342" s="19" t="s">
        <v>32</v>
      </c>
      <c r="AZ342" s="17" t="s">
        <v>32</v>
      </c>
      <c r="BA342" s="18">
        <v>9</v>
      </c>
      <c r="BB342" s="19" t="s">
        <v>32</v>
      </c>
      <c r="BC342" s="17">
        <v>6</v>
      </c>
      <c r="BD342" s="20" t="s">
        <v>32</v>
      </c>
      <c r="BG342" s="16" t="s">
        <v>32</v>
      </c>
      <c r="BH342" s="17" t="s">
        <v>32</v>
      </c>
      <c r="BI342" s="18" t="s">
        <v>32</v>
      </c>
      <c r="BJ342" s="19" t="s">
        <v>32</v>
      </c>
      <c r="BK342" s="17" t="s">
        <v>32</v>
      </c>
      <c r="BL342" s="18">
        <v>0</v>
      </c>
      <c r="BM342" s="19" t="s">
        <v>32</v>
      </c>
      <c r="BN342" s="17" t="s">
        <v>32</v>
      </c>
      <c r="BO342" s="20" t="s">
        <v>32</v>
      </c>
      <c r="BP342" s="16" t="s">
        <v>32</v>
      </c>
      <c r="BQ342" s="17" t="s">
        <v>32</v>
      </c>
      <c r="BR342" s="18" t="s">
        <v>32</v>
      </c>
      <c r="BS342" s="19">
        <v>0</v>
      </c>
      <c r="BT342" s="211">
        <v>2</v>
      </c>
      <c r="BU342" s="18" t="s">
        <v>32</v>
      </c>
      <c r="BV342" s="19" t="s">
        <v>32</v>
      </c>
      <c r="BW342" s="211">
        <v>6</v>
      </c>
      <c r="BX342" s="20" t="s">
        <v>32</v>
      </c>
      <c r="BY342" s="16" t="s">
        <v>32</v>
      </c>
      <c r="BZ342" s="17" t="s">
        <v>32</v>
      </c>
      <c r="CA342" s="18" t="s">
        <v>32</v>
      </c>
      <c r="CB342" s="19" t="s">
        <v>32</v>
      </c>
      <c r="CC342" s="17" t="s">
        <v>32</v>
      </c>
      <c r="CD342" s="18" t="s">
        <v>32</v>
      </c>
      <c r="CE342" s="19" t="s">
        <v>32</v>
      </c>
      <c r="CF342" s="17" t="s">
        <v>32</v>
      </c>
      <c r="CG342" s="20" t="s">
        <v>32</v>
      </c>
      <c r="CI342" s="16" t="s">
        <v>32</v>
      </c>
      <c r="CJ342" s="17" t="s">
        <v>32</v>
      </c>
      <c r="CK342" s="18" t="s">
        <v>32</v>
      </c>
      <c r="CL342" s="19" t="s">
        <v>32</v>
      </c>
      <c r="CM342" s="17" t="s">
        <v>32</v>
      </c>
      <c r="CN342" s="18">
        <v>9</v>
      </c>
      <c r="CO342" s="19" t="s">
        <v>32</v>
      </c>
      <c r="CP342" s="17" t="s">
        <v>32</v>
      </c>
      <c r="CQ342" s="20" t="s">
        <v>32</v>
      </c>
      <c r="CR342" s="16" t="s">
        <v>32</v>
      </c>
      <c r="CS342" s="17" t="s">
        <v>32</v>
      </c>
      <c r="CT342" s="18" t="s">
        <v>32</v>
      </c>
      <c r="CU342" s="19">
        <v>5</v>
      </c>
      <c r="CV342" s="211">
        <v>2</v>
      </c>
      <c r="CW342" s="18" t="s">
        <v>32</v>
      </c>
      <c r="CX342" s="19" t="s">
        <v>32</v>
      </c>
      <c r="CY342" s="211">
        <v>6</v>
      </c>
      <c r="CZ342" s="20" t="s">
        <v>32</v>
      </c>
      <c r="DA342" s="16" t="s">
        <v>32</v>
      </c>
      <c r="DB342" s="17" t="s">
        <v>32</v>
      </c>
      <c r="DC342" s="18" t="s">
        <v>32</v>
      </c>
      <c r="DD342" s="19" t="s">
        <v>32</v>
      </c>
      <c r="DE342" s="17" t="s">
        <v>32</v>
      </c>
      <c r="DF342" s="18" t="s">
        <v>32</v>
      </c>
      <c r="DG342" s="19" t="s">
        <v>32</v>
      </c>
      <c r="DH342" s="17" t="s">
        <v>32</v>
      </c>
      <c r="DI342" s="20" t="s">
        <v>32</v>
      </c>
    </row>
    <row r="343" spans="2:113" ht="15" customHeight="1">
      <c r="B343" s="11" t="s">
        <v>32</v>
      </c>
      <c r="C343" s="204">
        <v>7</v>
      </c>
      <c r="D343" s="9">
        <v>0</v>
      </c>
      <c r="E343" s="8">
        <v>0</v>
      </c>
      <c r="F343" s="7">
        <v>0</v>
      </c>
      <c r="G343" s="9" t="s">
        <v>32</v>
      </c>
      <c r="H343" s="8" t="s">
        <v>32</v>
      </c>
      <c r="I343" s="7" t="s">
        <v>32</v>
      </c>
      <c r="J343" s="10" t="s">
        <v>32</v>
      </c>
      <c r="K343" s="213">
        <v>9</v>
      </c>
      <c r="L343" s="7" t="s">
        <v>32</v>
      </c>
      <c r="M343" s="9" t="s">
        <v>32</v>
      </c>
      <c r="N343" s="8" t="s">
        <v>32</v>
      </c>
      <c r="O343" s="7" t="s">
        <v>32</v>
      </c>
      <c r="P343" s="9" t="s">
        <v>32</v>
      </c>
      <c r="Q343" s="8" t="s">
        <v>32</v>
      </c>
      <c r="R343" s="7" t="s">
        <v>32</v>
      </c>
      <c r="S343" s="10" t="s">
        <v>32</v>
      </c>
      <c r="T343" s="11" t="s">
        <v>32</v>
      </c>
      <c r="U343" s="7" t="s">
        <v>32</v>
      </c>
      <c r="V343" s="9" t="s">
        <v>32</v>
      </c>
      <c r="W343" s="8" t="s">
        <v>32</v>
      </c>
      <c r="X343" s="7" t="s">
        <v>32</v>
      </c>
      <c r="Y343" s="9" t="s">
        <v>32</v>
      </c>
      <c r="Z343" s="8">
        <v>0</v>
      </c>
      <c r="AA343" s="7" t="s">
        <v>32</v>
      </c>
      <c r="AB343" s="214">
        <v>5</v>
      </c>
      <c r="AD343" s="11" t="s">
        <v>32</v>
      </c>
      <c r="AE343" s="204">
        <v>7</v>
      </c>
      <c r="AF343" s="9">
        <v>4</v>
      </c>
      <c r="AG343" s="8">
        <v>1</v>
      </c>
      <c r="AH343" s="7">
        <v>8</v>
      </c>
      <c r="AI343" s="9" t="s">
        <v>32</v>
      </c>
      <c r="AJ343" s="8" t="s">
        <v>32</v>
      </c>
      <c r="AK343" s="7" t="s">
        <v>32</v>
      </c>
      <c r="AL343" s="10" t="s">
        <v>32</v>
      </c>
      <c r="AM343" s="213">
        <v>9</v>
      </c>
      <c r="AN343" s="7" t="s">
        <v>32</v>
      </c>
      <c r="AO343" s="9" t="s">
        <v>32</v>
      </c>
      <c r="AP343" s="8" t="s">
        <v>32</v>
      </c>
      <c r="AQ343" s="7" t="s">
        <v>32</v>
      </c>
      <c r="AR343" s="9" t="s">
        <v>32</v>
      </c>
      <c r="AS343" s="8" t="s">
        <v>32</v>
      </c>
      <c r="AT343" s="7" t="s">
        <v>32</v>
      </c>
      <c r="AU343" s="10" t="s">
        <v>32</v>
      </c>
      <c r="AV343" s="11" t="s">
        <v>32</v>
      </c>
      <c r="AW343" s="7" t="s">
        <v>32</v>
      </c>
      <c r="AX343" s="9" t="s">
        <v>32</v>
      </c>
      <c r="AY343" s="8" t="s">
        <v>32</v>
      </c>
      <c r="AZ343" s="7" t="s">
        <v>32</v>
      </c>
      <c r="BA343" s="9" t="s">
        <v>32</v>
      </c>
      <c r="BB343" s="8">
        <v>2</v>
      </c>
      <c r="BC343" s="7" t="s">
        <v>32</v>
      </c>
      <c r="BD343" s="214">
        <v>5</v>
      </c>
      <c r="BG343" s="11">
        <v>0</v>
      </c>
      <c r="BH343" s="7">
        <v>0</v>
      </c>
      <c r="BI343" s="9" t="s">
        <v>32</v>
      </c>
      <c r="BJ343" s="8">
        <v>0</v>
      </c>
      <c r="BK343" s="204">
        <v>7</v>
      </c>
      <c r="BL343" s="9" t="s">
        <v>32</v>
      </c>
      <c r="BM343" s="8" t="s">
        <v>32</v>
      </c>
      <c r="BN343" s="7" t="s">
        <v>32</v>
      </c>
      <c r="BO343" s="10" t="s">
        <v>32</v>
      </c>
      <c r="BP343" s="11" t="s">
        <v>32</v>
      </c>
      <c r="BQ343" s="7" t="s">
        <v>32</v>
      </c>
      <c r="BR343" s="9" t="s">
        <v>32</v>
      </c>
      <c r="BS343" s="8" t="s">
        <v>32</v>
      </c>
      <c r="BT343" s="7" t="s">
        <v>32</v>
      </c>
      <c r="BU343" s="9" t="s">
        <v>32</v>
      </c>
      <c r="BV343" s="8" t="s">
        <v>32</v>
      </c>
      <c r="BW343" s="7" t="s">
        <v>32</v>
      </c>
      <c r="BX343" s="10" t="s">
        <v>32</v>
      </c>
      <c r="BY343" s="11" t="s">
        <v>32</v>
      </c>
      <c r="BZ343" s="7" t="s">
        <v>32</v>
      </c>
      <c r="CA343" s="9" t="s">
        <v>32</v>
      </c>
      <c r="CB343" s="8" t="s">
        <v>32</v>
      </c>
      <c r="CC343" s="7" t="s">
        <v>32</v>
      </c>
      <c r="CD343" s="9">
        <v>0</v>
      </c>
      <c r="CE343" s="8">
        <v>0</v>
      </c>
      <c r="CF343" s="7">
        <v>0</v>
      </c>
      <c r="CG343" s="10">
        <v>0</v>
      </c>
      <c r="CI343" s="11">
        <v>5</v>
      </c>
      <c r="CJ343" s="7">
        <v>6</v>
      </c>
      <c r="CK343" s="9" t="s">
        <v>32</v>
      </c>
      <c r="CL343" s="8">
        <v>8</v>
      </c>
      <c r="CM343" s="204">
        <v>7</v>
      </c>
      <c r="CN343" s="9" t="s">
        <v>32</v>
      </c>
      <c r="CO343" s="8" t="s">
        <v>32</v>
      </c>
      <c r="CP343" s="7" t="s">
        <v>32</v>
      </c>
      <c r="CQ343" s="10" t="s">
        <v>32</v>
      </c>
      <c r="CR343" s="11" t="s">
        <v>32</v>
      </c>
      <c r="CS343" s="7" t="s">
        <v>32</v>
      </c>
      <c r="CT343" s="9" t="s">
        <v>32</v>
      </c>
      <c r="CU343" s="8" t="s">
        <v>32</v>
      </c>
      <c r="CV343" s="7" t="s">
        <v>32</v>
      </c>
      <c r="CW343" s="9" t="s">
        <v>32</v>
      </c>
      <c r="CX343" s="8" t="s">
        <v>32</v>
      </c>
      <c r="CY343" s="7" t="s">
        <v>32</v>
      </c>
      <c r="CZ343" s="10" t="s">
        <v>32</v>
      </c>
      <c r="DA343" s="11" t="s">
        <v>32</v>
      </c>
      <c r="DB343" s="7" t="s">
        <v>32</v>
      </c>
      <c r="DC343" s="9" t="s">
        <v>32</v>
      </c>
      <c r="DD343" s="8" t="s">
        <v>32</v>
      </c>
      <c r="DE343" s="7" t="s">
        <v>32</v>
      </c>
      <c r="DF343" s="9">
        <v>3</v>
      </c>
      <c r="DG343" s="8">
        <v>4</v>
      </c>
      <c r="DH343" s="7">
        <v>1</v>
      </c>
      <c r="DI343" s="10">
        <v>2</v>
      </c>
    </row>
    <row r="344" spans="2:113" ht="15" customHeight="1" thickBot="1">
      <c r="B344" s="21">
        <v>0</v>
      </c>
      <c r="C344" s="22">
        <v>0</v>
      </c>
      <c r="D344" s="23">
        <v>0</v>
      </c>
      <c r="E344" s="24" t="s">
        <v>32</v>
      </c>
      <c r="F344" s="22" t="s">
        <v>32</v>
      </c>
      <c r="G344" s="23" t="s">
        <v>32</v>
      </c>
      <c r="H344" s="24" t="s">
        <v>32</v>
      </c>
      <c r="I344" s="22" t="s">
        <v>32</v>
      </c>
      <c r="J344" s="25" t="s">
        <v>32</v>
      </c>
      <c r="K344" s="21" t="s">
        <v>32</v>
      </c>
      <c r="L344" s="22" t="s">
        <v>32</v>
      </c>
      <c r="M344" s="23" t="s">
        <v>32</v>
      </c>
      <c r="N344" s="24" t="s">
        <v>32</v>
      </c>
      <c r="O344" s="22" t="s">
        <v>32</v>
      </c>
      <c r="P344" s="23" t="s">
        <v>32</v>
      </c>
      <c r="Q344" s="24" t="s">
        <v>32</v>
      </c>
      <c r="R344" s="22" t="s">
        <v>32</v>
      </c>
      <c r="S344" s="25" t="s">
        <v>32</v>
      </c>
      <c r="T344" s="21" t="s">
        <v>32</v>
      </c>
      <c r="U344" s="22" t="s">
        <v>32</v>
      </c>
      <c r="V344" s="23" t="s">
        <v>32</v>
      </c>
      <c r="W344" s="24">
        <v>0</v>
      </c>
      <c r="X344" s="219">
        <v>1</v>
      </c>
      <c r="Y344" s="23">
        <v>0</v>
      </c>
      <c r="Z344" s="24" t="s">
        <v>32</v>
      </c>
      <c r="AA344" s="22">
        <v>0</v>
      </c>
      <c r="AB344" s="25">
        <v>0</v>
      </c>
      <c r="AD344" s="21">
        <v>6</v>
      </c>
      <c r="AE344" s="22">
        <v>2</v>
      </c>
      <c r="AF344" s="23">
        <v>9</v>
      </c>
      <c r="AG344" s="24" t="s">
        <v>32</v>
      </c>
      <c r="AH344" s="22" t="s">
        <v>32</v>
      </c>
      <c r="AI344" s="23" t="s">
        <v>32</v>
      </c>
      <c r="AJ344" s="24" t="s">
        <v>32</v>
      </c>
      <c r="AK344" s="22" t="s">
        <v>32</v>
      </c>
      <c r="AL344" s="25" t="s">
        <v>32</v>
      </c>
      <c r="AM344" s="21" t="s">
        <v>32</v>
      </c>
      <c r="AN344" s="22" t="s">
        <v>32</v>
      </c>
      <c r="AO344" s="23" t="s">
        <v>32</v>
      </c>
      <c r="AP344" s="24" t="s">
        <v>32</v>
      </c>
      <c r="AQ344" s="22" t="s">
        <v>32</v>
      </c>
      <c r="AR344" s="23" t="s">
        <v>32</v>
      </c>
      <c r="AS344" s="24" t="s">
        <v>32</v>
      </c>
      <c r="AT344" s="22" t="s">
        <v>32</v>
      </c>
      <c r="AU344" s="25" t="s">
        <v>32</v>
      </c>
      <c r="AV344" s="21" t="s">
        <v>32</v>
      </c>
      <c r="AW344" s="22" t="s">
        <v>32</v>
      </c>
      <c r="AX344" s="23" t="s">
        <v>32</v>
      </c>
      <c r="AY344" s="24">
        <v>7</v>
      </c>
      <c r="AZ344" s="219">
        <v>1</v>
      </c>
      <c r="BA344" s="23">
        <v>3</v>
      </c>
      <c r="BB344" s="24" t="s">
        <v>32</v>
      </c>
      <c r="BC344" s="22">
        <v>4</v>
      </c>
      <c r="BD344" s="25">
        <v>8</v>
      </c>
      <c r="BG344" s="21">
        <v>0</v>
      </c>
      <c r="BH344" s="22">
        <v>0</v>
      </c>
      <c r="BI344" s="223">
        <v>2</v>
      </c>
      <c r="BJ344" s="24">
        <v>0</v>
      </c>
      <c r="BK344" s="22" t="s">
        <v>32</v>
      </c>
      <c r="BL344" s="23" t="s">
        <v>32</v>
      </c>
      <c r="BM344" s="24" t="s">
        <v>32</v>
      </c>
      <c r="BN344" s="22" t="s">
        <v>32</v>
      </c>
      <c r="BO344" s="25" t="s">
        <v>32</v>
      </c>
      <c r="BP344" s="21" t="s">
        <v>32</v>
      </c>
      <c r="BQ344" s="22" t="s">
        <v>32</v>
      </c>
      <c r="BR344" s="23" t="s">
        <v>32</v>
      </c>
      <c r="BS344" s="24" t="s">
        <v>32</v>
      </c>
      <c r="BT344" s="22" t="s">
        <v>32</v>
      </c>
      <c r="BU344" s="23" t="s">
        <v>32</v>
      </c>
      <c r="BV344" s="24" t="s">
        <v>32</v>
      </c>
      <c r="BW344" s="22" t="s">
        <v>32</v>
      </c>
      <c r="BX344" s="25" t="s">
        <v>32</v>
      </c>
      <c r="BY344" s="21" t="s">
        <v>32</v>
      </c>
      <c r="BZ344" s="22" t="s">
        <v>32</v>
      </c>
      <c r="CA344" s="23" t="s">
        <v>32</v>
      </c>
      <c r="CB344" s="24" t="s">
        <v>32</v>
      </c>
      <c r="CC344" s="219">
        <v>5</v>
      </c>
      <c r="CD344" s="23">
        <v>0</v>
      </c>
      <c r="CE344" s="24">
        <v>0</v>
      </c>
      <c r="CF344" s="22">
        <v>0</v>
      </c>
      <c r="CG344" s="25">
        <v>0</v>
      </c>
      <c r="CI344" s="21">
        <v>3</v>
      </c>
      <c r="CJ344" s="22">
        <v>4</v>
      </c>
      <c r="CK344" s="223">
        <v>2</v>
      </c>
      <c r="CL344" s="24">
        <v>1</v>
      </c>
      <c r="CM344" s="22" t="s">
        <v>32</v>
      </c>
      <c r="CN344" s="23" t="s">
        <v>32</v>
      </c>
      <c r="CO344" s="24" t="s">
        <v>32</v>
      </c>
      <c r="CP344" s="22" t="s">
        <v>32</v>
      </c>
      <c r="CQ344" s="25" t="s">
        <v>32</v>
      </c>
      <c r="CR344" s="21" t="s">
        <v>32</v>
      </c>
      <c r="CS344" s="22" t="s">
        <v>32</v>
      </c>
      <c r="CT344" s="23" t="s">
        <v>32</v>
      </c>
      <c r="CU344" s="24" t="s">
        <v>32</v>
      </c>
      <c r="CV344" s="22" t="s">
        <v>32</v>
      </c>
      <c r="CW344" s="23" t="s">
        <v>32</v>
      </c>
      <c r="CX344" s="24" t="s">
        <v>32</v>
      </c>
      <c r="CY344" s="22" t="s">
        <v>32</v>
      </c>
      <c r="CZ344" s="25" t="s">
        <v>32</v>
      </c>
      <c r="DA344" s="21" t="s">
        <v>32</v>
      </c>
      <c r="DB344" s="22" t="s">
        <v>32</v>
      </c>
      <c r="DC344" s="23" t="s">
        <v>32</v>
      </c>
      <c r="DD344" s="24" t="s">
        <v>32</v>
      </c>
      <c r="DE344" s="219">
        <v>5</v>
      </c>
      <c r="DF344" s="23">
        <v>6</v>
      </c>
      <c r="DG344" s="24">
        <v>7</v>
      </c>
      <c r="DH344" s="22">
        <v>9</v>
      </c>
      <c r="DI344" s="25">
        <v>8</v>
      </c>
    </row>
  </sheetData>
  <phoneticPr fontId="9"/>
  <conditionalFormatting sqref="AD2:BD28 B2:AB28 BF2:CF28 BF30:CF56 AD29 AD30:BD56 B30:AB56 B59:AB85 B87:AB113 B115:AB141 AD115:BD141 AD87:BD113 BF59:CF85 BF87:CF113">
    <cfRule type="cellIs" dxfId="26" priority="52" stopIfTrue="1" operator="between">
      <formula>0</formula>
      <formula>9</formula>
    </cfRule>
  </conditionalFormatting>
  <conditionalFormatting sqref="B173:AB199">
    <cfRule type="cellIs" dxfId="25" priority="50" stopIfTrue="1" operator="between">
      <formula>0</formula>
      <formula>9</formula>
    </cfRule>
  </conditionalFormatting>
  <conditionalFormatting sqref="AD173:BD199">
    <cfRule type="cellIs" dxfId="24" priority="49" stopIfTrue="1" operator="between">
      <formula>0</formula>
      <formula>9</formula>
    </cfRule>
  </conditionalFormatting>
  <conditionalFormatting sqref="BG173:CG199">
    <cfRule type="cellIs" dxfId="23" priority="48" stopIfTrue="1" operator="between">
      <formula>0</formula>
      <formula>9</formula>
    </cfRule>
  </conditionalFormatting>
  <conditionalFormatting sqref="CI173:DI199">
    <cfRule type="cellIs" dxfId="22" priority="47" stopIfTrue="1" operator="between">
      <formula>0</formula>
      <formula>9</formula>
    </cfRule>
  </conditionalFormatting>
  <conditionalFormatting sqref="B202:AB228">
    <cfRule type="cellIs" dxfId="21" priority="46" stopIfTrue="1" operator="between">
      <formula>0</formula>
      <formula>9</formula>
    </cfRule>
  </conditionalFormatting>
  <conditionalFormatting sqref="AD202:BD228">
    <cfRule type="cellIs" dxfId="20" priority="45" stopIfTrue="1" operator="between">
      <formula>0</formula>
      <formula>9</formula>
    </cfRule>
  </conditionalFormatting>
  <conditionalFormatting sqref="BG202:CG228">
    <cfRule type="cellIs" dxfId="19" priority="44" stopIfTrue="1" operator="between">
      <formula>0</formula>
      <formula>9</formula>
    </cfRule>
  </conditionalFormatting>
  <conditionalFormatting sqref="CI202:DI228">
    <cfRule type="cellIs" dxfId="18" priority="43" stopIfTrue="1" operator="between">
      <formula>0</formula>
      <formula>9</formula>
    </cfRule>
  </conditionalFormatting>
  <conditionalFormatting sqref="B231:AB257">
    <cfRule type="cellIs" dxfId="17" priority="42" stopIfTrue="1" operator="between">
      <formula>0</formula>
      <formula>9</formula>
    </cfRule>
  </conditionalFormatting>
  <conditionalFormatting sqref="B144:AB170">
    <cfRule type="cellIs" dxfId="16" priority="37" stopIfTrue="1" operator="between">
      <formula>0</formula>
      <formula>9</formula>
    </cfRule>
  </conditionalFormatting>
  <conditionalFormatting sqref="AD231:BD257">
    <cfRule type="cellIs" dxfId="15" priority="26" stopIfTrue="1" operator="between">
      <formula>0</formula>
      <formula>9</formula>
    </cfRule>
  </conditionalFormatting>
  <conditionalFormatting sqref="CI231:DI257">
    <cfRule type="cellIs" dxfId="14" priority="13" stopIfTrue="1" operator="between">
      <formula>0</formula>
      <formula>9</formula>
    </cfRule>
  </conditionalFormatting>
  <conditionalFormatting sqref="AD260:BD286">
    <cfRule type="cellIs" dxfId="13" priority="15" stopIfTrue="1" operator="between">
      <formula>0</formula>
      <formula>9</formula>
    </cfRule>
  </conditionalFormatting>
  <conditionalFormatting sqref="BG231:CG257">
    <cfRule type="cellIs" dxfId="12" priority="14" stopIfTrue="1" operator="between">
      <formula>0</formula>
      <formula>9</formula>
    </cfRule>
  </conditionalFormatting>
  <conditionalFormatting sqref="B260:AB286">
    <cfRule type="cellIs" dxfId="11" priority="17" stopIfTrue="1" operator="between">
      <formula>0</formula>
      <formula>9</formula>
    </cfRule>
  </conditionalFormatting>
  <conditionalFormatting sqref="BG260:CG286">
    <cfRule type="cellIs" dxfId="10" priority="12" stopIfTrue="1" operator="between">
      <formula>0</formula>
      <formula>9</formula>
    </cfRule>
  </conditionalFormatting>
  <conditionalFormatting sqref="CI260:DI286">
    <cfRule type="cellIs" dxfId="9" priority="9" stopIfTrue="1" operator="between">
      <formula>0</formula>
      <formula>9</formula>
    </cfRule>
  </conditionalFormatting>
  <conditionalFormatting sqref="B289:AB315">
    <cfRule type="cellIs" dxfId="8" priority="8" stopIfTrue="1" operator="between">
      <formula>0</formula>
      <formula>9</formula>
    </cfRule>
  </conditionalFormatting>
  <conditionalFormatting sqref="AD289:BD315">
    <cfRule type="cellIs" dxfId="7" priority="7" stopIfTrue="1" operator="between">
      <formula>0</formula>
      <formula>9</formula>
    </cfRule>
  </conditionalFormatting>
  <conditionalFormatting sqref="BG289:CG315">
    <cfRule type="cellIs" dxfId="6" priority="6" stopIfTrue="1" operator="between">
      <formula>0</formula>
      <formula>9</formula>
    </cfRule>
  </conditionalFormatting>
  <conditionalFormatting sqref="CI289:DI315">
    <cfRule type="cellIs" dxfId="5" priority="5" stopIfTrue="1" operator="between">
      <formula>0</formula>
      <formula>9</formula>
    </cfRule>
  </conditionalFormatting>
  <conditionalFormatting sqref="B318:AB344">
    <cfRule type="cellIs" dxfId="4" priority="4" stopIfTrue="1" operator="between">
      <formula>0</formula>
      <formula>9</formula>
    </cfRule>
  </conditionalFormatting>
  <conditionalFormatting sqref="AD318:BD344">
    <cfRule type="cellIs" dxfId="3" priority="3" stopIfTrue="1" operator="between">
      <formula>0</formula>
      <formula>9</formula>
    </cfRule>
  </conditionalFormatting>
  <conditionalFormatting sqref="BG318:CG344">
    <cfRule type="cellIs" dxfId="2" priority="2" stopIfTrue="1" operator="between">
      <formula>0</formula>
      <formula>9</formula>
    </cfRule>
  </conditionalFormatting>
  <conditionalFormatting sqref="CI318:DI344">
    <cfRule type="cellIs" dxfId="1" priority="1" stopIfTrue="1" operator="between">
      <formula>0</formula>
      <formula>9</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enableFormatConditionsCalculation="0"/>
  <dimension ref="B1:AB28"/>
  <sheetViews>
    <sheetView zoomScale="75" workbookViewId="0">
      <selection activeCell="B2" sqref="B2:AB28"/>
    </sheetView>
  </sheetViews>
  <sheetFormatPr baseColWidth="10" defaultColWidth="2.5" defaultRowHeight="15" customHeight="1" x14ac:dyDescent="0"/>
  <sheetData>
    <row r="1" spans="2:28" ht="15" customHeight="1" thickBot="1">
      <c r="B1" t="s">
        <v>29</v>
      </c>
    </row>
    <row r="2" spans="2:28" ht="15" customHeight="1">
      <c r="B2" s="2" t="s">
        <v>32</v>
      </c>
      <c r="C2" s="5" t="s">
        <v>32</v>
      </c>
      <c r="D2" s="3" t="s">
        <v>32</v>
      </c>
      <c r="E2" s="4" t="s">
        <v>32</v>
      </c>
      <c r="F2" s="5" t="s">
        <v>32</v>
      </c>
      <c r="G2" s="3" t="s">
        <v>32</v>
      </c>
      <c r="H2" s="4" t="s">
        <v>32</v>
      </c>
      <c r="I2" s="5" t="s">
        <v>32</v>
      </c>
      <c r="J2" s="6" t="s">
        <v>32</v>
      </c>
      <c r="K2" s="2" t="s">
        <v>32</v>
      </c>
      <c r="L2" s="5" t="s">
        <v>32</v>
      </c>
      <c r="M2" s="3" t="s">
        <v>32</v>
      </c>
      <c r="N2" s="4" t="s">
        <v>32</v>
      </c>
      <c r="O2" s="5" t="s">
        <v>32</v>
      </c>
      <c r="P2" s="3" t="s">
        <v>32</v>
      </c>
      <c r="Q2" s="4" t="s">
        <v>32</v>
      </c>
      <c r="R2" s="5" t="s">
        <v>32</v>
      </c>
      <c r="S2" s="6" t="s">
        <v>32</v>
      </c>
      <c r="T2" s="2" t="s">
        <v>32</v>
      </c>
      <c r="U2" s="5" t="s">
        <v>32</v>
      </c>
      <c r="V2" s="3" t="s">
        <v>32</v>
      </c>
      <c r="W2" s="4" t="s">
        <v>32</v>
      </c>
      <c r="X2" s="5" t="s">
        <v>32</v>
      </c>
      <c r="Y2" s="3" t="s">
        <v>32</v>
      </c>
      <c r="Z2" s="4" t="s">
        <v>32</v>
      </c>
      <c r="AA2" s="5" t="s">
        <v>32</v>
      </c>
      <c r="AB2" s="6" t="s">
        <v>32</v>
      </c>
    </row>
    <row r="3" spans="2:28" ht="15" customHeight="1">
      <c r="B3" s="11" t="s">
        <v>32</v>
      </c>
      <c r="C3" s="7" t="s">
        <v>32</v>
      </c>
      <c r="D3" s="9" t="s">
        <v>32</v>
      </c>
      <c r="E3" s="8" t="s">
        <v>32</v>
      </c>
      <c r="F3" s="7" t="s">
        <v>32</v>
      </c>
      <c r="G3" s="9" t="s">
        <v>32</v>
      </c>
      <c r="H3" s="8" t="s">
        <v>32</v>
      </c>
      <c r="I3" s="7" t="s">
        <v>32</v>
      </c>
      <c r="J3" s="10" t="s">
        <v>32</v>
      </c>
      <c r="K3" s="11" t="s">
        <v>32</v>
      </c>
      <c r="L3" s="7" t="s">
        <v>32</v>
      </c>
      <c r="M3" s="9" t="s">
        <v>32</v>
      </c>
      <c r="N3" s="8" t="s">
        <v>32</v>
      </c>
      <c r="O3" s="7" t="s">
        <v>32</v>
      </c>
      <c r="P3" s="9" t="s">
        <v>32</v>
      </c>
      <c r="Q3" s="8" t="s">
        <v>32</v>
      </c>
      <c r="R3" s="7" t="s">
        <v>32</v>
      </c>
      <c r="S3" s="10" t="s">
        <v>32</v>
      </c>
      <c r="T3" s="11" t="s">
        <v>32</v>
      </c>
      <c r="U3" s="7" t="s">
        <v>32</v>
      </c>
      <c r="V3" s="9" t="s">
        <v>32</v>
      </c>
      <c r="W3" s="8" t="s">
        <v>32</v>
      </c>
      <c r="X3" s="7" t="s">
        <v>32</v>
      </c>
      <c r="Y3" s="9" t="s">
        <v>32</v>
      </c>
      <c r="Z3" s="8" t="s">
        <v>32</v>
      </c>
      <c r="AA3" s="7" t="s">
        <v>32</v>
      </c>
      <c r="AB3" s="10" t="s">
        <v>32</v>
      </c>
    </row>
    <row r="4" spans="2:28" ht="15" customHeight="1">
      <c r="B4" s="12" t="s">
        <v>32</v>
      </c>
      <c r="C4" s="13" t="s">
        <v>32</v>
      </c>
      <c r="D4" s="15" t="s">
        <v>32</v>
      </c>
      <c r="E4" s="14" t="s">
        <v>32</v>
      </c>
      <c r="F4" s="13" t="s">
        <v>32</v>
      </c>
      <c r="G4" s="15" t="s">
        <v>32</v>
      </c>
      <c r="H4" s="14" t="s">
        <v>32</v>
      </c>
      <c r="I4" s="13" t="s">
        <v>32</v>
      </c>
      <c r="J4" s="1" t="s">
        <v>32</v>
      </c>
      <c r="K4" s="12" t="s">
        <v>32</v>
      </c>
      <c r="L4" s="13" t="s">
        <v>32</v>
      </c>
      <c r="M4" s="15" t="s">
        <v>32</v>
      </c>
      <c r="N4" s="14" t="s">
        <v>32</v>
      </c>
      <c r="O4" s="13" t="s">
        <v>32</v>
      </c>
      <c r="P4" s="15" t="s">
        <v>32</v>
      </c>
      <c r="Q4" s="14" t="s">
        <v>32</v>
      </c>
      <c r="R4" s="13" t="s">
        <v>32</v>
      </c>
      <c r="S4" s="1" t="s">
        <v>32</v>
      </c>
      <c r="T4" s="12" t="s">
        <v>32</v>
      </c>
      <c r="U4" s="13" t="s">
        <v>32</v>
      </c>
      <c r="V4" s="15" t="s">
        <v>32</v>
      </c>
      <c r="W4" s="14" t="s">
        <v>32</v>
      </c>
      <c r="X4" s="13" t="s">
        <v>32</v>
      </c>
      <c r="Y4" s="15" t="s">
        <v>32</v>
      </c>
      <c r="Z4" s="14" t="s">
        <v>32</v>
      </c>
      <c r="AA4" s="13" t="s">
        <v>32</v>
      </c>
      <c r="AB4" s="1" t="s">
        <v>32</v>
      </c>
    </row>
    <row r="5" spans="2:28" ht="15" customHeight="1">
      <c r="B5" s="16" t="s">
        <v>32</v>
      </c>
      <c r="C5" s="17" t="s">
        <v>32</v>
      </c>
      <c r="D5" s="18" t="s">
        <v>32</v>
      </c>
      <c r="E5" s="19" t="s">
        <v>32</v>
      </c>
      <c r="F5" s="17" t="s">
        <v>32</v>
      </c>
      <c r="G5" s="18" t="s">
        <v>32</v>
      </c>
      <c r="H5" s="19" t="s">
        <v>32</v>
      </c>
      <c r="I5" s="17" t="s">
        <v>32</v>
      </c>
      <c r="J5" s="20" t="s">
        <v>32</v>
      </c>
      <c r="K5" s="16" t="s">
        <v>32</v>
      </c>
      <c r="L5" s="17" t="s">
        <v>32</v>
      </c>
      <c r="M5" s="18" t="s">
        <v>32</v>
      </c>
      <c r="N5" s="19" t="s">
        <v>32</v>
      </c>
      <c r="O5" s="17" t="s">
        <v>32</v>
      </c>
      <c r="P5" s="18" t="s">
        <v>32</v>
      </c>
      <c r="Q5" s="19" t="s">
        <v>32</v>
      </c>
      <c r="R5" s="17" t="s">
        <v>32</v>
      </c>
      <c r="S5" s="20" t="s">
        <v>32</v>
      </c>
      <c r="T5" s="16" t="s">
        <v>32</v>
      </c>
      <c r="U5" s="17" t="s">
        <v>32</v>
      </c>
      <c r="V5" s="18" t="s">
        <v>32</v>
      </c>
      <c r="W5" s="19" t="s">
        <v>32</v>
      </c>
      <c r="X5" s="17" t="s">
        <v>32</v>
      </c>
      <c r="Y5" s="18" t="s">
        <v>32</v>
      </c>
      <c r="Z5" s="19" t="s">
        <v>32</v>
      </c>
      <c r="AA5" s="17" t="s">
        <v>32</v>
      </c>
      <c r="AB5" s="20" t="s">
        <v>32</v>
      </c>
    </row>
    <row r="6" spans="2:28" ht="15" customHeight="1">
      <c r="B6" s="11" t="s">
        <v>32</v>
      </c>
      <c r="C6" s="7" t="s">
        <v>32</v>
      </c>
      <c r="D6" s="9" t="s">
        <v>32</v>
      </c>
      <c r="E6" s="8" t="s">
        <v>32</v>
      </c>
      <c r="F6" s="7" t="s">
        <v>32</v>
      </c>
      <c r="G6" s="9" t="s">
        <v>32</v>
      </c>
      <c r="H6" s="8" t="s">
        <v>32</v>
      </c>
      <c r="I6" s="7" t="s">
        <v>32</v>
      </c>
      <c r="J6" s="10" t="s">
        <v>32</v>
      </c>
      <c r="K6" s="11" t="s">
        <v>32</v>
      </c>
      <c r="L6" s="7" t="s">
        <v>32</v>
      </c>
      <c r="M6" s="9" t="s">
        <v>32</v>
      </c>
      <c r="N6" s="8" t="s">
        <v>32</v>
      </c>
      <c r="O6" s="7" t="s">
        <v>32</v>
      </c>
      <c r="P6" s="9" t="s">
        <v>32</v>
      </c>
      <c r="Q6" s="8" t="s">
        <v>32</v>
      </c>
      <c r="R6" s="7" t="s">
        <v>32</v>
      </c>
      <c r="S6" s="10" t="s">
        <v>32</v>
      </c>
      <c r="T6" s="11" t="s">
        <v>32</v>
      </c>
      <c r="U6" s="7" t="s">
        <v>32</v>
      </c>
      <c r="V6" s="9" t="s">
        <v>32</v>
      </c>
      <c r="W6" s="8" t="s">
        <v>32</v>
      </c>
      <c r="X6" s="7" t="s">
        <v>32</v>
      </c>
      <c r="Y6" s="9" t="s">
        <v>32</v>
      </c>
      <c r="Z6" s="8" t="s">
        <v>32</v>
      </c>
      <c r="AA6" s="7" t="s">
        <v>32</v>
      </c>
      <c r="AB6" s="10" t="s">
        <v>32</v>
      </c>
    </row>
    <row r="7" spans="2:28" ht="15" customHeight="1">
      <c r="B7" s="12" t="s">
        <v>32</v>
      </c>
      <c r="C7" s="13" t="s">
        <v>32</v>
      </c>
      <c r="D7" s="15" t="s">
        <v>32</v>
      </c>
      <c r="E7" s="14" t="s">
        <v>32</v>
      </c>
      <c r="F7" s="13" t="s">
        <v>32</v>
      </c>
      <c r="G7" s="15" t="s">
        <v>32</v>
      </c>
      <c r="H7" s="14" t="s">
        <v>32</v>
      </c>
      <c r="I7" s="13" t="s">
        <v>32</v>
      </c>
      <c r="J7" s="1" t="s">
        <v>32</v>
      </c>
      <c r="K7" s="12" t="s">
        <v>32</v>
      </c>
      <c r="L7" s="13" t="s">
        <v>32</v>
      </c>
      <c r="M7" s="15" t="s">
        <v>32</v>
      </c>
      <c r="N7" s="14" t="s">
        <v>32</v>
      </c>
      <c r="O7" s="13" t="s">
        <v>32</v>
      </c>
      <c r="P7" s="15" t="s">
        <v>32</v>
      </c>
      <c r="Q7" s="14" t="s">
        <v>32</v>
      </c>
      <c r="R7" s="13" t="s">
        <v>32</v>
      </c>
      <c r="S7" s="1" t="s">
        <v>32</v>
      </c>
      <c r="T7" s="12" t="s">
        <v>32</v>
      </c>
      <c r="U7" s="13" t="s">
        <v>32</v>
      </c>
      <c r="V7" s="15" t="s">
        <v>32</v>
      </c>
      <c r="W7" s="14" t="s">
        <v>32</v>
      </c>
      <c r="X7" s="13" t="s">
        <v>32</v>
      </c>
      <c r="Y7" s="15" t="s">
        <v>32</v>
      </c>
      <c r="Z7" s="14" t="s">
        <v>32</v>
      </c>
      <c r="AA7" s="13" t="s">
        <v>32</v>
      </c>
      <c r="AB7" s="1" t="s">
        <v>32</v>
      </c>
    </row>
    <row r="8" spans="2:28" ht="15" customHeight="1">
      <c r="B8" s="16" t="s">
        <v>32</v>
      </c>
      <c r="C8" s="17" t="s">
        <v>32</v>
      </c>
      <c r="D8" s="18" t="s">
        <v>32</v>
      </c>
      <c r="E8" s="19" t="s">
        <v>32</v>
      </c>
      <c r="F8" s="17" t="s">
        <v>32</v>
      </c>
      <c r="G8" s="18" t="s">
        <v>32</v>
      </c>
      <c r="H8" s="19" t="s">
        <v>32</v>
      </c>
      <c r="I8" s="17" t="s">
        <v>32</v>
      </c>
      <c r="J8" s="20" t="s">
        <v>32</v>
      </c>
      <c r="K8" s="16" t="s">
        <v>32</v>
      </c>
      <c r="L8" s="17" t="s">
        <v>32</v>
      </c>
      <c r="M8" s="18" t="s">
        <v>32</v>
      </c>
      <c r="N8" s="19" t="s">
        <v>32</v>
      </c>
      <c r="O8" s="17" t="s">
        <v>32</v>
      </c>
      <c r="P8" s="18" t="s">
        <v>32</v>
      </c>
      <c r="Q8" s="19" t="s">
        <v>32</v>
      </c>
      <c r="R8" s="17" t="s">
        <v>32</v>
      </c>
      <c r="S8" s="20" t="s">
        <v>32</v>
      </c>
      <c r="T8" s="16" t="s">
        <v>32</v>
      </c>
      <c r="U8" s="17" t="s">
        <v>32</v>
      </c>
      <c r="V8" s="18" t="s">
        <v>32</v>
      </c>
      <c r="W8" s="19" t="s">
        <v>32</v>
      </c>
      <c r="X8" s="17" t="s">
        <v>32</v>
      </c>
      <c r="Y8" s="18" t="s">
        <v>32</v>
      </c>
      <c r="Z8" s="19" t="s">
        <v>32</v>
      </c>
      <c r="AA8" s="17" t="s">
        <v>32</v>
      </c>
      <c r="AB8" s="20" t="s">
        <v>32</v>
      </c>
    </row>
    <row r="9" spans="2:28" ht="15" customHeight="1">
      <c r="B9" s="11" t="s">
        <v>32</v>
      </c>
      <c r="C9" s="7" t="s">
        <v>32</v>
      </c>
      <c r="D9" s="9" t="s">
        <v>32</v>
      </c>
      <c r="E9" s="8" t="s">
        <v>32</v>
      </c>
      <c r="F9" s="7" t="s">
        <v>32</v>
      </c>
      <c r="G9" s="9" t="s">
        <v>32</v>
      </c>
      <c r="H9" s="8" t="s">
        <v>32</v>
      </c>
      <c r="I9" s="7" t="s">
        <v>32</v>
      </c>
      <c r="J9" s="10" t="s">
        <v>32</v>
      </c>
      <c r="K9" s="11" t="s">
        <v>32</v>
      </c>
      <c r="L9" s="7" t="s">
        <v>32</v>
      </c>
      <c r="M9" s="9" t="s">
        <v>32</v>
      </c>
      <c r="N9" s="8" t="s">
        <v>32</v>
      </c>
      <c r="O9" s="7" t="s">
        <v>32</v>
      </c>
      <c r="P9" s="9" t="s">
        <v>32</v>
      </c>
      <c r="Q9" s="8" t="s">
        <v>32</v>
      </c>
      <c r="R9" s="7" t="s">
        <v>32</v>
      </c>
      <c r="S9" s="10" t="s">
        <v>32</v>
      </c>
      <c r="T9" s="11" t="s">
        <v>32</v>
      </c>
      <c r="U9" s="7" t="s">
        <v>32</v>
      </c>
      <c r="V9" s="9" t="s">
        <v>32</v>
      </c>
      <c r="W9" s="8" t="s">
        <v>32</v>
      </c>
      <c r="X9" s="7" t="s">
        <v>32</v>
      </c>
      <c r="Y9" s="9" t="s">
        <v>32</v>
      </c>
      <c r="Z9" s="8" t="s">
        <v>32</v>
      </c>
      <c r="AA9" s="7" t="s">
        <v>32</v>
      </c>
      <c r="AB9" s="10" t="s">
        <v>32</v>
      </c>
    </row>
    <row r="10" spans="2:28" ht="15" customHeight="1" thickBot="1">
      <c r="B10" s="21" t="s">
        <v>32</v>
      </c>
      <c r="C10" s="22" t="s">
        <v>32</v>
      </c>
      <c r="D10" s="23" t="s">
        <v>32</v>
      </c>
      <c r="E10" s="24" t="s">
        <v>32</v>
      </c>
      <c r="F10" s="22" t="s">
        <v>32</v>
      </c>
      <c r="G10" s="23" t="s">
        <v>32</v>
      </c>
      <c r="H10" s="24" t="s">
        <v>32</v>
      </c>
      <c r="I10" s="22" t="s">
        <v>32</v>
      </c>
      <c r="J10" s="25" t="s">
        <v>32</v>
      </c>
      <c r="K10" s="21" t="s">
        <v>32</v>
      </c>
      <c r="L10" s="22" t="s">
        <v>32</v>
      </c>
      <c r="M10" s="23" t="s">
        <v>32</v>
      </c>
      <c r="N10" s="24" t="s">
        <v>32</v>
      </c>
      <c r="O10" s="22" t="s">
        <v>32</v>
      </c>
      <c r="P10" s="23" t="s">
        <v>32</v>
      </c>
      <c r="Q10" s="24" t="s">
        <v>32</v>
      </c>
      <c r="R10" s="22" t="s">
        <v>32</v>
      </c>
      <c r="S10" s="25" t="s">
        <v>32</v>
      </c>
      <c r="T10" s="21" t="s">
        <v>32</v>
      </c>
      <c r="U10" s="22" t="s">
        <v>32</v>
      </c>
      <c r="V10" s="23" t="s">
        <v>32</v>
      </c>
      <c r="W10" s="24" t="s">
        <v>32</v>
      </c>
      <c r="X10" s="22" t="s">
        <v>32</v>
      </c>
      <c r="Y10" s="23" t="s">
        <v>32</v>
      </c>
      <c r="Z10" s="24" t="s">
        <v>32</v>
      </c>
      <c r="AA10" s="22" t="s">
        <v>32</v>
      </c>
      <c r="AB10" s="25" t="s">
        <v>32</v>
      </c>
    </row>
    <row r="11" spans="2:28" ht="15" customHeight="1">
      <c r="B11" s="2" t="s">
        <v>32</v>
      </c>
      <c r="C11" s="5" t="s">
        <v>32</v>
      </c>
      <c r="D11" s="3" t="s">
        <v>32</v>
      </c>
      <c r="E11" s="4" t="s">
        <v>32</v>
      </c>
      <c r="F11" s="5" t="s">
        <v>32</v>
      </c>
      <c r="G11" s="3" t="s">
        <v>32</v>
      </c>
      <c r="H11" s="4" t="s">
        <v>32</v>
      </c>
      <c r="I11" s="5" t="s">
        <v>32</v>
      </c>
      <c r="J11" s="6" t="s">
        <v>32</v>
      </c>
      <c r="K11" s="2" t="s">
        <v>32</v>
      </c>
      <c r="L11" s="5" t="s">
        <v>32</v>
      </c>
      <c r="M11" s="3" t="s">
        <v>32</v>
      </c>
      <c r="N11" s="4" t="s">
        <v>32</v>
      </c>
      <c r="O11" s="5" t="s">
        <v>32</v>
      </c>
      <c r="P11" s="3" t="s">
        <v>32</v>
      </c>
      <c r="Q11" s="4" t="s">
        <v>32</v>
      </c>
      <c r="R11" s="5" t="s">
        <v>32</v>
      </c>
      <c r="S11" s="6" t="s">
        <v>32</v>
      </c>
      <c r="T11" s="2" t="s">
        <v>32</v>
      </c>
      <c r="U11" s="5" t="s">
        <v>32</v>
      </c>
      <c r="V11" s="3" t="s">
        <v>32</v>
      </c>
      <c r="W11" s="4" t="s">
        <v>32</v>
      </c>
      <c r="X11" s="5" t="s">
        <v>32</v>
      </c>
      <c r="Y11" s="3" t="s">
        <v>32</v>
      </c>
      <c r="Z11" s="4" t="s">
        <v>32</v>
      </c>
      <c r="AA11" s="5" t="s">
        <v>32</v>
      </c>
      <c r="AB11" s="6" t="s">
        <v>32</v>
      </c>
    </row>
    <row r="12" spans="2:28" ht="15" customHeight="1">
      <c r="B12" s="11" t="s">
        <v>32</v>
      </c>
      <c r="C12" s="7" t="s">
        <v>32</v>
      </c>
      <c r="D12" s="9" t="s">
        <v>32</v>
      </c>
      <c r="E12" s="8" t="s">
        <v>32</v>
      </c>
      <c r="F12" s="7" t="s">
        <v>32</v>
      </c>
      <c r="G12" s="9" t="s">
        <v>32</v>
      </c>
      <c r="H12" s="8" t="s">
        <v>32</v>
      </c>
      <c r="I12" s="7" t="s">
        <v>32</v>
      </c>
      <c r="J12" s="10" t="s">
        <v>32</v>
      </c>
      <c r="K12" s="11" t="s">
        <v>32</v>
      </c>
      <c r="L12" s="7" t="s">
        <v>32</v>
      </c>
      <c r="M12" s="9" t="s">
        <v>32</v>
      </c>
      <c r="N12" s="8" t="s">
        <v>32</v>
      </c>
      <c r="O12" s="7" t="s">
        <v>32</v>
      </c>
      <c r="P12" s="9" t="s">
        <v>32</v>
      </c>
      <c r="Q12" s="8" t="s">
        <v>32</v>
      </c>
      <c r="R12" s="7" t="s">
        <v>32</v>
      </c>
      <c r="S12" s="10" t="s">
        <v>32</v>
      </c>
      <c r="T12" s="11" t="s">
        <v>32</v>
      </c>
      <c r="U12" s="7" t="s">
        <v>32</v>
      </c>
      <c r="V12" s="9" t="s">
        <v>32</v>
      </c>
      <c r="W12" s="8" t="s">
        <v>32</v>
      </c>
      <c r="X12" s="7" t="s">
        <v>32</v>
      </c>
      <c r="Y12" s="9" t="s">
        <v>32</v>
      </c>
      <c r="Z12" s="8" t="s">
        <v>32</v>
      </c>
      <c r="AA12" s="7" t="s">
        <v>32</v>
      </c>
      <c r="AB12" s="10" t="s">
        <v>32</v>
      </c>
    </row>
    <row r="13" spans="2:28" ht="15" customHeight="1">
      <c r="B13" s="12" t="s">
        <v>32</v>
      </c>
      <c r="C13" s="13" t="s">
        <v>32</v>
      </c>
      <c r="D13" s="15" t="s">
        <v>32</v>
      </c>
      <c r="E13" s="14" t="s">
        <v>32</v>
      </c>
      <c r="F13" s="13" t="s">
        <v>32</v>
      </c>
      <c r="G13" s="15" t="s">
        <v>32</v>
      </c>
      <c r="H13" s="14" t="s">
        <v>32</v>
      </c>
      <c r="I13" s="13" t="s">
        <v>32</v>
      </c>
      <c r="J13" s="1" t="s">
        <v>32</v>
      </c>
      <c r="K13" s="12" t="s">
        <v>32</v>
      </c>
      <c r="L13" s="13" t="s">
        <v>32</v>
      </c>
      <c r="M13" s="15" t="s">
        <v>32</v>
      </c>
      <c r="N13" s="14" t="s">
        <v>32</v>
      </c>
      <c r="O13" s="13" t="s">
        <v>32</v>
      </c>
      <c r="P13" s="15" t="s">
        <v>32</v>
      </c>
      <c r="Q13" s="14" t="s">
        <v>32</v>
      </c>
      <c r="R13" s="13" t="s">
        <v>32</v>
      </c>
      <c r="S13" s="1" t="s">
        <v>32</v>
      </c>
      <c r="T13" s="12" t="s">
        <v>32</v>
      </c>
      <c r="U13" s="13" t="s">
        <v>32</v>
      </c>
      <c r="V13" s="15" t="s">
        <v>32</v>
      </c>
      <c r="W13" s="14" t="s">
        <v>32</v>
      </c>
      <c r="X13" s="13" t="s">
        <v>32</v>
      </c>
      <c r="Y13" s="15" t="s">
        <v>32</v>
      </c>
      <c r="Z13" s="14" t="s">
        <v>32</v>
      </c>
      <c r="AA13" s="13" t="s">
        <v>32</v>
      </c>
      <c r="AB13" s="1" t="s">
        <v>32</v>
      </c>
    </row>
    <row r="14" spans="2:28" ht="15" customHeight="1">
      <c r="B14" s="16" t="s">
        <v>32</v>
      </c>
      <c r="C14" s="17" t="s">
        <v>32</v>
      </c>
      <c r="D14" s="18" t="s">
        <v>32</v>
      </c>
      <c r="E14" s="19" t="s">
        <v>32</v>
      </c>
      <c r="F14" s="17" t="s">
        <v>32</v>
      </c>
      <c r="G14" s="18" t="s">
        <v>32</v>
      </c>
      <c r="H14" s="19" t="s">
        <v>32</v>
      </c>
      <c r="I14" s="17" t="s">
        <v>32</v>
      </c>
      <c r="J14" s="20" t="s">
        <v>32</v>
      </c>
      <c r="K14" s="16" t="s">
        <v>32</v>
      </c>
      <c r="L14" s="17" t="s">
        <v>32</v>
      </c>
      <c r="M14" s="18" t="s">
        <v>32</v>
      </c>
      <c r="N14" s="19" t="s">
        <v>32</v>
      </c>
      <c r="O14" s="17" t="s">
        <v>32</v>
      </c>
      <c r="P14" s="18" t="s">
        <v>32</v>
      </c>
      <c r="Q14" s="19" t="s">
        <v>32</v>
      </c>
      <c r="R14" s="17" t="s">
        <v>32</v>
      </c>
      <c r="S14" s="20" t="s">
        <v>32</v>
      </c>
      <c r="T14" s="16" t="s">
        <v>32</v>
      </c>
      <c r="U14" s="17" t="s">
        <v>32</v>
      </c>
      <c r="V14" s="18" t="s">
        <v>32</v>
      </c>
      <c r="W14" s="19" t="s">
        <v>32</v>
      </c>
      <c r="X14" s="17" t="s">
        <v>32</v>
      </c>
      <c r="Y14" s="18" t="s">
        <v>32</v>
      </c>
      <c r="Z14" s="19" t="s">
        <v>32</v>
      </c>
      <c r="AA14" s="17" t="s">
        <v>32</v>
      </c>
      <c r="AB14" s="20" t="s">
        <v>32</v>
      </c>
    </row>
    <row r="15" spans="2:28" ht="15" customHeight="1">
      <c r="B15" s="11" t="s">
        <v>32</v>
      </c>
      <c r="C15" s="7" t="s">
        <v>32</v>
      </c>
      <c r="D15" s="9" t="s">
        <v>32</v>
      </c>
      <c r="E15" s="8" t="s">
        <v>32</v>
      </c>
      <c r="F15" s="7" t="s">
        <v>32</v>
      </c>
      <c r="G15" s="9" t="s">
        <v>32</v>
      </c>
      <c r="H15" s="8" t="s">
        <v>32</v>
      </c>
      <c r="I15" s="7" t="s">
        <v>32</v>
      </c>
      <c r="J15" s="10" t="s">
        <v>32</v>
      </c>
      <c r="K15" s="11" t="s">
        <v>32</v>
      </c>
      <c r="L15" s="7" t="s">
        <v>32</v>
      </c>
      <c r="M15" s="9" t="s">
        <v>32</v>
      </c>
      <c r="N15" s="8" t="s">
        <v>32</v>
      </c>
      <c r="O15" s="7" t="s">
        <v>32</v>
      </c>
      <c r="P15" s="9" t="s">
        <v>32</v>
      </c>
      <c r="Q15" s="8" t="s">
        <v>32</v>
      </c>
      <c r="R15" s="7" t="s">
        <v>32</v>
      </c>
      <c r="S15" s="10" t="s">
        <v>32</v>
      </c>
      <c r="T15" s="11" t="s">
        <v>32</v>
      </c>
      <c r="U15" s="7" t="s">
        <v>32</v>
      </c>
      <c r="V15" s="9" t="s">
        <v>32</v>
      </c>
      <c r="W15" s="8" t="s">
        <v>32</v>
      </c>
      <c r="X15" s="7" t="s">
        <v>32</v>
      </c>
      <c r="Y15" s="9" t="s">
        <v>32</v>
      </c>
      <c r="Z15" s="8" t="s">
        <v>32</v>
      </c>
      <c r="AA15" s="7" t="s">
        <v>32</v>
      </c>
      <c r="AB15" s="10" t="s">
        <v>32</v>
      </c>
    </row>
    <row r="16" spans="2:28" ht="15" customHeight="1">
      <c r="B16" s="12" t="s">
        <v>32</v>
      </c>
      <c r="C16" s="13" t="s">
        <v>32</v>
      </c>
      <c r="D16" s="15" t="s">
        <v>32</v>
      </c>
      <c r="E16" s="14" t="s">
        <v>32</v>
      </c>
      <c r="F16" s="13" t="s">
        <v>32</v>
      </c>
      <c r="G16" s="15" t="s">
        <v>32</v>
      </c>
      <c r="H16" s="14" t="s">
        <v>32</v>
      </c>
      <c r="I16" s="13" t="s">
        <v>32</v>
      </c>
      <c r="J16" s="1" t="s">
        <v>32</v>
      </c>
      <c r="K16" s="12" t="s">
        <v>32</v>
      </c>
      <c r="L16" s="13" t="s">
        <v>32</v>
      </c>
      <c r="M16" s="15" t="s">
        <v>32</v>
      </c>
      <c r="N16" s="14" t="s">
        <v>32</v>
      </c>
      <c r="O16" s="13" t="s">
        <v>32</v>
      </c>
      <c r="P16" s="15" t="s">
        <v>32</v>
      </c>
      <c r="Q16" s="14" t="s">
        <v>32</v>
      </c>
      <c r="R16" s="13" t="s">
        <v>32</v>
      </c>
      <c r="S16" s="1" t="s">
        <v>32</v>
      </c>
      <c r="T16" s="12" t="s">
        <v>32</v>
      </c>
      <c r="U16" s="13" t="s">
        <v>32</v>
      </c>
      <c r="V16" s="15" t="s">
        <v>32</v>
      </c>
      <c r="W16" s="14" t="s">
        <v>32</v>
      </c>
      <c r="X16" s="13" t="s">
        <v>32</v>
      </c>
      <c r="Y16" s="15" t="s">
        <v>32</v>
      </c>
      <c r="Z16" s="14" t="s">
        <v>32</v>
      </c>
      <c r="AA16" s="13" t="s">
        <v>32</v>
      </c>
      <c r="AB16" s="1" t="s">
        <v>32</v>
      </c>
    </row>
    <row r="17" spans="2:28" ht="15" customHeight="1">
      <c r="B17" s="16" t="s">
        <v>32</v>
      </c>
      <c r="C17" s="17" t="s">
        <v>32</v>
      </c>
      <c r="D17" s="18" t="s">
        <v>32</v>
      </c>
      <c r="E17" s="19" t="s">
        <v>32</v>
      </c>
      <c r="F17" s="17" t="s">
        <v>32</v>
      </c>
      <c r="G17" s="18" t="s">
        <v>32</v>
      </c>
      <c r="H17" s="19" t="s">
        <v>32</v>
      </c>
      <c r="I17" s="17" t="s">
        <v>32</v>
      </c>
      <c r="J17" s="20" t="s">
        <v>32</v>
      </c>
      <c r="K17" s="16" t="s">
        <v>32</v>
      </c>
      <c r="L17" s="17" t="s">
        <v>32</v>
      </c>
      <c r="M17" s="18" t="s">
        <v>32</v>
      </c>
      <c r="N17" s="19" t="s">
        <v>32</v>
      </c>
      <c r="O17" s="17" t="s">
        <v>32</v>
      </c>
      <c r="P17" s="18" t="s">
        <v>32</v>
      </c>
      <c r="Q17" s="19" t="s">
        <v>32</v>
      </c>
      <c r="R17" s="17" t="s">
        <v>32</v>
      </c>
      <c r="S17" s="20" t="s">
        <v>32</v>
      </c>
      <c r="T17" s="16" t="s">
        <v>32</v>
      </c>
      <c r="U17" s="17" t="s">
        <v>32</v>
      </c>
      <c r="V17" s="18" t="s">
        <v>32</v>
      </c>
      <c r="W17" s="19" t="s">
        <v>32</v>
      </c>
      <c r="X17" s="17" t="s">
        <v>32</v>
      </c>
      <c r="Y17" s="18" t="s">
        <v>32</v>
      </c>
      <c r="Z17" s="19" t="s">
        <v>32</v>
      </c>
      <c r="AA17" s="17" t="s">
        <v>32</v>
      </c>
      <c r="AB17" s="20" t="s">
        <v>32</v>
      </c>
    </row>
    <row r="18" spans="2:28" ht="15" customHeight="1">
      <c r="B18" s="11" t="s">
        <v>32</v>
      </c>
      <c r="C18" s="7" t="s">
        <v>32</v>
      </c>
      <c r="D18" s="9" t="s">
        <v>32</v>
      </c>
      <c r="E18" s="8" t="s">
        <v>32</v>
      </c>
      <c r="F18" s="7" t="s">
        <v>32</v>
      </c>
      <c r="G18" s="9" t="s">
        <v>32</v>
      </c>
      <c r="H18" s="8" t="s">
        <v>32</v>
      </c>
      <c r="I18" s="7" t="s">
        <v>32</v>
      </c>
      <c r="J18" s="10" t="s">
        <v>32</v>
      </c>
      <c r="K18" s="11" t="s">
        <v>32</v>
      </c>
      <c r="L18" s="7" t="s">
        <v>32</v>
      </c>
      <c r="M18" s="9" t="s">
        <v>32</v>
      </c>
      <c r="N18" s="8" t="s">
        <v>32</v>
      </c>
      <c r="O18" s="7" t="s">
        <v>32</v>
      </c>
      <c r="P18" s="9" t="s">
        <v>32</v>
      </c>
      <c r="Q18" s="8" t="s">
        <v>32</v>
      </c>
      <c r="R18" s="7" t="s">
        <v>32</v>
      </c>
      <c r="S18" s="10" t="s">
        <v>32</v>
      </c>
      <c r="T18" s="11" t="s">
        <v>32</v>
      </c>
      <c r="U18" s="7" t="s">
        <v>32</v>
      </c>
      <c r="V18" s="9" t="s">
        <v>32</v>
      </c>
      <c r="W18" s="8" t="s">
        <v>32</v>
      </c>
      <c r="X18" s="7" t="s">
        <v>32</v>
      </c>
      <c r="Y18" s="9" t="s">
        <v>32</v>
      </c>
      <c r="Z18" s="8" t="s">
        <v>32</v>
      </c>
      <c r="AA18" s="7" t="s">
        <v>32</v>
      </c>
      <c r="AB18" s="10" t="s">
        <v>32</v>
      </c>
    </row>
    <row r="19" spans="2:28" ht="15" customHeight="1" thickBot="1">
      <c r="B19" s="21" t="s">
        <v>32</v>
      </c>
      <c r="C19" s="22" t="s">
        <v>32</v>
      </c>
      <c r="D19" s="23" t="s">
        <v>32</v>
      </c>
      <c r="E19" s="24" t="s">
        <v>32</v>
      </c>
      <c r="F19" s="22" t="s">
        <v>32</v>
      </c>
      <c r="G19" s="23" t="s">
        <v>32</v>
      </c>
      <c r="H19" s="24" t="s">
        <v>32</v>
      </c>
      <c r="I19" s="22" t="s">
        <v>32</v>
      </c>
      <c r="J19" s="25" t="s">
        <v>32</v>
      </c>
      <c r="K19" s="21" t="s">
        <v>32</v>
      </c>
      <c r="L19" s="22" t="s">
        <v>32</v>
      </c>
      <c r="M19" s="23" t="s">
        <v>32</v>
      </c>
      <c r="N19" s="24" t="s">
        <v>32</v>
      </c>
      <c r="O19" s="22" t="s">
        <v>32</v>
      </c>
      <c r="P19" s="23" t="s">
        <v>32</v>
      </c>
      <c r="Q19" s="24" t="s">
        <v>32</v>
      </c>
      <c r="R19" s="22" t="s">
        <v>32</v>
      </c>
      <c r="S19" s="25" t="s">
        <v>32</v>
      </c>
      <c r="T19" s="21" t="s">
        <v>32</v>
      </c>
      <c r="U19" s="22" t="s">
        <v>32</v>
      </c>
      <c r="V19" s="23" t="s">
        <v>32</v>
      </c>
      <c r="W19" s="24" t="s">
        <v>32</v>
      </c>
      <c r="X19" s="22" t="s">
        <v>32</v>
      </c>
      <c r="Y19" s="23" t="s">
        <v>32</v>
      </c>
      <c r="Z19" s="24" t="s">
        <v>32</v>
      </c>
      <c r="AA19" s="22" t="s">
        <v>32</v>
      </c>
      <c r="AB19" s="25" t="s">
        <v>32</v>
      </c>
    </row>
    <row r="20" spans="2:28" ht="15" customHeight="1">
      <c r="B20" s="2" t="s">
        <v>32</v>
      </c>
      <c r="C20" s="5" t="s">
        <v>32</v>
      </c>
      <c r="D20" s="3" t="s">
        <v>32</v>
      </c>
      <c r="E20" s="4" t="s">
        <v>32</v>
      </c>
      <c r="F20" s="5" t="s">
        <v>32</v>
      </c>
      <c r="G20" s="3" t="s">
        <v>32</v>
      </c>
      <c r="H20" s="4" t="s">
        <v>32</v>
      </c>
      <c r="I20" s="5" t="s">
        <v>32</v>
      </c>
      <c r="J20" s="6" t="s">
        <v>32</v>
      </c>
      <c r="K20" s="2" t="s">
        <v>32</v>
      </c>
      <c r="L20" s="5" t="s">
        <v>32</v>
      </c>
      <c r="M20" s="3" t="s">
        <v>32</v>
      </c>
      <c r="N20" s="4" t="s">
        <v>32</v>
      </c>
      <c r="O20" s="5" t="s">
        <v>32</v>
      </c>
      <c r="P20" s="3" t="s">
        <v>32</v>
      </c>
      <c r="Q20" s="4" t="s">
        <v>32</v>
      </c>
      <c r="R20" s="5" t="s">
        <v>32</v>
      </c>
      <c r="S20" s="6" t="s">
        <v>32</v>
      </c>
      <c r="T20" s="2" t="s">
        <v>32</v>
      </c>
      <c r="U20" s="5" t="s">
        <v>32</v>
      </c>
      <c r="V20" s="3" t="s">
        <v>32</v>
      </c>
      <c r="W20" s="4" t="s">
        <v>32</v>
      </c>
      <c r="X20" s="5" t="s">
        <v>32</v>
      </c>
      <c r="Y20" s="3" t="s">
        <v>32</v>
      </c>
      <c r="Z20" s="4" t="s">
        <v>32</v>
      </c>
      <c r="AA20" s="5" t="s">
        <v>32</v>
      </c>
      <c r="AB20" s="6" t="s">
        <v>32</v>
      </c>
    </row>
    <row r="21" spans="2:28" ht="15" customHeight="1">
      <c r="B21" s="11" t="s">
        <v>32</v>
      </c>
      <c r="C21" s="7" t="s">
        <v>32</v>
      </c>
      <c r="D21" s="9" t="s">
        <v>32</v>
      </c>
      <c r="E21" s="8" t="s">
        <v>32</v>
      </c>
      <c r="F21" s="7" t="s">
        <v>32</v>
      </c>
      <c r="G21" s="9" t="s">
        <v>32</v>
      </c>
      <c r="H21" s="8" t="s">
        <v>32</v>
      </c>
      <c r="I21" s="7" t="s">
        <v>32</v>
      </c>
      <c r="J21" s="10" t="s">
        <v>32</v>
      </c>
      <c r="K21" s="11" t="s">
        <v>32</v>
      </c>
      <c r="L21" s="7" t="s">
        <v>32</v>
      </c>
      <c r="M21" s="9" t="s">
        <v>32</v>
      </c>
      <c r="N21" s="8" t="s">
        <v>32</v>
      </c>
      <c r="O21" s="7" t="s">
        <v>32</v>
      </c>
      <c r="P21" s="9" t="s">
        <v>32</v>
      </c>
      <c r="Q21" s="8" t="s">
        <v>32</v>
      </c>
      <c r="R21" s="7" t="s">
        <v>32</v>
      </c>
      <c r="S21" s="10" t="s">
        <v>32</v>
      </c>
      <c r="T21" s="11" t="s">
        <v>32</v>
      </c>
      <c r="U21" s="7" t="s">
        <v>32</v>
      </c>
      <c r="V21" s="9" t="s">
        <v>32</v>
      </c>
      <c r="W21" s="8" t="s">
        <v>32</v>
      </c>
      <c r="X21" s="7" t="s">
        <v>32</v>
      </c>
      <c r="Y21" s="9" t="s">
        <v>32</v>
      </c>
      <c r="Z21" s="8" t="s">
        <v>32</v>
      </c>
      <c r="AA21" s="7" t="s">
        <v>32</v>
      </c>
      <c r="AB21" s="10" t="s">
        <v>32</v>
      </c>
    </row>
    <row r="22" spans="2:28" ht="15" customHeight="1">
      <c r="B22" s="12" t="s">
        <v>32</v>
      </c>
      <c r="C22" s="13" t="s">
        <v>32</v>
      </c>
      <c r="D22" s="15" t="s">
        <v>32</v>
      </c>
      <c r="E22" s="14" t="s">
        <v>32</v>
      </c>
      <c r="F22" s="13" t="s">
        <v>32</v>
      </c>
      <c r="G22" s="15" t="s">
        <v>32</v>
      </c>
      <c r="H22" s="14" t="s">
        <v>32</v>
      </c>
      <c r="I22" s="13" t="s">
        <v>32</v>
      </c>
      <c r="J22" s="1" t="s">
        <v>32</v>
      </c>
      <c r="K22" s="12" t="s">
        <v>32</v>
      </c>
      <c r="L22" s="13" t="s">
        <v>32</v>
      </c>
      <c r="M22" s="15" t="s">
        <v>32</v>
      </c>
      <c r="N22" s="14" t="s">
        <v>32</v>
      </c>
      <c r="O22" s="13" t="s">
        <v>32</v>
      </c>
      <c r="P22" s="15" t="s">
        <v>32</v>
      </c>
      <c r="Q22" s="14" t="s">
        <v>32</v>
      </c>
      <c r="R22" s="13" t="s">
        <v>32</v>
      </c>
      <c r="S22" s="1" t="s">
        <v>32</v>
      </c>
      <c r="T22" s="12" t="s">
        <v>32</v>
      </c>
      <c r="U22" s="13" t="s">
        <v>32</v>
      </c>
      <c r="V22" s="15" t="s">
        <v>32</v>
      </c>
      <c r="W22" s="14" t="s">
        <v>32</v>
      </c>
      <c r="X22" s="13" t="s">
        <v>32</v>
      </c>
      <c r="Y22" s="15" t="s">
        <v>32</v>
      </c>
      <c r="Z22" s="14" t="s">
        <v>32</v>
      </c>
      <c r="AA22" s="13" t="s">
        <v>32</v>
      </c>
      <c r="AB22" s="1" t="s">
        <v>32</v>
      </c>
    </row>
    <row r="23" spans="2:28" ht="15" customHeight="1">
      <c r="B23" s="16" t="s">
        <v>32</v>
      </c>
      <c r="C23" s="17" t="s">
        <v>32</v>
      </c>
      <c r="D23" s="18" t="s">
        <v>32</v>
      </c>
      <c r="E23" s="19" t="s">
        <v>32</v>
      </c>
      <c r="F23" s="17" t="s">
        <v>32</v>
      </c>
      <c r="G23" s="18" t="s">
        <v>32</v>
      </c>
      <c r="H23" s="19" t="s">
        <v>32</v>
      </c>
      <c r="I23" s="17" t="s">
        <v>32</v>
      </c>
      <c r="J23" s="20" t="s">
        <v>32</v>
      </c>
      <c r="K23" s="16" t="s">
        <v>32</v>
      </c>
      <c r="L23" s="17" t="s">
        <v>32</v>
      </c>
      <c r="M23" s="18" t="s">
        <v>32</v>
      </c>
      <c r="N23" s="19" t="s">
        <v>32</v>
      </c>
      <c r="O23" s="17" t="s">
        <v>32</v>
      </c>
      <c r="P23" s="18" t="s">
        <v>32</v>
      </c>
      <c r="Q23" s="19" t="s">
        <v>32</v>
      </c>
      <c r="R23" s="17" t="s">
        <v>32</v>
      </c>
      <c r="S23" s="20" t="s">
        <v>32</v>
      </c>
      <c r="T23" s="16" t="s">
        <v>32</v>
      </c>
      <c r="U23" s="17" t="s">
        <v>32</v>
      </c>
      <c r="V23" s="18" t="s">
        <v>32</v>
      </c>
      <c r="W23" s="19" t="s">
        <v>32</v>
      </c>
      <c r="X23" s="17" t="s">
        <v>32</v>
      </c>
      <c r="Y23" s="18" t="s">
        <v>32</v>
      </c>
      <c r="Z23" s="19" t="s">
        <v>32</v>
      </c>
      <c r="AA23" s="17" t="s">
        <v>32</v>
      </c>
      <c r="AB23" s="20" t="s">
        <v>32</v>
      </c>
    </row>
    <row r="24" spans="2:28" ht="15" customHeight="1">
      <c r="B24" s="11" t="s">
        <v>32</v>
      </c>
      <c r="C24" s="7" t="s">
        <v>32</v>
      </c>
      <c r="D24" s="9" t="s">
        <v>32</v>
      </c>
      <c r="E24" s="8" t="s">
        <v>32</v>
      </c>
      <c r="F24" s="7" t="s">
        <v>32</v>
      </c>
      <c r="G24" s="9" t="s">
        <v>32</v>
      </c>
      <c r="H24" s="8" t="s">
        <v>32</v>
      </c>
      <c r="I24" s="7" t="s">
        <v>32</v>
      </c>
      <c r="J24" s="10" t="s">
        <v>32</v>
      </c>
      <c r="K24" s="11" t="s">
        <v>32</v>
      </c>
      <c r="L24" s="7" t="s">
        <v>32</v>
      </c>
      <c r="M24" s="9" t="s">
        <v>32</v>
      </c>
      <c r="N24" s="8" t="s">
        <v>32</v>
      </c>
      <c r="O24" s="7" t="s">
        <v>32</v>
      </c>
      <c r="P24" s="9" t="s">
        <v>32</v>
      </c>
      <c r="Q24" s="8" t="s">
        <v>32</v>
      </c>
      <c r="R24" s="7" t="s">
        <v>32</v>
      </c>
      <c r="S24" s="10" t="s">
        <v>32</v>
      </c>
      <c r="T24" s="11" t="s">
        <v>32</v>
      </c>
      <c r="U24" s="7" t="s">
        <v>32</v>
      </c>
      <c r="V24" s="9" t="s">
        <v>32</v>
      </c>
      <c r="W24" s="8" t="s">
        <v>32</v>
      </c>
      <c r="X24" s="7" t="s">
        <v>32</v>
      </c>
      <c r="Y24" s="9" t="s">
        <v>32</v>
      </c>
      <c r="Z24" s="8" t="s">
        <v>32</v>
      </c>
      <c r="AA24" s="7" t="s">
        <v>32</v>
      </c>
      <c r="AB24" s="10" t="s">
        <v>32</v>
      </c>
    </row>
    <row r="25" spans="2:28" ht="15" customHeight="1">
      <c r="B25" s="12" t="s">
        <v>32</v>
      </c>
      <c r="C25" s="13" t="s">
        <v>32</v>
      </c>
      <c r="D25" s="15" t="s">
        <v>32</v>
      </c>
      <c r="E25" s="14" t="s">
        <v>32</v>
      </c>
      <c r="F25" s="13" t="s">
        <v>32</v>
      </c>
      <c r="G25" s="15" t="s">
        <v>32</v>
      </c>
      <c r="H25" s="14" t="s">
        <v>32</v>
      </c>
      <c r="I25" s="13" t="s">
        <v>32</v>
      </c>
      <c r="J25" s="1" t="s">
        <v>32</v>
      </c>
      <c r="K25" s="12" t="s">
        <v>32</v>
      </c>
      <c r="L25" s="13" t="s">
        <v>32</v>
      </c>
      <c r="M25" s="15" t="s">
        <v>32</v>
      </c>
      <c r="N25" s="14" t="s">
        <v>32</v>
      </c>
      <c r="O25" s="13" t="s">
        <v>32</v>
      </c>
      <c r="P25" s="15" t="s">
        <v>32</v>
      </c>
      <c r="Q25" s="14" t="s">
        <v>32</v>
      </c>
      <c r="R25" s="13" t="s">
        <v>32</v>
      </c>
      <c r="S25" s="1" t="s">
        <v>32</v>
      </c>
      <c r="T25" s="12" t="s">
        <v>32</v>
      </c>
      <c r="U25" s="13" t="s">
        <v>32</v>
      </c>
      <c r="V25" s="15" t="s">
        <v>32</v>
      </c>
      <c r="W25" s="14" t="s">
        <v>32</v>
      </c>
      <c r="X25" s="13" t="s">
        <v>32</v>
      </c>
      <c r="Y25" s="15" t="s">
        <v>32</v>
      </c>
      <c r="Z25" s="14" t="s">
        <v>32</v>
      </c>
      <c r="AA25" s="13" t="s">
        <v>32</v>
      </c>
      <c r="AB25" s="1" t="s">
        <v>32</v>
      </c>
    </row>
    <row r="26" spans="2:28" ht="15" customHeight="1">
      <c r="B26" s="16" t="s">
        <v>32</v>
      </c>
      <c r="C26" s="17" t="s">
        <v>32</v>
      </c>
      <c r="D26" s="18" t="s">
        <v>32</v>
      </c>
      <c r="E26" s="19" t="s">
        <v>32</v>
      </c>
      <c r="F26" s="17" t="s">
        <v>32</v>
      </c>
      <c r="G26" s="18" t="s">
        <v>32</v>
      </c>
      <c r="H26" s="19" t="s">
        <v>32</v>
      </c>
      <c r="I26" s="17" t="s">
        <v>32</v>
      </c>
      <c r="J26" s="20" t="s">
        <v>32</v>
      </c>
      <c r="K26" s="16" t="s">
        <v>32</v>
      </c>
      <c r="L26" s="17" t="s">
        <v>32</v>
      </c>
      <c r="M26" s="18" t="s">
        <v>32</v>
      </c>
      <c r="N26" s="19" t="s">
        <v>32</v>
      </c>
      <c r="O26" s="17" t="s">
        <v>32</v>
      </c>
      <c r="P26" s="18" t="s">
        <v>32</v>
      </c>
      <c r="Q26" s="19" t="s">
        <v>32</v>
      </c>
      <c r="R26" s="17" t="s">
        <v>32</v>
      </c>
      <c r="S26" s="20" t="s">
        <v>32</v>
      </c>
      <c r="T26" s="16" t="s">
        <v>32</v>
      </c>
      <c r="U26" s="17" t="s">
        <v>32</v>
      </c>
      <c r="V26" s="18" t="s">
        <v>32</v>
      </c>
      <c r="W26" s="19" t="s">
        <v>32</v>
      </c>
      <c r="X26" s="17" t="s">
        <v>32</v>
      </c>
      <c r="Y26" s="18" t="s">
        <v>32</v>
      </c>
      <c r="Z26" s="19" t="s">
        <v>32</v>
      </c>
      <c r="AA26" s="17" t="s">
        <v>32</v>
      </c>
      <c r="AB26" s="20" t="s">
        <v>32</v>
      </c>
    </row>
    <row r="27" spans="2:28" ht="15" customHeight="1">
      <c r="B27" s="11" t="s">
        <v>32</v>
      </c>
      <c r="C27" s="7" t="s">
        <v>32</v>
      </c>
      <c r="D27" s="9" t="s">
        <v>32</v>
      </c>
      <c r="E27" s="8" t="s">
        <v>32</v>
      </c>
      <c r="F27" s="7" t="s">
        <v>32</v>
      </c>
      <c r="G27" s="9" t="s">
        <v>32</v>
      </c>
      <c r="H27" s="8" t="s">
        <v>32</v>
      </c>
      <c r="I27" s="7" t="s">
        <v>32</v>
      </c>
      <c r="J27" s="10" t="s">
        <v>32</v>
      </c>
      <c r="K27" s="11" t="s">
        <v>32</v>
      </c>
      <c r="L27" s="7" t="s">
        <v>32</v>
      </c>
      <c r="M27" s="9" t="s">
        <v>32</v>
      </c>
      <c r="N27" s="8" t="s">
        <v>32</v>
      </c>
      <c r="O27" s="7" t="s">
        <v>32</v>
      </c>
      <c r="P27" s="9" t="s">
        <v>32</v>
      </c>
      <c r="Q27" s="8" t="s">
        <v>32</v>
      </c>
      <c r="R27" s="7" t="s">
        <v>32</v>
      </c>
      <c r="S27" s="10" t="s">
        <v>32</v>
      </c>
      <c r="T27" s="11" t="s">
        <v>32</v>
      </c>
      <c r="U27" s="7" t="s">
        <v>32</v>
      </c>
      <c r="V27" s="9" t="s">
        <v>32</v>
      </c>
      <c r="W27" s="8" t="s">
        <v>32</v>
      </c>
      <c r="X27" s="7" t="s">
        <v>32</v>
      </c>
      <c r="Y27" s="9" t="s">
        <v>32</v>
      </c>
      <c r="Z27" s="8" t="s">
        <v>32</v>
      </c>
      <c r="AA27" s="7" t="s">
        <v>32</v>
      </c>
      <c r="AB27" s="10" t="s">
        <v>32</v>
      </c>
    </row>
    <row r="28" spans="2:28" ht="15" customHeight="1" thickBot="1">
      <c r="B28" s="21" t="s">
        <v>32</v>
      </c>
      <c r="C28" s="22" t="s">
        <v>32</v>
      </c>
      <c r="D28" s="23" t="s">
        <v>32</v>
      </c>
      <c r="E28" s="24" t="s">
        <v>32</v>
      </c>
      <c r="F28" s="22" t="s">
        <v>32</v>
      </c>
      <c r="G28" s="23" t="s">
        <v>32</v>
      </c>
      <c r="H28" s="24" t="s">
        <v>32</v>
      </c>
      <c r="I28" s="22" t="s">
        <v>32</v>
      </c>
      <c r="J28" s="25" t="s">
        <v>32</v>
      </c>
      <c r="K28" s="21" t="s">
        <v>32</v>
      </c>
      <c r="L28" s="22" t="s">
        <v>32</v>
      </c>
      <c r="M28" s="23" t="s">
        <v>32</v>
      </c>
      <c r="N28" s="24" t="s">
        <v>32</v>
      </c>
      <c r="O28" s="22" t="s">
        <v>32</v>
      </c>
      <c r="P28" s="23" t="s">
        <v>32</v>
      </c>
      <c r="Q28" s="24" t="s">
        <v>32</v>
      </c>
      <c r="R28" s="22" t="s">
        <v>32</v>
      </c>
      <c r="S28" s="25" t="s">
        <v>32</v>
      </c>
      <c r="T28" s="21" t="s">
        <v>32</v>
      </c>
      <c r="U28" s="22" t="s">
        <v>32</v>
      </c>
      <c r="V28" s="23" t="s">
        <v>32</v>
      </c>
      <c r="W28" s="24" t="s">
        <v>32</v>
      </c>
      <c r="X28" s="22" t="s">
        <v>32</v>
      </c>
      <c r="Y28" s="23" t="s">
        <v>32</v>
      </c>
      <c r="Z28" s="24" t="s">
        <v>32</v>
      </c>
      <c r="AA28" s="22" t="s">
        <v>32</v>
      </c>
      <c r="AB28" s="25" t="s">
        <v>32</v>
      </c>
    </row>
  </sheetData>
  <phoneticPr fontId="9"/>
  <conditionalFormatting sqref="B2:AB28">
    <cfRule type="cellIs" dxfId="0" priority="1" stopIfTrue="1" operator="between">
      <formula>0</formula>
      <formula>9</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3</vt:i4>
      </vt:variant>
    </vt:vector>
  </HeadingPairs>
  <TitlesOfParts>
    <vt:vector size="3" baseType="lpstr">
      <vt:lpstr>Blatt1</vt:lpstr>
      <vt:lpstr>Archiv</vt:lpstr>
      <vt:lpstr>Hilfsblatt</vt:lpstr>
    </vt:vector>
  </TitlesOfParts>
  <Company>KZO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Gallin</dc:creator>
  <cp:lastModifiedBy>Peter Gallin</cp:lastModifiedBy>
  <cp:lastPrinted>2017-05-03T08:05:33Z</cp:lastPrinted>
  <dcterms:created xsi:type="dcterms:W3CDTF">2014-01-19T09:36:24Z</dcterms:created>
  <dcterms:modified xsi:type="dcterms:W3CDTF">2017-08-21T21:36:49Z</dcterms:modified>
</cp:coreProperties>
</file>